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24226"/>
  <mc:AlternateContent xmlns:mc="http://schemas.openxmlformats.org/markup-compatibility/2006">
    <mc:Choice Requires="x15">
      <x15ac:absPath xmlns:x15ac="http://schemas.microsoft.com/office/spreadsheetml/2010/11/ac" url="/Users/edima/Downloads/"/>
    </mc:Choice>
  </mc:AlternateContent>
  <xr:revisionPtr revIDLastSave="0" documentId="13_ncr:1_{6C4CC1F6-3392-AB47-B83F-EDA38975D46E}" xr6:coauthVersionLast="45" xr6:coauthVersionMax="45" xr10:uidLastSave="{00000000-0000-0000-0000-000000000000}"/>
  <bookViews>
    <workbookView xWindow="0" yWindow="460" windowWidth="25600" windowHeight="15540" tabRatio="846" xr2:uid="{00000000-000D-0000-FFFF-FFFF00000000}"/>
  </bookViews>
  <sheets>
    <sheet name="Sheet1" sheetId="18" r:id="rId1"/>
    <sheet name="Ontario" sheetId="10" r:id="rId2"/>
    <sheet name="Ontario Total" sheetId="9" r:id="rId3"/>
    <sheet name="Chino" sheetId="11" r:id="rId4"/>
    <sheet name="Chino Total" sheetId="8" r:id="rId5"/>
    <sheet name="Chino Hills" sheetId="12" r:id="rId6"/>
    <sheet name="Chino Hills Total" sheetId="7" r:id="rId7"/>
    <sheet name="MVWD" sheetId="13" r:id="rId8"/>
    <sheet name="MVWD Total " sheetId="6" r:id="rId9"/>
    <sheet name="Upland" sheetId="14" r:id="rId10"/>
    <sheet name="Upland Total" sheetId="5" r:id="rId11"/>
    <sheet name="FWC" sheetId="15" r:id="rId12"/>
    <sheet name="FWC Total" sheetId="4" r:id="rId13"/>
    <sheet name="SAWC" sheetId="17" r:id="rId14"/>
    <sheet name="SAWC Total" sheetId="3" r:id="rId15"/>
    <sheet name="CVWD" sheetId="16" r:id="rId16"/>
    <sheet name="CVWD Total" sheetId="2" r:id="rId17"/>
    <sheet name="IEUA Total" sheetId="1" r:id="rId18"/>
  </sheets>
  <externalReferences>
    <externalReference r:id="rId19"/>
    <externalReference r:id="rId20"/>
  </externalReferences>
  <definedNames>
    <definedName name="_xlnm.Print_Area" localSheetId="3">Chino!$A$143:$N$172</definedName>
    <definedName name="_xlnm.Print_Area" localSheetId="5">'Chino Hills'!$A$143:$N$172</definedName>
    <definedName name="_xlnm.Print_Area" localSheetId="6">'Chino Hills Total'!$A$41:$N$650,'Chino Hills Total'!$1:$40</definedName>
    <definedName name="_xlnm.Print_Area" localSheetId="4">'Chino Total'!$A$41:$N$651,'Chino Total'!$1:$40</definedName>
    <definedName name="_xlnm.Print_Area" localSheetId="15">CVWD!$A$143:$N$172</definedName>
    <definedName name="_xlnm.Print_Area" localSheetId="16">'CVWD Total'!$A$41:$N$651,'CVWD Total'!$1:$40</definedName>
    <definedName name="_xlnm.Print_Area" localSheetId="11">FWC!$A$143:$N$172</definedName>
    <definedName name="_xlnm.Print_Area" localSheetId="12">'FWC Total'!$A$41:$N$650,'FWC Total'!$1:$40</definedName>
    <definedName name="_xlnm.Print_Area" localSheetId="7">MVWD!$A$143:$N$172</definedName>
    <definedName name="_xlnm.Print_Area" localSheetId="8">'MVWD Total '!$A$41:$N$650,'MVWD Total '!$1:$40</definedName>
    <definedName name="_xlnm.Print_Area" localSheetId="1">Ontario!$A$142:$N$173</definedName>
    <definedName name="_xlnm.Print_Area" localSheetId="2">'Ontario Total'!$A$41:$N$650,'Ontario Total'!$1:$40</definedName>
    <definedName name="_xlnm.Print_Area" localSheetId="13">SAWC!$A$143:$N$172</definedName>
    <definedName name="_xlnm.Print_Area" localSheetId="14">'SAWC Total'!$A$41:$N$649,'SAWC Total'!$1:$40</definedName>
    <definedName name="_xlnm.Print_Area" localSheetId="9">Upland!$A$143:$N$172</definedName>
    <definedName name="_xlnm.Print_Area" localSheetId="10">'Upland Total'!$A$41:$N$643,'Upland Total'!$1:$40</definedName>
  </definedNames>
  <calcPr calcId="191029"/>
</workbook>
</file>

<file path=xl/calcChain.xml><?xml version="1.0" encoding="utf-8"?>
<calcChain xmlns="http://schemas.openxmlformats.org/spreadsheetml/2006/main">
  <c r="M44" i="1" l="1"/>
  <c r="M18" i="5"/>
  <c r="M43" i="1"/>
  <c r="N43" i="1"/>
  <c r="N33" i="1"/>
  <c r="M33" i="1"/>
  <c r="N32" i="1"/>
  <c r="N31" i="1"/>
  <c r="M31" i="1"/>
  <c r="N30" i="1"/>
  <c r="N29" i="1"/>
  <c r="M29" i="1"/>
  <c r="N28" i="1"/>
  <c r="N27" i="1"/>
  <c r="N26" i="1"/>
  <c r="N25" i="1"/>
  <c r="M25" i="1"/>
  <c r="N24" i="1"/>
  <c r="N23" i="1"/>
  <c r="N22" i="1"/>
  <c r="M22" i="1"/>
  <c r="N19" i="1"/>
  <c r="M19" i="1"/>
  <c r="N18" i="1"/>
  <c r="M18" i="1"/>
  <c r="N17" i="1"/>
  <c r="M17" i="1"/>
  <c r="N16" i="1"/>
  <c r="M16" i="1"/>
  <c r="N15" i="1"/>
  <c r="M15" i="1"/>
  <c r="M7" i="1"/>
  <c r="N7" i="1"/>
  <c r="M8" i="1"/>
  <c r="N8" i="1"/>
  <c r="M9" i="1"/>
  <c r="N9" i="1"/>
  <c r="M10" i="1"/>
  <c r="N10" i="1"/>
  <c r="M11" i="1"/>
  <c r="N11" i="1"/>
  <c r="N12" i="1"/>
  <c r="N13" i="1"/>
  <c r="M6" i="1"/>
  <c r="M6" i="2"/>
  <c r="M6" i="9"/>
  <c r="M6" i="7"/>
  <c r="M6" i="6"/>
  <c r="M6" i="5"/>
  <c r="M6" i="4"/>
  <c r="M6" i="3"/>
  <c r="M6" i="8"/>
  <c r="M22" i="6"/>
  <c r="M22" i="5"/>
  <c r="M22" i="4"/>
  <c r="M22" i="2"/>
  <c r="M22" i="9"/>
  <c r="M25" i="8"/>
  <c r="M31" i="7"/>
  <c r="M25" i="7"/>
  <c r="M31" i="5"/>
  <c r="M25" i="5"/>
  <c r="M33" i="4"/>
  <c r="M31" i="4"/>
  <c r="M29" i="4"/>
  <c r="M25" i="4"/>
  <c r="M31" i="2"/>
  <c r="M33" i="9"/>
  <c r="M31" i="9"/>
  <c r="M29" i="9"/>
  <c r="M25" i="9"/>
  <c r="M18" i="8"/>
  <c r="M17" i="8"/>
  <c r="M16" i="8"/>
  <c r="M15" i="8"/>
  <c r="M19" i="7"/>
  <c r="M18" i="7"/>
  <c r="M17" i="7"/>
  <c r="M16" i="7"/>
  <c r="M15" i="7"/>
  <c r="M19" i="6"/>
  <c r="M18" i="6"/>
  <c r="M17" i="6"/>
  <c r="M16" i="6"/>
  <c r="M15" i="6"/>
  <c r="M17" i="5"/>
  <c r="M16" i="5"/>
  <c r="M15" i="5"/>
  <c r="M19" i="4"/>
  <c r="M18" i="4"/>
  <c r="M17" i="4"/>
  <c r="M16" i="4"/>
  <c r="M15" i="4"/>
  <c r="M18" i="2"/>
  <c r="M17" i="2"/>
  <c r="M16" i="2"/>
  <c r="M15" i="2"/>
  <c r="M18" i="9"/>
  <c r="M17" i="9"/>
  <c r="M16" i="9"/>
  <c r="M15" i="9"/>
  <c r="M7" i="8"/>
  <c r="M9" i="8"/>
  <c r="M10" i="8"/>
  <c r="M7" i="7"/>
  <c r="M9" i="7"/>
  <c r="M10" i="7"/>
  <c r="M11" i="7"/>
  <c r="M7" i="6"/>
  <c r="M9" i="6"/>
  <c r="M10" i="6"/>
  <c r="M11" i="6"/>
  <c r="M7" i="5"/>
  <c r="M9" i="5"/>
  <c r="M10" i="5"/>
  <c r="M11" i="5"/>
  <c r="M7" i="4"/>
  <c r="M8" i="4"/>
  <c r="M9" i="4"/>
  <c r="M10" i="4"/>
  <c r="M7" i="3"/>
  <c r="M9" i="3"/>
  <c r="M7" i="2"/>
  <c r="M8" i="2"/>
  <c r="M9" i="2"/>
  <c r="M10" i="2"/>
  <c r="M11" i="2"/>
  <c r="M7" i="9"/>
  <c r="M9" i="9"/>
  <c r="M10" i="9"/>
  <c r="F15" i="9" l="1"/>
  <c r="H15" i="9" s="1"/>
  <c r="F15" i="8"/>
  <c r="H15" i="8" s="1"/>
  <c r="F15" i="7"/>
  <c r="H15" i="7" s="1"/>
  <c r="F15" i="6"/>
  <c r="H15" i="6" s="1"/>
  <c r="F15" i="5"/>
  <c r="H15" i="5" s="1"/>
  <c r="F15" i="4"/>
  <c r="H15" i="4" s="1"/>
  <c r="F15" i="3"/>
  <c r="H15" i="3" s="1"/>
  <c r="H15" i="2"/>
  <c r="F15" i="2"/>
  <c r="N6" i="1" l="1"/>
  <c r="K11" i="1"/>
  <c r="L43" i="1" l="1"/>
  <c r="L7" i="9" l="1"/>
  <c r="F19" i="2" l="1"/>
  <c r="H19" i="2"/>
  <c r="F19" i="3"/>
  <c r="H19" i="3" s="1"/>
  <c r="F19" i="4"/>
  <c r="H19" i="4" s="1"/>
  <c r="F19" i="5"/>
  <c r="H19" i="5" s="1"/>
  <c r="F19" i="6"/>
  <c r="H19" i="6" s="1"/>
  <c r="F19" i="7"/>
  <c r="H19" i="7" s="1"/>
  <c r="F19" i="8"/>
  <c r="H19" i="8" s="1"/>
  <c r="H19" i="9"/>
  <c r="F19" i="9"/>
  <c r="L19" i="9" l="1"/>
  <c r="L19" i="8"/>
  <c r="L19" i="5"/>
  <c r="L19" i="3"/>
  <c r="L19" i="2"/>
  <c r="L19" i="4"/>
  <c r="L19" i="6"/>
  <c r="L19" i="7"/>
  <c r="J19" i="1"/>
  <c r="L19" i="1" l="1"/>
  <c r="L20" i="2" l="1"/>
  <c r="I20" i="2"/>
  <c r="B19" i="2"/>
  <c r="K20" i="2"/>
  <c r="F20" i="2"/>
  <c r="B20" i="2"/>
  <c r="B442" i="16"/>
  <c r="N441" i="16"/>
  <c r="C442" i="16"/>
  <c r="D442" i="16"/>
  <c r="E442" i="16"/>
  <c r="F442" i="16"/>
  <c r="G442" i="16"/>
  <c r="H442" i="16"/>
  <c r="I442" i="16"/>
  <c r="J442" i="16"/>
  <c r="K442" i="16"/>
  <c r="L442" i="16"/>
  <c r="M442" i="16"/>
  <c r="B20" i="3"/>
  <c r="I20" i="3"/>
  <c r="J20" i="3"/>
  <c r="K20" i="3"/>
  <c r="L20" i="3"/>
  <c r="H20" i="3"/>
  <c r="F20" i="3"/>
  <c r="N441" i="17"/>
  <c r="C442" i="17"/>
  <c r="D442" i="17"/>
  <c r="E442" i="17"/>
  <c r="F442" i="17"/>
  <c r="G442" i="17"/>
  <c r="H442" i="17"/>
  <c r="I442" i="17"/>
  <c r="J442" i="17"/>
  <c r="K442" i="17"/>
  <c r="L442" i="17"/>
  <c r="M442" i="17"/>
  <c r="B442" i="17"/>
  <c r="B20" i="4"/>
  <c r="B36" i="4"/>
  <c r="I20" i="4"/>
  <c r="J20" i="4"/>
  <c r="K20" i="4"/>
  <c r="L20" i="4"/>
  <c r="H20" i="4"/>
  <c r="F20" i="4"/>
  <c r="F37" i="4" s="1"/>
  <c r="D19" i="4"/>
  <c r="B19" i="4"/>
  <c r="M443" i="15"/>
  <c r="N442" i="15"/>
  <c r="C443" i="15"/>
  <c r="D443" i="15"/>
  <c r="E443" i="15"/>
  <c r="F443" i="15"/>
  <c r="G443" i="15"/>
  <c r="H443" i="15"/>
  <c r="I443" i="15"/>
  <c r="J443" i="15"/>
  <c r="K443" i="15"/>
  <c r="L443" i="15"/>
  <c r="B443" i="15"/>
  <c r="I20" i="5"/>
  <c r="B20" i="5"/>
  <c r="B19" i="5"/>
  <c r="K20" i="5"/>
  <c r="L20" i="5"/>
  <c r="H20" i="5"/>
  <c r="F20" i="5"/>
  <c r="D19" i="5"/>
  <c r="D443" i="14"/>
  <c r="N442" i="14"/>
  <c r="C443" i="14"/>
  <c r="E443" i="14"/>
  <c r="F443" i="14"/>
  <c r="G443" i="14"/>
  <c r="H443" i="14"/>
  <c r="I443" i="14"/>
  <c r="J443" i="14"/>
  <c r="K443" i="14"/>
  <c r="L443" i="14"/>
  <c r="M443" i="14"/>
  <c r="B443" i="14"/>
  <c r="F20" i="6"/>
  <c r="I20" i="6"/>
  <c r="J20" i="6"/>
  <c r="K20" i="6"/>
  <c r="L20" i="6"/>
  <c r="H20" i="6"/>
  <c r="D19" i="6"/>
  <c r="B457" i="13"/>
  <c r="N440" i="13"/>
  <c r="B19" i="6" s="1"/>
  <c r="C441" i="13"/>
  <c r="D441" i="13"/>
  <c r="E441" i="13"/>
  <c r="F441" i="13"/>
  <c r="G441" i="13"/>
  <c r="H441" i="13"/>
  <c r="I441" i="13"/>
  <c r="J441" i="13"/>
  <c r="K441" i="13"/>
  <c r="L441" i="13"/>
  <c r="M441" i="13"/>
  <c r="B441" i="13"/>
  <c r="I20" i="7"/>
  <c r="K20" i="7"/>
  <c r="L20" i="7"/>
  <c r="H20" i="7"/>
  <c r="F20" i="7"/>
  <c r="D19" i="7"/>
  <c r="N442" i="12"/>
  <c r="B19" i="7" s="1"/>
  <c r="B20" i="7" s="1"/>
  <c r="C443" i="12"/>
  <c r="D443" i="12"/>
  <c r="E443" i="12"/>
  <c r="F443" i="12"/>
  <c r="G443" i="12"/>
  <c r="H443" i="12"/>
  <c r="I443" i="12"/>
  <c r="J443" i="12"/>
  <c r="K443" i="12"/>
  <c r="L443" i="12"/>
  <c r="M443" i="12"/>
  <c r="B443" i="12"/>
  <c r="K20" i="8"/>
  <c r="H25" i="8"/>
  <c r="L20" i="8"/>
  <c r="I20" i="8"/>
  <c r="B19" i="8"/>
  <c r="N441" i="11"/>
  <c r="J442" i="11"/>
  <c r="B442" i="11"/>
  <c r="H20" i="9"/>
  <c r="B20" i="9"/>
  <c r="B19" i="9"/>
  <c r="D36" i="9"/>
  <c r="K20" i="9"/>
  <c r="I20" i="9"/>
  <c r="F20" i="9"/>
  <c r="I442" i="10"/>
  <c r="N442" i="10" s="1"/>
  <c r="B442" i="10"/>
  <c r="J20" i="8"/>
  <c r="H20" i="8"/>
  <c r="F20" i="8"/>
  <c r="B20" i="8"/>
  <c r="D19" i="8"/>
  <c r="C442" i="11"/>
  <c r="D442" i="11"/>
  <c r="E442" i="11"/>
  <c r="F442" i="11"/>
  <c r="G442" i="11"/>
  <c r="H442" i="11"/>
  <c r="I442" i="11"/>
  <c r="K442" i="11"/>
  <c r="L442" i="11"/>
  <c r="M442" i="11"/>
  <c r="D19" i="9"/>
  <c r="N441" i="10"/>
  <c r="M442" i="10"/>
  <c r="C442" i="10"/>
  <c r="D442" i="10"/>
  <c r="E442" i="10"/>
  <c r="F442" i="10"/>
  <c r="G442" i="10"/>
  <c r="H442" i="10"/>
  <c r="J442" i="10"/>
  <c r="K442" i="10"/>
  <c r="L442" i="10"/>
  <c r="D19" i="3"/>
  <c r="B19" i="3"/>
  <c r="D19" i="2"/>
  <c r="I19" i="1"/>
  <c r="K19" i="1"/>
  <c r="B37" i="4" l="1"/>
  <c r="B20" i="6"/>
  <c r="B19" i="1"/>
  <c r="B20" i="1" s="1"/>
  <c r="H19" i="1"/>
  <c r="F19" i="1"/>
  <c r="D19" i="1"/>
  <c r="K8" i="9"/>
  <c r="L8" i="9" s="1"/>
  <c r="J8" i="9"/>
  <c r="K8" i="8"/>
  <c r="L8" i="8" s="1"/>
  <c r="J8" i="8"/>
  <c r="K8" i="7"/>
  <c r="L8" i="7" s="1"/>
  <c r="J8" i="7"/>
  <c r="L8" i="6"/>
  <c r="K8" i="6"/>
  <c r="J8" i="6"/>
  <c r="K8" i="5"/>
  <c r="J8" i="5"/>
  <c r="L8" i="5"/>
  <c r="K8" i="2"/>
  <c r="J8" i="2"/>
  <c r="K8" i="4"/>
  <c r="J8" i="4"/>
  <c r="L8" i="2"/>
  <c r="I31" i="9"/>
  <c r="H16" i="9" l="1"/>
  <c r="H16" i="8"/>
  <c r="H16" i="7"/>
  <c r="H16" i="6"/>
  <c r="H16" i="5"/>
  <c r="H16" i="4"/>
  <c r="H16" i="2"/>
  <c r="F16" i="9"/>
  <c r="F16" i="8"/>
  <c r="F16" i="7"/>
  <c r="F16" i="6"/>
  <c r="F16" i="5"/>
  <c r="F16" i="4"/>
  <c r="F16" i="2"/>
  <c r="L31" i="9"/>
  <c r="F31" i="3"/>
  <c r="F26" i="3"/>
  <c r="D26" i="3" s="1"/>
  <c r="F31" i="9" l="1"/>
  <c r="F31" i="8"/>
  <c r="F31" i="7"/>
  <c r="F31" i="6"/>
  <c r="F31" i="5"/>
  <c r="F31" i="4"/>
  <c r="F26" i="9"/>
  <c r="F26" i="8"/>
  <c r="F26" i="7"/>
  <c r="F26" i="6"/>
  <c r="F26" i="5"/>
  <c r="F26" i="4"/>
  <c r="F26" i="2"/>
  <c r="F8" i="9"/>
  <c r="F8" i="8"/>
  <c r="F8" i="7"/>
  <c r="F8" i="6"/>
  <c r="F8" i="4"/>
  <c r="F8" i="2"/>
  <c r="J16" i="5" l="1"/>
  <c r="J20" i="5" s="1"/>
  <c r="J16" i="9"/>
  <c r="J20" i="9" s="1"/>
  <c r="J16" i="2"/>
  <c r="J20" i="2" s="1"/>
  <c r="J16" i="7"/>
  <c r="J20" i="7" s="1"/>
  <c r="F17" i="9" l="1"/>
  <c r="F17" i="8"/>
  <c r="F17" i="7"/>
  <c r="F17" i="6"/>
  <c r="F17" i="5"/>
  <c r="F17" i="4"/>
  <c r="F17" i="2"/>
  <c r="F31" i="2" l="1"/>
  <c r="H31" i="2" s="1"/>
  <c r="F10" i="2" l="1"/>
  <c r="H10" i="2" s="1"/>
  <c r="J16" i="4" l="1"/>
  <c r="J16" i="6"/>
  <c r="J16" i="8"/>
  <c r="J18" i="5" l="1"/>
  <c r="J18" i="9"/>
  <c r="J18" i="6"/>
  <c r="J18" i="4"/>
  <c r="J18" i="2"/>
  <c r="J18" i="7"/>
  <c r="J18" i="8"/>
  <c r="J17" i="5" l="1"/>
  <c r="J17" i="9"/>
  <c r="J17" i="6"/>
  <c r="J17" i="4"/>
  <c r="J17" i="2"/>
  <c r="J17" i="7"/>
  <c r="J17" i="8"/>
  <c r="J15" i="3" l="1"/>
  <c r="J15" i="5"/>
  <c r="J15" i="9"/>
  <c r="J15" i="6"/>
  <c r="J15" i="4"/>
  <c r="J15" i="2"/>
  <c r="J15" i="7"/>
  <c r="J15" i="8"/>
  <c r="F10" i="5" l="1"/>
  <c r="F10" i="6"/>
  <c r="F10" i="7"/>
  <c r="F10" i="9" l="1"/>
  <c r="F10" i="8"/>
  <c r="F10" i="4"/>
  <c r="F10" i="3"/>
  <c r="M458" i="11" l="1"/>
  <c r="L458" i="11"/>
  <c r="K458" i="11"/>
  <c r="J458" i="11"/>
  <c r="I458" i="11"/>
  <c r="H458" i="11"/>
  <c r="G458" i="11"/>
  <c r="F458" i="11"/>
  <c r="E458" i="11"/>
  <c r="D458" i="11"/>
  <c r="C458" i="11"/>
  <c r="B458" i="11"/>
  <c r="N457" i="11"/>
  <c r="N455" i="11"/>
  <c r="B33" i="8" s="1"/>
  <c r="F33" i="8" s="1"/>
  <c r="N454" i="11"/>
  <c r="B32" i="8" s="1"/>
  <c r="F32" i="8" s="1"/>
  <c r="N453" i="11"/>
  <c r="B31" i="8" s="1"/>
  <c r="N452" i="11"/>
  <c r="B30" i="8" s="1"/>
  <c r="F30" i="8" s="1"/>
  <c r="N451" i="11"/>
  <c r="B29" i="8" s="1"/>
  <c r="F29" i="8" s="1"/>
  <c r="N450" i="11"/>
  <c r="B28" i="8" s="1"/>
  <c r="F28" i="8" s="1"/>
  <c r="N449" i="11"/>
  <c r="B27" i="8" s="1"/>
  <c r="F27" i="8" s="1"/>
  <c r="N448" i="11"/>
  <c r="B26" i="8" s="1"/>
  <c r="N447" i="11"/>
  <c r="B25" i="8" s="1"/>
  <c r="F25" i="8" s="1"/>
  <c r="N446" i="11"/>
  <c r="B24" i="8" s="1"/>
  <c r="F24" i="8" s="1"/>
  <c r="N445" i="11"/>
  <c r="B23" i="8" s="1"/>
  <c r="F23" i="8" s="1"/>
  <c r="N444" i="11"/>
  <c r="B22" i="8" s="1"/>
  <c r="F22" i="8" s="1"/>
  <c r="N440" i="11"/>
  <c r="B18" i="8" s="1"/>
  <c r="F18" i="8" s="1"/>
  <c r="N439" i="11"/>
  <c r="B17" i="8" s="1"/>
  <c r="N438" i="11"/>
  <c r="B16" i="8" s="1"/>
  <c r="N437" i="11"/>
  <c r="B15" i="8" s="1"/>
  <c r="N435" i="11"/>
  <c r="B13" i="8" s="1"/>
  <c r="N434" i="11"/>
  <c r="B12" i="8" s="1"/>
  <c r="N433" i="11"/>
  <c r="B11" i="8" s="1"/>
  <c r="N432" i="11"/>
  <c r="B10" i="8" s="1"/>
  <c r="N431" i="11"/>
  <c r="B9" i="8" s="1"/>
  <c r="F9" i="8" s="1"/>
  <c r="N430" i="11"/>
  <c r="B8" i="8" s="1"/>
  <c r="N429" i="11"/>
  <c r="B7" i="8" s="1"/>
  <c r="F7" i="8" s="1"/>
  <c r="N428" i="11"/>
  <c r="B6" i="8" s="1"/>
  <c r="F6" i="8" s="1"/>
  <c r="I23" i="1" l="1"/>
  <c r="I24" i="1"/>
  <c r="I25" i="1"/>
  <c r="I26" i="1"/>
  <c r="I27" i="1"/>
  <c r="I28" i="1"/>
  <c r="I29" i="1"/>
  <c r="I30" i="1"/>
  <c r="I31" i="1"/>
  <c r="J31" i="1"/>
  <c r="K31" i="1"/>
  <c r="I32" i="1"/>
  <c r="I33" i="1"/>
  <c r="I22" i="1"/>
  <c r="K15" i="1"/>
  <c r="J15" i="1"/>
  <c r="I17" i="1"/>
  <c r="I18" i="1"/>
  <c r="H16" i="1"/>
  <c r="I9" i="1"/>
  <c r="I10" i="1"/>
  <c r="J10" i="1"/>
  <c r="K10" i="1"/>
  <c r="I11" i="1"/>
  <c r="I12" i="1"/>
  <c r="I13" i="1"/>
  <c r="I6" i="1"/>
  <c r="H12" i="1"/>
  <c r="F16" i="1"/>
  <c r="F15" i="1"/>
  <c r="F10" i="1"/>
  <c r="F12" i="1"/>
  <c r="I36" i="2"/>
  <c r="K35" i="2"/>
  <c r="J35" i="2" s="1"/>
  <c r="F35" i="2"/>
  <c r="M35" i="2" s="1"/>
  <c r="F34" i="2"/>
  <c r="L31" i="2"/>
  <c r="D31" i="2"/>
  <c r="L26" i="2"/>
  <c r="H17" i="2"/>
  <c r="D17" i="2"/>
  <c r="D16" i="2"/>
  <c r="H20" i="2"/>
  <c r="D15" i="2"/>
  <c r="D20" i="2" s="1"/>
  <c r="D12" i="2"/>
  <c r="L10" i="2"/>
  <c r="D10" i="2"/>
  <c r="I8" i="2"/>
  <c r="H8" i="2"/>
  <c r="D8" i="2"/>
  <c r="L26" i="3"/>
  <c r="I36" i="1" l="1"/>
  <c r="H35" i="2"/>
  <c r="K26" i="8"/>
  <c r="J26" i="8"/>
  <c r="D10" i="8" l="1"/>
  <c r="J25" i="8"/>
  <c r="J29" i="8"/>
  <c r="J30" i="8"/>
  <c r="J9" i="8"/>
  <c r="C407" i="11"/>
  <c r="M407" i="11"/>
  <c r="L407" i="11"/>
  <c r="K407" i="11"/>
  <c r="J407" i="11"/>
  <c r="I407" i="11"/>
  <c r="H407" i="11"/>
  <c r="G407" i="11"/>
  <c r="F407" i="11"/>
  <c r="E407" i="11"/>
  <c r="D407" i="11"/>
  <c r="B407" i="11"/>
  <c r="H43" i="1"/>
  <c r="D43" i="1"/>
  <c r="I36" i="3"/>
  <c r="F35" i="3"/>
  <c r="M35" i="3" s="1"/>
  <c r="K35" i="3"/>
  <c r="J35" i="3" s="1"/>
  <c r="F34" i="3"/>
  <c r="L31" i="3"/>
  <c r="H17" i="3"/>
  <c r="D17" i="3"/>
  <c r="D16" i="3"/>
  <c r="D15" i="3"/>
  <c r="D20" i="3" s="1"/>
  <c r="L10" i="3"/>
  <c r="H10" i="3"/>
  <c r="D10" i="3"/>
  <c r="K8" i="3"/>
  <c r="J8" i="3"/>
  <c r="I8" i="3"/>
  <c r="D8" i="3"/>
  <c r="I36" i="4"/>
  <c r="F35" i="4"/>
  <c r="F34" i="4"/>
  <c r="L31" i="4"/>
  <c r="H31" i="4"/>
  <c r="D31" i="4"/>
  <c r="L26" i="4"/>
  <c r="H26" i="4"/>
  <c r="H17" i="4"/>
  <c r="D17" i="4"/>
  <c r="D16" i="4"/>
  <c r="D15" i="4"/>
  <c r="D20" i="4" s="1"/>
  <c r="D12" i="4"/>
  <c r="L10" i="4"/>
  <c r="H10" i="4"/>
  <c r="D10" i="4"/>
  <c r="I8" i="4"/>
  <c r="D8" i="4"/>
  <c r="I36" i="5"/>
  <c r="F35" i="5"/>
  <c r="F34" i="5"/>
  <c r="L31" i="5"/>
  <c r="H31" i="5"/>
  <c r="D31" i="5"/>
  <c r="H26" i="5"/>
  <c r="H17" i="5"/>
  <c r="D17" i="5"/>
  <c r="D16" i="5"/>
  <c r="D15" i="5"/>
  <c r="D20" i="5" s="1"/>
  <c r="D12" i="5"/>
  <c r="L10" i="5"/>
  <c r="H10" i="5"/>
  <c r="D10" i="5"/>
  <c r="I8" i="5"/>
  <c r="D8" i="5"/>
  <c r="I36" i="6"/>
  <c r="F35" i="6"/>
  <c r="F34" i="6"/>
  <c r="L31" i="6"/>
  <c r="H31" i="6"/>
  <c r="D31" i="6"/>
  <c r="H26" i="6"/>
  <c r="D16" i="6"/>
  <c r="D15" i="6"/>
  <c r="D20" i="6" s="1"/>
  <c r="D12" i="6"/>
  <c r="L10" i="6"/>
  <c r="H10" i="6"/>
  <c r="D10" i="6"/>
  <c r="I8" i="6"/>
  <c r="D8" i="6"/>
  <c r="I36" i="7"/>
  <c r="F35" i="7"/>
  <c r="F34" i="7"/>
  <c r="L31" i="7"/>
  <c r="H31" i="7"/>
  <c r="D31" i="7"/>
  <c r="H26" i="7"/>
  <c r="D26" i="7"/>
  <c r="H17" i="7"/>
  <c r="D17" i="7"/>
  <c r="D16" i="7"/>
  <c r="D15" i="7"/>
  <c r="D20" i="7" s="1"/>
  <c r="D12" i="7"/>
  <c r="L10" i="7"/>
  <c r="H10" i="7"/>
  <c r="D10" i="7"/>
  <c r="I8" i="7"/>
  <c r="D8" i="7"/>
  <c r="I36" i="8"/>
  <c r="F35" i="8"/>
  <c r="F34" i="8"/>
  <c r="J32" i="8"/>
  <c r="L31" i="8"/>
  <c r="H31" i="8"/>
  <c r="D31" i="8"/>
  <c r="K29" i="8"/>
  <c r="K28" i="8"/>
  <c r="J28" i="8"/>
  <c r="K27" i="8"/>
  <c r="J27" i="8"/>
  <c r="L26" i="8"/>
  <c r="H26" i="8"/>
  <c r="K25" i="8"/>
  <c r="K24" i="8"/>
  <c r="J24" i="8"/>
  <c r="K23" i="8"/>
  <c r="J23" i="8"/>
  <c r="K22" i="8"/>
  <c r="D22" i="8"/>
  <c r="J22" i="8"/>
  <c r="H17" i="8"/>
  <c r="D17" i="8"/>
  <c r="D16" i="8"/>
  <c r="D15" i="8"/>
  <c r="D20" i="8" s="1"/>
  <c r="F13" i="8"/>
  <c r="K13" i="8"/>
  <c r="D12" i="8"/>
  <c r="K12" i="8"/>
  <c r="F11" i="8"/>
  <c r="L10" i="8"/>
  <c r="H10" i="8"/>
  <c r="K9" i="8"/>
  <c r="I8" i="8"/>
  <c r="D8" i="8"/>
  <c r="K7" i="8"/>
  <c r="B407" i="10"/>
  <c r="C407" i="10"/>
  <c r="D407" i="10"/>
  <c r="E407" i="10"/>
  <c r="F407" i="10"/>
  <c r="G407" i="10"/>
  <c r="H407" i="10"/>
  <c r="I407" i="10"/>
  <c r="J407" i="10"/>
  <c r="K407" i="10"/>
  <c r="L407" i="10"/>
  <c r="M407" i="10"/>
  <c r="M458" i="16"/>
  <c r="L458" i="16"/>
  <c r="K458" i="16"/>
  <c r="J458" i="16"/>
  <c r="I458" i="16"/>
  <c r="H458" i="16"/>
  <c r="G458" i="16"/>
  <c r="F458" i="16"/>
  <c r="E458" i="16"/>
  <c r="D458" i="16"/>
  <c r="C458" i="16"/>
  <c r="B458" i="16"/>
  <c r="N457" i="16"/>
  <c r="N455" i="16"/>
  <c r="B33" i="2" s="1"/>
  <c r="F33" i="2" s="1"/>
  <c r="N454" i="16"/>
  <c r="B32" i="2" s="1"/>
  <c r="F32" i="2" s="1"/>
  <c r="N453" i="16"/>
  <c r="B31" i="2" s="1"/>
  <c r="N452" i="16"/>
  <c r="B30" i="2" s="1"/>
  <c r="F30" i="2" s="1"/>
  <c r="N451" i="16"/>
  <c r="B29" i="2" s="1"/>
  <c r="F29" i="2" s="1"/>
  <c r="N450" i="16"/>
  <c r="B28" i="2" s="1"/>
  <c r="F28" i="2" s="1"/>
  <c r="N449" i="16"/>
  <c r="B27" i="2" s="1"/>
  <c r="F27" i="2" s="1"/>
  <c r="N448" i="16"/>
  <c r="B26" i="2" s="1"/>
  <c r="N447" i="16"/>
  <c r="B25" i="2" s="1"/>
  <c r="F25" i="2" s="1"/>
  <c r="N446" i="16"/>
  <c r="B24" i="2" s="1"/>
  <c r="F24" i="2" s="1"/>
  <c r="N445" i="16"/>
  <c r="B23" i="2" s="1"/>
  <c r="F23" i="2" s="1"/>
  <c r="N444" i="16"/>
  <c r="B22" i="2" s="1"/>
  <c r="F22" i="2" s="1"/>
  <c r="N440" i="16"/>
  <c r="B18" i="2" s="1"/>
  <c r="F18" i="2" s="1"/>
  <c r="N439" i="16"/>
  <c r="B17" i="2" s="1"/>
  <c r="N438" i="16"/>
  <c r="B16" i="2" s="1"/>
  <c r="N437" i="16"/>
  <c r="B15" i="2" s="1"/>
  <c r="N435" i="16"/>
  <c r="B13" i="2" s="1"/>
  <c r="N434" i="16"/>
  <c r="B12" i="2" s="1"/>
  <c r="N433" i="16"/>
  <c r="B11" i="2" s="1"/>
  <c r="N432" i="16"/>
  <c r="B10" i="2" s="1"/>
  <c r="N431" i="16"/>
  <c r="B9" i="2" s="1"/>
  <c r="F9" i="2" s="1"/>
  <c r="N430" i="16"/>
  <c r="B8" i="2" s="1"/>
  <c r="N429" i="16"/>
  <c r="B7" i="2" s="1"/>
  <c r="F7" i="2" s="1"/>
  <c r="N428" i="16"/>
  <c r="B6" i="2" s="1"/>
  <c r="F6" i="2" s="1"/>
  <c r="M458" i="17"/>
  <c r="L458" i="17"/>
  <c r="K458" i="17"/>
  <c r="J458" i="17"/>
  <c r="I458" i="17"/>
  <c r="H458" i="17"/>
  <c r="G458" i="17"/>
  <c r="F458" i="17"/>
  <c r="E458" i="17"/>
  <c r="D458" i="17"/>
  <c r="C458" i="17"/>
  <c r="B458" i="17"/>
  <c r="N457" i="17"/>
  <c r="N455" i="17"/>
  <c r="B33" i="3" s="1"/>
  <c r="F33" i="3" s="1"/>
  <c r="D33" i="3" s="1"/>
  <c r="N454" i="17"/>
  <c r="B32" i="3" s="1"/>
  <c r="F32" i="3" s="1"/>
  <c r="D32" i="3" s="1"/>
  <c r="N453" i="17"/>
  <c r="B31" i="3" s="1"/>
  <c r="N452" i="17"/>
  <c r="B30" i="3" s="1"/>
  <c r="N451" i="17"/>
  <c r="B29" i="3" s="1"/>
  <c r="F29" i="3" s="1"/>
  <c r="D29" i="3" s="1"/>
  <c r="N450" i="17"/>
  <c r="B28" i="3" s="1"/>
  <c r="N449" i="17"/>
  <c r="B27" i="3" s="1"/>
  <c r="N448" i="17"/>
  <c r="B26" i="3" s="1"/>
  <c r="N447" i="17"/>
  <c r="B25" i="3" s="1"/>
  <c r="F25" i="3" s="1"/>
  <c r="D25" i="3" s="1"/>
  <c r="N446" i="17"/>
  <c r="B24" i="3" s="1"/>
  <c r="N445" i="17"/>
  <c r="B23" i="3" s="1"/>
  <c r="N444" i="17"/>
  <c r="B22" i="3" s="1"/>
  <c r="N440" i="17"/>
  <c r="B18" i="3" s="1"/>
  <c r="K18" i="3" s="1"/>
  <c r="N439" i="17"/>
  <c r="B17" i="3" s="1"/>
  <c r="K17" i="3" s="1"/>
  <c r="N438" i="17"/>
  <c r="B16" i="3" s="1"/>
  <c r="J16" i="3" s="1"/>
  <c r="N437" i="17"/>
  <c r="B15" i="3" s="1"/>
  <c r="I15" i="3" s="1"/>
  <c r="N435" i="17"/>
  <c r="B13" i="3" s="1"/>
  <c r="D13" i="3" s="1"/>
  <c r="N434" i="17"/>
  <c r="B12" i="3" s="1"/>
  <c r="K12" i="3" s="1"/>
  <c r="N433" i="17"/>
  <c r="B11" i="3" s="1"/>
  <c r="N432" i="17"/>
  <c r="B10" i="3" s="1"/>
  <c r="N431" i="17"/>
  <c r="B9" i="3" s="1"/>
  <c r="N430" i="17"/>
  <c r="B8" i="3" s="1"/>
  <c r="N429" i="17"/>
  <c r="B7" i="3" s="1"/>
  <c r="F7" i="3" s="1"/>
  <c r="N428" i="17"/>
  <c r="B6" i="3" s="1"/>
  <c r="M459" i="15"/>
  <c r="L459" i="15"/>
  <c r="K459" i="15"/>
  <c r="J459" i="15"/>
  <c r="I459" i="15"/>
  <c r="H459" i="15"/>
  <c r="G459" i="15"/>
  <c r="F459" i="15"/>
  <c r="E459" i="15"/>
  <c r="D459" i="15"/>
  <c r="C459" i="15"/>
  <c r="B459" i="15"/>
  <c r="N458" i="15"/>
  <c r="N456" i="15"/>
  <c r="B33" i="4" s="1"/>
  <c r="F33" i="4" s="1"/>
  <c r="N455" i="15"/>
  <c r="B32" i="4" s="1"/>
  <c r="F32" i="4" s="1"/>
  <c r="N454" i="15"/>
  <c r="B31" i="4" s="1"/>
  <c r="N453" i="15"/>
  <c r="B30" i="4" s="1"/>
  <c r="F30" i="4" s="1"/>
  <c r="N452" i="15"/>
  <c r="B29" i="4" s="1"/>
  <c r="N451" i="15"/>
  <c r="B28" i="4" s="1"/>
  <c r="N450" i="15"/>
  <c r="B27" i="4" s="1"/>
  <c r="N449" i="15"/>
  <c r="B26" i="4" s="1"/>
  <c r="N448" i="15"/>
  <c r="B25" i="4" s="1"/>
  <c r="F25" i="4" s="1"/>
  <c r="N447" i="15"/>
  <c r="B24" i="4" s="1"/>
  <c r="N446" i="15"/>
  <c r="B23" i="4" s="1"/>
  <c r="N445" i="15"/>
  <c r="B22" i="4" s="1"/>
  <c r="N441" i="15"/>
  <c r="B18" i="4" s="1"/>
  <c r="F18" i="4" s="1"/>
  <c r="D18" i="4" s="1"/>
  <c r="N440" i="15"/>
  <c r="B17" i="4" s="1"/>
  <c r="N439" i="15"/>
  <c r="B16" i="4" s="1"/>
  <c r="N438" i="15"/>
  <c r="B15" i="4" s="1"/>
  <c r="N436" i="15"/>
  <c r="B13" i="4" s="1"/>
  <c r="F13" i="4" s="1"/>
  <c r="N435" i="15"/>
  <c r="B12" i="4" s="1"/>
  <c r="K12" i="4" s="1"/>
  <c r="N434" i="15"/>
  <c r="B11" i="4" s="1"/>
  <c r="F11" i="4" s="1"/>
  <c r="N433" i="15"/>
  <c r="B10" i="4" s="1"/>
  <c r="N432" i="15"/>
  <c r="B9" i="4" s="1"/>
  <c r="N431" i="15"/>
  <c r="B8" i="4" s="1"/>
  <c r="N430" i="15"/>
  <c r="B7" i="4" s="1"/>
  <c r="F7" i="4" s="1"/>
  <c r="N429" i="15"/>
  <c r="B6" i="4" s="1"/>
  <c r="M459" i="14"/>
  <c r="L459" i="14"/>
  <c r="K459" i="14"/>
  <c r="J459" i="14"/>
  <c r="I459" i="14"/>
  <c r="H459" i="14"/>
  <c r="G459" i="14"/>
  <c r="F459" i="14"/>
  <c r="E459" i="14"/>
  <c r="D459" i="14"/>
  <c r="C459" i="14"/>
  <c r="B459" i="14"/>
  <c r="N458" i="14"/>
  <c r="N456" i="14"/>
  <c r="B33" i="5" s="1"/>
  <c r="F33" i="5" s="1"/>
  <c r="N455" i="14"/>
  <c r="B32" i="5" s="1"/>
  <c r="F32" i="5" s="1"/>
  <c r="N454" i="14"/>
  <c r="B31" i="5" s="1"/>
  <c r="N453" i="14"/>
  <c r="B30" i="5" s="1"/>
  <c r="N452" i="14"/>
  <c r="B29" i="5" s="1"/>
  <c r="N451" i="14"/>
  <c r="B28" i="5" s="1"/>
  <c r="N450" i="14"/>
  <c r="B27" i="5" s="1"/>
  <c r="F27" i="5" s="1"/>
  <c r="N449" i="14"/>
  <c r="B26" i="5" s="1"/>
  <c r="N448" i="14"/>
  <c r="B25" i="5" s="1"/>
  <c r="F25" i="5" s="1"/>
  <c r="N447" i="14"/>
  <c r="B24" i="5" s="1"/>
  <c r="N446" i="14"/>
  <c r="B23" i="5" s="1"/>
  <c r="N445" i="14"/>
  <c r="B22" i="5" s="1"/>
  <c r="N441" i="14"/>
  <c r="B18" i="5" s="1"/>
  <c r="F18" i="5" s="1"/>
  <c r="H18" i="5" s="1"/>
  <c r="N440" i="14"/>
  <c r="B17" i="5" s="1"/>
  <c r="N439" i="14"/>
  <c r="B16" i="5" s="1"/>
  <c r="N438" i="14"/>
  <c r="B15" i="5" s="1"/>
  <c r="N436" i="14"/>
  <c r="B13" i="5" s="1"/>
  <c r="F13" i="5" s="1"/>
  <c r="D13" i="5" s="1"/>
  <c r="N435" i="14"/>
  <c r="B12" i="5" s="1"/>
  <c r="N434" i="14"/>
  <c r="B11" i="5" s="1"/>
  <c r="F11" i="5" s="1"/>
  <c r="H11" i="5" s="1"/>
  <c r="N433" i="14"/>
  <c r="B10" i="5" s="1"/>
  <c r="N432" i="14"/>
  <c r="B9" i="5" s="1"/>
  <c r="N431" i="14"/>
  <c r="B8" i="5" s="1"/>
  <c r="N430" i="14"/>
  <c r="B7" i="5" s="1"/>
  <c r="N429" i="14"/>
  <c r="B6" i="5" s="1"/>
  <c r="M457" i="13"/>
  <c r="L457" i="13"/>
  <c r="K457" i="13"/>
  <c r="J457" i="13"/>
  <c r="I457" i="13"/>
  <c r="H457" i="13"/>
  <c r="G457" i="13"/>
  <c r="F457" i="13"/>
  <c r="E457" i="13"/>
  <c r="D457" i="13"/>
  <c r="C457" i="13"/>
  <c r="N456" i="13"/>
  <c r="N454" i="13"/>
  <c r="B33" i="6" s="1"/>
  <c r="F33" i="6" s="1"/>
  <c r="N453" i="13"/>
  <c r="B32" i="6" s="1"/>
  <c r="N452" i="13"/>
  <c r="B31" i="6" s="1"/>
  <c r="N451" i="13"/>
  <c r="B30" i="6" s="1"/>
  <c r="F30" i="6" s="1"/>
  <c r="N450" i="13"/>
  <c r="B29" i="6" s="1"/>
  <c r="F29" i="6" s="1"/>
  <c r="N449" i="13"/>
  <c r="B28" i="6" s="1"/>
  <c r="N448" i="13"/>
  <c r="B27" i="6" s="1"/>
  <c r="F27" i="6" s="1"/>
  <c r="N447" i="13"/>
  <c r="B26" i="6" s="1"/>
  <c r="N446" i="13"/>
  <c r="B25" i="6" s="1"/>
  <c r="N445" i="13"/>
  <c r="B24" i="6" s="1"/>
  <c r="F24" i="6" s="1"/>
  <c r="N444" i="13"/>
  <c r="B23" i="6" s="1"/>
  <c r="N443" i="13"/>
  <c r="B22" i="6" s="1"/>
  <c r="F22" i="6" s="1"/>
  <c r="N439" i="13"/>
  <c r="B18" i="6" s="1"/>
  <c r="F18" i="6" s="1"/>
  <c r="H18" i="6" s="1"/>
  <c r="N438" i="13"/>
  <c r="B17" i="6" s="1"/>
  <c r="F17" i="1" s="1"/>
  <c r="N437" i="13"/>
  <c r="B16" i="6" s="1"/>
  <c r="N436" i="13"/>
  <c r="B15" i="6" s="1"/>
  <c r="N434" i="13"/>
  <c r="B13" i="6" s="1"/>
  <c r="K13" i="6" s="1"/>
  <c r="N433" i="13"/>
  <c r="B12" i="6" s="1"/>
  <c r="K12" i="6" s="1"/>
  <c r="N432" i="13"/>
  <c r="B11" i="6" s="1"/>
  <c r="K11" i="6" s="1"/>
  <c r="N431" i="13"/>
  <c r="B10" i="6" s="1"/>
  <c r="N430" i="13"/>
  <c r="B9" i="6" s="1"/>
  <c r="N429" i="13"/>
  <c r="B8" i="6" s="1"/>
  <c r="N428" i="13"/>
  <c r="B7" i="6" s="1"/>
  <c r="N427" i="13"/>
  <c r="B6" i="6" s="1"/>
  <c r="F6" i="6" s="1"/>
  <c r="M459" i="12"/>
  <c r="L459" i="12"/>
  <c r="K459" i="12"/>
  <c r="J459" i="12"/>
  <c r="I459" i="12"/>
  <c r="H459" i="12"/>
  <c r="G459" i="12"/>
  <c r="F459" i="12"/>
  <c r="E459" i="12"/>
  <c r="D459" i="12"/>
  <c r="C459" i="12"/>
  <c r="B459" i="12"/>
  <c r="N458" i="12"/>
  <c r="N456" i="12"/>
  <c r="B33" i="7" s="1"/>
  <c r="N455" i="12"/>
  <c r="B32" i="7" s="1"/>
  <c r="F32" i="7" s="1"/>
  <c r="N454" i="12"/>
  <c r="B31" i="7" s="1"/>
  <c r="N453" i="12"/>
  <c r="B30" i="7" s="1"/>
  <c r="N452" i="12"/>
  <c r="B29" i="7" s="1"/>
  <c r="N451" i="12"/>
  <c r="B28" i="7" s="1"/>
  <c r="N450" i="12"/>
  <c r="B27" i="7" s="1"/>
  <c r="N449" i="12"/>
  <c r="B26" i="7" s="1"/>
  <c r="N448" i="12"/>
  <c r="B25" i="7" s="1"/>
  <c r="N447" i="12"/>
  <c r="B24" i="7" s="1"/>
  <c r="N446" i="12"/>
  <c r="B23" i="7" s="1"/>
  <c r="N445" i="12"/>
  <c r="B22" i="7" s="1"/>
  <c r="N441" i="12"/>
  <c r="B18" i="7" s="1"/>
  <c r="F18" i="7" s="1"/>
  <c r="D18" i="7" s="1"/>
  <c r="N440" i="12"/>
  <c r="B17" i="7" s="1"/>
  <c r="N439" i="12"/>
  <c r="B16" i="7" s="1"/>
  <c r="N438" i="12"/>
  <c r="B15" i="7" s="1"/>
  <c r="N436" i="12"/>
  <c r="B13" i="7" s="1"/>
  <c r="K13" i="7" s="1"/>
  <c r="N435" i="12"/>
  <c r="B12" i="7" s="1"/>
  <c r="K12" i="7" s="1"/>
  <c r="N434" i="12"/>
  <c r="B11" i="7" s="1"/>
  <c r="N433" i="12"/>
  <c r="B10" i="7" s="1"/>
  <c r="N432" i="12"/>
  <c r="B9" i="7" s="1"/>
  <c r="N431" i="12"/>
  <c r="B8" i="7" s="1"/>
  <c r="N430" i="12"/>
  <c r="B7" i="7" s="1"/>
  <c r="N429" i="12"/>
  <c r="B6" i="7" s="1"/>
  <c r="F6" i="7" s="1"/>
  <c r="I36" i="9"/>
  <c r="F35" i="9"/>
  <c r="F34" i="9"/>
  <c r="H31" i="9"/>
  <c r="D31" i="9"/>
  <c r="H17" i="9"/>
  <c r="D17" i="9"/>
  <c r="D16" i="9"/>
  <c r="D15" i="9"/>
  <c r="D12" i="9"/>
  <c r="L10" i="9"/>
  <c r="H10" i="9"/>
  <c r="D10" i="9"/>
  <c r="I8" i="9"/>
  <c r="M458" i="10"/>
  <c r="L458" i="10"/>
  <c r="K458" i="10"/>
  <c r="J458" i="10"/>
  <c r="I458" i="10"/>
  <c r="H458" i="10"/>
  <c r="G458" i="10"/>
  <c r="F458" i="10"/>
  <c r="E458" i="10"/>
  <c r="D458" i="10"/>
  <c r="C458" i="10"/>
  <c r="B458" i="10"/>
  <c r="N457" i="10"/>
  <c r="N455" i="10"/>
  <c r="B33" i="9" s="1"/>
  <c r="F33" i="9" s="1"/>
  <c r="N454" i="10"/>
  <c r="B32" i="9" s="1"/>
  <c r="F32" i="9" s="1"/>
  <c r="N453" i="10"/>
  <c r="B31" i="9" s="1"/>
  <c r="N452" i="10"/>
  <c r="B30" i="9" s="1"/>
  <c r="F30" i="9" s="1"/>
  <c r="N451" i="10"/>
  <c r="B29" i="9" s="1"/>
  <c r="N450" i="10"/>
  <c r="B28" i="9" s="1"/>
  <c r="F28" i="9" s="1"/>
  <c r="N449" i="10"/>
  <c r="B27" i="9" s="1"/>
  <c r="F27" i="9" s="1"/>
  <c r="N448" i="10"/>
  <c r="B26" i="9" s="1"/>
  <c r="N447" i="10"/>
  <c r="B25" i="9" s="1"/>
  <c r="N446" i="10"/>
  <c r="B24" i="9" s="1"/>
  <c r="F24" i="9" s="1"/>
  <c r="N445" i="10"/>
  <c r="B23" i="9" s="1"/>
  <c r="F23" i="9" s="1"/>
  <c r="N444" i="10"/>
  <c r="B22" i="9" s="1"/>
  <c r="F22" i="9" s="1"/>
  <c r="N443" i="10"/>
  <c r="N440" i="10"/>
  <c r="B18" i="9" s="1"/>
  <c r="F18" i="9" s="1"/>
  <c r="N439" i="10"/>
  <c r="B17" i="9" s="1"/>
  <c r="N438" i="10"/>
  <c r="B16" i="9" s="1"/>
  <c r="N437" i="10"/>
  <c r="B15" i="9" s="1"/>
  <c r="N436" i="10"/>
  <c r="N435" i="10"/>
  <c r="B13" i="9" s="1"/>
  <c r="N434" i="10"/>
  <c r="B12" i="9" s="1"/>
  <c r="K12" i="9" s="1"/>
  <c r="N433" i="10"/>
  <c r="B11" i="9" s="1"/>
  <c r="F11" i="9" s="1"/>
  <c r="N432" i="10"/>
  <c r="B10" i="9" s="1"/>
  <c r="N431" i="10"/>
  <c r="B9" i="9" s="1"/>
  <c r="F9" i="9" s="1"/>
  <c r="N430" i="10"/>
  <c r="B8" i="9" s="1"/>
  <c r="N429" i="10"/>
  <c r="B7" i="9" s="1"/>
  <c r="F7" i="9" s="1"/>
  <c r="N428" i="10"/>
  <c r="B6" i="9" s="1"/>
  <c r="D15" i="1" l="1"/>
  <c r="D20" i="9"/>
  <c r="J22" i="3"/>
  <c r="F22" i="3"/>
  <c r="D22" i="3" s="1"/>
  <c r="F11" i="3"/>
  <c r="D11" i="3"/>
  <c r="K23" i="3"/>
  <c r="F23" i="3"/>
  <c r="D23" i="3" s="1"/>
  <c r="K27" i="3"/>
  <c r="F27" i="3"/>
  <c r="D27" i="3" s="1"/>
  <c r="J24" i="3"/>
  <c r="F24" i="3"/>
  <c r="D24" i="3" s="1"/>
  <c r="K28" i="3"/>
  <c r="F28" i="3"/>
  <c r="D28" i="3" s="1"/>
  <c r="K6" i="3"/>
  <c r="F6" i="3"/>
  <c r="K30" i="3"/>
  <c r="F30" i="3"/>
  <c r="D30" i="3" s="1"/>
  <c r="K9" i="3"/>
  <c r="F9" i="3"/>
  <c r="J28" i="3"/>
  <c r="K29" i="4"/>
  <c r="F29" i="4"/>
  <c r="K6" i="4"/>
  <c r="F6" i="4"/>
  <c r="J22" i="4"/>
  <c r="F22" i="4"/>
  <c r="K23" i="4"/>
  <c r="F23" i="4"/>
  <c r="F36" i="4" s="1"/>
  <c r="F27" i="4"/>
  <c r="D27" i="4" s="1"/>
  <c r="H18" i="4"/>
  <c r="F9" i="4"/>
  <c r="D9" i="4" s="1"/>
  <c r="K24" i="4"/>
  <c r="F24" i="4"/>
  <c r="J28" i="4"/>
  <c r="L28" i="4" s="1"/>
  <c r="F28" i="4"/>
  <c r="K7" i="5"/>
  <c r="F7" i="5"/>
  <c r="K24" i="5"/>
  <c r="F24" i="5"/>
  <c r="H24" i="5" s="1"/>
  <c r="F28" i="5"/>
  <c r="H28" i="5" s="1"/>
  <c r="J9" i="5"/>
  <c r="F9" i="5"/>
  <c r="K29" i="5"/>
  <c r="F29" i="5"/>
  <c r="K23" i="5"/>
  <c r="F23" i="5"/>
  <c r="H23" i="5" s="1"/>
  <c r="J6" i="5"/>
  <c r="F6" i="5"/>
  <c r="J22" i="5"/>
  <c r="F22" i="5"/>
  <c r="D22" i="5" s="1"/>
  <c r="K30" i="5"/>
  <c r="F30" i="5"/>
  <c r="H30" i="5" s="1"/>
  <c r="J25" i="6"/>
  <c r="F25" i="6"/>
  <c r="K7" i="6"/>
  <c r="F7" i="6"/>
  <c r="J23" i="6"/>
  <c r="F23" i="6"/>
  <c r="K28" i="6"/>
  <c r="F28" i="6"/>
  <c r="F36" i="6" s="1"/>
  <c r="F37" i="6" s="1"/>
  <c r="K32" i="6"/>
  <c r="F32" i="6"/>
  <c r="D18" i="6"/>
  <c r="J9" i="6"/>
  <c r="F9" i="6"/>
  <c r="K23" i="6"/>
  <c r="J9" i="7"/>
  <c r="F9" i="7"/>
  <c r="F25" i="7"/>
  <c r="H25" i="7" s="1"/>
  <c r="K29" i="7"/>
  <c r="F29" i="7"/>
  <c r="J33" i="7"/>
  <c r="F33" i="7"/>
  <c r="J22" i="7"/>
  <c r="F22" i="7"/>
  <c r="K30" i="7"/>
  <c r="F30" i="7"/>
  <c r="H30" i="7" s="1"/>
  <c r="H18" i="7"/>
  <c r="K7" i="7"/>
  <c r="F7" i="7"/>
  <c r="F23" i="7"/>
  <c r="H23" i="7" s="1"/>
  <c r="K27" i="7"/>
  <c r="F27" i="7"/>
  <c r="D27" i="7" s="1"/>
  <c r="K24" i="7"/>
  <c r="F24" i="7"/>
  <c r="H24" i="7" s="1"/>
  <c r="J28" i="7"/>
  <c r="F28" i="7"/>
  <c r="H28" i="7" s="1"/>
  <c r="F6" i="9"/>
  <c r="K25" i="9"/>
  <c r="J25" i="9"/>
  <c r="F25" i="9"/>
  <c r="D25" i="9" s="1"/>
  <c r="K29" i="9"/>
  <c r="J29" i="9"/>
  <c r="L29" i="9" s="1"/>
  <c r="F29" i="9"/>
  <c r="H29" i="9" s="1"/>
  <c r="H18" i="2"/>
  <c r="D18" i="2"/>
  <c r="H26" i="2"/>
  <c r="D26" i="2"/>
  <c r="K27" i="6"/>
  <c r="K22" i="3"/>
  <c r="K28" i="9"/>
  <c r="H28" i="9"/>
  <c r="K13" i="5"/>
  <c r="H15" i="1"/>
  <c r="D22" i="7"/>
  <c r="K28" i="5"/>
  <c r="J13" i="4"/>
  <c r="L13" i="4" s="1"/>
  <c r="D22" i="4"/>
  <c r="J30" i="4"/>
  <c r="J23" i="3"/>
  <c r="L23" i="3" s="1"/>
  <c r="K30" i="6"/>
  <c r="K23" i="7"/>
  <c r="K28" i="7"/>
  <c r="L28" i="7" s="1"/>
  <c r="J13" i="6"/>
  <c r="L13" i="6" s="1"/>
  <c r="K29" i="6"/>
  <c r="J29" i="5"/>
  <c r="L29" i="5" s="1"/>
  <c r="J24" i="4"/>
  <c r="J27" i="4"/>
  <c r="K30" i="4"/>
  <c r="L30" i="4" s="1"/>
  <c r="K24" i="3"/>
  <c r="J30" i="3"/>
  <c r="J24" i="7"/>
  <c r="J27" i="7"/>
  <c r="L27" i="7" s="1"/>
  <c r="J27" i="6"/>
  <c r="L27" i="6" s="1"/>
  <c r="J30" i="6"/>
  <c r="D26" i="5"/>
  <c r="J30" i="5"/>
  <c r="L30" i="5" s="1"/>
  <c r="D26" i="4"/>
  <c r="D30" i="9"/>
  <c r="B30" i="1"/>
  <c r="B27" i="1"/>
  <c r="K27" i="9"/>
  <c r="B24" i="1"/>
  <c r="H24" i="9"/>
  <c r="K24" i="9"/>
  <c r="L24" i="9" s="1"/>
  <c r="J27" i="9"/>
  <c r="H29" i="7"/>
  <c r="J29" i="7"/>
  <c r="L29" i="7" s="1"/>
  <c r="K24" i="6"/>
  <c r="J24" i="6"/>
  <c r="J28" i="6"/>
  <c r="L28" i="6" s="1"/>
  <c r="J23" i="5"/>
  <c r="L23" i="5" s="1"/>
  <c r="H30" i="4"/>
  <c r="D30" i="4"/>
  <c r="F13" i="3"/>
  <c r="J13" i="3"/>
  <c r="J25" i="3"/>
  <c r="K25" i="3"/>
  <c r="K29" i="3"/>
  <c r="L29" i="3" s="1"/>
  <c r="J29" i="3"/>
  <c r="K12" i="2"/>
  <c r="J12" i="2"/>
  <c r="J24" i="2"/>
  <c r="K24" i="2"/>
  <c r="K28" i="2"/>
  <c r="J28" i="2"/>
  <c r="K32" i="2"/>
  <c r="J32" i="2"/>
  <c r="D18" i="5"/>
  <c r="K13" i="3"/>
  <c r="L13" i="3" s="1"/>
  <c r="B13" i="1"/>
  <c r="F13" i="9"/>
  <c r="D13" i="9" s="1"/>
  <c r="B23" i="1"/>
  <c r="K23" i="9"/>
  <c r="J23" i="9"/>
  <c r="H30" i="6"/>
  <c r="D30" i="6"/>
  <c r="H25" i="6"/>
  <c r="D25" i="6"/>
  <c r="B32" i="1"/>
  <c r="D32" i="9"/>
  <c r="H27" i="6"/>
  <c r="D27" i="6"/>
  <c r="H23" i="6"/>
  <c r="D23" i="6"/>
  <c r="J24" i="9"/>
  <c r="F13" i="7"/>
  <c r="D13" i="7" s="1"/>
  <c r="J13" i="7"/>
  <c r="L13" i="7" s="1"/>
  <c r="J27" i="5"/>
  <c r="K27" i="5"/>
  <c r="B26" i="1"/>
  <c r="K8" i="1"/>
  <c r="F26" i="1"/>
  <c r="D26" i="9"/>
  <c r="H26" i="9"/>
  <c r="H29" i="6"/>
  <c r="D29" i="6"/>
  <c r="H27" i="5"/>
  <c r="H26" i="3"/>
  <c r="D8" i="9"/>
  <c r="D8" i="1" s="1"/>
  <c r="F8" i="1"/>
  <c r="K26" i="7"/>
  <c r="J26" i="7"/>
  <c r="J29" i="2"/>
  <c r="K29" i="2"/>
  <c r="K22" i="7"/>
  <c r="J30" i="7"/>
  <c r="L30" i="7" s="1"/>
  <c r="F13" i="6"/>
  <c r="D13" i="6" s="1"/>
  <c r="L23" i="6"/>
  <c r="K25" i="6"/>
  <c r="L25" i="6" s="1"/>
  <c r="J24" i="5"/>
  <c r="B28" i="1"/>
  <c r="I8" i="1"/>
  <c r="D12" i="1"/>
  <c r="D16" i="1"/>
  <c r="K26" i="6"/>
  <c r="J26" i="6"/>
  <c r="K30" i="2"/>
  <c r="J30" i="2"/>
  <c r="D26" i="8"/>
  <c r="J23" i="7"/>
  <c r="D26" i="6"/>
  <c r="J13" i="5"/>
  <c r="J28" i="5"/>
  <c r="L28" i="5" s="1"/>
  <c r="H29" i="5"/>
  <c r="K13" i="4"/>
  <c r="K27" i="4"/>
  <c r="K28" i="4"/>
  <c r="J27" i="3"/>
  <c r="L27" i="3" s="1"/>
  <c r="B12" i="1"/>
  <c r="J13" i="2"/>
  <c r="K13" i="2"/>
  <c r="F13" i="2"/>
  <c r="K33" i="2"/>
  <c r="J33" i="2"/>
  <c r="J29" i="6"/>
  <c r="L29" i="6" s="1"/>
  <c r="J23" i="4"/>
  <c r="L23" i="4" s="1"/>
  <c r="J8" i="1"/>
  <c r="J28" i="9"/>
  <c r="J26" i="5"/>
  <c r="K26" i="5"/>
  <c r="J23" i="2"/>
  <c r="K23" i="2"/>
  <c r="K27" i="2"/>
  <c r="J27" i="2"/>
  <c r="L8" i="4"/>
  <c r="L8" i="3"/>
  <c r="B18" i="1"/>
  <c r="J17" i="3"/>
  <c r="L17" i="3" s="1"/>
  <c r="J18" i="3"/>
  <c r="J16" i="1"/>
  <c r="J20" i="1" s="1"/>
  <c r="D17" i="6"/>
  <c r="D17" i="1" s="1"/>
  <c r="H17" i="6"/>
  <c r="H17" i="1" s="1"/>
  <c r="B16" i="1"/>
  <c r="B17" i="1"/>
  <c r="B15" i="1"/>
  <c r="L31" i="1"/>
  <c r="B31" i="1"/>
  <c r="B36" i="7"/>
  <c r="K22" i="5"/>
  <c r="L22" i="5" s="1"/>
  <c r="B33" i="1"/>
  <c r="B29" i="1"/>
  <c r="K22" i="9"/>
  <c r="J22" i="9"/>
  <c r="B22" i="1"/>
  <c r="J22" i="6"/>
  <c r="D33" i="4"/>
  <c r="J29" i="4"/>
  <c r="K22" i="4"/>
  <c r="L22" i="4" s="1"/>
  <c r="H25" i="4"/>
  <c r="D25" i="4"/>
  <c r="J25" i="4"/>
  <c r="K25" i="4"/>
  <c r="J22" i="2"/>
  <c r="K22" i="2"/>
  <c r="J25" i="7"/>
  <c r="K25" i="7"/>
  <c r="J25" i="2"/>
  <c r="K25" i="2"/>
  <c r="B36" i="2"/>
  <c r="B36" i="9"/>
  <c r="B25" i="1"/>
  <c r="D22" i="6"/>
  <c r="K22" i="6"/>
  <c r="H25" i="5"/>
  <c r="K25" i="5"/>
  <c r="J25" i="5"/>
  <c r="H10" i="1"/>
  <c r="D10" i="1"/>
  <c r="L10" i="1"/>
  <c r="F11" i="2"/>
  <c r="K11" i="2"/>
  <c r="J11" i="2"/>
  <c r="J9" i="2"/>
  <c r="K9" i="2"/>
  <c r="K6" i="2"/>
  <c r="J6" i="2"/>
  <c r="K7" i="2"/>
  <c r="J7" i="2"/>
  <c r="I7" i="2"/>
  <c r="I37" i="2" s="1"/>
  <c r="D6" i="3"/>
  <c r="D7" i="3"/>
  <c r="H7" i="3"/>
  <c r="K7" i="3"/>
  <c r="J7" i="3"/>
  <c r="K9" i="4"/>
  <c r="K7" i="4"/>
  <c r="J7" i="4"/>
  <c r="J9" i="4"/>
  <c r="B8" i="1"/>
  <c r="B10" i="1"/>
  <c r="K12" i="5"/>
  <c r="K12" i="1" s="1"/>
  <c r="K9" i="5"/>
  <c r="L9" i="5" s="1"/>
  <c r="B11" i="1"/>
  <c r="K9" i="6"/>
  <c r="K11" i="7"/>
  <c r="H9" i="7"/>
  <c r="K9" i="7"/>
  <c r="B37" i="7"/>
  <c r="B9" i="1"/>
  <c r="J9" i="9"/>
  <c r="K9" i="9"/>
  <c r="B6" i="1"/>
  <c r="B44" i="1" s="1"/>
  <c r="K6" i="9"/>
  <c r="B7" i="1"/>
  <c r="K7" i="9"/>
  <c r="J7" i="9"/>
  <c r="H28" i="8"/>
  <c r="H30" i="8"/>
  <c r="H24" i="8"/>
  <c r="H27" i="8"/>
  <c r="L28" i="8"/>
  <c r="H23" i="8"/>
  <c r="L27" i="8"/>
  <c r="H29" i="8"/>
  <c r="H9" i="8"/>
  <c r="D13" i="8"/>
  <c r="H35" i="3"/>
  <c r="L24" i="3"/>
  <c r="H6" i="3"/>
  <c r="H27" i="4"/>
  <c r="H23" i="4"/>
  <c r="D23" i="5"/>
  <c r="D27" i="5"/>
  <c r="D28" i="5"/>
  <c r="D29" i="5"/>
  <c r="D30" i="5"/>
  <c r="D23" i="7"/>
  <c r="D29" i="7"/>
  <c r="D30" i="7"/>
  <c r="L29" i="8"/>
  <c r="K30" i="8"/>
  <c r="D23" i="8"/>
  <c r="D24" i="8"/>
  <c r="D25" i="8"/>
  <c r="D27" i="8"/>
  <c r="D28" i="8"/>
  <c r="D29" i="8"/>
  <c r="D30" i="8"/>
  <c r="H18" i="8"/>
  <c r="D18" i="8"/>
  <c r="D9" i="8"/>
  <c r="L9" i="8"/>
  <c r="H23" i="9"/>
  <c r="D27" i="9"/>
  <c r="J30" i="9"/>
  <c r="K30" i="9"/>
  <c r="L30" i="9" s="1"/>
  <c r="D23" i="9"/>
  <c r="H27" i="9"/>
  <c r="D24" i="9"/>
  <c r="H30" i="9"/>
  <c r="K13" i="9"/>
  <c r="H11" i="3"/>
  <c r="H32" i="3"/>
  <c r="L25" i="3"/>
  <c r="H33" i="3"/>
  <c r="L28" i="3"/>
  <c r="L30" i="3"/>
  <c r="K16" i="3"/>
  <c r="J32" i="3"/>
  <c r="J6" i="3"/>
  <c r="I7" i="3"/>
  <c r="H8" i="3"/>
  <c r="K11" i="3"/>
  <c r="L22" i="3"/>
  <c r="K32" i="3"/>
  <c r="L32" i="3" s="1"/>
  <c r="K33" i="3"/>
  <c r="J11" i="3"/>
  <c r="J33" i="3"/>
  <c r="B36" i="3"/>
  <c r="J12" i="3"/>
  <c r="L12" i="3" s="1"/>
  <c r="I16" i="3"/>
  <c r="J9" i="3"/>
  <c r="L9" i="3" s="1"/>
  <c r="H33" i="4"/>
  <c r="L29" i="4"/>
  <c r="M35" i="4"/>
  <c r="H35" i="4"/>
  <c r="L24" i="4"/>
  <c r="L27" i="4"/>
  <c r="H32" i="4"/>
  <c r="D32" i="4"/>
  <c r="J11" i="4"/>
  <c r="J32" i="4"/>
  <c r="J33" i="4"/>
  <c r="J6" i="4"/>
  <c r="I7" i="4"/>
  <c r="H8" i="4"/>
  <c r="K11" i="4"/>
  <c r="K32" i="4"/>
  <c r="K33" i="4"/>
  <c r="J12" i="4"/>
  <c r="L12" i="4" s="1"/>
  <c r="K35" i="4"/>
  <c r="J35" i="4" s="1"/>
  <c r="H33" i="5"/>
  <c r="D33" i="5"/>
  <c r="D11" i="5"/>
  <c r="M35" i="5"/>
  <c r="H35" i="5"/>
  <c r="D35" i="5"/>
  <c r="H32" i="5"/>
  <c r="D32" i="5"/>
  <c r="J11" i="5"/>
  <c r="B36" i="5"/>
  <c r="I7" i="5"/>
  <c r="H8" i="5"/>
  <c r="K11" i="5"/>
  <c r="K33" i="5"/>
  <c r="J33" i="5"/>
  <c r="H13" i="5"/>
  <c r="K6" i="5"/>
  <c r="J7" i="5"/>
  <c r="J12" i="5"/>
  <c r="K35" i="5"/>
  <c r="J35" i="5" s="1"/>
  <c r="H33" i="6"/>
  <c r="D33" i="6"/>
  <c r="M35" i="6"/>
  <c r="D35" i="6"/>
  <c r="H35" i="6"/>
  <c r="J11" i="6"/>
  <c r="L11" i="6" s="1"/>
  <c r="J32" i="6"/>
  <c r="J33" i="6"/>
  <c r="K33" i="6"/>
  <c r="K6" i="6"/>
  <c r="J7" i="6"/>
  <c r="F11" i="6"/>
  <c r="J12" i="6"/>
  <c r="L12" i="6" s="1"/>
  <c r="K35" i="6"/>
  <c r="J35" i="6" s="1"/>
  <c r="B36" i="6"/>
  <c r="J6" i="6"/>
  <c r="I7" i="6"/>
  <c r="H8" i="6"/>
  <c r="M35" i="7"/>
  <c r="D35" i="7"/>
  <c r="H35" i="7"/>
  <c r="L9" i="7"/>
  <c r="J32" i="7"/>
  <c r="J6" i="7"/>
  <c r="I7" i="7"/>
  <c r="K32" i="7"/>
  <c r="K33" i="7"/>
  <c r="K6" i="7"/>
  <c r="J7" i="7"/>
  <c r="L7" i="7" s="1"/>
  <c r="F11" i="7"/>
  <c r="J12" i="7"/>
  <c r="L12" i="7" s="1"/>
  <c r="H22" i="7"/>
  <c r="K35" i="7"/>
  <c r="J35" i="7" s="1"/>
  <c r="J11" i="7"/>
  <c r="H8" i="7"/>
  <c r="L23" i="8"/>
  <c r="L24" i="8"/>
  <c r="L25" i="8"/>
  <c r="H33" i="8"/>
  <c r="D33" i="8"/>
  <c r="M35" i="8"/>
  <c r="D35" i="8"/>
  <c r="H35" i="8"/>
  <c r="H11" i="8"/>
  <c r="D11" i="8"/>
  <c r="J11" i="8"/>
  <c r="B36" i="8"/>
  <c r="J6" i="8"/>
  <c r="I7" i="8"/>
  <c r="K11" i="8"/>
  <c r="H13" i="8"/>
  <c r="L22" i="8"/>
  <c r="K32" i="8"/>
  <c r="K33" i="8"/>
  <c r="J33" i="8"/>
  <c r="H8" i="8"/>
  <c r="K6" i="8"/>
  <c r="J7" i="8"/>
  <c r="J12" i="8"/>
  <c r="J13" i="8"/>
  <c r="H22" i="8"/>
  <c r="K35" i="8"/>
  <c r="J35" i="8" s="1"/>
  <c r="H11" i="9"/>
  <c r="D11" i="9"/>
  <c r="M35" i="9"/>
  <c r="D35" i="9"/>
  <c r="H35" i="9"/>
  <c r="H33" i="9"/>
  <c r="D33" i="9"/>
  <c r="H32" i="9"/>
  <c r="J32" i="9"/>
  <c r="J33" i="9"/>
  <c r="J6" i="9"/>
  <c r="H8" i="9"/>
  <c r="K11" i="9"/>
  <c r="K32" i="9"/>
  <c r="K33" i="9"/>
  <c r="J13" i="9"/>
  <c r="K35" i="9"/>
  <c r="J35" i="9" s="1"/>
  <c r="J11" i="9"/>
  <c r="J12" i="9"/>
  <c r="D70" i="2"/>
  <c r="H13" i="3" l="1"/>
  <c r="L9" i="4"/>
  <c r="D23" i="4"/>
  <c r="H9" i="4"/>
  <c r="L25" i="4"/>
  <c r="L13" i="5"/>
  <c r="K13" i="1"/>
  <c r="L24" i="5"/>
  <c r="K29" i="1"/>
  <c r="H13" i="6"/>
  <c r="L9" i="6"/>
  <c r="L22" i="6"/>
  <c r="K28" i="1"/>
  <c r="L24" i="7"/>
  <c r="L11" i="7"/>
  <c r="D25" i="7"/>
  <c r="L22" i="7"/>
  <c r="H27" i="7"/>
  <c r="J32" i="1"/>
  <c r="F27" i="1"/>
  <c r="D28" i="7"/>
  <c r="J30" i="1"/>
  <c r="L33" i="7"/>
  <c r="L23" i="7"/>
  <c r="L27" i="9"/>
  <c r="L28" i="9"/>
  <c r="D29" i="9"/>
  <c r="L22" i="9"/>
  <c r="K27" i="1"/>
  <c r="L23" i="9"/>
  <c r="L9" i="9"/>
  <c r="J36" i="2"/>
  <c r="F29" i="1"/>
  <c r="K24" i="1"/>
  <c r="H13" i="9"/>
  <c r="H13" i="7"/>
  <c r="F36" i="7"/>
  <c r="F37" i="7" s="1"/>
  <c r="F30" i="1"/>
  <c r="D28" i="9"/>
  <c r="D24" i="7"/>
  <c r="H22" i="4"/>
  <c r="H22" i="5"/>
  <c r="H36" i="5" s="1"/>
  <c r="F28" i="1"/>
  <c r="F23" i="1"/>
  <c r="D24" i="5"/>
  <c r="J22" i="1"/>
  <c r="J28" i="1"/>
  <c r="L26" i="7"/>
  <c r="L27" i="5"/>
  <c r="J24" i="1"/>
  <c r="J23" i="1"/>
  <c r="L24" i="6"/>
  <c r="H28" i="4"/>
  <c r="D28" i="4"/>
  <c r="L27" i="2"/>
  <c r="L26" i="5"/>
  <c r="J27" i="1"/>
  <c r="J26" i="1"/>
  <c r="L32" i="2"/>
  <c r="L28" i="2"/>
  <c r="L30" i="6"/>
  <c r="H22" i="6"/>
  <c r="L33" i="2"/>
  <c r="L13" i="2"/>
  <c r="K23" i="1"/>
  <c r="I15" i="1"/>
  <c r="B37" i="3"/>
  <c r="K33" i="1"/>
  <c r="F24" i="1"/>
  <c r="F33" i="1"/>
  <c r="H30" i="2"/>
  <c r="D30" i="2"/>
  <c r="H24" i="6"/>
  <c r="D24" i="6"/>
  <c r="D26" i="1"/>
  <c r="H8" i="1"/>
  <c r="L33" i="3"/>
  <c r="L27" i="1"/>
  <c r="H27" i="2"/>
  <c r="D27" i="2"/>
  <c r="D27" i="1" s="1"/>
  <c r="H29" i="2"/>
  <c r="D29" i="2"/>
  <c r="H24" i="2"/>
  <c r="D24" i="2"/>
  <c r="D9" i="7"/>
  <c r="K9" i="1"/>
  <c r="K7" i="1"/>
  <c r="B37" i="2"/>
  <c r="J29" i="1"/>
  <c r="J17" i="1"/>
  <c r="K18" i="1"/>
  <c r="H23" i="2"/>
  <c r="D23" i="2"/>
  <c r="D33" i="2"/>
  <c r="H33" i="2"/>
  <c r="L26" i="6"/>
  <c r="D32" i="2"/>
  <c r="H32" i="2"/>
  <c r="H28" i="2"/>
  <c r="D28" i="2"/>
  <c r="L25" i="7"/>
  <c r="L23" i="2"/>
  <c r="H13" i="2"/>
  <c r="D13" i="2"/>
  <c r="K26" i="1"/>
  <c r="H24" i="4"/>
  <c r="D24" i="4"/>
  <c r="L30" i="2"/>
  <c r="L29" i="2"/>
  <c r="H26" i="1"/>
  <c r="L8" i="1"/>
  <c r="L24" i="2"/>
  <c r="L12" i="2"/>
  <c r="H28" i="6"/>
  <c r="D28" i="6"/>
  <c r="H18" i="9"/>
  <c r="D18" i="9"/>
  <c r="F18" i="1"/>
  <c r="L18" i="3"/>
  <c r="K17" i="1"/>
  <c r="I37" i="7"/>
  <c r="I16" i="1"/>
  <c r="B36" i="1"/>
  <c r="F36" i="5"/>
  <c r="D25" i="5"/>
  <c r="D36" i="5" s="1"/>
  <c r="L25" i="5"/>
  <c r="L25" i="9"/>
  <c r="K25" i="1"/>
  <c r="H22" i="9"/>
  <c r="D22" i="9"/>
  <c r="K22" i="1"/>
  <c r="L33" i="4"/>
  <c r="H29" i="4"/>
  <c r="D29" i="4"/>
  <c r="L22" i="2"/>
  <c r="D22" i="2"/>
  <c r="H22" i="2"/>
  <c r="L25" i="2"/>
  <c r="K36" i="2"/>
  <c r="J25" i="1"/>
  <c r="H25" i="2"/>
  <c r="D25" i="2"/>
  <c r="F36" i="2"/>
  <c r="F36" i="9"/>
  <c r="H25" i="9"/>
  <c r="F25" i="1"/>
  <c r="F22" i="1"/>
  <c r="L9" i="2"/>
  <c r="L6" i="2"/>
  <c r="L11" i="2"/>
  <c r="H11" i="2"/>
  <c r="D11" i="2"/>
  <c r="H9" i="2"/>
  <c r="D9" i="2"/>
  <c r="D6" i="2"/>
  <c r="H6" i="2"/>
  <c r="D7" i="2"/>
  <c r="H7" i="2"/>
  <c r="L7" i="2"/>
  <c r="J9" i="1"/>
  <c r="L12" i="5"/>
  <c r="B37" i="5"/>
  <c r="H9" i="5"/>
  <c r="D9" i="5"/>
  <c r="F9" i="1"/>
  <c r="J11" i="1"/>
  <c r="H9" i="6"/>
  <c r="D9" i="6"/>
  <c r="B37" i="6"/>
  <c r="J7" i="1"/>
  <c r="K6" i="1"/>
  <c r="J6" i="1"/>
  <c r="I7" i="1"/>
  <c r="F7" i="1"/>
  <c r="L32" i="8"/>
  <c r="K32" i="1"/>
  <c r="L30" i="8"/>
  <c r="K30" i="1"/>
  <c r="L29" i="1"/>
  <c r="F36" i="8"/>
  <c r="F32" i="1"/>
  <c r="J36" i="8"/>
  <c r="J33" i="1"/>
  <c r="K16" i="1"/>
  <c r="L17" i="1"/>
  <c r="L15" i="1"/>
  <c r="L12" i="8"/>
  <c r="J12" i="1"/>
  <c r="L13" i="8"/>
  <c r="J13" i="1"/>
  <c r="L11" i="8"/>
  <c r="F6" i="1"/>
  <c r="J36" i="3"/>
  <c r="I37" i="3"/>
  <c r="L11" i="3"/>
  <c r="J36" i="4"/>
  <c r="J36" i="5"/>
  <c r="L11" i="5"/>
  <c r="K36" i="6"/>
  <c r="J36" i="6"/>
  <c r="L32" i="6"/>
  <c r="L7" i="6"/>
  <c r="J36" i="7"/>
  <c r="K36" i="7"/>
  <c r="L33" i="8"/>
  <c r="B37" i="8"/>
  <c r="L7" i="8"/>
  <c r="K36" i="9"/>
  <c r="J36" i="9"/>
  <c r="B37" i="9"/>
  <c r="L13" i="9"/>
  <c r="L20" i="9"/>
  <c r="L12" i="9"/>
  <c r="L6" i="9"/>
  <c r="H27" i="3"/>
  <c r="L6" i="3"/>
  <c r="L7" i="3"/>
  <c r="H30" i="3"/>
  <c r="H25" i="3"/>
  <c r="H22" i="3"/>
  <c r="H9" i="3"/>
  <c r="D9" i="3"/>
  <c r="H28" i="3"/>
  <c r="H23" i="3"/>
  <c r="D23" i="1"/>
  <c r="H29" i="3"/>
  <c r="H24" i="3"/>
  <c r="H18" i="3"/>
  <c r="D18" i="3"/>
  <c r="L16" i="3"/>
  <c r="K36" i="3"/>
  <c r="D7" i="4"/>
  <c r="H7" i="4"/>
  <c r="L11" i="4"/>
  <c r="I37" i="4"/>
  <c r="L6" i="4"/>
  <c r="H6" i="4"/>
  <c r="D6" i="4"/>
  <c r="L32" i="4"/>
  <c r="L7" i="4"/>
  <c r="K36" i="4"/>
  <c r="L6" i="5"/>
  <c r="L7" i="5"/>
  <c r="L33" i="5"/>
  <c r="I37" i="5"/>
  <c r="D7" i="5"/>
  <c r="H7" i="5"/>
  <c r="D6" i="5"/>
  <c r="H6" i="5"/>
  <c r="K36" i="5"/>
  <c r="H6" i="6"/>
  <c r="D6" i="6"/>
  <c r="I37" i="6"/>
  <c r="L33" i="6"/>
  <c r="L6" i="6"/>
  <c r="D7" i="6"/>
  <c r="H7" i="6"/>
  <c r="H32" i="6"/>
  <c r="D32" i="6"/>
  <c r="D36" i="6" s="1"/>
  <c r="H11" i="6"/>
  <c r="D11" i="6"/>
  <c r="D6" i="7"/>
  <c r="H6" i="7"/>
  <c r="L6" i="7"/>
  <c r="H33" i="7"/>
  <c r="D33" i="7"/>
  <c r="D7" i="7"/>
  <c r="H7" i="7"/>
  <c r="H32" i="7"/>
  <c r="D32" i="7"/>
  <c r="H11" i="7"/>
  <c r="D11" i="7"/>
  <c r="L32" i="7"/>
  <c r="L6" i="8"/>
  <c r="I37" i="8"/>
  <c r="L36" i="8"/>
  <c r="D7" i="8"/>
  <c r="H7" i="8"/>
  <c r="H32" i="8"/>
  <c r="D32" i="8"/>
  <c r="D6" i="8"/>
  <c r="H6" i="8"/>
  <c r="H36" i="8"/>
  <c r="K36" i="8"/>
  <c r="L33" i="9"/>
  <c r="D7" i="9"/>
  <c r="H7" i="9"/>
  <c r="L11" i="9"/>
  <c r="D6" i="9"/>
  <c r="H6" i="9"/>
  <c r="L32" i="9"/>
  <c r="H9" i="9"/>
  <c r="D9" i="9"/>
  <c r="D55" i="9"/>
  <c r="I20" i="1" l="1"/>
  <c r="I44" i="1" s="1"/>
  <c r="K20" i="1"/>
  <c r="H23" i="1"/>
  <c r="H30" i="1"/>
  <c r="L36" i="3"/>
  <c r="K37" i="2"/>
  <c r="H36" i="9"/>
  <c r="D30" i="1"/>
  <c r="H33" i="1"/>
  <c r="H24" i="1"/>
  <c r="H36" i="6"/>
  <c r="J37" i="2"/>
  <c r="D24" i="1"/>
  <c r="H29" i="1"/>
  <c r="H28" i="1"/>
  <c r="H32" i="1"/>
  <c r="L9" i="1"/>
  <c r="F37" i="5"/>
  <c r="L28" i="1"/>
  <c r="H36" i="4"/>
  <c r="L23" i="1"/>
  <c r="L24" i="1"/>
  <c r="D28" i="1"/>
  <c r="D33" i="1"/>
  <c r="J37" i="3"/>
  <c r="H27" i="1"/>
  <c r="F37" i="8"/>
  <c r="D29" i="1"/>
  <c r="D18" i="1"/>
  <c r="L26" i="1"/>
  <c r="H22" i="1"/>
  <c r="H18" i="1"/>
  <c r="L32" i="1"/>
  <c r="J37" i="7"/>
  <c r="L25" i="1"/>
  <c r="D25" i="1"/>
  <c r="K36" i="1"/>
  <c r="J37" i="6"/>
  <c r="D22" i="1"/>
  <c r="F37" i="9"/>
  <c r="K37" i="6"/>
  <c r="D36" i="4"/>
  <c r="F37" i="2"/>
  <c r="L22" i="1"/>
  <c r="H36" i="2"/>
  <c r="D36" i="2"/>
  <c r="K37" i="7"/>
  <c r="J36" i="1"/>
  <c r="H25" i="1"/>
  <c r="L36" i="2"/>
  <c r="H37" i="2"/>
  <c r="D9" i="1"/>
  <c r="H9" i="1"/>
  <c r="H37" i="5"/>
  <c r="L6" i="1"/>
  <c r="B37" i="1"/>
  <c r="H6" i="1"/>
  <c r="D7" i="1"/>
  <c r="H7" i="1"/>
  <c r="L7" i="1"/>
  <c r="L20" i="1" s="1"/>
  <c r="L30" i="1"/>
  <c r="J37" i="8"/>
  <c r="D36" i="8"/>
  <c r="D32" i="1"/>
  <c r="L33" i="1"/>
  <c r="L16" i="1"/>
  <c r="L13" i="1"/>
  <c r="L11" i="1"/>
  <c r="L12" i="1"/>
  <c r="D6" i="1"/>
  <c r="K37" i="3"/>
  <c r="K37" i="4"/>
  <c r="J37" i="5"/>
  <c r="K37" i="5"/>
  <c r="L36" i="6"/>
  <c r="H36" i="7"/>
  <c r="H37" i="8"/>
  <c r="I37" i="9"/>
  <c r="J37" i="9"/>
  <c r="K37" i="9"/>
  <c r="L36" i="4"/>
  <c r="L36" i="5"/>
  <c r="D37" i="5"/>
  <c r="D37" i="6"/>
  <c r="H37" i="6"/>
  <c r="L36" i="7"/>
  <c r="D36" i="7"/>
  <c r="K37" i="8"/>
  <c r="L36" i="9"/>
  <c r="F57" i="2"/>
  <c r="H57" i="2" s="1"/>
  <c r="L37" i="2" l="1"/>
  <c r="K44" i="1"/>
  <c r="D37" i="8"/>
  <c r="D37" i="2"/>
  <c r="I37" i="1"/>
  <c r="H37" i="7"/>
  <c r="L36" i="1"/>
  <c r="K37" i="1"/>
  <c r="D37" i="7"/>
  <c r="H37" i="9"/>
  <c r="D37" i="9"/>
  <c r="L37" i="3"/>
  <c r="L37" i="5"/>
  <c r="L37" i="6"/>
  <c r="L37" i="7"/>
  <c r="L37" i="8"/>
  <c r="L37" i="9"/>
  <c r="H87" i="1"/>
  <c r="H50" i="2" l="1"/>
  <c r="K65" i="2"/>
  <c r="J65" i="2"/>
  <c r="F65" i="2"/>
  <c r="H65" i="2" s="1"/>
  <c r="K65" i="3"/>
  <c r="J65" i="3"/>
  <c r="F65" i="3"/>
  <c r="H65" i="3" s="1"/>
  <c r="K65" i="4"/>
  <c r="J65" i="4"/>
  <c r="F65" i="4"/>
  <c r="H65" i="4" s="1"/>
  <c r="K65" i="5"/>
  <c r="J65" i="5"/>
  <c r="F65" i="5"/>
  <c r="H65" i="5" s="1"/>
  <c r="K65" i="6"/>
  <c r="J65" i="6"/>
  <c r="F65" i="6"/>
  <c r="H65" i="6" s="1"/>
  <c r="K65" i="7"/>
  <c r="J65" i="7"/>
  <c r="F65" i="7"/>
  <c r="H65" i="7" s="1"/>
  <c r="K65" i="8"/>
  <c r="J65" i="8"/>
  <c r="F65" i="8"/>
  <c r="K65" i="9"/>
  <c r="J65" i="9"/>
  <c r="F65" i="9"/>
  <c r="K48" i="2"/>
  <c r="J48" i="2"/>
  <c r="I48" i="2"/>
  <c r="F48" i="2"/>
  <c r="K48" i="3"/>
  <c r="J48" i="3"/>
  <c r="I48" i="3"/>
  <c r="F48" i="3"/>
  <c r="H48" i="3" s="1"/>
  <c r="K48" i="5"/>
  <c r="J48" i="5"/>
  <c r="I48" i="5"/>
  <c r="F48" i="5"/>
  <c r="H48" i="5" s="1"/>
  <c r="F48" i="9"/>
  <c r="K48" i="9"/>
  <c r="J48" i="9"/>
  <c r="I48" i="9"/>
  <c r="H48" i="9"/>
  <c r="K48" i="6"/>
  <c r="J48" i="6"/>
  <c r="I48" i="6"/>
  <c r="F48" i="6"/>
  <c r="K48" i="4"/>
  <c r="J48" i="4"/>
  <c r="I48" i="4"/>
  <c r="F48" i="4"/>
  <c r="I48" i="7"/>
  <c r="F48" i="7"/>
  <c r="J48" i="7"/>
  <c r="K48" i="7"/>
  <c r="J48" i="8"/>
  <c r="K48" i="8"/>
  <c r="I48" i="8"/>
  <c r="F48" i="8"/>
  <c r="D48" i="8" s="1"/>
  <c r="L65" i="9" l="1"/>
  <c r="H48" i="2"/>
  <c r="D48" i="2"/>
  <c r="L48" i="2"/>
  <c r="M48" i="2" s="1"/>
  <c r="L48" i="4"/>
  <c r="M48" i="4" s="1"/>
  <c r="F57" i="5" l="1"/>
  <c r="F57" i="9"/>
  <c r="F61" i="1" l="1"/>
  <c r="D56" i="9"/>
  <c r="F57" i="8" l="1"/>
  <c r="F57" i="7"/>
  <c r="F57" i="6"/>
  <c r="F57" i="4"/>
  <c r="F57" i="3"/>
  <c r="D89" i="3"/>
  <c r="H89" i="3"/>
  <c r="D91" i="3"/>
  <c r="D95" i="3"/>
  <c r="H95" i="3"/>
  <c r="F96" i="3"/>
  <c r="H96" i="3" s="1"/>
  <c r="D109" i="3"/>
  <c r="I114" i="3"/>
  <c r="D52" i="9"/>
  <c r="H70" i="2"/>
  <c r="F73" i="9"/>
  <c r="L50" i="2"/>
  <c r="M50" i="2" s="1"/>
  <c r="D50" i="2"/>
  <c r="H50" i="8"/>
  <c r="D130" i="7"/>
  <c r="D130" i="2"/>
  <c r="L70" i="4"/>
  <c r="M70" i="4" s="1"/>
  <c r="L70" i="5"/>
  <c r="M70" i="5" s="1"/>
  <c r="L70" i="6"/>
  <c r="M70" i="6" s="1"/>
  <c r="L70" i="7"/>
  <c r="M70" i="7" s="1"/>
  <c r="L70" i="8"/>
  <c r="M70" i="8" s="1"/>
  <c r="L70" i="9"/>
  <c r="M70" i="9" s="1"/>
  <c r="L70" i="3"/>
  <c r="M70" i="3" s="1"/>
  <c r="L70" i="2"/>
  <c r="M70" i="2" s="1"/>
  <c r="D96" i="3" l="1"/>
  <c r="F62" i="1"/>
  <c r="B373" i="16" l="1"/>
  <c r="C407" i="16"/>
  <c r="D407" i="16"/>
  <c r="E407" i="16"/>
  <c r="F407" i="16"/>
  <c r="G407" i="16"/>
  <c r="H407" i="16"/>
  <c r="I407" i="16"/>
  <c r="J407" i="16"/>
  <c r="K407" i="16"/>
  <c r="B407" i="16"/>
  <c r="L172" i="16" l="1"/>
  <c r="M172" i="16"/>
  <c r="D52" i="2"/>
  <c r="F57" i="1"/>
  <c r="N79" i="1"/>
  <c r="L79" i="1"/>
  <c r="I79" i="1"/>
  <c r="N77" i="1"/>
  <c r="I77" i="1"/>
  <c r="N76" i="1"/>
  <c r="I76" i="1"/>
  <c r="N75" i="1"/>
  <c r="I75" i="1"/>
  <c r="N74" i="1"/>
  <c r="I74" i="1"/>
  <c r="N73" i="1"/>
  <c r="I73" i="1"/>
  <c r="N72" i="1"/>
  <c r="I72" i="1"/>
  <c r="N71" i="1"/>
  <c r="I71" i="1"/>
  <c r="N70" i="1"/>
  <c r="I70" i="1"/>
  <c r="N69" i="1"/>
  <c r="I69" i="1"/>
  <c r="N68" i="1"/>
  <c r="I68" i="1"/>
  <c r="N67" i="1"/>
  <c r="I67" i="1"/>
  <c r="N66" i="1"/>
  <c r="I66" i="1"/>
  <c r="N63" i="1"/>
  <c r="I63" i="1"/>
  <c r="N62" i="1"/>
  <c r="I62" i="1"/>
  <c r="N61" i="1"/>
  <c r="N60" i="1"/>
  <c r="N58" i="1"/>
  <c r="I58" i="1"/>
  <c r="N57" i="1"/>
  <c r="I57" i="1"/>
  <c r="N56" i="1"/>
  <c r="I56" i="1"/>
  <c r="N55" i="1"/>
  <c r="I55" i="1"/>
  <c r="N54" i="1"/>
  <c r="I54" i="1"/>
  <c r="N53" i="1"/>
  <c r="N52" i="1"/>
  <c r="N51" i="1"/>
  <c r="I51" i="1"/>
  <c r="H57" i="1"/>
  <c r="F75" i="1"/>
  <c r="F55" i="1"/>
  <c r="D56" i="8"/>
  <c r="N412" i="10"/>
  <c r="B64" i="9" s="1"/>
  <c r="N416" i="10"/>
  <c r="B68" i="9" s="1"/>
  <c r="N403" i="10"/>
  <c r="B55" i="9" s="1"/>
  <c r="I55" i="9" s="1"/>
  <c r="L55" i="9" s="1"/>
  <c r="N383" i="10"/>
  <c r="B109" i="9" s="1"/>
  <c r="N404" i="10"/>
  <c r="B56" i="9" s="1"/>
  <c r="N397" i="10"/>
  <c r="B49" i="9" s="1"/>
  <c r="N395" i="10"/>
  <c r="B47" i="9" s="1"/>
  <c r="N396" i="10"/>
  <c r="B48" i="9" s="1"/>
  <c r="N398" i="10"/>
  <c r="B50" i="9" s="1"/>
  <c r="N399" i="10"/>
  <c r="B51" i="9" s="1"/>
  <c r="F51" i="9" s="1"/>
  <c r="N400" i="10"/>
  <c r="B52" i="9" s="1"/>
  <c r="K52" i="9" s="1"/>
  <c r="N401" i="10"/>
  <c r="B53" i="9" s="1"/>
  <c r="F53" i="9" s="1"/>
  <c r="H53" i="9" s="1"/>
  <c r="N402" i="10"/>
  <c r="N405" i="10"/>
  <c r="N406" i="10"/>
  <c r="B58" i="9" s="1"/>
  <c r="N408" i="10"/>
  <c r="N394" i="10"/>
  <c r="B46" i="9" s="1"/>
  <c r="F46" i="9" s="1"/>
  <c r="D46" i="9" s="1"/>
  <c r="N378" i="10"/>
  <c r="N422" i="10"/>
  <c r="B74" i="9" s="1"/>
  <c r="F74" i="9" s="1"/>
  <c r="M423" i="10"/>
  <c r="L423" i="10"/>
  <c r="K423" i="10"/>
  <c r="J423" i="10"/>
  <c r="I423" i="10"/>
  <c r="H423" i="10"/>
  <c r="G423" i="10"/>
  <c r="F423" i="10"/>
  <c r="E423" i="10"/>
  <c r="D423" i="10"/>
  <c r="C423" i="10"/>
  <c r="B423" i="10"/>
  <c r="N420" i="10"/>
  <c r="B72" i="9" s="1"/>
  <c r="N419" i="10"/>
  <c r="B71" i="9" s="1"/>
  <c r="N418" i="10"/>
  <c r="B70" i="9" s="1"/>
  <c r="N417" i="10"/>
  <c r="B69" i="9" s="1"/>
  <c r="N415" i="10"/>
  <c r="B67" i="9" s="1"/>
  <c r="N414" i="10"/>
  <c r="B66" i="9" s="1"/>
  <c r="N413" i="10"/>
  <c r="B65" i="9" s="1"/>
  <c r="N411" i="10"/>
  <c r="B63" i="9" s="1"/>
  <c r="N410" i="10"/>
  <c r="B62" i="9" s="1"/>
  <c r="N409" i="10"/>
  <c r="B61" i="9" s="1"/>
  <c r="M423" i="11"/>
  <c r="L423" i="11"/>
  <c r="K423" i="11"/>
  <c r="J423" i="11"/>
  <c r="I423" i="11"/>
  <c r="H423" i="11"/>
  <c r="G423" i="11"/>
  <c r="F423" i="11"/>
  <c r="E423" i="11"/>
  <c r="D423" i="11"/>
  <c r="C423" i="11"/>
  <c r="B423" i="11"/>
  <c r="N422" i="11"/>
  <c r="B74" i="8" s="1"/>
  <c r="N420" i="11"/>
  <c r="B72" i="8" s="1"/>
  <c r="N419" i="11"/>
  <c r="B71" i="8" s="1"/>
  <c r="N418" i="11"/>
  <c r="B70" i="8" s="1"/>
  <c r="N417" i="11"/>
  <c r="B69" i="8" s="1"/>
  <c r="N416" i="11"/>
  <c r="B68" i="8" s="1"/>
  <c r="N415" i="11"/>
  <c r="B67" i="8" s="1"/>
  <c r="N414" i="11"/>
  <c r="B66" i="8" s="1"/>
  <c r="N413" i="11"/>
  <c r="B65" i="8" s="1"/>
  <c r="N412" i="11"/>
  <c r="B64" i="8" s="1"/>
  <c r="N411" i="11"/>
  <c r="B63" i="8" s="1"/>
  <c r="N410" i="11"/>
  <c r="B62" i="8" s="1"/>
  <c r="N409" i="11"/>
  <c r="B61" i="8" s="1"/>
  <c r="N406" i="11"/>
  <c r="B58" i="8" s="1"/>
  <c r="N405" i="11"/>
  <c r="B57" i="8" s="1"/>
  <c r="N404" i="11"/>
  <c r="B56" i="8" s="1"/>
  <c r="N403" i="11"/>
  <c r="N401" i="11"/>
  <c r="N400" i="11"/>
  <c r="N399" i="11"/>
  <c r="B51" i="8" s="1"/>
  <c r="N398" i="11"/>
  <c r="B50" i="8" s="1"/>
  <c r="N397" i="11"/>
  <c r="B49" i="8" s="1"/>
  <c r="N396" i="11"/>
  <c r="B48" i="8" s="1"/>
  <c r="N395" i="11"/>
  <c r="B47" i="8" s="1"/>
  <c r="N394" i="11"/>
  <c r="M424" i="12"/>
  <c r="L424" i="12"/>
  <c r="K424" i="12"/>
  <c r="J424" i="12"/>
  <c r="I424" i="12"/>
  <c r="H424" i="12"/>
  <c r="G424" i="12"/>
  <c r="F424" i="12"/>
  <c r="E424" i="12"/>
  <c r="D424" i="12"/>
  <c r="C424" i="12"/>
  <c r="B424" i="12"/>
  <c r="N423" i="12"/>
  <c r="N421" i="12"/>
  <c r="B72" i="7" s="1"/>
  <c r="N420" i="12"/>
  <c r="B71" i="7" s="1"/>
  <c r="N419" i="12"/>
  <c r="B70" i="7" s="1"/>
  <c r="N418" i="12"/>
  <c r="B69" i="7" s="1"/>
  <c r="N417" i="12"/>
  <c r="B68" i="7" s="1"/>
  <c r="N416" i="12"/>
  <c r="B67" i="7" s="1"/>
  <c r="N415" i="12"/>
  <c r="B66" i="7" s="1"/>
  <c r="N414" i="12"/>
  <c r="B65" i="7" s="1"/>
  <c r="N413" i="12"/>
  <c r="B64" i="7" s="1"/>
  <c r="N412" i="12"/>
  <c r="B63" i="7" s="1"/>
  <c r="N411" i="12"/>
  <c r="B62" i="7" s="1"/>
  <c r="N410" i="12"/>
  <c r="B61" i="7" s="1"/>
  <c r="N407" i="12"/>
  <c r="B58" i="7" s="1"/>
  <c r="N406" i="12"/>
  <c r="B57" i="7" s="1"/>
  <c r="N405" i="12"/>
  <c r="B56" i="7" s="1"/>
  <c r="N404" i="12"/>
  <c r="B55" i="7" s="1"/>
  <c r="I55" i="7" s="1"/>
  <c r="L55" i="7" s="1"/>
  <c r="M55" i="7" s="1"/>
  <c r="N402" i="12"/>
  <c r="B53" i="7" s="1"/>
  <c r="K53" i="7" s="1"/>
  <c r="N401" i="12"/>
  <c r="B52" i="7" s="1"/>
  <c r="N400" i="12"/>
  <c r="B51" i="7" s="1"/>
  <c r="N399" i="12"/>
  <c r="B50" i="7" s="1"/>
  <c r="N398" i="12"/>
  <c r="B49" i="7" s="1"/>
  <c r="N397" i="12"/>
  <c r="B48" i="7" s="1"/>
  <c r="N396" i="12"/>
  <c r="B47" i="7" s="1"/>
  <c r="N395" i="12"/>
  <c r="B46" i="7" s="1"/>
  <c r="F46" i="7" s="1"/>
  <c r="D46" i="7" s="1"/>
  <c r="M422" i="13"/>
  <c r="L422" i="13"/>
  <c r="K422" i="13"/>
  <c r="J422" i="13"/>
  <c r="I422" i="13"/>
  <c r="H422" i="13"/>
  <c r="G422" i="13"/>
  <c r="F422" i="13"/>
  <c r="E422" i="13"/>
  <c r="D422" i="13"/>
  <c r="C422" i="13"/>
  <c r="B422" i="13"/>
  <c r="N421" i="13"/>
  <c r="B74" i="6" s="1"/>
  <c r="N419" i="13"/>
  <c r="B72" i="6" s="1"/>
  <c r="N418" i="13"/>
  <c r="B71" i="6" s="1"/>
  <c r="N417" i="13"/>
  <c r="B70" i="6" s="1"/>
  <c r="N416" i="13"/>
  <c r="B69" i="6" s="1"/>
  <c r="N415" i="13"/>
  <c r="B68" i="6" s="1"/>
  <c r="N414" i="13"/>
  <c r="B67" i="6" s="1"/>
  <c r="N413" i="13"/>
  <c r="B66" i="6" s="1"/>
  <c r="N412" i="13"/>
  <c r="B65" i="6" s="1"/>
  <c r="N411" i="13"/>
  <c r="B64" i="6" s="1"/>
  <c r="N410" i="13"/>
  <c r="B63" i="6" s="1"/>
  <c r="N409" i="13"/>
  <c r="B62" i="6" s="1"/>
  <c r="N408" i="13"/>
  <c r="B61" i="6" s="1"/>
  <c r="N405" i="13"/>
  <c r="B58" i="6" s="1"/>
  <c r="N404" i="13"/>
  <c r="B57" i="6" s="1"/>
  <c r="N403" i="13"/>
  <c r="B56" i="6" s="1"/>
  <c r="N402" i="13"/>
  <c r="B55" i="6" s="1"/>
  <c r="I55" i="6" s="1"/>
  <c r="L55" i="6" s="1"/>
  <c r="M55" i="6" s="1"/>
  <c r="N400" i="13"/>
  <c r="B53" i="6" s="1"/>
  <c r="J53" i="6" s="1"/>
  <c r="N399" i="13"/>
  <c r="B52" i="6" s="1"/>
  <c r="K52" i="6" s="1"/>
  <c r="N398" i="13"/>
  <c r="B51" i="6" s="1"/>
  <c r="K51" i="6" s="1"/>
  <c r="N397" i="13"/>
  <c r="B50" i="6" s="1"/>
  <c r="N396" i="13"/>
  <c r="B49" i="6" s="1"/>
  <c r="N395" i="13"/>
  <c r="B48" i="6" s="1"/>
  <c r="H48" i="6" s="1"/>
  <c r="N394" i="13"/>
  <c r="B47" i="6" s="1"/>
  <c r="N393" i="13"/>
  <c r="B46" i="6" s="1"/>
  <c r="M424" i="14"/>
  <c r="L424" i="14"/>
  <c r="K424" i="14"/>
  <c r="J424" i="14"/>
  <c r="I424" i="14"/>
  <c r="H424" i="14"/>
  <c r="G424" i="14"/>
  <c r="F424" i="14"/>
  <c r="E424" i="14"/>
  <c r="D424" i="14"/>
  <c r="C424" i="14"/>
  <c r="B424" i="14"/>
  <c r="N423" i="14"/>
  <c r="B74" i="5" s="1"/>
  <c r="N421" i="14"/>
  <c r="B72" i="5" s="1"/>
  <c r="N420" i="14"/>
  <c r="B71" i="5" s="1"/>
  <c r="N419" i="14"/>
  <c r="B70" i="5" s="1"/>
  <c r="N418" i="14"/>
  <c r="B69" i="5" s="1"/>
  <c r="N417" i="14"/>
  <c r="B68" i="5" s="1"/>
  <c r="N416" i="14"/>
  <c r="B67" i="5" s="1"/>
  <c r="N415" i="14"/>
  <c r="B66" i="5" s="1"/>
  <c r="N414" i="14"/>
  <c r="B65" i="5" s="1"/>
  <c r="N413" i="14"/>
  <c r="B64" i="5" s="1"/>
  <c r="N412" i="14"/>
  <c r="B63" i="5" s="1"/>
  <c r="N411" i="14"/>
  <c r="B62" i="5" s="1"/>
  <c r="N410" i="14"/>
  <c r="B61" i="5" s="1"/>
  <c r="N407" i="14"/>
  <c r="B58" i="5" s="1"/>
  <c r="N406" i="14"/>
  <c r="B57" i="5" s="1"/>
  <c r="N405" i="14"/>
  <c r="B56" i="5" s="1"/>
  <c r="N404" i="14"/>
  <c r="B55" i="5" s="1"/>
  <c r="I55" i="5" s="1"/>
  <c r="L55" i="5" s="1"/>
  <c r="M55" i="5" s="1"/>
  <c r="N402" i="14"/>
  <c r="B53" i="5" s="1"/>
  <c r="F53" i="5" s="1"/>
  <c r="D53" i="5" s="1"/>
  <c r="N401" i="14"/>
  <c r="B52" i="5" s="1"/>
  <c r="N400" i="14"/>
  <c r="B51" i="5" s="1"/>
  <c r="F51" i="5" s="1"/>
  <c r="H51" i="5" s="1"/>
  <c r="N399" i="14"/>
  <c r="B50" i="5" s="1"/>
  <c r="N398" i="14"/>
  <c r="B49" i="5" s="1"/>
  <c r="N397" i="14"/>
  <c r="B48" i="5" s="1"/>
  <c r="N396" i="14"/>
  <c r="B47" i="5" s="1"/>
  <c r="N395" i="14"/>
  <c r="B46" i="5" s="1"/>
  <c r="F46" i="5" s="1"/>
  <c r="H46" i="5" s="1"/>
  <c r="M424" i="15"/>
  <c r="L424" i="15"/>
  <c r="K424" i="15"/>
  <c r="J424" i="15"/>
  <c r="I424" i="15"/>
  <c r="H424" i="15"/>
  <c r="G424" i="15"/>
  <c r="F424" i="15"/>
  <c r="E424" i="15"/>
  <c r="D424" i="15"/>
  <c r="C424" i="15"/>
  <c r="B424" i="15"/>
  <c r="N423" i="15"/>
  <c r="B74" i="4" s="1"/>
  <c r="N421" i="15"/>
  <c r="B72" i="4" s="1"/>
  <c r="N420" i="15"/>
  <c r="B71" i="4" s="1"/>
  <c r="N419" i="15"/>
  <c r="B70" i="4" s="1"/>
  <c r="N418" i="15"/>
  <c r="B69" i="4" s="1"/>
  <c r="N417" i="15"/>
  <c r="B68" i="4" s="1"/>
  <c r="N416" i="15"/>
  <c r="B67" i="4" s="1"/>
  <c r="N415" i="15"/>
  <c r="B66" i="4" s="1"/>
  <c r="N414" i="15"/>
  <c r="B65" i="4" s="1"/>
  <c r="N413" i="15"/>
  <c r="B64" i="4" s="1"/>
  <c r="N412" i="15"/>
  <c r="B63" i="4" s="1"/>
  <c r="N411" i="15"/>
  <c r="B62" i="4" s="1"/>
  <c r="N410" i="15"/>
  <c r="B61" i="4" s="1"/>
  <c r="N407" i="15"/>
  <c r="B58" i="4" s="1"/>
  <c r="N406" i="15"/>
  <c r="B57" i="4" s="1"/>
  <c r="N405" i="15"/>
  <c r="B56" i="4" s="1"/>
  <c r="N404" i="15"/>
  <c r="B55" i="4" s="1"/>
  <c r="I55" i="4" s="1"/>
  <c r="L55" i="4" s="1"/>
  <c r="M55" i="4" s="1"/>
  <c r="N402" i="15"/>
  <c r="B53" i="4" s="1"/>
  <c r="N401" i="15"/>
  <c r="B52" i="4" s="1"/>
  <c r="N400" i="15"/>
  <c r="B51" i="4" s="1"/>
  <c r="N399" i="15"/>
  <c r="B50" i="4" s="1"/>
  <c r="N398" i="15"/>
  <c r="B49" i="4" s="1"/>
  <c r="N397" i="15"/>
  <c r="B48" i="4" s="1"/>
  <c r="D48" i="4" s="1"/>
  <c r="N396" i="15"/>
  <c r="B47" i="4" s="1"/>
  <c r="N395" i="15"/>
  <c r="B46" i="4" s="1"/>
  <c r="F46" i="4" s="1"/>
  <c r="M423" i="17"/>
  <c r="L423" i="17"/>
  <c r="K423" i="17"/>
  <c r="J423" i="17"/>
  <c r="I423" i="17"/>
  <c r="H423" i="17"/>
  <c r="G423" i="17"/>
  <c r="F423" i="17"/>
  <c r="E423" i="17"/>
  <c r="D423" i="17"/>
  <c r="C423" i="17"/>
  <c r="B423" i="17"/>
  <c r="N422" i="17"/>
  <c r="B74" i="3" s="1"/>
  <c r="N420" i="17"/>
  <c r="B72" i="3" s="1"/>
  <c r="N419" i="17"/>
  <c r="B71" i="3" s="1"/>
  <c r="N418" i="17"/>
  <c r="B70" i="3" s="1"/>
  <c r="N417" i="17"/>
  <c r="B69" i="3" s="1"/>
  <c r="N416" i="17"/>
  <c r="B68" i="3" s="1"/>
  <c r="N415" i="17"/>
  <c r="B67" i="3" s="1"/>
  <c r="N414" i="17"/>
  <c r="B66" i="3" s="1"/>
  <c r="N413" i="17"/>
  <c r="B65" i="3" s="1"/>
  <c r="N412" i="17"/>
  <c r="B64" i="3" s="1"/>
  <c r="N411" i="17"/>
  <c r="B63" i="3" s="1"/>
  <c r="N410" i="17"/>
  <c r="B62" i="3" s="1"/>
  <c r="N409" i="17"/>
  <c r="B61" i="3" s="1"/>
  <c r="N406" i="17"/>
  <c r="B58" i="3" s="1"/>
  <c r="N405" i="17"/>
  <c r="B57" i="3" s="1"/>
  <c r="N404" i="17"/>
  <c r="B56" i="3" s="1"/>
  <c r="N403" i="17"/>
  <c r="B55" i="3" s="1"/>
  <c r="I55" i="3" s="1"/>
  <c r="L55" i="3" s="1"/>
  <c r="M55" i="3" s="1"/>
  <c r="N401" i="17"/>
  <c r="B53" i="3" s="1"/>
  <c r="F53" i="3" s="1"/>
  <c r="H53" i="3" s="1"/>
  <c r="N400" i="17"/>
  <c r="B52" i="3" s="1"/>
  <c r="N399" i="17"/>
  <c r="B51" i="3" s="1"/>
  <c r="F51" i="3" s="1"/>
  <c r="N398" i="17"/>
  <c r="B50" i="3" s="1"/>
  <c r="N397" i="17"/>
  <c r="B49" i="3" s="1"/>
  <c r="N396" i="17"/>
  <c r="B48" i="3" s="1"/>
  <c r="N395" i="17"/>
  <c r="B47" i="3" s="1"/>
  <c r="N394" i="17"/>
  <c r="B46" i="3" s="1"/>
  <c r="F46" i="3" s="1"/>
  <c r="M423" i="16"/>
  <c r="L423" i="16"/>
  <c r="K423" i="16"/>
  <c r="J423" i="16"/>
  <c r="I423" i="16"/>
  <c r="H423" i="16"/>
  <c r="G423" i="16"/>
  <c r="F423" i="16"/>
  <c r="E423" i="16"/>
  <c r="D423" i="16"/>
  <c r="C423" i="16"/>
  <c r="B423" i="16"/>
  <c r="N422" i="16"/>
  <c r="B74" i="2" s="1"/>
  <c r="N420" i="16"/>
  <c r="B72" i="2" s="1"/>
  <c r="N419" i="16"/>
  <c r="B71" i="2" s="1"/>
  <c r="N418" i="16"/>
  <c r="B70" i="2" s="1"/>
  <c r="N417" i="16"/>
  <c r="B69" i="2" s="1"/>
  <c r="F69" i="2" s="1"/>
  <c r="N416" i="16"/>
  <c r="B68" i="2" s="1"/>
  <c r="N415" i="16"/>
  <c r="B67" i="2" s="1"/>
  <c r="N414" i="16"/>
  <c r="B66" i="2" s="1"/>
  <c r="N413" i="16"/>
  <c r="B65" i="2" s="1"/>
  <c r="N412" i="16"/>
  <c r="B64" i="2" s="1"/>
  <c r="N411" i="16"/>
  <c r="B63" i="2" s="1"/>
  <c r="N410" i="16"/>
  <c r="B62" i="2" s="1"/>
  <c r="F62" i="2" s="1"/>
  <c r="N409" i="16"/>
  <c r="B61" i="2" s="1"/>
  <c r="N406" i="16"/>
  <c r="B58" i="2" s="1"/>
  <c r="N405" i="16"/>
  <c r="B57" i="2" s="1"/>
  <c r="N404" i="16"/>
  <c r="B56" i="2" s="1"/>
  <c r="N403" i="16"/>
  <c r="B55" i="2" s="1"/>
  <c r="I55" i="2" s="1"/>
  <c r="L55" i="2" s="1"/>
  <c r="M55" i="2" s="1"/>
  <c r="N401" i="16"/>
  <c r="B53" i="2" s="1"/>
  <c r="N400" i="16"/>
  <c r="B52" i="2" s="1"/>
  <c r="N399" i="16"/>
  <c r="B51" i="2" s="1"/>
  <c r="N398" i="16"/>
  <c r="B50" i="2" s="1"/>
  <c r="N397" i="16"/>
  <c r="B49" i="2" s="1"/>
  <c r="N396" i="16"/>
  <c r="B48" i="2" s="1"/>
  <c r="N395" i="16"/>
  <c r="B47" i="2" s="1"/>
  <c r="N394" i="16"/>
  <c r="B46" i="2" s="1"/>
  <c r="I75" i="9"/>
  <c r="H70" i="9"/>
  <c r="D70" i="9"/>
  <c r="H57" i="9"/>
  <c r="D57" i="9"/>
  <c r="H50" i="9"/>
  <c r="D50" i="9"/>
  <c r="I75" i="8"/>
  <c r="H70" i="8"/>
  <c r="D70" i="8"/>
  <c r="D52" i="8"/>
  <c r="D50" i="8"/>
  <c r="I75" i="7"/>
  <c r="H71" i="7"/>
  <c r="D71" i="7"/>
  <c r="H70" i="7"/>
  <c r="D70" i="7"/>
  <c r="D56" i="7"/>
  <c r="D52" i="7"/>
  <c r="H50" i="7"/>
  <c r="D50" i="7"/>
  <c r="I75" i="6"/>
  <c r="H70" i="6"/>
  <c r="D70" i="6"/>
  <c r="H57" i="6"/>
  <c r="D57" i="6"/>
  <c r="D56" i="6"/>
  <c r="H53" i="6"/>
  <c r="D53" i="6"/>
  <c r="D52" i="6"/>
  <c r="H50" i="6"/>
  <c r="D50" i="6"/>
  <c r="I75" i="5"/>
  <c r="H70" i="5"/>
  <c r="D70" i="5"/>
  <c r="H57" i="5"/>
  <c r="D57" i="5"/>
  <c r="D56" i="5"/>
  <c r="D52" i="5"/>
  <c r="H50" i="5"/>
  <c r="D50" i="5"/>
  <c r="I75" i="4"/>
  <c r="H70" i="4"/>
  <c r="D70" i="4"/>
  <c r="H57" i="4"/>
  <c r="D57" i="4"/>
  <c r="D56" i="4"/>
  <c r="D52" i="4"/>
  <c r="H50" i="4"/>
  <c r="D50" i="4"/>
  <c r="I75" i="3"/>
  <c r="H70" i="3"/>
  <c r="D70" i="3"/>
  <c r="D56" i="3"/>
  <c r="D52" i="3"/>
  <c r="H50" i="3"/>
  <c r="D50" i="3"/>
  <c r="I75" i="2"/>
  <c r="D57" i="2"/>
  <c r="D56" i="2"/>
  <c r="L87" i="1"/>
  <c r="M87" i="1" s="1"/>
  <c r="D87" i="1"/>
  <c r="D65" i="6"/>
  <c r="D65" i="8"/>
  <c r="D55" i="8"/>
  <c r="H55" i="8"/>
  <c r="H51" i="9"/>
  <c r="D51" i="5"/>
  <c r="H57" i="7"/>
  <c r="D57" i="7"/>
  <c r="H57" i="8"/>
  <c r="D57" i="8"/>
  <c r="H48" i="8"/>
  <c r="D51" i="9"/>
  <c r="M157" i="16"/>
  <c r="M264" i="15"/>
  <c r="L264" i="15"/>
  <c r="K264" i="15"/>
  <c r="J264" i="15"/>
  <c r="I264" i="15"/>
  <c r="H264" i="15"/>
  <c r="G264" i="15"/>
  <c r="F264" i="15"/>
  <c r="E264" i="15"/>
  <c r="D264" i="15"/>
  <c r="C264" i="15"/>
  <c r="B225" i="15"/>
  <c r="B264" i="15"/>
  <c r="M287" i="15"/>
  <c r="L287" i="15"/>
  <c r="K287" i="15"/>
  <c r="C287" i="15"/>
  <c r="G287" i="15"/>
  <c r="F287" i="15"/>
  <c r="E287" i="15"/>
  <c r="D287" i="15"/>
  <c r="J287" i="15"/>
  <c r="I287" i="15"/>
  <c r="H287" i="15"/>
  <c r="B287" i="15"/>
  <c r="B304" i="15"/>
  <c r="H65" i="8"/>
  <c r="D48" i="9"/>
  <c r="H51" i="6"/>
  <c r="D51" i="6"/>
  <c r="H55" i="9"/>
  <c r="D48" i="6"/>
  <c r="D65" i="5"/>
  <c r="D65" i="7"/>
  <c r="H51" i="7"/>
  <c r="D51" i="7"/>
  <c r="D68" i="5"/>
  <c r="H68" i="5"/>
  <c r="D48" i="5"/>
  <c r="D65" i="4"/>
  <c r="H48" i="7"/>
  <c r="D48" i="7"/>
  <c r="L131" i="1"/>
  <c r="D131" i="1"/>
  <c r="D96" i="2"/>
  <c r="F97" i="2"/>
  <c r="H97" i="2" s="1"/>
  <c r="F97" i="4"/>
  <c r="H97" i="4" s="1"/>
  <c r="F97" i="5"/>
  <c r="D97" i="5" s="1"/>
  <c r="F97" i="6"/>
  <c r="F97" i="7"/>
  <c r="F97" i="8"/>
  <c r="D97" i="8" s="1"/>
  <c r="F97" i="9"/>
  <c r="H97" i="5"/>
  <c r="H96" i="2"/>
  <c r="H96" i="4"/>
  <c r="H96" i="6"/>
  <c r="H96" i="7"/>
  <c r="H96" i="9"/>
  <c r="H96" i="5"/>
  <c r="M110" i="9"/>
  <c r="D110" i="6"/>
  <c r="D96" i="6"/>
  <c r="D90" i="6"/>
  <c r="I123" i="1"/>
  <c r="I110" i="1"/>
  <c r="I111" i="1"/>
  <c r="I112" i="1"/>
  <c r="I113" i="1"/>
  <c r="I114" i="1"/>
  <c r="I115" i="1"/>
  <c r="I116" i="1"/>
  <c r="I117" i="1"/>
  <c r="I118" i="1"/>
  <c r="I119" i="1"/>
  <c r="I120" i="1"/>
  <c r="I121" i="1"/>
  <c r="F119" i="1"/>
  <c r="I106" i="1"/>
  <c r="I107" i="1"/>
  <c r="I104" i="1"/>
  <c r="F105" i="1"/>
  <c r="I95" i="1"/>
  <c r="I98" i="1"/>
  <c r="I99" i="1"/>
  <c r="I100" i="1"/>
  <c r="I101" i="1"/>
  <c r="I102" i="1"/>
  <c r="H101" i="1"/>
  <c r="F99" i="1"/>
  <c r="F101" i="1"/>
  <c r="I115" i="9"/>
  <c r="H110" i="9"/>
  <c r="D110" i="9"/>
  <c r="D96" i="9"/>
  <c r="D92" i="9"/>
  <c r="H90" i="9"/>
  <c r="D90" i="9"/>
  <c r="I115" i="8"/>
  <c r="H110" i="8"/>
  <c r="D110" i="8"/>
  <c r="D96" i="8"/>
  <c r="D92" i="8"/>
  <c r="H90" i="8"/>
  <c r="D90" i="8"/>
  <c r="I115" i="7"/>
  <c r="D111" i="7"/>
  <c r="H110" i="7"/>
  <c r="D110" i="7"/>
  <c r="D96" i="7"/>
  <c r="D92" i="7"/>
  <c r="D91" i="7"/>
  <c r="H90" i="7"/>
  <c r="D90" i="7"/>
  <c r="I115" i="6"/>
  <c r="H110" i="6"/>
  <c r="H93" i="6"/>
  <c r="D93" i="6"/>
  <c r="D92" i="6"/>
  <c r="D91" i="6"/>
  <c r="H90" i="6"/>
  <c r="H89" i="6"/>
  <c r="I115" i="5"/>
  <c r="D111" i="5"/>
  <c r="H110" i="5"/>
  <c r="D110" i="5"/>
  <c r="H108" i="5"/>
  <c r="D108" i="5"/>
  <c r="D96" i="5"/>
  <c r="D92" i="5"/>
  <c r="H90" i="5"/>
  <c r="D90" i="5"/>
  <c r="I115" i="4"/>
  <c r="H110" i="4"/>
  <c r="D110" i="4"/>
  <c r="D96" i="4"/>
  <c r="D92" i="4"/>
  <c r="H90" i="4"/>
  <c r="D90" i="4"/>
  <c r="I115" i="2"/>
  <c r="H110" i="2"/>
  <c r="D110" i="2"/>
  <c r="H93" i="2"/>
  <c r="D93" i="2"/>
  <c r="D92" i="2"/>
  <c r="H90" i="2"/>
  <c r="D90" i="2"/>
  <c r="D99" i="1" s="1"/>
  <c r="M131" i="1"/>
  <c r="H131" i="1"/>
  <c r="M389" i="16"/>
  <c r="L389" i="16"/>
  <c r="K389" i="16"/>
  <c r="J389" i="16"/>
  <c r="I389" i="16"/>
  <c r="H389" i="16"/>
  <c r="G389" i="16"/>
  <c r="F389" i="16"/>
  <c r="E389" i="16"/>
  <c r="D389" i="16"/>
  <c r="C389" i="16"/>
  <c r="B389" i="16"/>
  <c r="N388" i="16"/>
  <c r="B114" i="2"/>
  <c r="N386" i="16"/>
  <c r="B112" i="2" s="1"/>
  <c r="N385" i="16"/>
  <c r="B111" i="2"/>
  <c r="N384" i="16"/>
  <c r="B110" i="2" s="1"/>
  <c r="K110" i="2" s="1"/>
  <c r="N383" i="16"/>
  <c r="B109" i="2" s="1"/>
  <c r="N382" i="16"/>
  <c r="B108" i="2" s="1"/>
  <c r="J108" i="2" s="1"/>
  <c r="N381" i="16"/>
  <c r="B107" i="2" s="1"/>
  <c r="K107" i="2" s="1"/>
  <c r="N380" i="16"/>
  <c r="B106" i="2" s="1"/>
  <c r="N379" i="16"/>
  <c r="B105" i="2"/>
  <c r="N378" i="16"/>
  <c r="B104" i="2" s="1"/>
  <c r="N377" i="16"/>
  <c r="B103" i="2" s="1"/>
  <c r="N376" i="16"/>
  <c r="B102" i="2"/>
  <c r="J102" i="2" s="1"/>
  <c r="N375" i="16"/>
  <c r="B101" i="2" s="1"/>
  <c r="M373" i="16"/>
  <c r="L373" i="16"/>
  <c r="K373" i="16"/>
  <c r="J373" i="16"/>
  <c r="I373" i="16"/>
  <c r="H373" i="16"/>
  <c r="G373" i="16"/>
  <c r="F373" i="16"/>
  <c r="E373" i="16"/>
  <c r="D373" i="16"/>
  <c r="C373" i="16"/>
  <c r="N372" i="16"/>
  <c r="B98" i="2" s="1"/>
  <c r="K98" i="2" s="1"/>
  <c r="N371" i="16"/>
  <c r="B97" i="2" s="1"/>
  <c r="N370" i="16"/>
  <c r="N369" i="16"/>
  <c r="B95" i="2" s="1"/>
  <c r="N367" i="16"/>
  <c r="B93" i="2" s="1"/>
  <c r="J93" i="2" s="1"/>
  <c r="N366" i="16"/>
  <c r="B92" i="2" s="1"/>
  <c r="N365" i="16"/>
  <c r="B91" i="2" s="1"/>
  <c r="J91" i="2" s="1"/>
  <c r="N364" i="16"/>
  <c r="B90" i="2" s="1"/>
  <c r="N363" i="16"/>
  <c r="B89" i="2" s="1"/>
  <c r="N362" i="16"/>
  <c r="B88" i="2" s="1"/>
  <c r="F88" i="2" s="1"/>
  <c r="D88" i="2" s="1"/>
  <c r="N361" i="16"/>
  <c r="B87" i="2" s="1"/>
  <c r="J87" i="2" s="1"/>
  <c r="N360" i="16"/>
  <c r="B86" i="2" s="1"/>
  <c r="K86" i="2" s="1"/>
  <c r="M389" i="17"/>
  <c r="L389" i="17"/>
  <c r="K389" i="17"/>
  <c r="J389" i="17"/>
  <c r="I389" i="17"/>
  <c r="H389" i="17"/>
  <c r="G389" i="17"/>
  <c r="F389" i="17"/>
  <c r="E389" i="17"/>
  <c r="D389" i="17"/>
  <c r="C389" i="17"/>
  <c r="B389" i="17"/>
  <c r="N388" i="17"/>
  <c r="B113" i="3" s="1"/>
  <c r="N386" i="17"/>
  <c r="B111" i="3" s="1"/>
  <c r="N385" i="17"/>
  <c r="B110" i="3" s="1"/>
  <c r="N384" i="17"/>
  <c r="B109" i="3" s="1"/>
  <c r="N383" i="17"/>
  <c r="B108" i="3" s="1"/>
  <c r="N382" i="17"/>
  <c r="B107" i="3" s="1"/>
  <c r="N381" i="17"/>
  <c r="B106" i="3" s="1"/>
  <c r="N380" i="17"/>
  <c r="B105" i="3" s="1"/>
  <c r="N379" i="17"/>
  <c r="B104" i="3" s="1"/>
  <c r="N378" i="17"/>
  <c r="B103" i="3" s="1"/>
  <c r="N377" i="17"/>
  <c r="B102" i="3" s="1"/>
  <c r="N376" i="17"/>
  <c r="B101" i="3" s="1"/>
  <c r="N375" i="17"/>
  <c r="B100" i="3" s="1"/>
  <c r="M373" i="17"/>
  <c r="L373" i="17"/>
  <c r="K373" i="17"/>
  <c r="J373" i="17"/>
  <c r="I373" i="17"/>
  <c r="H373" i="17"/>
  <c r="G373" i="17"/>
  <c r="F373" i="17"/>
  <c r="E373" i="17"/>
  <c r="D373" i="17"/>
  <c r="C373" i="17"/>
  <c r="B373" i="17"/>
  <c r="N372" i="17"/>
  <c r="B97" i="3" s="1"/>
  <c r="N371" i="17"/>
  <c r="B96" i="3" s="1"/>
  <c r="N370" i="17"/>
  <c r="B95" i="3" s="1"/>
  <c r="N369" i="17"/>
  <c r="B94" i="3" s="1"/>
  <c r="N367" i="17"/>
  <c r="B92" i="3" s="1"/>
  <c r="N366" i="17"/>
  <c r="B91" i="3" s="1"/>
  <c r="N365" i="17"/>
  <c r="B90" i="3" s="1"/>
  <c r="N364" i="17"/>
  <c r="B89" i="3" s="1"/>
  <c r="N363" i="17"/>
  <c r="B88" i="3" s="1"/>
  <c r="N362" i="17"/>
  <c r="B87" i="3" s="1"/>
  <c r="N361" i="17"/>
  <c r="B86" i="3" s="1"/>
  <c r="N360" i="17"/>
  <c r="B85" i="3" s="1"/>
  <c r="M390" i="15"/>
  <c r="L390" i="15"/>
  <c r="K390" i="15"/>
  <c r="J390" i="15"/>
  <c r="I390" i="15"/>
  <c r="H390" i="15"/>
  <c r="G390" i="15"/>
  <c r="F390" i="15"/>
  <c r="E390" i="15"/>
  <c r="D390" i="15"/>
  <c r="C390" i="15"/>
  <c r="B390" i="15"/>
  <c r="N389" i="15"/>
  <c r="B114" i="4" s="1"/>
  <c r="N387" i="15"/>
  <c r="B112" i="4" s="1"/>
  <c r="N386" i="15"/>
  <c r="B111" i="4" s="1"/>
  <c r="N385" i="15"/>
  <c r="B110" i="4" s="1"/>
  <c r="N384" i="15"/>
  <c r="B109" i="4" s="1"/>
  <c r="F109" i="4" s="1"/>
  <c r="H109" i="4" s="1"/>
  <c r="N383" i="15"/>
  <c r="B108" i="4" s="1"/>
  <c r="N382" i="15"/>
  <c r="B107" i="4" s="1"/>
  <c r="F107" i="4" s="1"/>
  <c r="N381" i="15"/>
  <c r="B106" i="4" s="1"/>
  <c r="F106" i="4" s="1"/>
  <c r="N380" i="15"/>
  <c r="B105" i="4" s="1"/>
  <c r="N379" i="15"/>
  <c r="B104" i="4" s="1"/>
  <c r="K104" i="4" s="1"/>
  <c r="N378" i="15"/>
  <c r="B103" i="4" s="1"/>
  <c r="N377" i="15"/>
  <c r="B102" i="4" s="1"/>
  <c r="F102" i="4" s="1"/>
  <c r="H102" i="4" s="1"/>
  <c r="N376" i="15"/>
  <c r="B101" i="4" s="1"/>
  <c r="K101" i="4" s="1"/>
  <c r="M374" i="15"/>
  <c r="L374" i="15"/>
  <c r="K374" i="15"/>
  <c r="J374" i="15"/>
  <c r="I374" i="15"/>
  <c r="H374" i="15"/>
  <c r="G374" i="15"/>
  <c r="F374" i="15"/>
  <c r="E374" i="15"/>
  <c r="D374" i="15"/>
  <c r="C374" i="15"/>
  <c r="B374" i="15"/>
  <c r="N373" i="15"/>
  <c r="B98" i="4" s="1"/>
  <c r="N372" i="15"/>
  <c r="B97" i="4" s="1"/>
  <c r="N371" i="15"/>
  <c r="B96" i="4" s="1"/>
  <c r="I96" i="4" s="1"/>
  <c r="N370" i="15"/>
  <c r="B95" i="4" s="1"/>
  <c r="N368" i="15"/>
  <c r="B93" i="4" s="1"/>
  <c r="N367" i="15"/>
  <c r="B92" i="4" s="1"/>
  <c r="N366" i="15"/>
  <c r="B91" i="4" s="1"/>
  <c r="K91" i="4" s="1"/>
  <c r="N365" i="15"/>
  <c r="B90" i="4" s="1"/>
  <c r="J90" i="4" s="1"/>
  <c r="N364" i="15"/>
  <c r="B89" i="4" s="1"/>
  <c r="N363" i="15"/>
  <c r="B88" i="4" s="1"/>
  <c r="N362" i="15"/>
  <c r="B87" i="4" s="1"/>
  <c r="I87" i="4" s="1"/>
  <c r="N361" i="15"/>
  <c r="B86" i="4" s="1"/>
  <c r="K86" i="4" s="1"/>
  <c r="M390" i="14"/>
  <c r="L390" i="14"/>
  <c r="K390" i="14"/>
  <c r="J390" i="14"/>
  <c r="I390" i="14"/>
  <c r="H390" i="14"/>
  <c r="G390" i="14"/>
  <c r="F390" i="14"/>
  <c r="E390" i="14"/>
  <c r="D390" i="14"/>
  <c r="C390" i="14"/>
  <c r="B390" i="14"/>
  <c r="N389" i="14"/>
  <c r="B114" i="5"/>
  <c r="N387" i="14"/>
  <c r="B112" i="5" s="1"/>
  <c r="K112" i="5" s="1"/>
  <c r="N386" i="14"/>
  <c r="B111" i="5" s="1"/>
  <c r="J111" i="5" s="1"/>
  <c r="N385" i="14"/>
  <c r="B110" i="5"/>
  <c r="K110" i="5" s="1"/>
  <c r="N384" i="14"/>
  <c r="B109" i="5" s="1"/>
  <c r="N383" i="14"/>
  <c r="B108" i="5" s="1"/>
  <c r="K108" i="5" s="1"/>
  <c r="N382" i="14"/>
  <c r="B107" i="5" s="1"/>
  <c r="N381" i="14"/>
  <c r="B106" i="5" s="1"/>
  <c r="N380" i="14"/>
  <c r="B105" i="5" s="1"/>
  <c r="F105" i="5" s="1"/>
  <c r="N379" i="14"/>
  <c r="B104" i="5" s="1"/>
  <c r="N378" i="14"/>
  <c r="B103" i="5" s="1"/>
  <c r="N377" i="14"/>
  <c r="B102" i="5" s="1"/>
  <c r="N376" i="14"/>
  <c r="B101" i="5" s="1"/>
  <c r="M374" i="14"/>
  <c r="L374" i="14"/>
  <c r="K374" i="14"/>
  <c r="J374" i="14"/>
  <c r="I374" i="14"/>
  <c r="H374" i="14"/>
  <c r="G374" i="14"/>
  <c r="F374" i="14"/>
  <c r="E374" i="14"/>
  <c r="D374" i="14"/>
  <c r="C374" i="14"/>
  <c r="B374" i="14"/>
  <c r="N373" i="14"/>
  <c r="B98" i="5" s="1"/>
  <c r="N372" i="14"/>
  <c r="B97" i="5" s="1"/>
  <c r="N371" i="14"/>
  <c r="B96" i="5" s="1"/>
  <c r="N370" i="14"/>
  <c r="B95" i="5" s="1"/>
  <c r="N368" i="14"/>
  <c r="B93" i="5" s="1"/>
  <c r="N367" i="14"/>
  <c r="B92" i="5" s="1"/>
  <c r="K92" i="5" s="1"/>
  <c r="N366" i="14"/>
  <c r="B91" i="5" s="1"/>
  <c r="N365" i="14"/>
  <c r="B90" i="5" s="1"/>
  <c r="N364" i="14"/>
  <c r="B89" i="5" s="1"/>
  <c r="N363" i="14"/>
  <c r="B88" i="5" s="1"/>
  <c r="F88" i="5" s="1"/>
  <c r="N362" i="14"/>
  <c r="B87" i="5" s="1"/>
  <c r="N361" i="14"/>
  <c r="B86" i="5" s="1"/>
  <c r="M388" i="13"/>
  <c r="L388" i="13"/>
  <c r="K388" i="13"/>
  <c r="J388" i="13"/>
  <c r="I388" i="13"/>
  <c r="H388" i="13"/>
  <c r="G388" i="13"/>
  <c r="F388" i="13"/>
  <c r="E388" i="13"/>
  <c r="D388" i="13"/>
  <c r="C388" i="13"/>
  <c r="B388" i="13"/>
  <c r="N387" i="13"/>
  <c r="B114" i="6" s="1"/>
  <c r="N385" i="13"/>
  <c r="B112" i="6" s="1"/>
  <c r="N384" i="13"/>
  <c r="B111" i="6" s="1"/>
  <c r="N383" i="13"/>
  <c r="B110" i="6" s="1"/>
  <c r="J110" i="6" s="1"/>
  <c r="N382" i="13"/>
  <c r="B109" i="6" s="1"/>
  <c r="N381" i="13"/>
  <c r="B108" i="6" s="1"/>
  <c r="N380" i="13"/>
  <c r="B107" i="6" s="1"/>
  <c r="J107" i="6" s="1"/>
  <c r="N379" i="13"/>
  <c r="B106" i="6" s="1"/>
  <c r="N378" i="13"/>
  <c r="B105" i="6" s="1"/>
  <c r="N377" i="13"/>
  <c r="B104" i="6" s="1"/>
  <c r="J104" i="6" s="1"/>
  <c r="N376" i="13"/>
  <c r="B103" i="6" s="1"/>
  <c r="K103" i="6" s="1"/>
  <c r="N375" i="13"/>
  <c r="B102" i="6" s="1"/>
  <c r="N374" i="13"/>
  <c r="B101" i="6" s="1"/>
  <c r="M372" i="13"/>
  <c r="L372" i="13"/>
  <c r="K372" i="13"/>
  <c r="J372" i="13"/>
  <c r="I372" i="13"/>
  <c r="H372" i="13"/>
  <c r="G372" i="13"/>
  <c r="F372" i="13"/>
  <c r="E372" i="13"/>
  <c r="D372" i="13"/>
  <c r="C372" i="13"/>
  <c r="B372" i="13"/>
  <c r="N371" i="13"/>
  <c r="B98" i="6" s="1"/>
  <c r="J98" i="6" s="1"/>
  <c r="N370" i="13"/>
  <c r="B97" i="6" s="1"/>
  <c r="J97" i="6" s="1"/>
  <c r="N369" i="13"/>
  <c r="B96" i="6" s="1"/>
  <c r="J96" i="6" s="1"/>
  <c r="N368" i="13"/>
  <c r="B95" i="6" s="1"/>
  <c r="K95" i="6" s="1"/>
  <c r="N366" i="13"/>
  <c r="B93" i="6" s="1"/>
  <c r="J93" i="6" s="1"/>
  <c r="N365" i="13"/>
  <c r="B92" i="6" s="1"/>
  <c r="J92" i="6" s="1"/>
  <c r="N364" i="13"/>
  <c r="B91" i="6" s="1"/>
  <c r="N363" i="13"/>
  <c r="B90" i="6" s="1"/>
  <c r="N362" i="13"/>
  <c r="B89" i="6" s="1"/>
  <c r="N361" i="13"/>
  <c r="B88" i="6" s="1"/>
  <c r="N360" i="13"/>
  <c r="B87" i="6" s="1"/>
  <c r="N359" i="13"/>
  <c r="B86" i="6" s="1"/>
  <c r="M390" i="12"/>
  <c r="L390" i="12"/>
  <c r="K390" i="12"/>
  <c r="J390" i="12"/>
  <c r="I390" i="12"/>
  <c r="H390" i="12"/>
  <c r="G390" i="12"/>
  <c r="F390" i="12"/>
  <c r="E390" i="12"/>
  <c r="D390" i="12"/>
  <c r="C390" i="12"/>
  <c r="B390" i="12"/>
  <c r="N389" i="12"/>
  <c r="B114" i="7" s="1"/>
  <c r="N387" i="12"/>
  <c r="B112" i="7" s="1"/>
  <c r="N386" i="12"/>
  <c r="B111" i="7" s="1"/>
  <c r="N385" i="12"/>
  <c r="B110" i="7"/>
  <c r="N384" i="12"/>
  <c r="B109" i="7" s="1"/>
  <c r="F109" i="7" s="1"/>
  <c r="N383" i="12"/>
  <c r="B108" i="7" s="1"/>
  <c r="J108" i="7" s="1"/>
  <c r="N382" i="12"/>
  <c r="B107" i="7" s="1"/>
  <c r="J107" i="7" s="1"/>
  <c r="N381" i="12"/>
  <c r="B106" i="7" s="1"/>
  <c r="N380" i="12"/>
  <c r="B105" i="7" s="1"/>
  <c r="F105" i="7" s="1"/>
  <c r="H105" i="7" s="1"/>
  <c r="N379" i="12"/>
  <c r="B104" i="7" s="1"/>
  <c r="N378" i="12"/>
  <c r="B103" i="7" s="1"/>
  <c r="N377" i="12"/>
  <c r="B102" i="7" s="1"/>
  <c r="N376" i="12"/>
  <c r="B101" i="7" s="1"/>
  <c r="M374" i="12"/>
  <c r="L374" i="12"/>
  <c r="K374" i="12"/>
  <c r="J374" i="12"/>
  <c r="I374" i="12"/>
  <c r="H374" i="12"/>
  <c r="G374" i="12"/>
  <c r="F374" i="12"/>
  <c r="E374" i="12"/>
  <c r="D374" i="12"/>
  <c r="C374" i="12"/>
  <c r="B374" i="12"/>
  <c r="N373" i="12"/>
  <c r="B98" i="7" s="1"/>
  <c r="K98" i="7" s="1"/>
  <c r="N372" i="12"/>
  <c r="B97" i="7" s="1"/>
  <c r="K97" i="7" s="1"/>
  <c r="N371" i="12"/>
  <c r="B96" i="7"/>
  <c r="I96" i="7" s="1"/>
  <c r="N370" i="12"/>
  <c r="B95" i="7" s="1"/>
  <c r="N368" i="12"/>
  <c r="B93" i="7" s="1"/>
  <c r="N367" i="12"/>
  <c r="B92" i="7" s="1"/>
  <c r="K92" i="7" s="1"/>
  <c r="N366" i="12"/>
  <c r="B91" i="7" s="1"/>
  <c r="K91" i="7" s="1"/>
  <c r="N365" i="12"/>
  <c r="B90" i="7" s="1"/>
  <c r="N364" i="12"/>
  <c r="B89" i="7" s="1"/>
  <c r="J89" i="7" s="1"/>
  <c r="N363" i="12"/>
  <c r="B88" i="7" s="1"/>
  <c r="J88" i="7" s="1"/>
  <c r="N362" i="12"/>
  <c r="B87" i="7" s="1"/>
  <c r="J87" i="7" s="1"/>
  <c r="N361" i="12"/>
  <c r="B86" i="7" s="1"/>
  <c r="K86" i="7" s="1"/>
  <c r="M389" i="11"/>
  <c r="L389" i="11"/>
  <c r="K389" i="11"/>
  <c r="J389" i="11"/>
  <c r="I389" i="11"/>
  <c r="H389" i="11"/>
  <c r="G389" i="11"/>
  <c r="F389" i="11"/>
  <c r="E389" i="11"/>
  <c r="D389" i="11"/>
  <c r="C389" i="11"/>
  <c r="B389" i="11"/>
  <c r="N388" i="11"/>
  <c r="B114" i="8" s="1"/>
  <c r="N386" i="11"/>
  <c r="B112" i="8" s="1"/>
  <c r="F112" i="8" s="1"/>
  <c r="N385" i="11"/>
  <c r="B111" i="8" s="1"/>
  <c r="K111" i="8" s="1"/>
  <c r="N384" i="11"/>
  <c r="B110" i="8"/>
  <c r="K110" i="8" s="1"/>
  <c r="N383" i="11"/>
  <c r="B109" i="8" s="1"/>
  <c r="N382" i="11"/>
  <c r="B108" i="8" s="1"/>
  <c r="N381" i="11"/>
  <c r="B107" i="8" s="1"/>
  <c r="F107" i="8" s="1"/>
  <c r="D107" i="8" s="1"/>
  <c r="N380" i="11"/>
  <c r="B106" i="8" s="1"/>
  <c r="J106" i="8" s="1"/>
  <c r="N379" i="11"/>
  <c r="B105" i="8" s="1"/>
  <c r="J105" i="8" s="1"/>
  <c r="N378" i="11"/>
  <c r="B104" i="8" s="1"/>
  <c r="K104" i="8" s="1"/>
  <c r="N377" i="11"/>
  <c r="B103" i="8" s="1"/>
  <c r="N376" i="11"/>
  <c r="B102" i="8" s="1"/>
  <c r="N375" i="11"/>
  <c r="B101" i="8" s="1"/>
  <c r="K101" i="8" s="1"/>
  <c r="M373" i="11"/>
  <c r="L373" i="11"/>
  <c r="K373" i="11"/>
  <c r="J373" i="11"/>
  <c r="I373" i="11"/>
  <c r="H373" i="11"/>
  <c r="G373" i="11"/>
  <c r="F373" i="11"/>
  <c r="E373" i="11"/>
  <c r="D373" i="11"/>
  <c r="C373" i="11"/>
  <c r="B373" i="11"/>
  <c r="N372" i="11"/>
  <c r="B98" i="8" s="1"/>
  <c r="K98" i="8" s="1"/>
  <c r="N371" i="11"/>
  <c r="B97" i="8" s="1"/>
  <c r="N370" i="11"/>
  <c r="B96" i="8" s="1"/>
  <c r="N369" i="11"/>
  <c r="B95" i="8" s="1"/>
  <c r="F95" i="8" s="1"/>
  <c r="D95" i="8" s="1"/>
  <c r="N367" i="11"/>
  <c r="B93" i="8" s="1"/>
  <c r="N366" i="11"/>
  <c r="B92" i="8" s="1"/>
  <c r="N365" i="11"/>
  <c r="B91" i="8" s="1"/>
  <c r="F91" i="8" s="1"/>
  <c r="D91" i="8" s="1"/>
  <c r="N364" i="11"/>
  <c r="B90" i="8" s="1"/>
  <c r="N363" i="11"/>
  <c r="B89" i="8" s="1"/>
  <c r="N362" i="11"/>
  <c r="B88" i="8" s="1"/>
  <c r="I88" i="8" s="1"/>
  <c r="N361" i="11"/>
  <c r="B87" i="8" s="1"/>
  <c r="I87" i="8" s="1"/>
  <c r="N360" i="11"/>
  <c r="B86" i="8" s="1"/>
  <c r="K86" i="8" s="1"/>
  <c r="M389" i="10"/>
  <c r="L389" i="10"/>
  <c r="K389" i="10"/>
  <c r="J389" i="10"/>
  <c r="I389" i="10"/>
  <c r="H389" i="10"/>
  <c r="G389" i="10"/>
  <c r="F389" i="10"/>
  <c r="E389" i="10"/>
  <c r="D389" i="10"/>
  <c r="C389" i="10"/>
  <c r="B389" i="10"/>
  <c r="N388" i="10"/>
  <c r="B114" i="9" s="1"/>
  <c r="K114" i="9" s="1"/>
  <c r="J114" i="9" s="1"/>
  <c r="N386" i="10"/>
  <c r="B112" i="9" s="1"/>
  <c r="N385" i="10"/>
  <c r="B111" i="9" s="1"/>
  <c r="J111" i="9" s="1"/>
  <c r="N384" i="10"/>
  <c r="B110" i="9" s="1"/>
  <c r="N382" i="10"/>
  <c r="B108" i="9" s="1"/>
  <c r="K108" i="9" s="1"/>
  <c r="N381" i="10"/>
  <c r="B107" i="9" s="1"/>
  <c r="N380" i="10"/>
  <c r="B106" i="9" s="1"/>
  <c r="J106" i="9" s="1"/>
  <c r="N379" i="10"/>
  <c r="B105" i="9" s="1"/>
  <c r="F105" i="9" s="1"/>
  <c r="B104" i="9"/>
  <c r="J104" i="9" s="1"/>
  <c r="N377" i="10"/>
  <c r="B103" i="9" s="1"/>
  <c r="J103" i="9" s="1"/>
  <c r="N376" i="10"/>
  <c r="B102" i="9" s="1"/>
  <c r="N375" i="10"/>
  <c r="M373" i="10"/>
  <c r="L373" i="10"/>
  <c r="K373" i="10"/>
  <c r="J373" i="10"/>
  <c r="I373" i="10"/>
  <c r="H373" i="10"/>
  <c r="G373" i="10"/>
  <c r="F373" i="10"/>
  <c r="E373" i="10"/>
  <c r="D373" i="10"/>
  <c r="C373" i="10"/>
  <c r="B373" i="10"/>
  <c r="N372" i="10"/>
  <c r="B98" i="9" s="1"/>
  <c r="F98" i="9" s="1"/>
  <c r="D98" i="9" s="1"/>
  <c r="N371" i="10"/>
  <c r="B97" i="9" s="1"/>
  <c r="N370" i="10"/>
  <c r="B96" i="9" s="1"/>
  <c r="N369" i="10"/>
  <c r="B95" i="9" s="1"/>
  <c r="K95" i="9" s="1"/>
  <c r="J95" i="9" s="1"/>
  <c r="N367" i="10"/>
  <c r="B93" i="9" s="1"/>
  <c r="N366" i="10"/>
  <c r="B92" i="9" s="1"/>
  <c r="N365" i="10"/>
  <c r="B91" i="9" s="1"/>
  <c r="J91" i="9" s="1"/>
  <c r="N364" i="10"/>
  <c r="B90" i="9" s="1"/>
  <c r="K90" i="9" s="1"/>
  <c r="N363" i="10"/>
  <c r="N362" i="10"/>
  <c r="B88" i="9" s="1"/>
  <c r="F88" i="9" s="1"/>
  <c r="D88" i="9" s="1"/>
  <c r="N361" i="10"/>
  <c r="B87" i="9" s="1"/>
  <c r="N360" i="10"/>
  <c r="B86" i="9" s="1"/>
  <c r="F86" i="9" s="1"/>
  <c r="J97" i="7"/>
  <c r="K98" i="9"/>
  <c r="J95" i="6"/>
  <c r="F98" i="5"/>
  <c r="J112" i="4"/>
  <c r="J104" i="8"/>
  <c r="K87" i="6"/>
  <c r="K91" i="2"/>
  <c r="K109" i="6"/>
  <c r="F112" i="6"/>
  <c r="H112" i="6" s="1"/>
  <c r="K88" i="5"/>
  <c r="F108" i="9"/>
  <c r="H108" i="9" s="1"/>
  <c r="K107" i="8"/>
  <c r="J104" i="5"/>
  <c r="F112" i="5"/>
  <c r="H112" i="5" s="1"/>
  <c r="J103" i="4"/>
  <c r="F111" i="4"/>
  <c r="J106" i="6"/>
  <c r="J92" i="5"/>
  <c r="J106" i="4"/>
  <c r="J88" i="8"/>
  <c r="F93" i="5"/>
  <c r="B96" i="2"/>
  <c r="F105" i="2"/>
  <c r="D105" i="2" s="1"/>
  <c r="F114" i="9"/>
  <c r="D89" i="6"/>
  <c r="D112" i="6"/>
  <c r="H107" i="8"/>
  <c r="I88" i="7"/>
  <c r="H91" i="7"/>
  <c r="H91" i="6"/>
  <c r="J164" i="1"/>
  <c r="L150" i="2"/>
  <c r="M150" i="2" s="1"/>
  <c r="L151" i="4"/>
  <c r="L150" i="6"/>
  <c r="L150" i="7"/>
  <c r="M150" i="7" s="1"/>
  <c r="L150" i="8"/>
  <c r="M150" i="8" s="1"/>
  <c r="L150" i="9"/>
  <c r="M150" i="9" s="1"/>
  <c r="K164" i="1"/>
  <c r="H98" i="9"/>
  <c r="K139" i="9"/>
  <c r="L104" i="1"/>
  <c r="L123" i="1"/>
  <c r="L129" i="2"/>
  <c r="L130" i="2"/>
  <c r="M130" i="2" s="1"/>
  <c r="L131" i="2"/>
  <c r="L132" i="2"/>
  <c r="M132" i="2" s="1"/>
  <c r="L133" i="2"/>
  <c r="L135" i="2"/>
  <c r="L136" i="2"/>
  <c r="M136" i="2" s="1"/>
  <c r="L137" i="2"/>
  <c r="M137" i="2" s="1"/>
  <c r="L138" i="2"/>
  <c r="L141" i="2"/>
  <c r="L142" i="2"/>
  <c r="L143" i="2"/>
  <c r="L144" i="2"/>
  <c r="L145" i="2"/>
  <c r="L146" i="2"/>
  <c r="L147" i="2"/>
  <c r="L148" i="2"/>
  <c r="L149" i="2"/>
  <c r="L151" i="2"/>
  <c r="L152" i="2"/>
  <c r="L154" i="2"/>
  <c r="L126" i="2"/>
  <c r="L128" i="3"/>
  <c r="L129" i="3"/>
  <c r="M129" i="3" s="1"/>
  <c r="L130" i="3"/>
  <c r="L131" i="3"/>
  <c r="M131" i="3" s="1"/>
  <c r="L132" i="3"/>
  <c r="L134" i="3"/>
  <c r="L135" i="3"/>
  <c r="L136" i="3"/>
  <c r="M136" i="3" s="1"/>
  <c r="L137" i="3"/>
  <c r="M137" i="3" s="1"/>
  <c r="L140" i="3"/>
  <c r="L141" i="3"/>
  <c r="L142" i="3"/>
  <c r="L143" i="3"/>
  <c r="L144" i="3"/>
  <c r="L145" i="3"/>
  <c r="L146" i="3"/>
  <c r="L147" i="3"/>
  <c r="L148" i="3"/>
  <c r="L149" i="3"/>
  <c r="M149" i="3" s="1"/>
  <c r="L150" i="3"/>
  <c r="L151" i="3"/>
  <c r="L125" i="3"/>
  <c r="L130" i="4"/>
  <c r="L131" i="4"/>
  <c r="L132" i="4"/>
  <c r="L133" i="4"/>
  <c r="L134" i="4"/>
  <c r="L136" i="4"/>
  <c r="L137" i="4"/>
  <c r="M137" i="4" s="1"/>
  <c r="L138" i="4"/>
  <c r="M138" i="4" s="1"/>
  <c r="L139" i="4"/>
  <c r="M139" i="4" s="1"/>
  <c r="L142" i="4"/>
  <c r="L143" i="4"/>
  <c r="L144" i="4"/>
  <c r="L145" i="4"/>
  <c r="L146" i="4"/>
  <c r="L147" i="4"/>
  <c r="L148" i="4"/>
  <c r="L149" i="4"/>
  <c r="L150" i="4"/>
  <c r="L152" i="4"/>
  <c r="L153" i="4"/>
  <c r="L127" i="4"/>
  <c r="L129" i="5"/>
  <c r="L130" i="5"/>
  <c r="L131" i="5"/>
  <c r="L132" i="5"/>
  <c r="M132" i="5" s="1"/>
  <c r="L133" i="5"/>
  <c r="L135" i="5"/>
  <c r="L136" i="5"/>
  <c r="M136" i="5" s="1"/>
  <c r="L137" i="5"/>
  <c r="M137" i="5" s="1"/>
  <c r="L138" i="5"/>
  <c r="L141" i="5"/>
  <c r="L142" i="5"/>
  <c r="L143" i="5"/>
  <c r="L144" i="5"/>
  <c r="L145" i="5"/>
  <c r="L146" i="5"/>
  <c r="L147" i="5"/>
  <c r="L148" i="5"/>
  <c r="L149" i="5"/>
  <c r="L150" i="5"/>
  <c r="L151" i="5"/>
  <c r="L152" i="5"/>
  <c r="L126" i="5"/>
  <c r="L129" i="6"/>
  <c r="L130" i="6"/>
  <c r="M130" i="6" s="1"/>
  <c r="L131" i="6"/>
  <c r="L132" i="6"/>
  <c r="M132" i="6" s="1"/>
  <c r="L133" i="6"/>
  <c r="M133" i="6" s="1"/>
  <c r="L135" i="6"/>
  <c r="L136" i="6"/>
  <c r="M136" i="6" s="1"/>
  <c r="L137" i="6"/>
  <c r="L138" i="6"/>
  <c r="M138" i="6" s="1"/>
  <c r="L141" i="6"/>
  <c r="L142" i="6"/>
  <c r="L143" i="6"/>
  <c r="L144" i="6"/>
  <c r="L145" i="6"/>
  <c r="L146" i="6"/>
  <c r="L147" i="6"/>
  <c r="L148" i="6"/>
  <c r="L149" i="6"/>
  <c r="L151" i="6"/>
  <c r="L152" i="6"/>
  <c r="L126" i="6"/>
  <c r="L129" i="7"/>
  <c r="L130" i="7"/>
  <c r="M130" i="7" s="1"/>
  <c r="L131" i="7"/>
  <c r="L132" i="7"/>
  <c r="M132" i="7" s="1"/>
  <c r="L133" i="7"/>
  <c r="L135" i="7"/>
  <c r="L136" i="7"/>
  <c r="M136" i="7" s="1"/>
  <c r="L137" i="7"/>
  <c r="M137" i="7" s="1"/>
  <c r="L138" i="7"/>
  <c r="M138" i="7" s="1"/>
  <c r="L141" i="7"/>
  <c r="L142" i="7"/>
  <c r="L143" i="7"/>
  <c r="L144" i="7"/>
  <c r="L145" i="7"/>
  <c r="L146" i="7"/>
  <c r="L147" i="7"/>
  <c r="L148" i="7"/>
  <c r="L149" i="7"/>
  <c r="L151" i="7"/>
  <c r="M151" i="7" s="1"/>
  <c r="L152" i="7"/>
  <c r="L126" i="7"/>
  <c r="L135" i="8"/>
  <c r="L136" i="8"/>
  <c r="M136" i="8" s="1"/>
  <c r="L137" i="8"/>
  <c r="M137" i="8" s="1"/>
  <c r="L138" i="8"/>
  <c r="M138" i="8" s="1"/>
  <c r="L141" i="8"/>
  <c r="L142" i="8"/>
  <c r="L143" i="8"/>
  <c r="L144" i="8"/>
  <c r="L145" i="8"/>
  <c r="L146" i="8"/>
  <c r="L147" i="8"/>
  <c r="L148" i="8"/>
  <c r="L149" i="8"/>
  <c r="L151" i="8"/>
  <c r="L152" i="8"/>
  <c r="L129" i="8"/>
  <c r="L130" i="8"/>
  <c r="M130" i="8" s="1"/>
  <c r="L131" i="8"/>
  <c r="L132" i="8"/>
  <c r="L133" i="8"/>
  <c r="L126" i="8"/>
  <c r="L142" i="9"/>
  <c r="L143" i="9"/>
  <c r="L144" i="9"/>
  <c r="L145" i="9"/>
  <c r="L146" i="9"/>
  <c r="L147" i="9"/>
  <c r="L148" i="9"/>
  <c r="L149" i="9"/>
  <c r="L151" i="9"/>
  <c r="L152" i="9"/>
  <c r="L141" i="9"/>
  <c r="L126" i="9"/>
  <c r="L129" i="9"/>
  <c r="L130" i="9"/>
  <c r="L131" i="9"/>
  <c r="L132" i="9"/>
  <c r="M132" i="9" s="1"/>
  <c r="L133" i="9"/>
  <c r="L135" i="9"/>
  <c r="L136" i="9"/>
  <c r="M136" i="9" s="1"/>
  <c r="L137" i="9"/>
  <c r="L138" i="9"/>
  <c r="K149" i="1"/>
  <c r="M137" i="9"/>
  <c r="M138" i="9"/>
  <c r="M130" i="9"/>
  <c r="M132" i="8"/>
  <c r="M150" i="6"/>
  <c r="M137" i="6"/>
  <c r="M148" i="5"/>
  <c r="M150" i="5"/>
  <c r="M138" i="5"/>
  <c r="M130" i="5"/>
  <c r="M151" i="4"/>
  <c r="M131" i="4"/>
  <c r="M133" i="4"/>
  <c r="I200" i="1"/>
  <c r="J200" i="1"/>
  <c r="K200" i="1"/>
  <c r="I201" i="1"/>
  <c r="J201" i="1"/>
  <c r="K201" i="1"/>
  <c r="I202" i="1"/>
  <c r="J202" i="1"/>
  <c r="K202" i="1"/>
  <c r="I203" i="1"/>
  <c r="J203" i="1"/>
  <c r="K203" i="1"/>
  <c r="I204" i="1"/>
  <c r="J204" i="1"/>
  <c r="K204" i="1"/>
  <c r="I205" i="1"/>
  <c r="J205" i="1"/>
  <c r="K205" i="1"/>
  <c r="I206" i="1"/>
  <c r="J206" i="1"/>
  <c r="K206" i="1"/>
  <c r="I207" i="1"/>
  <c r="J207" i="1"/>
  <c r="K207" i="1"/>
  <c r="I208" i="1"/>
  <c r="J208" i="1"/>
  <c r="K208" i="1"/>
  <c r="I209" i="1"/>
  <c r="J209" i="1"/>
  <c r="K209" i="1"/>
  <c r="I210" i="1"/>
  <c r="J210" i="1"/>
  <c r="K210" i="1"/>
  <c r="I212" i="1"/>
  <c r="K199" i="1"/>
  <c r="J199" i="1"/>
  <c r="I199" i="1"/>
  <c r="I194" i="1"/>
  <c r="J194" i="1"/>
  <c r="K194" i="1"/>
  <c r="I195" i="1"/>
  <c r="J195" i="1"/>
  <c r="K195" i="1"/>
  <c r="I196" i="1"/>
  <c r="J196" i="1"/>
  <c r="K196" i="1"/>
  <c r="I193" i="1"/>
  <c r="I188" i="1"/>
  <c r="I189" i="1"/>
  <c r="J189" i="1"/>
  <c r="K189" i="1"/>
  <c r="I190" i="1"/>
  <c r="I191" i="1"/>
  <c r="I185" i="1"/>
  <c r="J185" i="1"/>
  <c r="K185" i="1"/>
  <c r="F196" i="1"/>
  <c r="L238" i="1"/>
  <c r="M238" i="1" s="1"/>
  <c r="L237" i="1"/>
  <c r="I164" i="1"/>
  <c r="L213" i="5"/>
  <c r="M213" i="5" s="1"/>
  <c r="I155" i="8"/>
  <c r="I325" i="8"/>
  <c r="F259" i="8"/>
  <c r="L176" i="1"/>
  <c r="M176" i="1" s="1"/>
  <c r="H146" i="1"/>
  <c r="H150" i="1"/>
  <c r="I140" i="1"/>
  <c r="F144" i="1"/>
  <c r="F146" i="1"/>
  <c r="H133" i="2"/>
  <c r="J146" i="1"/>
  <c r="I146" i="1"/>
  <c r="K146" i="1"/>
  <c r="J138" i="3"/>
  <c r="K138" i="3"/>
  <c r="J140" i="4"/>
  <c r="K140" i="4"/>
  <c r="J139" i="2"/>
  <c r="K139" i="2"/>
  <c r="H137" i="3"/>
  <c r="D139" i="4"/>
  <c r="J139" i="5"/>
  <c r="K139" i="5"/>
  <c r="J139" i="9"/>
  <c r="J139" i="8"/>
  <c r="K139" i="8"/>
  <c r="J139" i="7"/>
  <c r="K139" i="7"/>
  <c r="K139" i="6"/>
  <c r="J139" i="6"/>
  <c r="D177" i="9"/>
  <c r="D138" i="9"/>
  <c r="H130" i="2"/>
  <c r="H131" i="4"/>
  <c r="H129" i="3"/>
  <c r="N331" i="16"/>
  <c r="B132" i="2" s="1"/>
  <c r="D132" i="2"/>
  <c r="N332" i="17"/>
  <c r="D131" i="3"/>
  <c r="N332" i="15"/>
  <c r="B133" i="4" s="1"/>
  <c r="N332" i="14"/>
  <c r="B132" i="5" s="1"/>
  <c r="N330" i="13"/>
  <c r="B132" i="6" s="1"/>
  <c r="D132" i="7"/>
  <c r="N332" i="12"/>
  <c r="B132" i="7" s="1"/>
  <c r="N332" i="11"/>
  <c r="B132" i="8" s="1"/>
  <c r="N341" i="10"/>
  <c r="D339" i="10"/>
  <c r="E339" i="10"/>
  <c r="F339" i="10"/>
  <c r="G339" i="10"/>
  <c r="H339" i="10"/>
  <c r="I339" i="10"/>
  <c r="J339" i="10"/>
  <c r="K339" i="10"/>
  <c r="L339" i="10"/>
  <c r="M339" i="10"/>
  <c r="C339" i="10"/>
  <c r="B339" i="10"/>
  <c r="N332" i="10"/>
  <c r="B132" i="9" s="1"/>
  <c r="D132" i="9"/>
  <c r="D133" i="4"/>
  <c r="D132" i="6"/>
  <c r="D132" i="8"/>
  <c r="D130" i="8"/>
  <c r="D132" i="5"/>
  <c r="H150" i="8"/>
  <c r="H137" i="9"/>
  <c r="N337" i="16"/>
  <c r="M338" i="16"/>
  <c r="L338" i="16"/>
  <c r="K338" i="16"/>
  <c r="J338" i="16"/>
  <c r="I338" i="16"/>
  <c r="H338" i="16"/>
  <c r="G338" i="16"/>
  <c r="F338" i="16"/>
  <c r="E338" i="16"/>
  <c r="D338" i="16"/>
  <c r="C338" i="16"/>
  <c r="B338" i="16"/>
  <c r="M339" i="17"/>
  <c r="L339" i="17"/>
  <c r="K339" i="17"/>
  <c r="J339" i="17"/>
  <c r="I339" i="17"/>
  <c r="H339" i="17"/>
  <c r="G339" i="17"/>
  <c r="F339" i="17"/>
  <c r="E339" i="17"/>
  <c r="D339" i="17"/>
  <c r="C339" i="17"/>
  <c r="B339" i="17"/>
  <c r="M339" i="15"/>
  <c r="L339" i="15"/>
  <c r="K339" i="15"/>
  <c r="J339" i="15"/>
  <c r="I339" i="15"/>
  <c r="H339" i="15"/>
  <c r="G339" i="15"/>
  <c r="F339" i="15"/>
  <c r="E339" i="15"/>
  <c r="D339" i="15"/>
  <c r="C339" i="15"/>
  <c r="B339" i="15"/>
  <c r="M339" i="14"/>
  <c r="L339" i="14"/>
  <c r="K339" i="14"/>
  <c r="J339" i="14"/>
  <c r="I339" i="14"/>
  <c r="H339" i="14"/>
  <c r="G339" i="14"/>
  <c r="F339" i="14"/>
  <c r="E339" i="14"/>
  <c r="D339" i="14"/>
  <c r="C339" i="14"/>
  <c r="B339" i="14"/>
  <c r="M337" i="13"/>
  <c r="L337" i="13"/>
  <c r="K337" i="13"/>
  <c r="J337" i="13"/>
  <c r="I337" i="13"/>
  <c r="H337" i="13"/>
  <c r="G337" i="13"/>
  <c r="F337" i="13"/>
  <c r="E337" i="13"/>
  <c r="D337" i="13"/>
  <c r="C337" i="13"/>
  <c r="B337" i="13"/>
  <c r="M339" i="12"/>
  <c r="L339" i="12"/>
  <c r="K339" i="12"/>
  <c r="J339" i="12"/>
  <c r="I339" i="12"/>
  <c r="H339" i="12"/>
  <c r="G339" i="12"/>
  <c r="F339" i="12"/>
  <c r="E339" i="12"/>
  <c r="D339" i="12"/>
  <c r="C339" i="12"/>
  <c r="B339" i="12"/>
  <c r="M355" i="11"/>
  <c r="L355" i="11"/>
  <c r="K355" i="11"/>
  <c r="J355" i="11"/>
  <c r="I355" i="11"/>
  <c r="H355" i="11"/>
  <c r="G355" i="11"/>
  <c r="F355" i="11"/>
  <c r="E355" i="11"/>
  <c r="D355" i="11"/>
  <c r="C355" i="11"/>
  <c r="B355" i="11"/>
  <c r="M339" i="11"/>
  <c r="L339" i="11"/>
  <c r="K339" i="11"/>
  <c r="J339" i="11"/>
  <c r="I339" i="11"/>
  <c r="H339" i="11"/>
  <c r="G339" i="11"/>
  <c r="F339" i="11"/>
  <c r="E339" i="11"/>
  <c r="D339" i="11"/>
  <c r="C339" i="11"/>
  <c r="B339" i="11"/>
  <c r="N330" i="11"/>
  <c r="B130" i="8" s="1"/>
  <c r="N354" i="11"/>
  <c r="N352" i="11"/>
  <c r="B152" i="8" s="1"/>
  <c r="F152" i="8" s="1"/>
  <c r="H152" i="8" s="1"/>
  <c r="N351" i="11"/>
  <c r="B151" i="8" s="1"/>
  <c r="F151" i="8" s="1"/>
  <c r="D151" i="8" s="1"/>
  <c r="N350" i="11"/>
  <c r="B150" i="8" s="1"/>
  <c r="N349" i="11"/>
  <c r="N348" i="11"/>
  <c r="B148" i="8" s="1"/>
  <c r="F148" i="8" s="1"/>
  <c r="N347" i="11"/>
  <c r="B147" i="8" s="1"/>
  <c r="F147" i="8" s="1"/>
  <c r="N346" i="11"/>
  <c r="B146" i="8" s="1"/>
  <c r="F146" i="8" s="1"/>
  <c r="N345" i="11"/>
  <c r="N344" i="11"/>
  <c r="B144" i="8" s="1"/>
  <c r="F144" i="8" s="1"/>
  <c r="H144" i="8" s="1"/>
  <c r="N343" i="11"/>
  <c r="B143" i="8" s="1"/>
  <c r="F143" i="8" s="1"/>
  <c r="N342" i="11"/>
  <c r="B142" i="8" s="1"/>
  <c r="N341" i="11"/>
  <c r="N338" i="11"/>
  <c r="B138" i="8" s="1"/>
  <c r="N337" i="11"/>
  <c r="B137" i="8" s="1"/>
  <c r="N336" i="11"/>
  <c r="B136" i="8" s="1"/>
  <c r="N335" i="11"/>
  <c r="B135" i="8" s="1"/>
  <c r="F135" i="8" s="1"/>
  <c r="M135" i="8" s="1"/>
  <c r="N333" i="11"/>
  <c r="B133" i="8" s="1"/>
  <c r="F133" i="8" s="1"/>
  <c r="N331" i="11"/>
  <c r="B131" i="8" s="1"/>
  <c r="F131" i="8" s="1"/>
  <c r="N329" i="11"/>
  <c r="B129" i="8" s="1"/>
  <c r="F129" i="8" s="1"/>
  <c r="N328" i="11"/>
  <c r="N327" i="11"/>
  <c r="B127" i="8" s="1"/>
  <c r="N326" i="11"/>
  <c r="B126" i="8" s="1"/>
  <c r="B355" i="10"/>
  <c r="I362" i="8"/>
  <c r="I168" i="1"/>
  <c r="F150" i="1"/>
  <c r="F151" i="1"/>
  <c r="F152" i="1"/>
  <c r="J155" i="1"/>
  <c r="K155" i="1"/>
  <c r="J156" i="1"/>
  <c r="K156" i="1"/>
  <c r="J157" i="1"/>
  <c r="K157" i="1"/>
  <c r="J158" i="1"/>
  <c r="K158" i="1"/>
  <c r="J159" i="1"/>
  <c r="K159" i="1"/>
  <c r="J160" i="1"/>
  <c r="K160" i="1"/>
  <c r="J161" i="1"/>
  <c r="K161" i="1"/>
  <c r="J162" i="1"/>
  <c r="K162" i="1"/>
  <c r="J163" i="1"/>
  <c r="K163" i="1"/>
  <c r="J165" i="1"/>
  <c r="K165" i="1"/>
  <c r="J166" i="1"/>
  <c r="K166" i="1"/>
  <c r="I156" i="1"/>
  <c r="I157" i="1"/>
  <c r="I158" i="1"/>
  <c r="I159" i="1"/>
  <c r="I160" i="1"/>
  <c r="I161" i="1"/>
  <c r="I162" i="1"/>
  <c r="I163" i="1"/>
  <c r="I165" i="1"/>
  <c r="I166" i="1"/>
  <c r="I155" i="1"/>
  <c r="F164" i="1"/>
  <c r="I149" i="1"/>
  <c r="J149" i="1"/>
  <c r="I150" i="1"/>
  <c r="J150" i="1"/>
  <c r="K150" i="1"/>
  <c r="I151" i="1"/>
  <c r="J151" i="1"/>
  <c r="K151" i="1"/>
  <c r="J152" i="1"/>
  <c r="K152" i="1"/>
  <c r="I152" i="1"/>
  <c r="I147" i="1"/>
  <c r="K140" i="1"/>
  <c r="K141" i="1"/>
  <c r="K142" i="1"/>
  <c r="K143" i="1"/>
  <c r="K144" i="1"/>
  <c r="K145" i="1"/>
  <c r="J140" i="1"/>
  <c r="J141" i="1"/>
  <c r="J142" i="1"/>
  <c r="J143" i="1"/>
  <c r="J144" i="1"/>
  <c r="J145" i="1"/>
  <c r="I143" i="1"/>
  <c r="I144" i="1"/>
  <c r="I145" i="1"/>
  <c r="K147" i="1"/>
  <c r="J147" i="1"/>
  <c r="D137" i="2"/>
  <c r="N336" i="16"/>
  <c r="B137" i="2" s="1"/>
  <c r="H136" i="3"/>
  <c r="D136" i="3"/>
  <c r="N337" i="17"/>
  <c r="D138" i="4"/>
  <c r="N337" i="15"/>
  <c r="B138" i="4" s="1"/>
  <c r="D137" i="5"/>
  <c r="N337" i="14"/>
  <c r="B137" i="5"/>
  <c r="D137" i="6"/>
  <c r="N337" i="12"/>
  <c r="B137" i="7" s="1"/>
  <c r="N335" i="13"/>
  <c r="B137" i="6" s="1"/>
  <c r="D137" i="7"/>
  <c r="B141" i="8"/>
  <c r="F141" i="8" s="1"/>
  <c r="B145" i="8"/>
  <c r="F145" i="8" s="1"/>
  <c r="B149" i="8"/>
  <c r="F149" i="8" s="1"/>
  <c r="B154" i="8"/>
  <c r="K154" i="8" s="1"/>
  <c r="K155" i="8" s="1"/>
  <c r="K156" i="8" s="1"/>
  <c r="D137" i="8"/>
  <c r="D137" i="9"/>
  <c r="N337" i="10"/>
  <c r="B137" i="9" s="1"/>
  <c r="B138" i="2"/>
  <c r="B128" i="8"/>
  <c r="J155" i="2"/>
  <c r="I155" i="2"/>
  <c r="H138" i="2"/>
  <c r="D136" i="2"/>
  <c r="M355" i="16"/>
  <c r="L355" i="16"/>
  <c r="J355" i="16"/>
  <c r="I355" i="16"/>
  <c r="H355" i="16"/>
  <c r="G355" i="16"/>
  <c r="F355" i="16"/>
  <c r="E355" i="16"/>
  <c r="D355" i="16"/>
  <c r="C355" i="16"/>
  <c r="B355" i="16"/>
  <c r="N354" i="16"/>
  <c r="B154" i="2" s="1"/>
  <c r="F154" i="2" s="1"/>
  <c r="D154" i="2" s="1"/>
  <c r="N352" i="16"/>
  <c r="B152" i="2" s="1"/>
  <c r="F152" i="2" s="1"/>
  <c r="N351" i="16"/>
  <c r="B151" i="2" s="1"/>
  <c r="N350" i="16"/>
  <c r="N349" i="16"/>
  <c r="B149" i="2" s="1"/>
  <c r="F149" i="2" s="1"/>
  <c r="M149" i="2" s="1"/>
  <c r="N348" i="16"/>
  <c r="B148" i="2" s="1"/>
  <c r="F148" i="2" s="1"/>
  <c r="N347" i="16"/>
  <c r="N346" i="16"/>
  <c r="N345" i="16"/>
  <c r="N344" i="16"/>
  <c r="B144" i="2" s="1"/>
  <c r="F144" i="2" s="1"/>
  <c r="N343" i="16"/>
  <c r="B143" i="2" s="1"/>
  <c r="N342" i="16"/>
  <c r="B142" i="2" s="1"/>
  <c r="K355" i="16"/>
  <c r="N335" i="16"/>
  <c r="B136" i="2" s="1"/>
  <c r="N334" i="16"/>
  <c r="B135" i="2" s="1"/>
  <c r="N332" i="16"/>
  <c r="B133" i="2" s="1"/>
  <c r="N330" i="16"/>
  <c r="B131" i="2" s="1"/>
  <c r="F131" i="2" s="1"/>
  <c r="N329" i="16"/>
  <c r="N328" i="16"/>
  <c r="B129" i="2" s="1"/>
  <c r="F129" i="2" s="1"/>
  <c r="D129" i="2" s="1"/>
  <c r="N327" i="16"/>
  <c r="B128" i="2" s="1"/>
  <c r="N326" i="16"/>
  <c r="B127" i="2"/>
  <c r="N325" i="16"/>
  <c r="B126" i="2" s="1"/>
  <c r="F126" i="2" s="1"/>
  <c r="I154" i="3"/>
  <c r="D149" i="3"/>
  <c r="D137" i="3"/>
  <c r="D135" i="3"/>
  <c r="D129" i="3"/>
  <c r="M355" i="17"/>
  <c r="L355" i="17"/>
  <c r="K355" i="17"/>
  <c r="J355" i="17"/>
  <c r="I355" i="17"/>
  <c r="H355" i="17"/>
  <c r="G355" i="17"/>
  <c r="F355" i="17"/>
  <c r="E355" i="17"/>
  <c r="D355" i="17"/>
  <c r="C355" i="17"/>
  <c r="B355" i="17"/>
  <c r="N354" i="17"/>
  <c r="B153" i="3"/>
  <c r="K153" i="3" s="1"/>
  <c r="K154" i="3" s="1"/>
  <c r="N352" i="17"/>
  <c r="N351" i="17"/>
  <c r="B150" i="3" s="1"/>
  <c r="F150" i="3" s="1"/>
  <c r="D150" i="3" s="1"/>
  <c r="N350" i="17"/>
  <c r="B149" i="3" s="1"/>
  <c r="N349" i="17"/>
  <c r="B148" i="3" s="1"/>
  <c r="F148" i="3" s="1"/>
  <c r="N348" i="17"/>
  <c r="B147" i="3" s="1"/>
  <c r="F147" i="3" s="1"/>
  <c r="D147" i="3" s="1"/>
  <c r="N347" i="17"/>
  <c r="B146" i="3" s="1"/>
  <c r="F146" i="3" s="1"/>
  <c r="D146" i="3" s="1"/>
  <c r="N346" i="17"/>
  <c r="N345" i="17"/>
  <c r="B144" i="3" s="1"/>
  <c r="F144" i="3" s="1"/>
  <c r="N344" i="17"/>
  <c r="B143" i="3" s="1"/>
  <c r="F143" i="3" s="1"/>
  <c r="N343" i="17"/>
  <c r="B142" i="3" s="1"/>
  <c r="F142" i="3" s="1"/>
  <c r="D142" i="3" s="1"/>
  <c r="N342" i="17"/>
  <c r="N341" i="17"/>
  <c r="B140" i="3" s="1"/>
  <c r="F140" i="3" s="1"/>
  <c r="N338" i="17"/>
  <c r="B137" i="3" s="1"/>
  <c r="N336" i="17"/>
  <c r="N335" i="17"/>
  <c r="N333" i="17"/>
  <c r="B132" i="3" s="1"/>
  <c r="F132" i="3" s="1"/>
  <c r="N331" i="17"/>
  <c r="B130" i="3" s="1"/>
  <c r="F130" i="3" s="1"/>
  <c r="D130" i="3" s="1"/>
  <c r="N330" i="17"/>
  <c r="B129" i="3" s="1"/>
  <c r="N329" i="17"/>
  <c r="B128" i="3" s="1"/>
  <c r="F128" i="3" s="1"/>
  <c r="N328" i="17"/>
  <c r="B127" i="3" s="1"/>
  <c r="N327" i="17"/>
  <c r="B126" i="3" s="1"/>
  <c r="N326" i="17"/>
  <c r="I156" i="4"/>
  <c r="H151" i="4"/>
  <c r="D151" i="4"/>
  <c r="H139" i="4"/>
  <c r="D137" i="4"/>
  <c r="M356" i="15"/>
  <c r="L356" i="15"/>
  <c r="K356" i="15"/>
  <c r="J356" i="15"/>
  <c r="I356" i="15"/>
  <c r="H356" i="15"/>
  <c r="G356" i="15"/>
  <c r="F356" i="15"/>
  <c r="E356" i="15"/>
  <c r="D356" i="15"/>
  <c r="C356" i="15"/>
  <c r="B356" i="15"/>
  <c r="N355" i="15"/>
  <c r="B155" i="4" s="1"/>
  <c r="N353" i="15"/>
  <c r="B153" i="4" s="1"/>
  <c r="F153" i="4" s="1"/>
  <c r="N352" i="15"/>
  <c r="B152" i="4" s="1"/>
  <c r="F152" i="4" s="1"/>
  <c r="N351" i="15"/>
  <c r="B151" i="4" s="1"/>
  <c r="N350" i="15"/>
  <c r="B150" i="4" s="1"/>
  <c r="F150" i="4" s="1"/>
  <c r="D150" i="4" s="1"/>
  <c r="N349" i="15"/>
  <c r="B149" i="4" s="1"/>
  <c r="N348" i="15"/>
  <c r="B148" i="4" s="1"/>
  <c r="F148" i="4" s="1"/>
  <c r="N347" i="15"/>
  <c r="B147" i="4" s="1"/>
  <c r="F147" i="4" s="1"/>
  <c r="N346" i="15"/>
  <c r="N345" i="15"/>
  <c r="B145" i="4" s="1"/>
  <c r="F145" i="4" s="1"/>
  <c r="N344" i="15"/>
  <c r="B144" i="4" s="1"/>
  <c r="F144" i="4" s="1"/>
  <c r="H144" i="4" s="1"/>
  <c r="N343" i="15"/>
  <c r="B143" i="4" s="1"/>
  <c r="F143" i="4" s="1"/>
  <c r="N342" i="15"/>
  <c r="N338" i="15"/>
  <c r="B139" i="4" s="1"/>
  <c r="N336" i="15"/>
  <c r="B137" i="4" s="1"/>
  <c r="N335" i="15"/>
  <c r="B136" i="4" s="1"/>
  <c r="F136" i="4" s="1"/>
  <c r="H136" i="4" s="1"/>
  <c r="N333" i="15"/>
  <c r="B134" i="4" s="1"/>
  <c r="F134" i="4" s="1"/>
  <c r="N331" i="15"/>
  <c r="B132" i="4" s="1"/>
  <c r="F132" i="4" s="1"/>
  <c r="N330" i="15"/>
  <c r="B131" i="4" s="1"/>
  <c r="N329" i="15"/>
  <c r="B130" i="4" s="1"/>
  <c r="F130" i="4" s="1"/>
  <c r="N328" i="15"/>
  <c r="N327" i="15"/>
  <c r="B128" i="4" s="1"/>
  <c r="N326" i="15"/>
  <c r="B127" i="4" s="1"/>
  <c r="F127" i="4" s="1"/>
  <c r="I155" i="5"/>
  <c r="D151" i="5"/>
  <c r="D136" i="5"/>
  <c r="H130" i="5"/>
  <c r="D130" i="5"/>
  <c r="M356" i="14"/>
  <c r="L356" i="14"/>
  <c r="K356" i="14"/>
  <c r="J356" i="14"/>
  <c r="I356" i="14"/>
  <c r="H356" i="14"/>
  <c r="G356" i="14"/>
  <c r="F356" i="14"/>
  <c r="E356" i="14"/>
  <c r="D356" i="14"/>
  <c r="C356" i="14"/>
  <c r="B356" i="14"/>
  <c r="N355" i="14"/>
  <c r="N353" i="14"/>
  <c r="B152" i="5" s="1"/>
  <c r="F152" i="5" s="1"/>
  <c r="N352" i="14"/>
  <c r="N351" i="14"/>
  <c r="B150" i="5" s="1"/>
  <c r="N350" i="14"/>
  <c r="B149" i="5" s="1"/>
  <c r="F149" i="5" s="1"/>
  <c r="N349" i="14"/>
  <c r="B148" i="5" s="1"/>
  <c r="N348" i="14"/>
  <c r="B147" i="5" s="1"/>
  <c r="F147" i="5" s="1"/>
  <c r="N347" i="14"/>
  <c r="B146" i="5" s="1"/>
  <c r="F146" i="5" s="1"/>
  <c r="D146" i="5" s="1"/>
  <c r="N346" i="14"/>
  <c r="B145" i="5" s="1"/>
  <c r="F145" i="5" s="1"/>
  <c r="N345" i="14"/>
  <c r="B144" i="5" s="1"/>
  <c r="F144" i="5" s="1"/>
  <c r="N344" i="14"/>
  <c r="B143" i="5" s="1"/>
  <c r="F143" i="5" s="1"/>
  <c r="N343" i="14"/>
  <c r="B142" i="5" s="1"/>
  <c r="N342" i="14"/>
  <c r="N338" i="14"/>
  <c r="B138" i="5" s="1"/>
  <c r="N336" i="14"/>
  <c r="B136" i="5" s="1"/>
  <c r="N335" i="14"/>
  <c r="B135" i="5" s="1"/>
  <c r="F135" i="5" s="1"/>
  <c r="N333" i="14"/>
  <c r="B133" i="5" s="1"/>
  <c r="F133" i="5" s="1"/>
  <c r="N331" i="14"/>
  <c r="B131" i="5" s="1"/>
  <c r="F131" i="5" s="1"/>
  <c r="N330" i="14"/>
  <c r="B130" i="5" s="1"/>
  <c r="N329" i="14"/>
  <c r="B129" i="5" s="1"/>
  <c r="F129" i="5" s="1"/>
  <c r="N328" i="14"/>
  <c r="B128" i="5" s="1"/>
  <c r="I128" i="5" s="1"/>
  <c r="L128" i="5" s="1"/>
  <c r="N327" i="14"/>
  <c r="B127" i="5" s="1"/>
  <c r="N326" i="14"/>
  <c r="I155" i="6"/>
  <c r="H150" i="6"/>
  <c r="D150" i="6"/>
  <c r="H138" i="6"/>
  <c r="D136" i="6"/>
  <c r="H130" i="6"/>
  <c r="D130" i="6"/>
  <c r="M354" i="13"/>
  <c r="L354" i="13"/>
  <c r="K354" i="13"/>
  <c r="J354" i="13"/>
  <c r="I354" i="13"/>
  <c r="G354" i="13"/>
  <c r="F354" i="13"/>
  <c r="E354" i="13"/>
  <c r="D354" i="13"/>
  <c r="C354" i="13"/>
  <c r="B354" i="13"/>
  <c r="N353" i="13"/>
  <c r="B154" i="6" s="1"/>
  <c r="K154" i="6" s="1"/>
  <c r="L154" i="6" s="1"/>
  <c r="N351" i="13"/>
  <c r="B152" i="6" s="1"/>
  <c r="F152" i="6" s="1"/>
  <c r="M152" i="6" s="1"/>
  <c r="N350" i="13"/>
  <c r="N349" i="13"/>
  <c r="B150" i="6" s="1"/>
  <c r="N348" i="13"/>
  <c r="B149" i="6" s="1"/>
  <c r="F149" i="6" s="1"/>
  <c r="H149" i="6" s="1"/>
  <c r="N347" i="13"/>
  <c r="B148" i="6" s="1"/>
  <c r="F148" i="6" s="1"/>
  <c r="H148" i="6" s="1"/>
  <c r="N346" i="13"/>
  <c r="B147" i="6" s="1"/>
  <c r="F147" i="6" s="1"/>
  <c r="N345" i="13"/>
  <c r="B146" i="6" s="1"/>
  <c r="F146" i="6" s="1"/>
  <c r="H146" i="6" s="1"/>
  <c r="N344" i="13"/>
  <c r="B145" i="6" s="1"/>
  <c r="F145" i="6" s="1"/>
  <c r="N343" i="13"/>
  <c r="B144" i="6" s="1"/>
  <c r="F144" i="6" s="1"/>
  <c r="N342" i="13"/>
  <c r="B143" i="6" s="1"/>
  <c r="N341" i="13"/>
  <c r="B142" i="6" s="1"/>
  <c r="F142" i="6" s="1"/>
  <c r="N340" i="13"/>
  <c r="B141" i="6" s="1"/>
  <c r="F141" i="6" s="1"/>
  <c r="N336" i="13"/>
  <c r="B138" i="6" s="1"/>
  <c r="N334" i="13"/>
  <c r="B136" i="6" s="1"/>
  <c r="N333" i="13"/>
  <c r="B135" i="6" s="1"/>
  <c r="F135" i="6" s="1"/>
  <c r="N331" i="13"/>
  <c r="B133" i="6" s="1"/>
  <c r="N329" i="13"/>
  <c r="B131" i="6" s="1"/>
  <c r="F131" i="6" s="1"/>
  <c r="N328" i="13"/>
  <c r="B130" i="6" s="1"/>
  <c r="N327" i="13"/>
  <c r="B129" i="6" s="1"/>
  <c r="F129" i="6" s="1"/>
  <c r="M129" i="6" s="1"/>
  <c r="N326" i="13"/>
  <c r="B128" i="6" s="1"/>
  <c r="N325" i="13"/>
  <c r="B127" i="6" s="1"/>
  <c r="I127" i="6" s="1"/>
  <c r="N324" i="13"/>
  <c r="B126" i="6" s="1"/>
  <c r="J155" i="7"/>
  <c r="I155" i="7"/>
  <c r="D151" i="7"/>
  <c r="H138" i="7"/>
  <c r="D138" i="7"/>
  <c r="D136" i="7"/>
  <c r="H130" i="7"/>
  <c r="M356" i="12"/>
  <c r="L356" i="12"/>
  <c r="K356" i="12"/>
  <c r="J356" i="12"/>
  <c r="I356" i="12"/>
  <c r="H356" i="12"/>
  <c r="G356" i="12"/>
  <c r="F356" i="12"/>
  <c r="E356" i="12"/>
  <c r="D356" i="12"/>
  <c r="C356" i="12"/>
  <c r="B356" i="12"/>
  <c r="N355" i="12"/>
  <c r="B154" i="7" s="1"/>
  <c r="N353" i="12"/>
  <c r="B152" i="7" s="1"/>
  <c r="F152" i="7" s="1"/>
  <c r="N352" i="12"/>
  <c r="B151" i="7" s="1"/>
  <c r="N351" i="12"/>
  <c r="B150" i="7" s="1"/>
  <c r="N350" i="12"/>
  <c r="B149" i="7" s="1"/>
  <c r="F149" i="7" s="1"/>
  <c r="N349" i="12"/>
  <c r="B148" i="7" s="1"/>
  <c r="F148" i="7" s="1"/>
  <c r="H148" i="7" s="1"/>
  <c r="N348" i="12"/>
  <c r="B147" i="7" s="1"/>
  <c r="F147" i="7" s="1"/>
  <c r="N347" i="12"/>
  <c r="B146" i="7" s="1"/>
  <c r="F146" i="7" s="1"/>
  <c r="N346" i="12"/>
  <c r="B145" i="7" s="1"/>
  <c r="N345" i="12"/>
  <c r="B144" i="7" s="1"/>
  <c r="F144" i="7" s="1"/>
  <c r="N344" i="12"/>
  <c r="B143" i="7" s="1"/>
  <c r="F143" i="7" s="1"/>
  <c r="N343" i="12"/>
  <c r="B142" i="7" s="1"/>
  <c r="F142" i="7" s="1"/>
  <c r="H142" i="7" s="1"/>
  <c r="N342" i="12"/>
  <c r="N338" i="12"/>
  <c r="B138" i="7" s="1"/>
  <c r="N336" i="12"/>
  <c r="B136" i="7" s="1"/>
  <c r="N335" i="12"/>
  <c r="B135" i="7" s="1"/>
  <c r="F135" i="7" s="1"/>
  <c r="N333" i="12"/>
  <c r="B133" i="7" s="1"/>
  <c r="F133" i="7" s="1"/>
  <c r="N331" i="12"/>
  <c r="B131" i="7" s="1"/>
  <c r="F131" i="7" s="1"/>
  <c r="N330" i="12"/>
  <c r="B130" i="7" s="1"/>
  <c r="N329" i="12"/>
  <c r="B129" i="7" s="1"/>
  <c r="F129" i="7" s="1"/>
  <c r="N328" i="12"/>
  <c r="B128" i="7" s="1"/>
  <c r="N327" i="12"/>
  <c r="B127" i="7" s="1"/>
  <c r="F127" i="7" s="1"/>
  <c r="D127" i="7" s="1"/>
  <c r="N326" i="12"/>
  <c r="D150" i="8"/>
  <c r="D136" i="8"/>
  <c r="M355" i="10"/>
  <c r="L355" i="10"/>
  <c r="K355" i="10"/>
  <c r="J355" i="10"/>
  <c r="I355" i="10"/>
  <c r="H355" i="10"/>
  <c r="G355" i="10"/>
  <c r="F355" i="10"/>
  <c r="E355" i="10"/>
  <c r="D355" i="10"/>
  <c r="C355" i="10"/>
  <c r="N354" i="10"/>
  <c r="B154" i="9" s="1"/>
  <c r="N352" i="10"/>
  <c r="B152" i="9" s="1"/>
  <c r="F152" i="9" s="1"/>
  <c r="H152" i="9" s="1"/>
  <c r="N351" i="10"/>
  <c r="B151" i="9" s="1"/>
  <c r="F151" i="9" s="1"/>
  <c r="N350" i="10"/>
  <c r="B150" i="9" s="1"/>
  <c r="N349" i="10"/>
  <c r="B149" i="9" s="1"/>
  <c r="N348" i="10"/>
  <c r="B148" i="9" s="1"/>
  <c r="F148" i="9" s="1"/>
  <c r="M148" i="9" s="1"/>
  <c r="N347" i="10"/>
  <c r="B147" i="9" s="1"/>
  <c r="F147" i="9" s="1"/>
  <c r="N346" i="10"/>
  <c r="B146" i="9" s="1"/>
  <c r="F146" i="9" s="1"/>
  <c r="N345" i="10"/>
  <c r="N344" i="10"/>
  <c r="B144" i="9" s="1"/>
  <c r="F144" i="9" s="1"/>
  <c r="N343" i="10"/>
  <c r="B143" i="9" s="1"/>
  <c r="N342" i="10"/>
  <c r="B142" i="9" s="1"/>
  <c r="F142" i="9" s="1"/>
  <c r="D142" i="9" s="1"/>
  <c r="B141" i="9"/>
  <c r="F141" i="9" s="1"/>
  <c r="D141" i="9" s="1"/>
  <c r="N338" i="10"/>
  <c r="B138" i="9" s="1"/>
  <c r="N336" i="10"/>
  <c r="B136" i="9" s="1"/>
  <c r="N335" i="10"/>
  <c r="B135" i="9" s="1"/>
  <c r="N333" i="10"/>
  <c r="B133" i="9" s="1"/>
  <c r="N331" i="10"/>
  <c r="B131" i="9" s="1"/>
  <c r="F131" i="9" s="1"/>
  <c r="N330" i="10"/>
  <c r="B130" i="9" s="1"/>
  <c r="N329" i="10"/>
  <c r="B129" i="9" s="1"/>
  <c r="F129" i="9" s="1"/>
  <c r="N328" i="10"/>
  <c r="B128" i="9" s="1"/>
  <c r="N327" i="10"/>
  <c r="B127" i="9" s="1"/>
  <c r="I127" i="9" s="1"/>
  <c r="N326" i="10"/>
  <c r="J155" i="9"/>
  <c r="I155" i="9"/>
  <c r="H150" i="9"/>
  <c r="D150" i="9"/>
  <c r="D136" i="9"/>
  <c r="H130" i="9"/>
  <c r="D130" i="9"/>
  <c r="H176" i="1"/>
  <c r="D176" i="1"/>
  <c r="B150" i="2"/>
  <c r="B146" i="2"/>
  <c r="F146" i="2" s="1"/>
  <c r="B145" i="2"/>
  <c r="F145" i="2" s="1"/>
  <c r="D145" i="2" s="1"/>
  <c r="B141" i="3"/>
  <c r="F141" i="3" s="1"/>
  <c r="D141" i="3" s="1"/>
  <c r="B146" i="4"/>
  <c r="F146" i="4" s="1"/>
  <c r="M146" i="4" s="1"/>
  <c r="B151" i="5"/>
  <c r="F151" i="5" s="1"/>
  <c r="H151" i="5" s="1"/>
  <c r="B151" i="6"/>
  <c r="F151" i="6" s="1"/>
  <c r="M151" i="6" s="1"/>
  <c r="F127" i="6"/>
  <c r="D127" i="6" s="1"/>
  <c r="D150" i="2"/>
  <c r="H150" i="2"/>
  <c r="D133" i="2"/>
  <c r="N341" i="16"/>
  <c r="B141" i="2" s="1"/>
  <c r="D131" i="4"/>
  <c r="D148" i="5"/>
  <c r="H148" i="5"/>
  <c r="D150" i="5"/>
  <c r="H150" i="5"/>
  <c r="F154" i="5"/>
  <c r="K154" i="5"/>
  <c r="J155" i="5"/>
  <c r="J156" i="5" s="1"/>
  <c r="J155" i="6"/>
  <c r="L127" i="6"/>
  <c r="H354" i="13"/>
  <c r="D150" i="7"/>
  <c r="H150" i="7"/>
  <c r="H130" i="8"/>
  <c r="M129" i="5"/>
  <c r="H149" i="2"/>
  <c r="D133" i="6"/>
  <c r="H133" i="6"/>
  <c r="H141" i="9"/>
  <c r="K155" i="2"/>
  <c r="K214" i="9"/>
  <c r="L213" i="2"/>
  <c r="L212" i="3"/>
  <c r="L215" i="4"/>
  <c r="L213" i="6"/>
  <c r="M213" i="6" s="1"/>
  <c r="L213" i="7"/>
  <c r="M213" i="7" s="1"/>
  <c r="L213" i="8"/>
  <c r="M213" i="8" s="1"/>
  <c r="L213" i="9"/>
  <c r="M213" i="9" s="1"/>
  <c r="L176" i="9"/>
  <c r="L175" i="2"/>
  <c r="L174" i="3"/>
  <c r="L176" i="4"/>
  <c r="L175" i="5"/>
  <c r="M175" i="5" s="1"/>
  <c r="L175" i="6"/>
  <c r="L175" i="7"/>
  <c r="M175" i="7" s="1"/>
  <c r="L175" i="8"/>
  <c r="M175" i="8" s="1"/>
  <c r="L175" i="9"/>
  <c r="K498" i="3"/>
  <c r="J498" i="3"/>
  <c r="F498" i="3"/>
  <c r="K512" i="3"/>
  <c r="J512" i="3"/>
  <c r="F512" i="3"/>
  <c r="F362" i="3"/>
  <c r="I474" i="6"/>
  <c r="F240" i="6"/>
  <c r="I194" i="5"/>
  <c r="N126" i="13"/>
  <c r="B382" i="6" s="1"/>
  <c r="B383" i="6" s="1"/>
  <c r="F216" i="4"/>
  <c r="F598" i="2"/>
  <c r="I239" i="2"/>
  <c r="H601" i="9"/>
  <c r="B283" i="5"/>
  <c r="B260" i="5"/>
  <c r="F586" i="9"/>
  <c r="F259" i="9"/>
  <c r="I259" i="1"/>
  <c r="L258" i="1"/>
  <c r="F258" i="1"/>
  <c r="F584" i="8"/>
  <c r="M395" i="7"/>
  <c r="I362" i="9"/>
  <c r="L343" i="4"/>
  <c r="M343" i="4" s="1"/>
  <c r="I327" i="4"/>
  <c r="I285" i="4"/>
  <c r="B635" i="3"/>
  <c r="J635" i="3"/>
  <c r="K635" i="3"/>
  <c r="M301" i="3"/>
  <c r="I362" i="2"/>
  <c r="A216" i="2"/>
  <c r="A217" i="2"/>
  <c r="F217" i="2"/>
  <c r="I217" i="2"/>
  <c r="J217" i="2"/>
  <c r="K217" i="2"/>
  <c r="A218" i="2"/>
  <c r="F218" i="2"/>
  <c r="H218" i="2" s="1"/>
  <c r="I218" i="2"/>
  <c r="J218" i="2"/>
  <c r="K218" i="2"/>
  <c r="A254" i="1"/>
  <c r="A251" i="1"/>
  <c r="A249" i="1"/>
  <c r="A247" i="1"/>
  <c r="A234" i="1"/>
  <c r="A233" i="1"/>
  <c r="B242" i="1"/>
  <c r="J242" i="1" s="1"/>
  <c r="B241" i="1"/>
  <c r="L233" i="1"/>
  <c r="M233" i="1" s="1"/>
  <c r="D237" i="1"/>
  <c r="H238" i="1"/>
  <c r="L251" i="1"/>
  <c r="L255" i="1"/>
  <c r="D257" i="1"/>
  <c r="H257" i="1"/>
  <c r="M237" i="1"/>
  <c r="H233" i="1"/>
  <c r="L176" i="5"/>
  <c r="L176" i="6"/>
  <c r="L177" i="7"/>
  <c r="M177" i="7" s="1"/>
  <c r="L176" i="7"/>
  <c r="L170" i="7"/>
  <c r="L186" i="8"/>
  <c r="L185" i="8"/>
  <c r="L184" i="8"/>
  <c r="L183" i="8"/>
  <c r="L182" i="8"/>
  <c r="L181" i="8"/>
  <c r="L180" i="8"/>
  <c r="L177" i="8"/>
  <c r="M177" i="8" s="1"/>
  <c r="L176" i="8"/>
  <c r="L170" i="8"/>
  <c r="L169" i="8"/>
  <c r="L166" i="8"/>
  <c r="L191" i="9"/>
  <c r="L190" i="9"/>
  <c r="L189" i="9"/>
  <c r="L188" i="9"/>
  <c r="L187" i="9"/>
  <c r="L186" i="9"/>
  <c r="L185" i="9"/>
  <c r="L184" i="9"/>
  <c r="L183" i="9"/>
  <c r="L182" i="9"/>
  <c r="L181" i="9"/>
  <c r="L180" i="9"/>
  <c r="L177" i="9"/>
  <c r="L170" i="9"/>
  <c r="L169" i="9"/>
  <c r="L166" i="9"/>
  <c r="L220" i="1"/>
  <c r="M220" i="1" s="1"/>
  <c r="L176" i="2"/>
  <c r="L177" i="4"/>
  <c r="F621" i="7"/>
  <c r="F642" i="7"/>
  <c r="L340" i="9"/>
  <c r="M340" i="9" s="1"/>
  <c r="J342" i="9"/>
  <c r="I343" i="9"/>
  <c r="I325" i="9"/>
  <c r="I194" i="9"/>
  <c r="N320" i="10"/>
  <c r="B193" i="9" s="1"/>
  <c r="F193" i="9" s="1"/>
  <c r="N320" i="11"/>
  <c r="B193" i="8" s="1"/>
  <c r="F193" i="8" s="1"/>
  <c r="H193" i="8" s="1"/>
  <c r="N320" i="12"/>
  <c r="B193" i="7" s="1"/>
  <c r="N318" i="13"/>
  <c r="B193" i="6" s="1"/>
  <c r="F193" i="6" s="1"/>
  <c r="N320" i="14"/>
  <c r="B193" i="5" s="1"/>
  <c r="N320" i="15"/>
  <c r="B194" i="4" s="1"/>
  <c r="F194" i="4" s="1"/>
  <c r="D194" i="4" s="1"/>
  <c r="N320" i="17"/>
  <c r="N319" i="16"/>
  <c r="B193" i="2" s="1"/>
  <c r="N307" i="10"/>
  <c r="K307" i="11"/>
  <c r="N307" i="12"/>
  <c r="H305" i="13"/>
  <c r="N307" i="14"/>
  <c r="B180" i="5" s="1"/>
  <c r="N307" i="15"/>
  <c r="B181" i="4" s="1"/>
  <c r="F181" i="4" s="1"/>
  <c r="D181" i="4" s="1"/>
  <c r="N307" i="17"/>
  <c r="B179" i="3" s="1"/>
  <c r="F179" i="3" s="1"/>
  <c r="M179" i="3" s="1"/>
  <c r="K306" i="16"/>
  <c r="N308" i="10"/>
  <c r="B181" i="9" s="1"/>
  <c r="N308" i="11"/>
  <c r="B181" i="8" s="1"/>
  <c r="F181" i="8" s="1"/>
  <c r="N308" i="12"/>
  <c r="B181" i="7" s="1"/>
  <c r="F181" i="7" s="1"/>
  <c r="H181" i="7" s="1"/>
  <c r="N306" i="13"/>
  <c r="B181" i="6" s="1"/>
  <c r="F181" i="6" s="1"/>
  <c r="D181" i="6" s="1"/>
  <c r="N308" i="14"/>
  <c r="B181" i="5" s="1"/>
  <c r="F181" i="5" s="1"/>
  <c r="N308" i="15"/>
  <c r="B182" i="4" s="1"/>
  <c r="F182" i="4" s="1"/>
  <c r="N308" i="17"/>
  <c r="B180" i="3" s="1"/>
  <c r="F180" i="3" s="1"/>
  <c r="N307" i="16"/>
  <c r="B181" i="2" s="1"/>
  <c r="F181" i="2" s="1"/>
  <c r="N309" i="10"/>
  <c r="B182" i="9" s="1"/>
  <c r="F182" i="9" s="1"/>
  <c r="N309" i="11"/>
  <c r="B182" i="8" s="1"/>
  <c r="N309" i="12"/>
  <c r="B182" i="7" s="1"/>
  <c r="F182" i="7" s="1"/>
  <c r="D182" i="7" s="1"/>
  <c r="N307" i="13"/>
  <c r="B182" i="6" s="1"/>
  <c r="F182" i="6" s="1"/>
  <c r="H182" i="6" s="1"/>
  <c r="N309" i="14"/>
  <c r="B182" i="5" s="1"/>
  <c r="F182" i="5" s="1"/>
  <c r="H182" i="5" s="1"/>
  <c r="N309" i="15"/>
  <c r="B183" i="4" s="1"/>
  <c r="N309" i="17"/>
  <c r="B181" i="3" s="1"/>
  <c r="N308" i="16"/>
  <c r="B182" i="2" s="1"/>
  <c r="F182" i="2" s="1"/>
  <c r="N310" i="10"/>
  <c r="B183" i="9" s="1"/>
  <c r="F183" i="9" s="1"/>
  <c r="N310" i="11"/>
  <c r="B183" i="8" s="1"/>
  <c r="F183" i="8" s="1"/>
  <c r="M183" i="8" s="1"/>
  <c r="N310" i="12"/>
  <c r="B183" i="7" s="1"/>
  <c r="F183" i="7" s="1"/>
  <c r="D183" i="7" s="1"/>
  <c r="N308" i="13"/>
  <c r="B183" i="6" s="1"/>
  <c r="N310" i="14"/>
  <c r="B183" i="5" s="1"/>
  <c r="F183" i="5" s="1"/>
  <c r="N310" i="15"/>
  <c r="B184" i="4" s="1"/>
  <c r="F184" i="4" s="1"/>
  <c r="N310" i="17"/>
  <c r="B182" i="3" s="1"/>
  <c r="F182" i="3" s="1"/>
  <c r="N309" i="16"/>
  <c r="B183" i="2" s="1"/>
  <c r="F183" i="2" s="1"/>
  <c r="N311" i="10"/>
  <c r="B184" i="9" s="1"/>
  <c r="F184" i="9" s="1"/>
  <c r="N311" i="11"/>
  <c r="B184" i="8" s="1"/>
  <c r="F184" i="8" s="1"/>
  <c r="H184" i="8" s="1"/>
  <c r="N311" i="12"/>
  <c r="B184" i="7" s="1"/>
  <c r="F184" i="7" s="1"/>
  <c r="M184" i="7" s="1"/>
  <c r="N309" i="13"/>
  <c r="B184" i="6" s="1"/>
  <c r="N311" i="14"/>
  <c r="B184" i="5" s="1"/>
  <c r="N311" i="15"/>
  <c r="B185" i="4" s="1"/>
  <c r="F185" i="4" s="1"/>
  <c r="D185" i="4" s="1"/>
  <c r="N311" i="17"/>
  <c r="B183" i="3" s="1"/>
  <c r="F183" i="3" s="1"/>
  <c r="H183" i="3" s="1"/>
  <c r="N310" i="16"/>
  <c r="B184" i="2" s="1"/>
  <c r="F184" i="2" s="1"/>
  <c r="N312" i="10"/>
  <c r="B185" i="9" s="1"/>
  <c r="N312" i="11"/>
  <c r="B185" i="8" s="1"/>
  <c r="F185" i="8" s="1"/>
  <c r="M185" i="8" s="1"/>
  <c r="N312" i="12"/>
  <c r="B185" i="7" s="1"/>
  <c r="F185" i="7" s="1"/>
  <c r="D185" i="7" s="1"/>
  <c r="N310" i="13"/>
  <c r="B185" i="6" s="1"/>
  <c r="F185" i="6" s="1"/>
  <c r="D185" i="6" s="1"/>
  <c r="N312" i="14"/>
  <c r="B185" i="5" s="1"/>
  <c r="F185" i="5" s="1"/>
  <c r="N312" i="15"/>
  <c r="B186" i="4" s="1"/>
  <c r="F186" i="4" s="1"/>
  <c r="H186" i="4" s="1"/>
  <c r="N312" i="17"/>
  <c r="B184" i="3" s="1"/>
  <c r="F184" i="3" s="1"/>
  <c r="D184" i="3" s="1"/>
  <c r="N311" i="16"/>
  <c r="B185" i="2" s="1"/>
  <c r="F185" i="2" s="1"/>
  <c r="D185" i="2" s="1"/>
  <c r="N313" i="10"/>
  <c r="B186" i="9" s="1"/>
  <c r="N313" i="11"/>
  <c r="B186" i="8" s="1"/>
  <c r="F186" i="8" s="1"/>
  <c r="M186" i="8" s="1"/>
  <c r="N313" i="12"/>
  <c r="B186" i="7" s="1"/>
  <c r="F186" i="7" s="1"/>
  <c r="M186" i="7" s="1"/>
  <c r="N311" i="13"/>
  <c r="B186" i="6" s="1"/>
  <c r="F186" i="6" s="1"/>
  <c r="M186" i="6" s="1"/>
  <c r="N313" i="14"/>
  <c r="B186" i="5" s="1"/>
  <c r="F186" i="5" s="1"/>
  <c r="N313" i="15"/>
  <c r="B187" i="4" s="1"/>
  <c r="F187" i="4" s="1"/>
  <c r="D187" i="4" s="1"/>
  <c r="N313" i="17"/>
  <c r="B185" i="3" s="1"/>
  <c r="F185" i="3" s="1"/>
  <c r="H185" i="3" s="1"/>
  <c r="N312" i="16"/>
  <c r="B186" i="2" s="1"/>
  <c r="N314" i="10"/>
  <c r="B187" i="9" s="1"/>
  <c r="N314" i="11"/>
  <c r="B187" i="8" s="1"/>
  <c r="F187" i="8" s="1"/>
  <c r="N314" i="12"/>
  <c r="B187" i="7" s="1"/>
  <c r="F187" i="7" s="1"/>
  <c r="H187" i="7" s="1"/>
  <c r="N314" i="14"/>
  <c r="B187" i="5" s="1"/>
  <c r="N314" i="15"/>
  <c r="B188" i="4" s="1"/>
  <c r="F188" i="4" s="1"/>
  <c r="M188" i="4" s="1"/>
  <c r="N314" i="17"/>
  <c r="B186" i="3" s="1"/>
  <c r="F186" i="3" s="1"/>
  <c r="N313" i="16"/>
  <c r="B187" i="2" s="1"/>
  <c r="F187" i="2" s="1"/>
  <c r="N315" i="10"/>
  <c r="B188" i="9" s="1"/>
  <c r="F188" i="9" s="1"/>
  <c r="N315" i="11"/>
  <c r="B188" i="8" s="1"/>
  <c r="F188" i="8" s="1"/>
  <c r="N315" i="12"/>
  <c r="B188" i="7" s="1"/>
  <c r="F188" i="7" s="1"/>
  <c r="H188" i="7" s="1"/>
  <c r="N313" i="13"/>
  <c r="B188" i="6" s="1"/>
  <c r="F188" i="6" s="1"/>
  <c r="N315" i="14"/>
  <c r="B188" i="5" s="1"/>
  <c r="F188" i="5" s="1"/>
  <c r="M188" i="5" s="1"/>
  <c r="N315" i="15"/>
  <c r="B189" i="4" s="1"/>
  <c r="F189" i="4" s="1"/>
  <c r="N315" i="17"/>
  <c r="B187" i="3" s="1"/>
  <c r="F187" i="3" s="1"/>
  <c r="H187" i="3" s="1"/>
  <c r="N314" i="16"/>
  <c r="B188" i="2" s="1"/>
  <c r="F188" i="2" s="1"/>
  <c r="N317" i="10"/>
  <c r="B190" i="9" s="1"/>
  <c r="F190" i="9" s="1"/>
  <c r="D190" i="9" s="1"/>
  <c r="N317" i="11"/>
  <c r="B190" i="8" s="1"/>
  <c r="F190" i="8" s="1"/>
  <c r="M190" i="8" s="1"/>
  <c r="N317" i="12"/>
  <c r="B190" i="7" s="1"/>
  <c r="N315" i="13"/>
  <c r="B190" i="6" s="1"/>
  <c r="F190" i="6" s="1"/>
  <c r="D190" i="6" s="1"/>
  <c r="N317" i="14"/>
  <c r="B190" i="5" s="1"/>
  <c r="F190" i="5" s="1"/>
  <c r="M190" i="5" s="1"/>
  <c r="N317" i="15"/>
  <c r="B191" i="4" s="1"/>
  <c r="F191" i="4" s="1"/>
  <c r="N317" i="17"/>
  <c r="B189" i="3" s="1"/>
  <c r="F189" i="3" s="1"/>
  <c r="N316" i="16"/>
  <c r="B190" i="2" s="1"/>
  <c r="F190" i="2" s="1"/>
  <c r="N318" i="10"/>
  <c r="B191" i="9" s="1"/>
  <c r="F191" i="9" s="1"/>
  <c r="N318" i="11"/>
  <c r="B191" i="8" s="1"/>
  <c r="F191" i="8" s="1"/>
  <c r="N318" i="12"/>
  <c r="B191" i="7" s="1"/>
  <c r="N318" i="14"/>
  <c r="B191" i="5" s="1"/>
  <c r="F191" i="5" s="1"/>
  <c r="D191" i="5" s="1"/>
  <c r="N318" i="15"/>
  <c r="B192" i="4" s="1"/>
  <c r="N318" i="17"/>
  <c r="B190" i="3" s="1"/>
  <c r="F190" i="3" s="1"/>
  <c r="M190" i="3" s="1"/>
  <c r="N317" i="16"/>
  <c r="B191" i="2" s="1"/>
  <c r="F191" i="2" s="1"/>
  <c r="D191" i="2" s="1"/>
  <c r="H220" i="1"/>
  <c r="D220" i="1"/>
  <c r="N316" i="10"/>
  <c r="B189" i="9" s="1"/>
  <c r="N316" i="11"/>
  <c r="B189" i="8" s="1"/>
  <c r="N316" i="12"/>
  <c r="B189" i="7" s="1"/>
  <c r="N314" i="13"/>
  <c r="B189" i="6" s="1"/>
  <c r="N316" i="14"/>
  <c r="B189" i="5" s="1"/>
  <c r="N316" i="15"/>
  <c r="B190" i="4" s="1"/>
  <c r="N316" i="17"/>
  <c r="B188" i="3" s="1"/>
  <c r="N315" i="16"/>
  <c r="B189" i="2" s="1"/>
  <c r="L170" i="6"/>
  <c r="K124" i="16"/>
  <c r="K140" i="16"/>
  <c r="B264" i="16"/>
  <c r="C264" i="16"/>
  <c r="D264" i="16"/>
  <c r="E264" i="16"/>
  <c r="F264" i="16"/>
  <c r="G264" i="16"/>
  <c r="H264" i="16"/>
  <c r="I264" i="16"/>
  <c r="J264" i="16"/>
  <c r="K264" i="16"/>
  <c r="L264" i="16"/>
  <c r="M264" i="16"/>
  <c r="B287" i="16"/>
  <c r="C287" i="16"/>
  <c r="D287" i="16"/>
  <c r="E287" i="16"/>
  <c r="F287" i="16"/>
  <c r="G287" i="16"/>
  <c r="H287" i="16"/>
  <c r="I287" i="16"/>
  <c r="K287" i="16"/>
  <c r="L287" i="16"/>
  <c r="M287" i="16"/>
  <c r="J287" i="16"/>
  <c r="C287" i="17"/>
  <c r="D287" i="17"/>
  <c r="E287" i="17"/>
  <c r="F287" i="17"/>
  <c r="G287" i="17"/>
  <c r="H287" i="17"/>
  <c r="I287" i="17"/>
  <c r="J287" i="17"/>
  <c r="K287" i="17"/>
  <c r="L287" i="17"/>
  <c r="M287" i="17"/>
  <c r="B287" i="17"/>
  <c r="B264" i="17"/>
  <c r="D264" i="17"/>
  <c r="E264" i="17"/>
  <c r="F264" i="17"/>
  <c r="G264" i="17"/>
  <c r="H264" i="17"/>
  <c r="I264" i="17"/>
  <c r="J264" i="17"/>
  <c r="K264" i="17"/>
  <c r="L264" i="17"/>
  <c r="M264" i="17"/>
  <c r="C264" i="17"/>
  <c r="L13" i="15"/>
  <c r="J248" i="15"/>
  <c r="B287" i="14"/>
  <c r="C287" i="14"/>
  <c r="D287" i="14"/>
  <c r="E287" i="14"/>
  <c r="F287" i="14"/>
  <c r="G287" i="14"/>
  <c r="H287" i="14"/>
  <c r="J287" i="14"/>
  <c r="K287" i="14"/>
  <c r="L287" i="14"/>
  <c r="M287" i="14"/>
  <c r="I287" i="14"/>
  <c r="M264" i="14"/>
  <c r="B264" i="14"/>
  <c r="C264" i="14"/>
  <c r="D264" i="14"/>
  <c r="E264" i="14"/>
  <c r="F264" i="14"/>
  <c r="G264" i="14"/>
  <c r="H264" i="14"/>
  <c r="I264" i="14"/>
  <c r="J264" i="14"/>
  <c r="K264" i="14"/>
  <c r="L264" i="14"/>
  <c r="N150" i="14"/>
  <c r="B340" i="5" s="1"/>
  <c r="N151" i="14"/>
  <c r="B341" i="5" s="1"/>
  <c r="F341" i="5" s="1"/>
  <c r="D341" i="5" s="1"/>
  <c r="N149" i="14"/>
  <c r="B339" i="5" s="1"/>
  <c r="J339" i="5" s="1"/>
  <c r="C209" i="14"/>
  <c r="B209" i="14"/>
  <c r="N189" i="14"/>
  <c r="B305" i="5" s="1"/>
  <c r="I305" i="5" s="1"/>
  <c r="L187" i="14"/>
  <c r="B140" i="13"/>
  <c r="C140" i="13"/>
  <c r="D140" i="13"/>
  <c r="E140" i="13"/>
  <c r="F140" i="13"/>
  <c r="G140" i="13"/>
  <c r="H140" i="13"/>
  <c r="I140" i="13"/>
  <c r="J140" i="13"/>
  <c r="K140" i="13"/>
  <c r="M140" i="13"/>
  <c r="L140" i="13"/>
  <c r="H127" i="13"/>
  <c r="B157" i="13"/>
  <c r="C157" i="13"/>
  <c r="D157" i="13"/>
  <c r="E157" i="13"/>
  <c r="F157" i="13"/>
  <c r="G157" i="13"/>
  <c r="H157" i="13"/>
  <c r="I157" i="13"/>
  <c r="J157" i="13"/>
  <c r="K157" i="13"/>
  <c r="L157" i="13"/>
  <c r="M157" i="13"/>
  <c r="M153" i="13"/>
  <c r="M172" i="13"/>
  <c r="C262" i="13"/>
  <c r="D262" i="13"/>
  <c r="E262" i="13"/>
  <c r="F262" i="13"/>
  <c r="G262" i="13"/>
  <c r="H262" i="13"/>
  <c r="I262" i="13"/>
  <c r="J262" i="13"/>
  <c r="K262" i="13"/>
  <c r="L262" i="13"/>
  <c r="M262" i="13"/>
  <c r="B262" i="13"/>
  <c r="B285" i="13"/>
  <c r="C285" i="13"/>
  <c r="D285" i="13"/>
  <c r="E285" i="13"/>
  <c r="F285" i="13"/>
  <c r="G285" i="13"/>
  <c r="H285" i="13"/>
  <c r="I285" i="13"/>
  <c r="J285" i="13"/>
  <c r="L285" i="13"/>
  <c r="M285" i="13"/>
  <c r="K285" i="13"/>
  <c r="C51" i="11"/>
  <c r="D51" i="11"/>
  <c r="E51" i="11"/>
  <c r="F51" i="11"/>
  <c r="G51" i="11"/>
  <c r="H51" i="11"/>
  <c r="I51" i="11"/>
  <c r="J51" i="11"/>
  <c r="K51" i="11"/>
  <c r="L51" i="11"/>
  <c r="M51" i="11"/>
  <c r="B51" i="11"/>
  <c r="C48" i="11"/>
  <c r="D48" i="11"/>
  <c r="E48" i="11"/>
  <c r="F48" i="11"/>
  <c r="G48" i="11"/>
  <c r="H48" i="11"/>
  <c r="I48" i="11"/>
  <c r="J48" i="11"/>
  <c r="K48" i="11"/>
  <c r="L48" i="11"/>
  <c r="M48" i="11"/>
  <c r="B48" i="11"/>
  <c r="C153" i="11"/>
  <c r="D153" i="11"/>
  <c r="E153" i="11"/>
  <c r="F153" i="11"/>
  <c r="G153" i="11"/>
  <c r="H153" i="11"/>
  <c r="I153" i="11"/>
  <c r="J153" i="11"/>
  <c r="K153" i="11"/>
  <c r="L153" i="11"/>
  <c r="M153" i="11"/>
  <c r="B153" i="11"/>
  <c r="N157" i="11"/>
  <c r="C187" i="11"/>
  <c r="D187" i="11"/>
  <c r="E187" i="11"/>
  <c r="F187" i="11"/>
  <c r="G187" i="11"/>
  <c r="H187" i="11"/>
  <c r="I187" i="11"/>
  <c r="J187" i="11"/>
  <c r="K187" i="11"/>
  <c r="L187" i="11"/>
  <c r="M187" i="11"/>
  <c r="B187" i="11"/>
  <c r="C248" i="11"/>
  <c r="D248" i="11"/>
  <c r="E248" i="11"/>
  <c r="F248" i="11"/>
  <c r="G248" i="11"/>
  <c r="H248" i="11"/>
  <c r="I248" i="11"/>
  <c r="J248" i="11"/>
  <c r="K248" i="11"/>
  <c r="L248" i="11"/>
  <c r="M248" i="11"/>
  <c r="B248" i="11"/>
  <c r="B225" i="11"/>
  <c r="C225" i="11"/>
  <c r="D225" i="11"/>
  <c r="E225" i="11"/>
  <c r="F225" i="11"/>
  <c r="H225" i="11"/>
  <c r="I225" i="11"/>
  <c r="J225" i="11"/>
  <c r="K225" i="11"/>
  <c r="L225" i="11"/>
  <c r="M225" i="11"/>
  <c r="G225" i="11"/>
  <c r="K13" i="10"/>
  <c r="L13" i="10"/>
  <c r="M13" i="10"/>
  <c r="B13" i="10"/>
  <c r="C13" i="10"/>
  <c r="D13" i="10"/>
  <c r="E13" i="10"/>
  <c r="F13" i="10"/>
  <c r="G13" i="10"/>
  <c r="H13" i="10"/>
  <c r="I13" i="10"/>
  <c r="J13" i="10"/>
  <c r="B73" i="10"/>
  <c r="C73" i="10"/>
  <c r="D73" i="10"/>
  <c r="E73" i="10"/>
  <c r="F73" i="10"/>
  <c r="G73" i="10"/>
  <c r="H73" i="10"/>
  <c r="I73" i="10"/>
  <c r="J73" i="10"/>
  <c r="K73" i="10"/>
  <c r="L73" i="10"/>
  <c r="M73" i="10"/>
  <c r="B65" i="10"/>
  <c r="C65" i="10"/>
  <c r="D65" i="10"/>
  <c r="E65" i="10"/>
  <c r="F65" i="10"/>
  <c r="G65" i="10"/>
  <c r="H65" i="10"/>
  <c r="I65" i="10"/>
  <c r="J65" i="10"/>
  <c r="K65" i="10"/>
  <c r="L65" i="10"/>
  <c r="M65" i="10"/>
  <c r="B51" i="10"/>
  <c r="C51" i="10"/>
  <c r="D51" i="10"/>
  <c r="E51" i="10"/>
  <c r="F51" i="10"/>
  <c r="G51" i="10"/>
  <c r="H51" i="10"/>
  <c r="I51" i="10"/>
  <c r="J51" i="10"/>
  <c r="K51" i="10"/>
  <c r="L51" i="10"/>
  <c r="M51" i="10"/>
  <c r="B48" i="10"/>
  <c r="C48" i="10"/>
  <c r="D48" i="10"/>
  <c r="E48" i="10"/>
  <c r="F48" i="10"/>
  <c r="G48" i="10"/>
  <c r="H48" i="10"/>
  <c r="I48" i="10"/>
  <c r="J48" i="10"/>
  <c r="K48" i="10"/>
  <c r="L48" i="10"/>
  <c r="M48" i="10"/>
  <c r="L153" i="10"/>
  <c r="N157" i="10"/>
  <c r="M172" i="10"/>
  <c r="L172" i="10"/>
  <c r="B187" i="10"/>
  <c r="C187" i="10"/>
  <c r="D187" i="10"/>
  <c r="E187" i="10"/>
  <c r="F187" i="10"/>
  <c r="G187" i="10"/>
  <c r="H187" i="10"/>
  <c r="I187" i="10"/>
  <c r="J187" i="10"/>
  <c r="K187" i="10"/>
  <c r="L187" i="10"/>
  <c r="M187" i="10"/>
  <c r="B191" i="10"/>
  <c r="C191" i="10"/>
  <c r="D191" i="10"/>
  <c r="E191" i="10"/>
  <c r="F191" i="10"/>
  <c r="G191" i="10"/>
  <c r="H191" i="10"/>
  <c r="I191" i="10"/>
  <c r="J191" i="10"/>
  <c r="K191" i="10"/>
  <c r="L191" i="10"/>
  <c r="B209" i="10"/>
  <c r="C209" i="10"/>
  <c r="D209" i="10"/>
  <c r="E209" i="10"/>
  <c r="F209" i="10"/>
  <c r="G209" i="10"/>
  <c r="H209" i="10"/>
  <c r="I209" i="10"/>
  <c r="J209" i="10"/>
  <c r="K209" i="10"/>
  <c r="L209" i="10"/>
  <c r="M191" i="10"/>
  <c r="M209" i="10"/>
  <c r="M225" i="10"/>
  <c r="H177" i="2"/>
  <c r="F176" i="2"/>
  <c r="B320" i="16"/>
  <c r="C320" i="16"/>
  <c r="D320" i="16"/>
  <c r="E320" i="16"/>
  <c r="F320" i="16"/>
  <c r="G320" i="16"/>
  <c r="H320" i="16"/>
  <c r="I320" i="16"/>
  <c r="J320" i="16"/>
  <c r="L320" i="16"/>
  <c r="M320" i="16"/>
  <c r="B304" i="16"/>
  <c r="C304" i="16"/>
  <c r="D304" i="16"/>
  <c r="E304" i="16"/>
  <c r="F304" i="16"/>
  <c r="G304" i="16"/>
  <c r="H304" i="16"/>
  <c r="I304" i="16"/>
  <c r="J304" i="16"/>
  <c r="K304" i="16"/>
  <c r="L304" i="16"/>
  <c r="M304" i="16"/>
  <c r="B304" i="17"/>
  <c r="C304" i="17"/>
  <c r="D304" i="17"/>
  <c r="E304" i="17"/>
  <c r="F304" i="17"/>
  <c r="G304" i="17"/>
  <c r="H304" i="17"/>
  <c r="I304" i="17"/>
  <c r="J304" i="17"/>
  <c r="K304" i="17"/>
  <c r="L304" i="17"/>
  <c r="M304" i="17"/>
  <c r="C321" i="17"/>
  <c r="D321" i="17"/>
  <c r="E321" i="17"/>
  <c r="F321" i="17"/>
  <c r="G321" i="17"/>
  <c r="H321" i="17"/>
  <c r="I321" i="17"/>
  <c r="J321" i="17"/>
  <c r="K321" i="17"/>
  <c r="L321" i="17"/>
  <c r="M321" i="17"/>
  <c r="B321" i="17"/>
  <c r="H178" i="4"/>
  <c r="F177" i="4"/>
  <c r="B321" i="15"/>
  <c r="C321" i="15"/>
  <c r="D321" i="15"/>
  <c r="E321" i="15"/>
  <c r="F321" i="15"/>
  <c r="G321" i="15"/>
  <c r="H321" i="15"/>
  <c r="I321" i="15"/>
  <c r="J321" i="15"/>
  <c r="K321" i="15"/>
  <c r="L321" i="15"/>
  <c r="M321" i="15"/>
  <c r="C304" i="15"/>
  <c r="D304" i="15"/>
  <c r="E304" i="15"/>
  <c r="F304" i="15"/>
  <c r="G304" i="15"/>
  <c r="H304" i="15"/>
  <c r="I304" i="15"/>
  <c r="J304" i="15"/>
  <c r="K304" i="15"/>
  <c r="M304" i="15"/>
  <c r="L304" i="15"/>
  <c r="F176" i="5"/>
  <c r="B321" i="14"/>
  <c r="C321" i="14"/>
  <c r="D321" i="14"/>
  <c r="E321" i="14"/>
  <c r="F321" i="14"/>
  <c r="G321" i="14"/>
  <c r="H321" i="14"/>
  <c r="I321" i="14"/>
  <c r="J321" i="14"/>
  <c r="K321" i="14"/>
  <c r="L321" i="14"/>
  <c r="M321" i="14"/>
  <c r="B304" i="14"/>
  <c r="C304" i="14"/>
  <c r="D304" i="14"/>
  <c r="E304" i="14"/>
  <c r="F304" i="14"/>
  <c r="G304" i="14"/>
  <c r="H304" i="14"/>
  <c r="I304" i="14"/>
  <c r="J304" i="14"/>
  <c r="K304" i="14"/>
  <c r="L304" i="14"/>
  <c r="M304" i="14"/>
  <c r="F191" i="6"/>
  <c r="D191" i="6" s="1"/>
  <c r="F187" i="6"/>
  <c r="H177" i="6"/>
  <c r="F176" i="6"/>
  <c r="D176" i="6" s="1"/>
  <c r="B319" i="13"/>
  <c r="C319" i="13"/>
  <c r="D319" i="13"/>
  <c r="E319" i="13"/>
  <c r="F319" i="13"/>
  <c r="G319" i="13"/>
  <c r="I319" i="13"/>
  <c r="J319" i="13"/>
  <c r="K319" i="13"/>
  <c r="L319" i="13"/>
  <c r="M319" i="13"/>
  <c r="B302" i="13"/>
  <c r="C302" i="13"/>
  <c r="D302" i="13"/>
  <c r="E302" i="13"/>
  <c r="F302" i="13"/>
  <c r="G302" i="13"/>
  <c r="H302" i="13"/>
  <c r="I302" i="13"/>
  <c r="J302" i="13"/>
  <c r="K302" i="13"/>
  <c r="L302" i="13"/>
  <c r="M302" i="13"/>
  <c r="C287" i="12"/>
  <c r="D287" i="12"/>
  <c r="E287" i="12"/>
  <c r="F287" i="12"/>
  <c r="G287" i="12"/>
  <c r="H287" i="12"/>
  <c r="I287" i="12"/>
  <c r="J287" i="12"/>
  <c r="K287" i="12"/>
  <c r="L287" i="12"/>
  <c r="M287" i="12"/>
  <c r="B287" i="12"/>
  <c r="B264" i="12"/>
  <c r="C264" i="12"/>
  <c r="D264" i="12"/>
  <c r="E264" i="12"/>
  <c r="F264" i="12"/>
  <c r="G264" i="12"/>
  <c r="H264" i="12"/>
  <c r="I264" i="12"/>
  <c r="J264" i="12"/>
  <c r="K264" i="12"/>
  <c r="L264" i="12"/>
  <c r="M264" i="12"/>
  <c r="B321" i="12"/>
  <c r="C321" i="12"/>
  <c r="D321" i="12"/>
  <c r="E321" i="12"/>
  <c r="F321" i="12"/>
  <c r="G321" i="12"/>
  <c r="H321" i="12"/>
  <c r="I321" i="12"/>
  <c r="J321" i="12"/>
  <c r="K321" i="12"/>
  <c r="L321" i="12"/>
  <c r="M321" i="12"/>
  <c r="B304" i="12"/>
  <c r="C304" i="12"/>
  <c r="D304" i="12"/>
  <c r="E304" i="12"/>
  <c r="F304" i="12"/>
  <c r="G304" i="12"/>
  <c r="H304" i="12"/>
  <c r="I304" i="12"/>
  <c r="J304" i="12"/>
  <c r="K304" i="12"/>
  <c r="L304" i="12"/>
  <c r="M304" i="12"/>
  <c r="C287" i="11"/>
  <c r="D287" i="11"/>
  <c r="E287" i="11"/>
  <c r="F287" i="11"/>
  <c r="G287" i="11"/>
  <c r="H287" i="11"/>
  <c r="I287" i="11"/>
  <c r="J287" i="11"/>
  <c r="K287" i="11"/>
  <c r="L287" i="11"/>
  <c r="M287" i="11"/>
  <c r="B287" i="11"/>
  <c r="B264" i="11"/>
  <c r="C264" i="11"/>
  <c r="D264" i="11"/>
  <c r="E264" i="11"/>
  <c r="F264" i="11"/>
  <c r="G264" i="11"/>
  <c r="H264" i="11"/>
  <c r="I264" i="11"/>
  <c r="J264" i="11"/>
  <c r="K264" i="11"/>
  <c r="L264" i="11"/>
  <c r="M264" i="11"/>
  <c r="N223" i="11"/>
  <c r="B258" i="8" s="1"/>
  <c r="F258" i="8" s="1"/>
  <c r="N224" i="11"/>
  <c r="B259" i="8" s="1"/>
  <c r="N216" i="11"/>
  <c r="B251" i="8" s="1"/>
  <c r="N217" i="11"/>
  <c r="B252" i="8" s="1"/>
  <c r="K252" i="8" s="1"/>
  <c r="N218" i="11"/>
  <c r="B253" i="8" s="1"/>
  <c r="N219" i="11"/>
  <c r="B254" i="8" s="1"/>
  <c r="K254" i="8" s="1"/>
  <c r="N220" i="11"/>
  <c r="B255" i="8" s="1"/>
  <c r="F255" i="8" s="1"/>
  <c r="H255" i="8" s="1"/>
  <c r="B321" i="11"/>
  <c r="C321" i="11"/>
  <c r="D321" i="11"/>
  <c r="E321" i="11"/>
  <c r="F321" i="11"/>
  <c r="G321" i="11"/>
  <c r="H321" i="11"/>
  <c r="I321" i="11"/>
  <c r="J321" i="11"/>
  <c r="L321" i="11"/>
  <c r="M321" i="11"/>
  <c r="B304" i="11"/>
  <c r="C304" i="11"/>
  <c r="D304" i="11"/>
  <c r="E304" i="11"/>
  <c r="F304" i="11"/>
  <c r="G304" i="11"/>
  <c r="H304" i="11"/>
  <c r="I304" i="11"/>
  <c r="J304" i="11"/>
  <c r="K304" i="11"/>
  <c r="L304" i="11"/>
  <c r="M304" i="11"/>
  <c r="D177" i="7"/>
  <c r="H177" i="7"/>
  <c r="B321" i="10"/>
  <c r="C321" i="10"/>
  <c r="D321" i="10"/>
  <c r="E321" i="10"/>
  <c r="F321" i="10"/>
  <c r="G321" i="10"/>
  <c r="H321" i="10"/>
  <c r="I321" i="10"/>
  <c r="J321" i="10"/>
  <c r="K321" i="10"/>
  <c r="L321" i="10"/>
  <c r="M321" i="10"/>
  <c r="B304" i="10"/>
  <c r="C304" i="10"/>
  <c r="D304" i="10"/>
  <c r="E304" i="10"/>
  <c r="F304" i="10"/>
  <c r="G304" i="10"/>
  <c r="H304" i="10"/>
  <c r="I304" i="10"/>
  <c r="J304" i="10"/>
  <c r="K304" i="10"/>
  <c r="L304" i="10"/>
  <c r="M304" i="10"/>
  <c r="M287" i="10"/>
  <c r="L287" i="10"/>
  <c r="K287" i="10"/>
  <c r="J287" i="10"/>
  <c r="I287" i="10"/>
  <c r="H287" i="10"/>
  <c r="G287" i="10"/>
  <c r="F287" i="10"/>
  <c r="E287" i="10"/>
  <c r="D287" i="10"/>
  <c r="C287" i="10"/>
  <c r="B287" i="10"/>
  <c r="M264" i="10"/>
  <c r="L264" i="10"/>
  <c r="K264" i="10"/>
  <c r="J264" i="10"/>
  <c r="I264" i="10"/>
  <c r="H264" i="10"/>
  <c r="G264" i="10"/>
  <c r="F264" i="10"/>
  <c r="E264" i="10"/>
  <c r="D264" i="10"/>
  <c r="C264" i="10"/>
  <c r="B264" i="10"/>
  <c r="J225" i="10"/>
  <c r="J193" i="5"/>
  <c r="J194" i="5"/>
  <c r="J193" i="6"/>
  <c r="J194" i="6" s="1"/>
  <c r="M175" i="6"/>
  <c r="D175" i="9"/>
  <c r="D175" i="8"/>
  <c r="D175" i="7"/>
  <c r="D175" i="6"/>
  <c r="D175" i="5"/>
  <c r="D176" i="4"/>
  <c r="D175" i="2"/>
  <c r="F212" i="3"/>
  <c r="F174" i="3"/>
  <c r="F194" i="1" s="1"/>
  <c r="F169" i="3"/>
  <c r="D169" i="3" s="1"/>
  <c r="M175" i="9"/>
  <c r="M176" i="4"/>
  <c r="M175" i="2"/>
  <c r="F176" i="8"/>
  <c r="F176" i="9"/>
  <c r="F189" i="2"/>
  <c r="F170" i="2"/>
  <c r="D170" i="2" s="1"/>
  <c r="F190" i="4"/>
  <c r="F171" i="4"/>
  <c r="F189" i="5"/>
  <c r="F170" i="5"/>
  <c r="F189" i="6"/>
  <c r="F170" i="6"/>
  <c r="D170" i="6" s="1"/>
  <c r="F189" i="7"/>
  <c r="F170" i="8"/>
  <c r="F170" i="7"/>
  <c r="F189" i="8"/>
  <c r="F170" i="9"/>
  <c r="M170" i="9" s="1"/>
  <c r="F189" i="9"/>
  <c r="H189" i="9" s="1"/>
  <c r="D190" i="7"/>
  <c r="D190" i="5"/>
  <c r="L190" i="8"/>
  <c r="L191" i="8"/>
  <c r="L190" i="7"/>
  <c r="M190" i="7" s="1"/>
  <c r="L191" i="7"/>
  <c r="L190" i="6"/>
  <c r="L191" i="6"/>
  <c r="L190" i="5"/>
  <c r="L191" i="5"/>
  <c r="L191" i="4"/>
  <c r="L192" i="4"/>
  <c r="L189" i="3"/>
  <c r="L190" i="3"/>
  <c r="L190" i="2"/>
  <c r="L191" i="2"/>
  <c r="N298" i="10"/>
  <c r="B172" i="9" s="1"/>
  <c r="K172" i="9" s="1"/>
  <c r="N298" i="12"/>
  <c r="B172" i="7" s="1"/>
  <c r="F172" i="7" s="1"/>
  <c r="N296" i="13"/>
  <c r="N298" i="14"/>
  <c r="B172" i="5" s="1"/>
  <c r="N298" i="15"/>
  <c r="B173" i="4" s="1"/>
  <c r="K173" i="4" s="1"/>
  <c r="K179" i="4" s="1"/>
  <c r="N298" i="17"/>
  <c r="B171" i="3" s="1"/>
  <c r="J171" i="3" s="1"/>
  <c r="N298" i="16"/>
  <c r="B172" i="2" s="1"/>
  <c r="F172" i="2" s="1"/>
  <c r="N298" i="11"/>
  <c r="B172" i="8" s="1"/>
  <c r="J172" i="8" s="1"/>
  <c r="N316" i="13"/>
  <c r="L177" i="6"/>
  <c r="M177" i="6" s="1"/>
  <c r="L177" i="5"/>
  <c r="M177" i="5" s="1"/>
  <c r="L178" i="4"/>
  <c r="M178" i="4" s="1"/>
  <c r="L176" i="3"/>
  <c r="M176" i="3" s="1"/>
  <c r="L177" i="2"/>
  <c r="M177" i="2" s="1"/>
  <c r="M177" i="9"/>
  <c r="N303" i="10"/>
  <c r="B177" i="9" s="1"/>
  <c r="N303" i="12"/>
  <c r="B177" i="7" s="1"/>
  <c r="N301" i="13"/>
  <c r="B177" i="6" s="1"/>
  <c r="N303" i="14"/>
  <c r="B177" i="5" s="1"/>
  <c r="N303" i="15"/>
  <c r="B178" i="4" s="1"/>
  <c r="N303" i="17"/>
  <c r="B176" i="3" s="1"/>
  <c r="B177" i="2"/>
  <c r="N303" i="11"/>
  <c r="B177" i="8" s="1"/>
  <c r="D176" i="3"/>
  <c r="D196" i="1" s="1"/>
  <c r="H176" i="3"/>
  <c r="L172" i="2"/>
  <c r="N263" i="10"/>
  <c r="N263" i="11"/>
  <c r="N263" i="12"/>
  <c r="N261" i="13"/>
  <c r="N263" i="14"/>
  <c r="N263" i="15"/>
  <c r="N263" i="17"/>
  <c r="N263" i="16"/>
  <c r="N262" i="10"/>
  <c r="N262" i="11"/>
  <c r="N262" i="12"/>
  <c r="B214" i="7" s="1"/>
  <c r="N260" i="13"/>
  <c r="N262" i="14"/>
  <c r="B214" i="5" s="1"/>
  <c r="N262" i="15"/>
  <c r="B216" i="4" s="1"/>
  <c r="N262" i="17"/>
  <c r="B213" i="3" s="1"/>
  <c r="N262" i="16"/>
  <c r="N300" i="17"/>
  <c r="B173" i="3" s="1"/>
  <c r="F173" i="3" s="1"/>
  <c r="N301" i="17"/>
  <c r="B174" i="3" s="1"/>
  <c r="N302" i="17"/>
  <c r="B175" i="3" s="1"/>
  <c r="F175" i="3" s="1"/>
  <c r="D175" i="3" s="1"/>
  <c r="N297" i="17"/>
  <c r="B170" i="3" s="1"/>
  <c r="K170" i="3" s="1"/>
  <c r="N300" i="15"/>
  <c r="B175" i="4" s="1"/>
  <c r="F175" i="4" s="1"/>
  <c r="N301" i="15"/>
  <c r="B176" i="4" s="1"/>
  <c r="N302" i="15"/>
  <c r="B177" i="4" s="1"/>
  <c r="N298" i="13"/>
  <c r="B174" i="6" s="1"/>
  <c r="J174" i="6" s="1"/>
  <c r="N299" i="13"/>
  <c r="B175" i="6" s="1"/>
  <c r="N300" i="13"/>
  <c r="B176" i="6" s="1"/>
  <c r="N300" i="14"/>
  <c r="B174" i="5" s="1"/>
  <c r="F174" i="5" s="1"/>
  <c r="N301" i="14"/>
  <c r="B175" i="5" s="1"/>
  <c r="N302" i="14"/>
  <c r="B176" i="5" s="1"/>
  <c r="N300" i="12"/>
  <c r="B174" i="7" s="1"/>
  <c r="F174" i="7" s="1"/>
  <c r="N301" i="12"/>
  <c r="B175" i="7" s="1"/>
  <c r="N302" i="12"/>
  <c r="B176" i="7" s="1"/>
  <c r="F176" i="7" s="1"/>
  <c r="M176" i="7" s="1"/>
  <c r="N300" i="11"/>
  <c r="B174" i="8" s="1"/>
  <c r="K174" i="8" s="1"/>
  <c r="N301" i="11"/>
  <c r="B175" i="8" s="1"/>
  <c r="N302" i="11"/>
  <c r="B176" i="8" s="1"/>
  <c r="N300" i="10"/>
  <c r="B174" i="9" s="1"/>
  <c r="K174" i="9" s="1"/>
  <c r="N301" i="10"/>
  <c r="B175" i="9" s="1"/>
  <c r="N302" i="10"/>
  <c r="B176" i="9" s="1"/>
  <c r="N300" i="16"/>
  <c r="B174" i="2" s="1"/>
  <c r="J174" i="2" s="1"/>
  <c r="J178" i="2" s="1"/>
  <c r="J195" i="2" s="1"/>
  <c r="N301" i="16"/>
  <c r="B175" i="2" s="1"/>
  <c r="N302" i="16"/>
  <c r="B176" i="2" s="1"/>
  <c r="N312" i="13"/>
  <c r="N293" i="12"/>
  <c r="B167" i="7" s="1"/>
  <c r="I167" i="7" s="1"/>
  <c r="N294" i="12"/>
  <c r="B168" i="7" s="1"/>
  <c r="I168" i="7" s="1"/>
  <c r="L168" i="7" s="1"/>
  <c r="N295" i="12"/>
  <c r="B169" i="7" s="1"/>
  <c r="F169" i="7" s="1"/>
  <c r="N296" i="12"/>
  <c r="N297" i="12"/>
  <c r="B171" i="7" s="1"/>
  <c r="F171" i="7" s="1"/>
  <c r="H171" i="7" s="1"/>
  <c r="N292" i="12"/>
  <c r="B166" i="7" s="1"/>
  <c r="F166" i="7" s="1"/>
  <c r="H166" i="7" s="1"/>
  <c r="N291" i="13"/>
  <c r="B167" i="6" s="1"/>
  <c r="N292" i="13"/>
  <c r="B168" i="6" s="1"/>
  <c r="N293" i="13"/>
  <c r="B169" i="6" s="1"/>
  <c r="F169" i="6" s="1"/>
  <c r="H169" i="6" s="1"/>
  <c r="N294" i="13"/>
  <c r="N295" i="13"/>
  <c r="B171" i="6" s="1"/>
  <c r="J171" i="6" s="1"/>
  <c r="L171" i="6" s="1"/>
  <c r="N290" i="13"/>
  <c r="B166" i="6" s="1"/>
  <c r="F166" i="6" s="1"/>
  <c r="D166" i="6" s="1"/>
  <c r="N293" i="14"/>
  <c r="B167" i="5" s="1"/>
  <c r="I167" i="5" s="1"/>
  <c r="N294" i="14"/>
  <c r="B168" i="5" s="1"/>
  <c r="K168" i="5" s="1"/>
  <c r="N295" i="14"/>
  <c r="N296" i="14"/>
  <c r="B170" i="5" s="1"/>
  <c r="N297" i="14"/>
  <c r="B171" i="5" s="1"/>
  <c r="F171" i="5" s="1"/>
  <c r="N292" i="14"/>
  <c r="B166" i="5" s="1"/>
  <c r="F166" i="5" s="1"/>
  <c r="N293" i="15"/>
  <c r="B168" i="4" s="1"/>
  <c r="N294" i="15"/>
  <c r="B169" i="4" s="1"/>
  <c r="I169" i="4" s="1"/>
  <c r="I179" i="4" s="1"/>
  <c r="I196" i="4" s="1"/>
  <c r="N295" i="15"/>
  <c r="B170" i="4" s="1"/>
  <c r="F170" i="4" s="1"/>
  <c r="H170" i="4" s="1"/>
  <c r="N296" i="15"/>
  <c r="N297" i="15"/>
  <c r="B172" i="4" s="1"/>
  <c r="N292" i="15"/>
  <c r="N293" i="17"/>
  <c r="N294" i="17"/>
  <c r="B167" i="3" s="1"/>
  <c r="K167" i="3" s="1"/>
  <c r="N295" i="17"/>
  <c r="N296" i="17"/>
  <c r="B169" i="3" s="1"/>
  <c r="N292" i="17"/>
  <c r="B165" i="3" s="1"/>
  <c r="F165" i="3" s="1"/>
  <c r="N293" i="16"/>
  <c r="B167" i="2" s="1"/>
  <c r="N294" i="16"/>
  <c r="B168" i="2" s="1"/>
  <c r="F168" i="2" s="1"/>
  <c r="H168" i="2" s="1"/>
  <c r="N295" i="16"/>
  <c r="B169" i="2" s="1"/>
  <c r="F169" i="2" s="1"/>
  <c r="D169" i="2" s="1"/>
  <c r="N296" i="16"/>
  <c r="B170" i="2" s="1"/>
  <c r="N297" i="16"/>
  <c r="B171" i="2" s="1"/>
  <c r="F171" i="2" s="1"/>
  <c r="H171" i="2" s="1"/>
  <c r="N292" i="16"/>
  <c r="B166" i="2" s="1"/>
  <c r="N293" i="11"/>
  <c r="N294" i="11"/>
  <c r="B168" i="8" s="1"/>
  <c r="F168" i="8" s="1"/>
  <c r="H168" i="8" s="1"/>
  <c r="N295" i="11"/>
  <c r="B169" i="8" s="1"/>
  <c r="N296" i="11"/>
  <c r="B170" i="8" s="1"/>
  <c r="N297" i="11"/>
  <c r="B171" i="8" s="1"/>
  <c r="F171" i="8" s="1"/>
  <c r="N292" i="11"/>
  <c r="B166" i="8" s="1"/>
  <c r="F166" i="8" s="1"/>
  <c r="D166" i="8" s="1"/>
  <c r="N293" i="10"/>
  <c r="B167" i="9" s="1"/>
  <c r="I167" i="9" s="1"/>
  <c r="N294" i="10"/>
  <c r="B168" i="9" s="1"/>
  <c r="N295" i="10"/>
  <c r="B169" i="9" s="1"/>
  <c r="F169" i="9" s="1"/>
  <c r="H169" i="9" s="1"/>
  <c r="N296" i="10"/>
  <c r="N304" i="10" s="1"/>
  <c r="N297" i="10"/>
  <c r="B171" i="9" s="1"/>
  <c r="N292" i="10"/>
  <c r="B166" i="9" s="1"/>
  <c r="B166" i="3"/>
  <c r="F166" i="3" s="1"/>
  <c r="B170" i="6"/>
  <c r="I194" i="7"/>
  <c r="L189" i="7"/>
  <c r="L188" i="7"/>
  <c r="L187" i="7"/>
  <c r="L186" i="7"/>
  <c r="L185" i="7"/>
  <c r="L184" i="7"/>
  <c r="L183" i="7"/>
  <c r="L182" i="7"/>
  <c r="L181" i="7"/>
  <c r="L180" i="7"/>
  <c r="I194" i="6"/>
  <c r="L189" i="6"/>
  <c r="L188" i="6"/>
  <c r="L187" i="6"/>
  <c r="L186" i="6"/>
  <c r="L185" i="6"/>
  <c r="L184" i="6"/>
  <c r="L183" i="6"/>
  <c r="L182" i="6"/>
  <c r="L181" i="6"/>
  <c r="L180" i="6"/>
  <c r="L189" i="5"/>
  <c r="L188" i="5"/>
  <c r="L187" i="5"/>
  <c r="L186" i="5"/>
  <c r="L185" i="5"/>
  <c r="L184" i="5"/>
  <c r="L183" i="5"/>
  <c r="L182" i="5"/>
  <c r="L181" i="5"/>
  <c r="L180" i="5"/>
  <c r="L170" i="5"/>
  <c r="I195" i="4"/>
  <c r="L190" i="4"/>
  <c r="L189" i="4"/>
  <c r="L188" i="4"/>
  <c r="L187" i="4"/>
  <c r="L186" i="4"/>
  <c r="L185" i="4"/>
  <c r="L184" i="4"/>
  <c r="L183" i="4"/>
  <c r="L182" i="4"/>
  <c r="L181" i="4"/>
  <c r="L175" i="4"/>
  <c r="L171" i="4"/>
  <c r="I193" i="3"/>
  <c r="L188" i="3"/>
  <c r="M188" i="3" s="1"/>
  <c r="D188" i="3"/>
  <c r="L187" i="3"/>
  <c r="L186" i="3"/>
  <c r="L185" i="3"/>
  <c r="L184" i="3"/>
  <c r="L183" i="3"/>
  <c r="L182" i="3"/>
  <c r="L181" i="3"/>
  <c r="L180" i="3"/>
  <c r="L179" i="3"/>
  <c r="L175" i="3"/>
  <c r="L173" i="3"/>
  <c r="L169" i="3"/>
  <c r="I194" i="2"/>
  <c r="L189" i="2"/>
  <c r="L188" i="2"/>
  <c r="L187" i="2"/>
  <c r="L186" i="2"/>
  <c r="L185" i="2"/>
  <c r="L184" i="2"/>
  <c r="L183" i="2"/>
  <c r="L182" i="2"/>
  <c r="L181" i="2"/>
  <c r="L180" i="2"/>
  <c r="L170" i="2"/>
  <c r="I194" i="8"/>
  <c r="L189" i="8"/>
  <c r="L188" i="8"/>
  <c r="L187" i="8"/>
  <c r="D209" i="9"/>
  <c r="H209" i="9"/>
  <c r="L209" i="9"/>
  <c r="M209" i="9" s="1"/>
  <c r="D213" i="9"/>
  <c r="J214" i="9"/>
  <c r="L214" i="9" s="1"/>
  <c r="F217" i="9"/>
  <c r="H217" i="9" s="1"/>
  <c r="I217" i="9"/>
  <c r="J217" i="9"/>
  <c r="K217" i="9"/>
  <c r="F218" i="9"/>
  <c r="D218" i="9" s="1"/>
  <c r="I218" i="9"/>
  <c r="J218" i="9"/>
  <c r="K218" i="9"/>
  <c r="L221" i="9"/>
  <c r="L226" i="9"/>
  <c r="F234" i="9"/>
  <c r="L234" i="9"/>
  <c r="F237" i="9"/>
  <c r="J237" i="9"/>
  <c r="K237" i="9"/>
  <c r="I239" i="9"/>
  <c r="L166" i="2"/>
  <c r="L169" i="5"/>
  <c r="L166" i="7"/>
  <c r="L171" i="2"/>
  <c r="L165" i="3"/>
  <c r="L170" i="4"/>
  <c r="J194" i="7"/>
  <c r="L167" i="4"/>
  <c r="L169" i="2"/>
  <c r="J194" i="2"/>
  <c r="L169" i="7"/>
  <c r="F255" i="5"/>
  <c r="L166" i="5"/>
  <c r="L166" i="6"/>
  <c r="J194" i="9"/>
  <c r="D209" i="2"/>
  <c r="D209" i="5"/>
  <c r="D209" i="7"/>
  <c r="D209" i="8"/>
  <c r="F234" i="8"/>
  <c r="D234" i="8" s="1"/>
  <c r="F234" i="7"/>
  <c r="F234" i="6"/>
  <c r="H234" i="6" s="1"/>
  <c r="F234" i="5"/>
  <c r="D234" i="5" s="1"/>
  <c r="F236" i="4"/>
  <c r="D234" i="2"/>
  <c r="D240" i="4"/>
  <c r="D211" i="4"/>
  <c r="D225" i="4"/>
  <c r="D233" i="6"/>
  <c r="D213" i="5"/>
  <c r="D215" i="4"/>
  <c r="D213" i="2"/>
  <c r="N283" i="15"/>
  <c r="B236" i="4" s="1"/>
  <c r="N283" i="16"/>
  <c r="B234" i="2" s="1"/>
  <c r="N253" i="10"/>
  <c r="B205" i="9" s="1"/>
  <c r="K214" i="2"/>
  <c r="J214" i="2" s="1"/>
  <c r="L214" i="2" s="1"/>
  <c r="M214" i="2" s="1"/>
  <c r="K216" i="4"/>
  <c r="J216" i="4" s="1"/>
  <c r="L216" i="4" s="1"/>
  <c r="K214" i="5"/>
  <c r="J214" i="5" s="1"/>
  <c r="L214" i="5" s="1"/>
  <c r="K214" i="6"/>
  <c r="J214" i="6" s="1"/>
  <c r="L214" i="6" s="1"/>
  <c r="K214" i="7"/>
  <c r="J214" i="7" s="1"/>
  <c r="L214" i="7" s="1"/>
  <c r="M214" i="7" s="1"/>
  <c r="K214" i="8"/>
  <c r="J214" i="8" s="1"/>
  <c r="L214" i="8" s="1"/>
  <c r="N261" i="15"/>
  <c r="B215" i="4" s="1"/>
  <c r="N286" i="16"/>
  <c r="B238" i="2" s="1"/>
  <c r="K238" i="2" s="1"/>
  <c r="N286" i="17"/>
  <c r="B237" i="3" s="1"/>
  <c r="K237" i="3" s="1"/>
  <c r="N261" i="17"/>
  <c r="B212" i="3" s="1"/>
  <c r="N260" i="17"/>
  <c r="B211" i="3" s="1"/>
  <c r="K211" i="3" s="1"/>
  <c r="L211" i="3" s="1"/>
  <c r="N286" i="15"/>
  <c r="B240" i="4" s="1"/>
  <c r="K240" i="4" s="1"/>
  <c r="L240" i="4" s="1"/>
  <c r="M240" i="4" s="1"/>
  <c r="N260" i="15"/>
  <c r="B214" i="4" s="1"/>
  <c r="K214" i="4" s="1"/>
  <c r="N286" i="14"/>
  <c r="B238" i="5" s="1"/>
  <c r="K238" i="5" s="1"/>
  <c r="N284" i="13"/>
  <c r="B238" i="6" s="1"/>
  <c r="N286" i="12"/>
  <c r="B238" i="7" s="1"/>
  <c r="F238" i="7" s="1"/>
  <c r="D238" i="7" s="1"/>
  <c r="N286" i="11"/>
  <c r="B238" i="8" s="1"/>
  <c r="F238" i="8" s="1"/>
  <c r="N286" i="10"/>
  <c r="B238" i="9" s="1"/>
  <c r="J238" i="9" s="1"/>
  <c r="N258" i="13"/>
  <c r="B212" i="6" s="1"/>
  <c r="N259" i="13"/>
  <c r="N260" i="12"/>
  <c r="B212" i="7" s="1"/>
  <c r="F212" i="7" s="1"/>
  <c r="H212" i="7" s="1"/>
  <c r="N261" i="12"/>
  <c r="B213" i="7" s="1"/>
  <c r="N271" i="16"/>
  <c r="B222" i="2" s="1"/>
  <c r="J222" i="2" s="1"/>
  <c r="N272" i="16"/>
  <c r="B223" i="2" s="1"/>
  <c r="K223" i="2" s="1"/>
  <c r="N273" i="16"/>
  <c r="B224" i="2" s="1"/>
  <c r="N274" i="16"/>
  <c r="B225" i="2" s="1"/>
  <c r="F225" i="2" s="1"/>
  <c r="N275" i="16"/>
  <c r="B226" i="2" s="1"/>
  <c r="F226" i="2" s="1"/>
  <c r="N276" i="16"/>
  <c r="B227" i="2" s="1"/>
  <c r="K227" i="2" s="1"/>
  <c r="N277" i="16"/>
  <c r="B228" i="2" s="1"/>
  <c r="F228" i="2" s="1"/>
  <c r="N278" i="16"/>
  <c r="B229" i="2" s="1"/>
  <c r="J229" i="2" s="1"/>
  <c r="N279" i="16"/>
  <c r="B230" i="2" s="1"/>
  <c r="K230" i="2" s="1"/>
  <c r="N280" i="16"/>
  <c r="B231" i="2" s="1"/>
  <c r="N281" i="16"/>
  <c r="B232" i="2" s="1"/>
  <c r="K232" i="2" s="1"/>
  <c r="N282" i="16"/>
  <c r="B233" i="2" s="1"/>
  <c r="N270" i="16"/>
  <c r="B221" i="2" s="1"/>
  <c r="N271" i="15"/>
  <c r="B224" i="4" s="1"/>
  <c r="N272" i="15"/>
  <c r="B225" i="4" s="1"/>
  <c r="N273" i="15"/>
  <c r="B226" i="4" s="1"/>
  <c r="F226" i="4" s="1"/>
  <c r="H226" i="4" s="1"/>
  <c r="N274" i="15"/>
  <c r="B227" i="4" s="1"/>
  <c r="K227" i="4" s="1"/>
  <c r="N275" i="15"/>
  <c r="B228" i="4" s="1"/>
  <c r="F228" i="4" s="1"/>
  <c r="N276" i="15"/>
  <c r="B229" i="4" s="1"/>
  <c r="J229" i="4" s="1"/>
  <c r="N277" i="15"/>
  <c r="B230" i="4" s="1"/>
  <c r="K230" i="4" s="1"/>
  <c r="N278" i="15"/>
  <c r="B231" i="4" s="1"/>
  <c r="F231" i="4" s="1"/>
  <c r="H231" i="4" s="1"/>
  <c r="N279" i="15"/>
  <c r="B232" i="4" s="1"/>
  <c r="N280" i="15"/>
  <c r="B233" i="4" s="1"/>
  <c r="F233" i="4" s="1"/>
  <c r="D233" i="4" s="1"/>
  <c r="N281" i="15"/>
  <c r="B234" i="4" s="1"/>
  <c r="F234" i="4" s="1"/>
  <c r="N282" i="15"/>
  <c r="B235" i="4" s="1"/>
  <c r="F235" i="4" s="1"/>
  <c r="N270" i="15"/>
  <c r="B223" i="4" s="1"/>
  <c r="N270" i="17"/>
  <c r="B220" i="3" s="1"/>
  <c r="N271" i="17"/>
  <c r="N272" i="17"/>
  <c r="B222" i="3" s="1"/>
  <c r="N273" i="17"/>
  <c r="B223" i="3" s="1"/>
  <c r="F223" i="3" s="1"/>
  <c r="H223" i="3" s="1"/>
  <c r="N274" i="17"/>
  <c r="B224" i="3" s="1"/>
  <c r="F224" i="3" s="1"/>
  <c r="N275" i="17"/>
  <c r="B225" i="3" s="1"/>
  <c r="J225" i="3" s="1"/>
  <c r="N276" i="17"/>
  <c r="B226" i="3" s="1"/>
  <c r="J226" i="3" s="1"/>
  <c r="N277" i="17"/>
  <c r="B227" i="3" s="1"/>
  <c r="J227" i="3" s="1"/>
  <c r="N278" i="17"/>
  <c r="B228" i="3" s="1"/>
  <c r="F228" i="3" s="1"/>
  <c r="D228" i="3" s="1"/>
  <c r="N279" i="17"/>
  <c r="B229" i="3" s="1"/>
  <c r="J229" i="3" s="1"/>
  <c r="N280" i="17"/>
  <c r="B230" i="3" s="1"/>
  <c r="K230" i="3" s="1"/>
  <c r="N281" i="17"/>
  <c r="B231" i="3" s="1"/>
  <c r="N282" i="17"/>
  <c r="B232" i="3" s="1"/>
  <c r="F232" i="3" s="1"/>
  <c r="D232" i="3" s="1"/>
  <c r="N283" i="17"/>
  <c r="B233" i="3" s="1"/>
  <c r="J233" i="3" s="1"/>
  <c r="N271" i="14"/>
  <c r="B222" i="5" s="1"/>
  <c r="K222" i="5" s="1"/>
  <c r="N272" i="14"/>
  <c r="B223" i="5" s="1"/>
  <c r="J223" i="5" s="1"/>
  <c r="N273" i="14"/>
  <c r="N274" i="14"/>
  <c r="B225" i="5" s="1"/>
  <c r="N275" i="14"/>
  <c r="B226" i="5" s="1"/>
  <c r="F226" i="5" s="1"/>
  <c r="M226" i="5" s="1"/>
  <c r="N276" i="14"/>
  <c r="B227" i="5" s="1"/>
  <c r="J227" i="5" s="1"/>
  <c r="N277" i="14"/>
  <c r="B228" i="5" s="1"/>
  <c r="K228" i="5" s="1"/>
  <c r="N278" i="14"/>
  <c r="B229" i="5" s="1"/>
  <c r="N279" i="14"/>
  <c r="B230" i="5" s="1"/>
  <c r="F230" i="5" s="1"/>
  <c r="D230" i="5" s="1"/>
  <c r="N280" i="14"/>
  <c r="B231" i="5" s="1"/>
  <c r="F231" i="5" s="1"/>
  <c r="D231" i="5" s="1"/>
  <c r="N281" i="14"/>
  <c r="B232" i="5" s="1"/>
  <c r="K232" i="5" s="1"/>
  <c r="N282" i="14"/>
  <c r="B233" i="5" s="1"/>
  <c r="F233" i="5" s="1"/>
  <c r="N283" i="14"/>
  <c r="B234" i="5" s="1"/>
  <c r="N270" i="14"/>
  <c r="B221" i="5" s="1"/>
  <c r="F221" i="5" s="1"/>
  <c r="N270" i="12"/>
  <c r="B221" i="7" s="1"/>
  <c r="K221" i="7" s="1"/>
  <c r="N272" i="12"/>
  <c r="B223" i="7" s="1"/>
  <c r="N273" i="12"/>
  <c r="B224" i="7" s="1"/>
  <c r="F224" i="7" s="1"/>
  <c r="D224" i="7" s="1"/>
  <c r="N274" i="12"/>
  <c r="B225" i="7" s="1"/>
  <c r="F225" i="7" s="1"/>
  <c r="D225" i="7" s="1"/>
  <c r="N275" i="12"/>
  <c r="B226" i="7" s="1"/>
  <c r="N276" i="12"/>
  <c r="B227" i="7" s="1"/>
  <c r="N277" i="12"/>
  <c r="B228" i="7" s="1"/>
  <c r="J228" i="7" s="1"/>
  <c r="N278" i="12"/>
  <c r="B229" i="7" s="1"/>
  <c r="F229" i="7" s="1"/>
  <c r="N279" i="12"/>
  <c r="B230" i="7" s="1"/>
  <c r="K230" i="7" s="1"/>
  <c r="N280" i="12"/>
  <c r="B231" i="7" s="1"/>
  <c r="F231" i="7" s="1"/>
  <c r="H231" i="7" s="1"/>
  <c r="N281" i="12"/>
  <c r="B232" i="7" s="1"/>
  <c r="F232" i="7" s="1"/>
  <c r="H232" i="7" s="1"/>
  <c r="N282" i="12"/>
  <c r="B233" i="7" s="1"/>
  <c r="F233" i="7" s="1"/>
  <c r="D233" i="7" s="1"/>
  <c r="N283" i="12"/>
  <c r="N271" i="12"/>
  <c r="B222" i="7" s="1"/>
  <c r="N281" i="13"/>
  <c r="B234" i="6" s="1"/>
  <c r="N268" i="13"/>
  <c r="N269" i="13"/>
  <c r="N270" i="13"/>
  <c r="N271" i="13"/>
  <c r="B224" i="6" s="1"/>
  <c r="F224" i="6" s="1"/>
  <c r="N272" i="13"/>
  <c r="N273" i="13"/>
  <c r="B226" i="6" s="1"/>
  <c r="F226" i="6" s="1"/>
  <c r="H226" i="6" s="1"/>
  <c r="N274" i="13"/>
  <c r="N275" i="13"/>
  <c r="B228" i="6" s="1"/>
  <c r="N276" i="13"/>
  <c r="N277" i="13"/>
  <c r="B230" i="6" s="1"/>
  <c r="J230" i="6" s="1"/>
  <c r="N278" i="13"/>
  <c r="B231" i="6" s="1"/>
  <c r="F231" i="6" s="1"/>
  <c r="D231" i="6" s="1"/>
  <c r="N279" i="13"/>
  <c r="B232" i="6" s="1"/>
  <c r="K232" i="6" s="1"/>
  <c r="N280" i="13"/>
  <c r="B233" i="6" s="1"/>
  <c r="K233" i="6" s="1"/>
  <c r="N271" i="11"/>
  <c r="B222" i="8" s="1"/>
  <c r="K222" i="8" s="1"/>
  <c r="N272" i="11"/>
  <c r="B223" i="8" s="1"/>
  <c r="K223" i="8" s="1"/>
  <c r="N273" i="11"/>
  <c r="B224" i="8" s="1"/>
  <c r="J224" i="8" s="1"/>
  <c r="N274" i="11"/>
  <c r="B225" i="8" s="1"/>
  <c r="N275" i="11"/>
  <c r="B226" i="8" s="1"/>
  <c r="F226" i="8" s="1"/>
  <c r="D226" i="8" s="1"/>
  <c r="N276" i="11"/>
  <c r="B227" i="8" s="1"/>
  <c r="K227" i="8" s="1"/>
  <c r="N277" i="11"/>
  <c r="B228" i="8" s="1"/>
  <c r="N278" i="11"/>
  <c r="B229" i="8" s="1"/>
  <c r="F229" i="8" s="1"/>
  <c r="N279" i="11"/>
  <c r="B230" i="8" s="1"/>
  <c r="F230" i="8" s="1"/>
  <c r="H230" i="8" s="1"/>
  <c r="N280" i="11"/>
  <c r="B231" i="8" s="1"/>
  <c r="N281" i="11"/>
  <c r="B232" i="8" s="1"/>
  <c r="F232" i="8" s="1"/>
  <c r="D232" i="8" s="1"/>
  <c r="N282" i="11"/>
  <c r="B233" i="8" s="1"/>
  <c r="N283" i="11"/>
  <c r="N270" i="11"/>
  <c r="B221" i="8" s="1"/>
  <c r="J221" i="8" s="1"/>
  <c r="N271" i="10"/>
  <c r="B222" i="9" s="1"/>
  <c r="K222" i="9" s="1"/>
  <c r="N272" i="10"/>
  <c r="N273" i="10"/>
  <c r="N274" i="10"/>
  <c r="N275" i="10"/>
  <c r="B226" i="9" s="1"/>
  <c r="F226" i="9" s="1"/>
  <c r="M226" i="9" s="1"/>
  <c r="N276" i="10"/>
  <c r="N277" i="10"/>
  <c r="N278" i="10"/>
  <c r="N279" i="10"/>
  <c r="B230" i="9" s="1"/>
  <c r="N280" i="10"/>
  <c r="N281" i="10"/>
  <c r="N282" i="10"/>
  <c r="N283" i="10"/>
  <c r="N270" i="10"/>
  <c r="B232" i="9"/>
  <c r="F232" i="9" s="1"/>
  <c r="N260" i="16"/>
  <c r="B212" i="2" s="1"/>
  <c r="F212" i="2" s="1"/>
  <c r="D212" i="2" s="1"/>
  <c r="N261" i="16"/>
  <c r="B213" i="2" s="1"/>
  <c r="B214" i="2"/>
  <c r="N260" i="14"/>
  <c r="B212" i="5" s="1"/>
  <c r="F212" i="5" s="1"/>
  <c r="N261" i="14"/>
  <c r="B213" i="5" s="1"/>
  <c r="B214" i="6"/>
  <c r="N260" i="11"/>
  <c r="B212" i="8" s="1"/>
  <c r="N261" i="11"/>
  <c r="B213" i="8" s="1"/>
  <c r="N260" i="10"/>
  <c r="N261" i="10"/>
  <c r="B213" i="9" s="1"/>
  <c r="N254" i="16"/>
  <c r="B206" i="2" s="1"/>
  <c r="F206" i="2" s="1"/>
  <c r="H206" i="2" s="1"/>
  <c r="N255" i="16"/>
  <c r="B207" i="2" s="1"/>
  <c r="I207" i="2" s="1"/>
  <c r="N256" i="16"/>
  <c r="B208" i="2" s="1"/>
  <c r="I208" i="2" s="1"/>
  <c r="N257" i="16"/>
  <c r="N264" i="16" s="1"/>
  <c r="N253" i="16"/>
  <c r="N258" i="16"/>
  <c r="B210" i="2" s="1"/>
  <c r="K210" i="2" s="1"/>
  <c r="N254" i="17"/>
  <c r="B205" i="3" s="1"/>
  <c r="F205" i="3" s="1"/>
  <c r="D205" i="3" s="1"/>
  <c r="N255" i="17"/>
  <c r="B206" i="3" s="1"/>
  <c r="K206" i="3" s="1"/>
  <c r="N256" i="17"/>
  <c r="B207" i="3" s="1"/>
  <c r="J207" i="3" s="1"/>
  <c r="N257" i="17"/>
  <c r="B208" i="3" s="1"/>
  <c r="J208" i="3" s="1"/>
  <c r="N258" i="17"/>
  <c r="B209" i="3" s="1"/>
  <c r="N253" i="17"/>
  <c r="N257" i="15"/>
  <c r="N258" i="15"/>
  <c r="B212" i="4" s="1"/>
  <c r="N254" i="15"/>
  <c r="B208" i="4" s="1"/>
  <c r="J208" i="4" s="1"/>
  <c r="N255" i="15"/>
  <c r="B209" i="4" s="1"/>
  <c r="F209" i="4" s="1"/>
  <c r="N256" i="15"/>
  <c r="B210" i="4" s="1"/>
  <c r="N253" i="15"/>
  <c r="F250" i="5"/>
  <c r="J250" i="5"/>
  <c r="K250" i="5"/>
  <c r="F251" i="5"/>
  <c r="I251" i="5"/>
  <c r="J251" i="5"/>
  <c r="K251" i="5"/>
  <c r="F252" i="5"/>
  <c r="I252" i="5"/>
  <c r="J252" i="5"/>
  <c r="K252" i="5"/>
  <c r="F253" i="5"/>
  <c r="D253" i="5" s="1"/>
  <c r="J253" i="5"/>
  <c r="K253" i="5"/>
  <c r="F254" i="5"/>
  <c r="D254" i="5" s="1"/>
  <c r="J254" i="5"/>
  <c r="K254" i="5"/>
  <c r="J255" i="5"/>
  <c r="K255" i="5"/>
  <c r="F257" i="5"/>
  <c r="K257" i="5"/>
  <c r="L257" i="5" s="1"/>
  <c r="D258" i="5"/>
  <c r="L258" i="5"/>
  <c r="M258" i="5" s="1"/>
  <c r="F259" i="5"/>
  <c r="D259" i="5" s="1"/>
  <c r="L259" i="5"/>
  <c r="F262" i="5"/>
  <c r="I262" i="5"/>
  <c r="J262" i="5"/>
  <c r="K262" i="5"/>
  <c r="F263" i="5"/>
  <c r="H263" i="5" s="1"/>
  <c r="I263" i="5"/>
  <c r="J263" i="5"/>
  <c r="K263" i="5"/>
  <c r="F266" i="5"/>
  <c r="L266" i="5"/>
  <c r="F267" i="5"/>
  <c r="J267" i="5"/>
  <c r="K267" i="5"/>
  <c r="F268" i="5"/>
  <c r="J268" i="5"/>
  <c r="K268" i="5"/>
  <c r="F269" i="5"/>
  <c r="D269" i="5" s="1"/>
  <c r="J269" i="5"/>
  <c r="K269" i="5"/>
  <c r="F270" i="5"/>
  <c r="J270" i="5"/>
  <c r="K270" i="5"/>
  <c r="F271" i="5"/>
  <c r="L271" i="5"/>
  <c r="F272" i="5"/>
  <c r="H272" i="5" s="1"/>
  <c r="J272" i="5"/>
  <c r="K272" i="5"/>
  <c r="F273" i="5"/>
  <c r="J273" i="5"/>
  <c r="K273" i="5"/>
  <c r="F274" i="5"/>
  <c r="J274" i="5"/>
  <c r="K274" i="5"/>
  <c r="F275" i="5"/>
  <c r="J275" i="5"/>
  <c r="K275" i="5"/>
  <c r="F276" i="5"/>
  <c r="H276" i="5" s="1"/>
  <c r="L276" i="5"/>
  <c r="F277" i="5"/>
  <c r="J277" i="5"/>
  <c r="K277" i="5"/>
  <c r="F278" i="5"/>
  <c r="L278" i="5"/>
  <c r="F279" i="5"/>
  <c r="D279" i="5" s="1"/>
  <c r="L279" i="5"/>
  <c r="F281" i="5"/>
  <c r="L281" i="5"/>
  <c r="F282" i="5"/>
  <c r="J282" i="5"/>
  <c r="K282" i="5"/>
  <c r="N258" i="14"/>
  <c r="B210" i="5" s="1"/>
  <c r="F210" i="5" s="1"/>
  <c r="H210" i="5" s="1"/>
  <c r="N257" i="14"/>
  <c r="N256" i="14"/>
  <c r="B208" i="5" s="1"/>
  <c r="K208" i="5" s="1"/>
  <c r="N255" i="14"/>
  <c r="B207" i="5" s="1"/>
  <c r="J207" i="5" s="1"/>
  <c r="N254" i="14"/>
  <c r="B206" i="5" s="1"/>
  <c r="K206" i="5" s="1"/>
  <c r="N253" i="14"/>
  <c r="B205" i="5" s="1"/>
  <c r="N252" i="13"/>
  <c r="N253" i="13"/>
  <c r="B207" i="6" s="1"/>
  <c r="F207" i="6" s="1"/>
  <c r="N254" i="13"/>
  <c r="B208" i="6" s="1"/>
  <c r="K208" i="6" s="1"/>
  <c r="N255" i="13"/>
  <c r="N256" i="13"/>
  <c r="B210" i="6" s="1"/>
  <c r="N251" i="13"/>
  <c r="B205" i="6" s="1"/>
  <c r="J205" i="6" s="1"/>
  <c r="N254" i="12"/>
  <c r="B206" i="7" s="1"/>
  <c r="J206" i="7" s="1"/>
  <c r="N255" i="12"/>
  <c r="N256" i="12"/>
  <c r="B208" i="7" s="1"/>
  <c r="N257" i="12"/>
  <c r="B209" i="7" s="1"/>
  <c r="N258" i="12"/>
  <c r="B210" i="7" s="1"/>
  <c r="J210" i="7" s="1"/>
  <c r="N253" i="12"/>
  <c r="B205" i="7" s="1"/>
  <c r="F205" i="7" s="1"/>
  <c r="D205" i="7" s="1"/>
  <c r="N254" i="11"/>
  <c r="N255" i="11"/>
  <c r="B207" i="8" s="1"/>
  <c r="I207" i="8" s="1"/>
  <c r="N256" i="11"/>
  <c r="B208" i="8" s="1"/>
  <c r="K208" i="8" s="1"/>
  <c r="N257" i="11"/>
  <c r="N258" i="11"/>
  <c r="N253" i="11"/>
  <c r="B205" i="8" s="1"/>
  <c r="N257" i="10"/>
  <c r="N258" i="10"/>
  <c r="N256" i="10"/>
  <c r="N264" i="10" s="1"/>
  <c r="N255" i="10"/>
  <c r="N254" i="10"/>
  <c r="F237" i="8"/>
  <c r="D237" i="8" s="1"/>
  <c r="A237" i="8"/>
  <c r="A236" i="8"/>
  <c r="L234" i="8"/>
  <c r="L233" i="8"/>
  <c r="A233" i="8"/>
  <c r="L232" i="8"/>
  <c r="A232" i="8"/>
  <c r="L231" i="8"/>
  <c r="A231" i="8"/>
  <c r="A229" i="8"/>
  <c r="L228" i="8"/>
  <c r="A228" i="8"/>
  <c r="L226" i="8"/>
  <c r="A226" i="8"/>
  <c r="A224" i="8"/>
  <c r="A222" i="8"/>
  <c r="A221" i="8"/>
  <c r="A220" i="8"/>
  <c r="I218" i="8"/>
  <c r="A218" i="8"/>
  <c r="K217" i="8"/>
  <c r="J217" i="8"/>
  <c r="F217" i="8"/>
  <c r="D217" i="8" s="1"/>
  <c r="I217" i="8"/>
  <c r="A217" i="8"/>
  <c r="A216" i="8"/>
  <c r="A211" i="8"/>
  <c r="A208" i="8"/>
  <c r="A207" i="8"/>
  <c r="A206" i="8"/>
  <c r="A205" i="8"/>
  <c r="A204" i="8"/>
  <c r="L237" i="7"/>
  <c r="F237" i="7"/>
  <c r="H237" i="7" s="1"/>
  <c r="A237" i="7"/>
  <c r="A236" i="7"/>
  <c r="L234" i="7"/>
  <c r="L233" i="7"/>
  <c r="A233" i="7"/>
  <c r="L232" i="7"/>
  <c r="A232" i="7"/>
  <c r="L231" i="7"/>
  <c r="A231" i="7"/>
  <c r="A229" i="7"/>
  <c r="A228" i="7"/>
  <c r="L226" i="7"/>
  <c r="A226" i="7"/>
  <c r="A224" i="7"/>
  <c r="A222" i="7"/>
  <c r="A221" i="7"/>
  <c r="A220" i="7"/>
  <c r="A218" i="7"/>
  <c r="K217" i="7"/>
  <c r="J217" i="7"/>
  <c r="F217" i="7"/>
  <c r="H217" i="7" s="1"/>
  <c r="I217" i="7"/>
  <c r="A217" i="7"/>
  <c r="A216" i="7"/>
  <c r="D213" i="7"/>
  <c r="A211" i="7"/>
  <c r="A208" i="7"/>
  <c r="A207" i="7"/>
  <c r="A206" i="7"/>
  <c r="A205" i="7"/>
  <c r="A204" i="7"/>
  <c r="L237" i="6"/>
  <c r="F237" i="6"/>
  <c r="H237" i="6" s="1"/>
  <c r="A237" i="6"/>
  <c r="A236" i="6"/>
  <c r="H233" i="6"/>
  <c r="A233" i="6"/>
  <c r="A232" i="6"/>
  <c r="L231" i="6"/>
  <c r="A231" i="6"/>
  <c r="A229" i="6"/>
  <c r="A228" i="6"/>
  <c r="K227" i="6"/>
  <c r="J227" i="6"/>
  <c r="F227" i="6"/>
  <c r="A226" i="6"/>
  <c r="A224" i="6"/>
  <c r="A222" i="6"/>
  <c r="L221" i="6"/>
  <c r="A221" i="6"/>
  <c r="A220" i="6"/>
  <c r="K218" i="6"/>
  <c r="J218" i="6"/>
  <c r="A218" i="6"/>
  <c r="A217" i="6"/>
  <c r="A216" i="6"/>
  <c r="D213" i="6"/>
  <c r="A211" i="6"/>
  <c r="A208" i="6"/>
  <c r="A207" i="6"/>
  <c r="A206" i="6"/>
  <c r="A205" i="6"/>
  <c r="A204" i="6"/>
  <c r="L237" i="5"/>
  <c r="F237" i="5"/>
  <c r="A237" i="5"/>
  <c r="A236" i="5"/>
  <c r="L234" i="5"/>
  <c r="L233" i="5"/>
  <c r="A233" i="5"/>
  <c r="A232" i="5"/>
  <c r="L231" i="5"/>
  <c r="A231" i="5"/>
  <c r="A229" i="5"/>
  <c r="A228" i="5"/>
  <c r="L226" i="5"/>
  <c r="A226" i="5"/>
  <c r="A224" i="5"/>
  <c r="A222" i="5"/>
  <c r="L221" i="5"/>
  <c r="A221" i="5"/>
  <c r="A220" i="5"/>
  <c r="I218" i="5"/>
  <c r="J218" i="5"/>
  <c r="A218" i="5"/>
  <c r="I217" i="5"/>
  <c r="F217" i="5"/>
  <c r="A217" i="5"/>
  <c r="A216" i="5"/>
  <c r="F214" i="5"/>
  <c r="A211" i="5"/>
  <c r="A208" i="5"/>
  <c r="A207" i="5"/>
  <c r="A206" i="5"/>
  <c r="A205" i="5"/>
  <c r="A204" i="5"/>
  <c r="I241" i="4"/>
  <c r="M239" i="4"/>
  <c r="A239" i="4"/>
  <c r="A238" i="4"/>
  <c r="L236" i="4"/>
  <c r="L235" i="4"/>
  <c r="A235" i="4"/>
  <c r="A234" i="4"/>
  <c r="L233" i="4"/>
  <c r="A233" i="4"/>
  <c r="A231" i="4"/>
  <c r="A230" i="4"/>
  <c r="A228" i="4"/>
  <c r="A226" i="4"/>
  <c r="H225" i="4"/>
  <c r="A224" i="4"/>
  <c r="L223" i="4"/>
  <c r="A223" i="4"/>
  <c r="A222" i="4"/>
  <c r="J220" i="4"/>
  <c r="K220" i="4"/>
  <c r="A220" i="4"/>
  <c r="K219" i="4"/>
  <c r="F219" i="4"/>
  <c r="J219" i="4"/>
  <c r="A219" i="4"/>
  <c r="A218" i="4"/>
  <c r="M215" i="4"/>
  <c r="A213" i="4"/>
  <c r="A210" i="4"/>
  <c r="A209" i="4"/>
  <c r="A208" i="4"/>
  <c r="A207" i="4"/>
  <c r="A206" i="4"/>
  <c r="I238" i="3"/>
  <c r="A236" i="3"/>
  <c r="A235" i="3"/>
  <c r="A232" i="3"/>
  <c r="A231" i="3"/>
  <c r="A230" i="3"/>
  <c r="A228" i="3"/>
  <c r="A227" i="3"/>
  <c r="A225" i="3"/>
  <c r="A223" i="3"/>
  <c r="A221" i="3"/>
  <c r="A220" i="3"/>
  <c r="A219" i="3"/>
  <c r="I217" i="3"/>
  <c r="A217" i="3"/>
  <c r="K216" i="3"/>
  <c r="J216" i="3"/>
  <c r="F216" i="3"/>
  <c r="I216" i="3"/>
  <c r="A216" i="3"/>
  <c r="A215" i="3"/>
  <c r="M213" i="3"/>
  <c r="D213" i="3"/>
  <c r="A210" i="3"/>
  <c r="A207" i="3"/>
  <c r="A206" i="3"/>
  <c r="A205" i="3"/>
  <c r="A204" i="3"/>
  <c r="A203" i="3"/>
  <c r="J237" i="2"/>
  <c r="H237" i="2"/>
  <c r="D237" i="2"/>
  <c r="K237" i="2"/>
  <c r="A237" i="2"/>
  <c r="A236" i="2"/>
  <c r="H234" i="2"/>
  <c r="L233" i="2"/>
  <c r="A233" i="2"/>
  <c r="A257" i="1" s="1"/>
  <c r="A232" i="2"/>
  <c r="A256" i="1" s="1"/>
  <c r="A231" i="2"/>
  <c r="A255" i="1" s="1"/>
  <c r="A229" i="2"/>
  <c r="A253" i="1" s="1"/>
  <c r="L228" i="2"/>
  <c r="A228" i="2"/>
  <c r="A252" i="1" s="1"/>
  <c r="L226" i="2"/>
  <c r="A226" i="2"/>
  <c r="A250" i="1" s="1"/>
  <c r="A224" i="2"/>
  <c r="A248" i="1" s="1"/>
  <c r="A222" i="2"/>
  <c r="A246" i="1" s="1"/>
  <c r="A221" i="2"/>
  <c r="A245" i="1" s="1"/>
  <c r="A220" i="2"/>
  <c r="M213" i="2"/>
  <c r="A211" i="2"/>
  <c r="H209" i="2"/>
  <c r="I209" i="2"/>
  <c r="A208" i="2"/>
  <c r="A232" i="1" s="1"/>
  <c r="A207" i="2"/>
  <c r="A231" i="1" s="1"/>
  <c r="A206" i="2"/>
  <c r="A230" i="1" s="1"/>
  <c r="A205" i="2"/>
  <c r="A229" i="1" s="1"/>
  <c r="A204" i="2"/>
  <c r="A228" i="1" s="1"/>
  <c r="A249" i="2"/>
  <c r="A290" i="1"/>
  <c r="L270" i="1"/>
  <c r="H270" i="1"/>
  <c r="D270" i="1"/>
  <c r="L261" i="1"/>
  <c r="M261" i="1" s="1"/>
  <c r="D261" i="1"/>
  <c r="H209" i="8"/>
  <c r="L209" i="7"/>
  <c r="M209" i="7" s="1"/>
  <c r="L209" i="5"/>
  <c r="M209" i="5" s="1"/>
  <c r="L209" i="2"/>
  <c r="M209" i="2" s="1"/>
  <c r="H211" i="4"/>
  <c r="H209" i="5"/>
  <c r="L234" i="6"/>
  <c r="L234" i="2"/>
  <c r="M234" i="2" s="1"/>
  <c r="K217" i="3"/>
  <c r="F217" i="3"/>
  <c r="H217" i="3" s="1"/>
  <c r="J217" i="3"/>
  <c r="I220" i="4"/>
  <c r="J217" i="6"/>
  <c r="I217" i="6"/>
  <c r="L211" i="4"/>
  <c r="M211" i="4" s="1"/>
  <c r="I219" i="4"/>
  <c r="F220" i="4"/>
  <c r="J217" i="5"/>
  <c r="K218" i="5"/>
  <c r="F217" i="6"/>
  <c r="H217" i="6" s="1"/>
  <c r="I218" i="6"/>
  <c r="F218" i="6"/>
  <c r="K217" i="5"/>
  <c r="F218" i="5"/>
  <c r="H218" i="5" s="1"/>
  <c r="L209" i="6"/>
  <c r="K217" i="6"/>
  <c r="K218" i="7"/>
  <c r="J218" i="7"/>
  <c r="F218" i="7"/>
  <c r="H218" i="7" s="1"/>
  <c r="D213" i="8"/>
  <c r="I218" i="7"/>
  <c r="K218" i="8"/>
  <c r="F218" i="8"/>
  <c r="J218" i="8"/>
  <c r="D259" i="8"/>
  <c r="F259" i="7"/>
  <c r="D259" i="7" s="1"/>
  <c r="F259" i="6"/>
  <c r="F261" i="4"/>
  <c r="F259" i="2"/>
  <c r="M258" i="3"/>
  <c r="L209" i="8"/>
  <c r="M209" i="8" s="1"/>
  <c r="H209" i="7"/>
  <c r="F281" i="1"/>
  <c r="H320" i="1"/>
  <c r="L320" i="1"/>
  <c r="D320" i="1"/>
  <c r="F288" i="1"/>
  <c r="D287" i="1"/>
  <c r="N220" i="14"/>
  <c r="N220" i="16"/>
  <c r="B255" i="2" s="1"/>
  <c r="N220" i="17"/>
  <c r="B254" i="3" s="1"/>
  <c r="J254" i="3" s="1"/>
  <c r="N220" i="15"/>
  <c r="B257" i="4" s="1"/>
  <c r="F257" i="4" s="1"/>
  <c r="D257" i="4" s="1"/>
  <c r="N218" i="13"/>
  <c r="B255" i="6" s="1"/>
  <c r="F255" i="6" s="1"/>
  <c r="N220" i="12"/>
  <c r="B255" i="7" s="1"/>
  <c r="K255" i="7" s="1"/>
  <c r="N220" i="10"/>
  <c r="B255" i="9" s="1"/>
  <c r="N244" i="11"/>
  <c r="B279" i="8" s="1"/>
  <c r="F279" i="8" s="1"/>
  <c r="H279" i="8" s="1"/>
  <c r="N244" i="12"/>
  <c r="B279" i="7" s="1"/>
  <c r="F279" i="7" s="1"/>
  <c r="N242" i="13"/>
  <c r="B279" i="6" s="1"/>
  <c r="N244" i="14"/>
  <c r="N244" i="15"/>
  <c r="B281" i="4" s="1"/>
  <c r="F281" i="4" s="1"/>
  <c r="D281" i="4" s="1"/>
  <c r="N244" i="17"/>
  <c r="B278" i="3" s="1"/>
  <c r="J278" i="3" s="1"/>
  <c r="N244" i="16"/>
  <c r="B279" i="2" s="1"/>
  <c r="N244" i="10"/>
  <c r="B279" i="9" s="1"/>
  <c r="J279" i="9" s="1"/>
  <c r="L279" i="8"/>
  <c r="L279" i="7"/>
  <c r="L281" i="4"/>
  <c r="D279" i="6"/>
  <c r="L311" i="1"/>
  <c r="M311" i="1" s="1"/>
  <c r="D311" i="1"/>
  <c r="A310" i="1"/>
  <c r="H307" i="1"/>
  <c r="D307" i="1"/>
  <c r="L305" i="1"/>
  <c r="K301" i="1"/>
  <c r="J301" i="1"/>
  <c r="L300" i="1"/>
  <c r="A294" i="1"/>
  <c r="A291" i="1"/>
  <c r="L288" i="1"/>
  <c r="L287" i="1"/>
  <c r="M287" i="1" s="1"/>
  <c r="A285" i="1"/>
  <c r="A282" i="1"/>
  <c r="A281" i="1"/>
  <c r="A280" i="1"/>
  <c r="A279" i="1"/>
  <c r="A278" i="1"/>
  <c r="L281" i="8"/>
  <c r="A281" i="8"/>
  <c r="A280" i="8"/>
  <c r="L278" i="8"/>
  <c r="A278" i="8"/>
  <c r="L277" i="8"/>
  <c r="A277" i="8"/>
  <c r="L276" i="8"/>
  <c r="A276" i="8"/>
  <c r="A274" i="8"/>
  <c r="A273" i="8"/>
  <c r="A271" i="8"/>
  <c r="A269" i="8"/>
  <c r="A267" i="8"/>
  <c r="A266" i="8"/>
  <c r="A265" i="8"/>
  <c r="A263" i="8"/>
  <c r="A262" i="8"/>
  <c r="A261" i="8"/>
  <c r="L259" i="8"/>
  <c r="L258" i="8"/>
  <c r="K257" i="8"/>
  <c r="L257" i="8" s="1"/>
  <c r="A256" i="8"/>
  <c r="A253" i="8"/>
  <c r="A252" i="8"/>
  <c r="A251" i="8"/>
  <c r="A250" i="8"/>
  <c r="A249" i="8"/>
  <c r="L281" i="7"/>
  <c r="A281" i="7"/>
  <c r="A280" i="7"/>
  <c r="L278" i="7"/>
  <c r="A278" i="7"/>
  <c r="L277" i="7"/>
  <c r="A277" i="7"/>
  <c r="L276" i="7"/>
  <c r="A276" i="7"/>
  <c r="A274" i="7"/>
  <c r="A273" i="7"/>
  <c r="L271" i="7"/>
  <c r="A271" i="7"/>
  <c r="A269" i="7"/>
  <c r="A267" i="7"/>
  <c r="A266" i="7"/>
  <c r="A265" i="7"/>
  <c r="A263" i="7"/>
  <c r="A262" i="7"/>
  <c r="A261" i="7"/>
  <c r="L258" i="7"/>
  <c r="M258" i="7" s="1"/>
  <c r="D258" i="7"/>
  <c r="K257" i="7"/>
  <c r="L257" i="7" s="1"/>
  <c r="A256" i="7"/>
  <c r="A253" i="7"/>
  <c r="A252" i="7"/>
  <c r="A251" i="7"/>
  <c r="A250" i="7"/>
  <c r="A249" i="7"/>
  <c r="L281" i="6"/>
  <c r="A281" i="6"/>
  <c r="A280" i="6"/>
  <c r="H278" i="6"/>
  <c r="D278" i="6"/>
  <c r="A278" i="6"/>
  <c r="A277" i="6"/>
  <c r="L276" i="6"/>
  <c r="A276" i="6"/>
  <c r="A274" i="6"/>
  <c r="A273" i="6"/>
  <c r="K272" i="6"/>
  <c r="J272" i="6"/>
  <c r="F272" i="6"/>
  <c r="A271" i="6"/>
  <c r="A269" i="6"/>
  <c r="A267" i="6"/>
  <c r="A266" i="6"/>
  <c r="A265" i="6"/>
  <c r="A263" i="6"/>
  <c r="A262" i="6"/>
  <c r="A261" i="6"/>
  <c r="L259" i="6"/>
  <c r="L258" i="6"/>
  <c r="M258" i="6" s="1"/>
  <c r="D258" i="6"/>
  <c r="K257" i="6"/>
  <c r="L257" i="6" s="1"/>
  <c r="A256" i="6"/>
  <c r="A253" i="6"/>
  <c r="A252" i="6"/>
  <c r="A251" i="6"/>
  <c r="A250" i="6"/>
  <c r="A249" i="6"/>
  <c r="A281" i="5"/>
  <c r="A280" i="5"/>
  <c r="A278" i="5"/>
  <c r="A277" i="5"/>
  <c r="A276" i="5"/>
  <c r="A274" i="5"/>
  <c r="A273" i="5"/>
  <c r="A271" i="5"/>
  <c r="A269" i="5"/>
  <c r="A267" i="5"/>
  <c r="A266" i="5"/>
  <c r="A265" i="5"/>
  <c r="A263" i="5"/>
  <c r="A262" i="5"/>
  <c r="A261" i="5"/>
  <c r="A256" i="5"/>
  <c r="A253" i="5"/>
  <c r="A252" i="5"/>
  <c r="A251" i="5"/>
  <c r="A250" i="5"/>
  <c r="A249" i="5"/>
  <c r="D284" i="4"/>
  <c r="M283" i="4"/>
  <c r="A283" i="4"/>
  <c r="A282" i="4"/>
  <c r="L280" i="4"/>
  <c r="A280" i="4"/>
  <c r="A279" i="4"/>
  <c r="L278" i="4"/>
  <c r="A278" i="4"/>
  <c r="A276" i="4"/>
  <c r="A275" i="4"/>
  <c r="A273" i="4"/>
  <c r="A271" i="4"/>
  <c r="H270" i="4"/>
  <c r="D270" i="4"/>
  <c r="A269" i="4"/>
  <c r="A268" i="4"/>
  <c r="A267" i="4"/>
  <c r="A265" i="4"/>
  <c r="A264" i="4"/>
  <c r="A263" i="4"/>
  <c r="L261" i="4"/>
  <c r="L260" i="4"/>
  <c r="M260" i="4" s="1"/>
  <c r="D260" i="4"/>
  <c r="A258" i="4"/>
  <c r="A255" i="4"/>
  <c r="A254" i="4"/>
  <c r="A253" i="4"/>
  <c r="A252" i="4"/>
  <c r="A251" i="4"/>
  <c r="I282" i="3"/>
  <c r="A280" i="3"/>
  <c r="A279" i="3"/>
  <c r="A277" i="3"/>
  <c r="A276" i="3"/>
  <c r="A275" i="3"/>
  <c r="A273" i="3"/>
  <c r="A272" i="3"/>
  <c r="A270" i="3"/>
  <c r="A268" i="3"/>
  <c r="A266" i="3"/>
  <c r="A265" i="3"/>
  <c r="A264" i="3"/>
  <c r="A262" i="3"/>
  <c r="A261" i="3"/>
  <c r="A260" i="3"/>
  <c r="D258" i="3"/>
  <c r="L257" i="3"/>
  <c r="M257" i="3" s="1"/>
  <c r="D257" i="3"/>
  <c r="A255" i="3"/>
  <c r="A252" i="3"/>
  <c r="A251" i="3"/>
  <c r="A250" i="3"/>
  <c r="A249" i="3"/>
  <c r="A248" i="3"/>
  <c r="H281" i="2"/>
  <c r="D281" i="2"/>
  <c r="A281" i="2"/>
  <c r="A280" i="2"/>
  <c r="A260" i="1" s="1"/>
  <c r="A278" i="2"/>
  <c r="A277" i="2"/>
  <c r="A276" i="2"/>
  <c r="A274" i="2"/>
  <c r="A273" i="2"/>
  <c r="L271" i="2"/>
  <c r="A271" i="2"/>
  <c r="A269" i="2"/>
  <c r="A267" i="2"/>
  <c r="A266" i="2"/>
  <c r="A265" i="2"/>
  <c r="A244" i="1" s="1"/>
  <c r="A263" i="2"/>
  <c r="A262" i="2"/>
  <c r="A261" i="2"/>
  <c r="L259" i="2"/>
  <c r="L258" i="2"/>
  <c r="M258" i="2" s="1"/>
  <c r="D258" i="2"/>
  <c r="K257" i="2"/>
  <c r="A256" i="2"/>
  <c r="A235" i="1" s="1"/>
  <c r="A253" i="2"/>
  <c r="A252" i="2"/>
  <c r="A251" i="2"/>
  <c r="A250" i="2"/>
  <c r="I283" i="9"/>
  <c r="L258" i="9"/>
  <c r="M258" i="9" s="1"/>
  <c r="D258" i="9"/>
  <c r="N247" i="11"/>
  <c r="B282" i="8" s="1"/>
  <c r="K282" i="8" s="1"/>
  <c r="A247" i="11"/>
  <c r="N246" i="11"/>
  <c r="B281" i="8" s="1"/>
  <c r="F281" i="8" s="1"/>
  <c r="H281" i="8" s="1"/>
  <c r="A246" i="11"/>
  <c r="A245" i="11"/>
  <c r="N243" i="11"/>
  <c r="B278" i="8" s="1"/>
  <c r="F278" i="8" s="1"/>
  <c r="A243" i="11"/>
  <c r="N242" i="11"/>
  <c r="B277" i="8" s="1"/>
  <c r="F277" i="8" s="1"/>
  <c r="A242" i="11"/>
  <c r="N241" i="11"/>
  <c r="B276" i="8" s="1"/>
  <c r="F276" i="8" s="1"/>
  <c r="H276" i="8" s="1"/>
  <c r="A241" i="11"/>
  <c r="N240" i="11"/>
  <c r="B275" i="8" s="1"/>
  <c r="N239" i="11"/>
  <c r="B274" i="8" s="1"/>
  <c r="K274" i="8" s="1"/>
  <c r="A239" i="11"/>
  <c r="N238" i="11"/>
  <c r="B273" i="8" s="1"/>
  <c r="F273" i="8" s="1"/>
  <c r="D273" i="8" s="1"/>
  <c r="A238" i="11"/>
  <c r="N237" i="11"/>
  <c r="B272" i="8" s="1"/>
  <c r="J272" i="8" s="1"/>
  <c r="N236" i="11"/>
  <c r="B271" i="8" s="1"/>
  <c r="F271" i="8" s="1"/>
  <c r="D271" i="8" s="1"/>
  <c r="A236" i="11"/>
  <c r="N235" i="11"/>
  <c r="B270" i="8" s="1"/>
  <c r="N234" i="11"/>
  <c r="B269" i="8" s="1"/>
  <c r="F269" i="8" s="1"/>
  <c r="D269" i="8" s="1"/>
  <c r="A234" i="11"/>
  <c r="N233" i="11"/>
  <c r="N232" i="11"/>
  <c r="B267" i="8" s="1"/>
  <c r="A232" i="11"/>
  <c r="A231" i="11"/>
  <c r="A230" i="11"/>
  <c r="M229" i="11"/>
  <c r="L229" i="11"/>
  <c r="K229" i="11"/>
  <c r="J229" i="11"/>
  <c r="I229" i="11"/>
  <c r="H229" i="11"/>
  <c r="G229" i="11"/>
  <c r="F229" i="11"/>
  <c r="E229" i="11"/>
  <c r="D229" i="11"/>
  <c r="C229" i="11"/>
  <c r="B229" i="11"/>
  <c r="N228" i="11"/>
  <c r="A228" i="11"/>
  <c r="N227" i="11"/>
  <c r="B262" i="8" s="1"/>
  <c r="A227" i="11"/>
  <c r="A226" i="11"/>
  <c r="A224" i="11"/>
  <c r="A223" i="11"/>
  <c r="N222" i="11"/>
  <c r="A222" i="11"/>
  <c r="A221" i="11"/>
  <c r="A218" i="11"/>
  <c r="A217" i="11"/>
  <c r="A216" i="11"/>
  <c r="N215" i="11"/>
  <c r="B250" i="8" s="1"/>
  <c r="J250" i="8" s="1"/>
  <c r="A215" i="11"/>
  <c r="A214" i="11"/>
  <c r="M248" i="12"/>
  <c r="L248" i="12"/>
  <c r="K248" i="12"/>
  <c r="J248" i="12"/>
  <c r="I248" i="12"/>
  <c r="H248" i="12"/>
  <c r="G248" i="12"/>
  <c r="F248" i="12"/>
  <c r="E248" i="12"/>
  <c r="D248" i="12"/>
  <c r="C248" i="12"/>
  <c r="B248" i="12"/>
  <c r="N247" i="12"/>
  <c r="B282" i="7" s="1"/>
  <c r="F282" i="7" s="1"/>
  <c r="D282" i="7" s="1"/>
  <c r="A247" i="12"/>
  <c r="N246" i="12"/>
  <c r="B281" i="7" s="1"/>
  <c r="F281" i="7" s="1"/>
  <c r="H281" i="7" s="1"/>
  <c r="A246" i="12"/>
  <c r="A245" i="12"/>
  <c r="N243" i="12"/>
  <c r="B278" i="7" s="1"/>
  <c r="F278" i="7" s="1"/>
  <c r="M278" i="7" s="1"/>
  <c r="A243" i="12"/>
  <c r="N242" i="12"/>
  <c r="B277" i="7" s="1"/>
  <c r="F277" i="7" s="1"/>
  <c r="M277" i="7" s="1"/>
  <c r="A242" i="12"/>
  <c r="N241" i="12"/>
  <c r="B276" i="7" s="1"/>
  <c r="F276" i="7" s="1"/>
  <c r="D276" i="7" s="1"/>
  <c r="A241" i="12"/>
  <c r="N240" i="12"/>
  <c r="B275" i="7" s="1"/>
  <c r="K275" i="7" s="1"/>
  <c r="N239" i="12"/>
  <c r="B274" i="7" s="1"/>
  <c r="F274" i="7" s="1"/>
  <c r="A239" i="12"/>
  <c r="N238" i="12"/>
  <c r="B273" i="7"/>
  <c r="K273" i="7" s="1"/>
  <c r="A238" i="12"/>
  <c r="N237" i="12"/>
  <c r="B272" i="7" s="1"/>
  <c r="F272" i="7" s="1"/>
  <c r="N236" i="12"/>
  <c r="B271" i="7" s="1"/>
  <c r="F271" i="7" s="1"/>
  <c r="H271" i="7" s="1"/>
  <c r="A236" i="12"/>
  <c r="N235" i="12"/>
  <c r="B270" i="7" s="1"/>
  <c r="J270" i="7" s="1"/>
  <c r="N234" i="12"/>
  <c r="B269" i="7" s="1"/>
  <c r="K269" i="7" s="1"/>
  <c r="A234" i="12"/>
  <c r="N233" i="12"/>
  <c r="B268" i="7" s="1"/>
  <c r="F268" i="7" s="1"/>
  <c r="H268" i="7" s="1"/>
  <c r="N232" i="12"/>
  <c r="B267" i="7" s="1"/>
  <c r="F267" i="7" s="1"/>
  <c r="A232" i="12"/>
  <c r="N231" i="12"/>
  <c r="B266" i="7" s="1"/>
  <c r="A231" i="12"/>
  <c r="A230" i="12"/>
  <c r="M229" i="12"/>
  <c r="L229" i="12"/>
  <c r="K229" i="12"/>
  <c r="J229" i="12"/>
  <c r="I229" i="12"/>
  <c r="H229" i="12"/>
  <c r="G229" i="12"/>
  <c r="F229" i="12"/>
  <c r="E229" i="12"/>
  <c r="D229" i="12"/>
  <c r="C229" i="12"/>
  <c r="B229" i="12"/>
  <c r="N228" i="12"/>
  <c r="B263" i="7" s="1"/>
  <c r="J263" i="7" s="1"/>
  <c r="A228" i="12"/>
  <c r="N227" i="12"/>
  <c r="A227" i="12"/>
  <c r="A226" i="12"/>
  <c r="M225" i="12"/>
  <c r="L225" i="12"/>
  <c r="K225" i="12"/>
  <c r="J225" i="12"/>
  <c r="I225" i="12"/>
  <c r="H225" i="12"/>
  <c r="G225" i="12"/>
  <c r="F225" i="12"/>
  <c r="E225" i="12"/>
  <c r="D225" i="12"/>
  <c r="C225" i="12"/>
  <c r="B225" i="12"/>
  <c r="N224" i="12"/>
  <c r="B259" i="7" s="1"/>
  <c r="A224" i="12"/>
  <c r="N223" i="12"/>
  <c r="B258" i="7" s="1"/>
  <c r="A223" i="12"/>
  <c r="N222" i="12"/>
  <c r="B257" i="7" s="1"/>
  <c r="F257" i="7" s="1"/>
  <c r="A222" i="12"/>
  <c r="A221" i="12"/>
  <c r="N219" i="12"/>
  <c r="B254" i="7" s="1"/>
  <c r="J254" i="7" s="1"/>
  <c r="N218" i="12"/>
  <c r="B253" i="7" s="1"/>
  <c r="J253" i="7" s="1"/>
  <c r="A218" i="12"/>
  <c r="N217" i="12"/>
  <c r="B252" i="7" s="1"/>
  <c r="I252" i="7" s="1"/>
  <c r="A217" i="12"/>
  <c r="N216" i="12"/>
  <c r="B251" i="7" s="1"/>
  <c r="K251" i="7" s="1"/>
  <c r="A216" i="12"/>
  <c r="N215" i="12"/>
  <c r="A215" i="12"/>
  <c r="A214" i="12"/>
  <c r="M246" i="13"/>
  <c r="L246" i="13"/>
  <c r="K246" i="13"/>
  <c r="J246" i="13"/>
  <c r="I246" i="13"/>
  <c r="H246" i="13"/>
  <c r="G246" i="13"/>
  <c r="F246" i="13"/>
  <c r="E246" i="13"/>
  <c r="D246" i="13"/>
  <c r="C246" i="13"/>
  <c r="B246" i="13"/>
  <c r="N245" i="13"/>
  <c r="B282" i="6" s="1"/>
  <c r="A245" i="13"/>
  <c r="N244" i="13"/>
  <c r="B281" i="6" s="1"/>
  <c r="F281" i="6" s="1"/>
  <c r="A244" i="13"/>
  <c r="A243" i="13"/>
  <c r="N241" i="13"/>
  <c r="B278" i="6" s="1"/>
  <c r="J278" i="6" s="1"/>
  <c r="A241" i="13"/>
  <c r="N240" i="13"/>
  <c r="B277" i="6" s="1"/>
  <c r="K277" i="6" s="1"/>
  <c r="A240" i="13"/>
  <c r="N239" i="13"/>
  <c r="B276" i="6" s="1"/>
  <c r="F276" i="6" s="1"/>
  <c r="M276" i="6" s="1"/>
  <c r="A239" i="13"/>
  <c r="N238" i="13"/>
  <c r="B275" i="6" s="1"/>
  <c r="J275" i="6" s="1"/>
  <c r="N237" i="13"/>
  <c r="B274" i="6" s="1"/>
  <c r="A237" i="13"/>
  <c r="N236" i="13"/>
  <c r="B273" i="6" s="1"/>
  <c r="A236" i="13"/>
  <c r="N235" i="13"/>
  <c r="B272" i="6" s="1"/>
  <c r="N234" i="13"/>
  <c r="B271" i="6" s="1"/>
  <c r="F271" i="6" s="1"/>
  <c r="H271" i="6" s="1"/>
  <c r="A234" i="13"/>
  <c r="N233" i="13"/>
  <c r="B270" i="6" s="1"/>
  <c r="N232" i="13"/>
  <c r="B269" i="6" s="1"/>
  <c r="A232" i="13"/>
  <c r="N231" i="13"/>
  <c r="B268" i="6" s="1"/>
  <c r="K268" i="6" s="1"/>
  <c r="N230" i="13"/>
  <c r="B267" i="6" s="1"/>
  <c r="A230" i="13"/>
  <c r="N229" i="13"/>
  <c r="B266" i="6" s="1"/>
  <c r="F266" i="6" s="1"/>
  <c r="H266" i="6" s="1"/>
  <c r="A229" i="13"/>
  <c r="A228" i="13"/>
  <c r="M227" i="13"/>
  <c r="L227" i="13"/>
  <c r="K227" i="13"/>
  <c r="J227" i="13"/>
  <c r="I227" i="13"/>
  <c r="H227" i="13"/>
  <c r="G227" i="13"/>
  <c r="F227" i="13"/>
  <c r="E227" i="13"/>
  <c r="D227" i="13"/>
  <c r="C227" i="13"/>
  <c r="B227" i="13"/>
  <c r="N226" i="13"/>
  <c r="A226" i="13"/>
  <c r="N225" i="13"/>
  <c r="B262" i="6" s="1"/>
  <c r="A225" i="13"/>
  <c r="A224" i="13"/>
  <c r="M223" i="13"/>
  <c r="L223" i="13"/>
  <c r="K223" i="13"/>
  <c r="J223" i="13"/>
  <c r="I223" i="13"/>
  <c r="H223" i="13"/>
  <c r="G223" i="13"/>
  <c r="F223" i="13"/>
  <c r="E223" i="13"/>
  <c r="D223" i="13"/>
  <c r="C223" i="13"/>
  <c r="B223" i="13"/>
  <c r="N222" i="13"/>
  <c r="B259" i="6" s="1"/>
  <c r="A222" i="13"/>
  <c r="N221" i="13"/>
  <c r="B258" i="6" s="1"/>
  <c r="A221" i="13"/>
  <c r="N220" i="13"/>
  <c r="B257" i="6" s="1"/>
  <c r="F257" i="6" s="1"/>
  <c r="H257" i="6" s="1"/>
  <c r="A220" i="13"/>
  <c r="A219" i="13"/>
  <c r="N217" i="13"/>
  <c r="B254" i="6" s="1"/>
  <c r="F254" i="6" s="1"/>
  <c r="H254" i="6" s="1"/>
  <c r="N216" i="13"/>
  <c r="B253" i="6" s="1"/>
  <c r="K253" i="6" s="1"/>
  <c r="A216" i="13"/>
  <c r="N215" i="13"/>
  <c r="B252" i="6" s="1"/>
  <c r="I252" i="6" s="1"/>
  <c r="A215" i="13"/>
  <c r="N214" i="13"/>
  <c r="B251" i="6" s="1"/>
  <c r="A214" i="13"/>
  <c r="N213" i="13"/>
  <c r="A213" i="13"/>
  <c r="A212" i="13"/>
  <c r="M248" i="14"/>
  <c r="L248" i="14"/>
  <c r="K248" i="14"/>
  <c r="J248" i="14"/>
  <c r="I248" i="14"/>
  <c r="H248" i="14"/>
  <c r="G248" i="14"/>
  <c r="F248" i="14"/>
  <c r="E248" i="14"/>
  <c r="D248" i="14"/>
  <c r="C248" i="14"/>
  <c r="B248" i="14"/>
  <c r="N247" i="14"/>
  <c r="A247" i="14"/>
  <c r="N246" i="14"/>
  <c r="A246" i="14"/>
  <c r="A245" i="14"/>
  <c r="N243" i="14"/>
  <c r="A243" i="14"/>
  <c r="N242" i="14"/>
  <c r="A242" i="14"/>
  <c r="N241" i="14"/>
  <c r="A241" i="14"/>
  <c r="N240" i="14"/>
  <c r="N239" i="14"/>
  <c r="A239" i="14"/>
  <c r="N238" i="14"/>
  <c r="A238" i="14"/>
  <c r="N237" i="14"/>
  <c r="N236" i="14"/>
  <c r="A236" i="14"/>
  <c r="N235" i="14"/>
  <c r="N234" i="14"/>
  <c r="A234" i="14"/>
  <c r="N233" i="14"/>
  <c r="N232" i="14"/>
  <c r="N248" i="14" s="1"/>
  <c r="A232" i="14"/>
  <c r="N231" i="14"/>
  <c r="A231" i="14"/>
  <c r="A230" i="14"/>
  <c r="M229" i="14"/>
  <c r="L229" i="14"/>
  <c r="K229" i="14"/>
  <c r="J229" i="14"/>
  <c r="I229" i="14"/>
  <c r="H229" i="14"/>
  <c r="G229" i="14"/>
  <c r="F229" i="14"/>
  <c r="E229" i="14"/>
  <c r="D229" i="14"/>
  <c r="C229" i="14"/>
  <c r="B229" i="14"/>
  <c r="N228" i="14"/>
  <c r="A228" i="14"/>
  <c r="N227" i="14"/>
  <c r="A227" i="14"/>
  <c r="A226" i="14"/>
  <c r="M225" i="14"/>
  <c r="L225" i="14"/>
  <c r="K225" i="14"/>
  <c r="J225" i="14"/>
  <c r="I225" i="14"/>
  <c r="H225" i="14"/>
  <c r="G225" i="14"/>
  <c r="F225" i="14"/>
  <c r="E225" i="14"/>
  <c r="D225" i="14"/>
  <c r="C225" i="14"/>
  <c r="B225" i="14"/>
  <c r="N224" i="14"/>
  <c r="A224" i="14"/>
  <c r="N223" i="14"/>
  <c r="A223" i="14"/>
  <c r="N222" i="14"/>
  <c r="A222" i="14"/>
  <c r="A221" i="14"/>
  <c r="N219" i="14"/>
  <c r="N218" i="14"/>
  <c r="A218" i="14"/>
  <c r="N217" i="14"/>
  <c r="A217" i="14"/>
  <c r="N216" i="14"/>
  <c r="A216" i="14"/>
  <c r="N215" i="14"/>
  <c r="A215" i="14"/>
  <c r="A214" i="14"/>
  <c r="M248" i="15"/>
  <c r="L248" i="15"/>
  <c r="K248" i="15"/>
  <c r="I248" i="15"/>
  <c r="H248" i="15"/>
  <c r="G248" i="15"/>
  <c r="F248" i="15"/>
  <c r="E248" i="15"/>
  <c r="D248" i="15"/>
  <c r="C248" i="15"/>
  <c r="B248" i="15"/>
  <c r="N247" i="15"/>
  <c r="B284" i="4" s="1"/>
  <c r="K284" i="4" s="1"/>
  <c r="L284" i="4" s="1"/>
  <c r="M284" i="4" s="1"/>
  <c r="A247" i="15"/>
  <c r="N246" i="15"/>
  <c r="B283" i="4" s="1"/>
  <c r="A246" i="15"/>
  <c r="A245" i="15"/>
  <c r="N243" i="15"/>
  <c r="B280" i="4" s="1"/>
  <c r="F280" i="4" s="1"/>
  <c r="H280" i="4" s="1"/>
  <c r="A243" i="15"/>
  <c r="N242" i="15"/>
  <c r="B279" i="4" s="1"/>
  <c r="A242" i="15"/>
  <c r="N241" i="15"/>
  <c r="B278" i="4" s="1"/>
  <c r="F278" i="4" s="1"/>
  <c r="D278" i="4" s="1"/>
  <c r="A241" i="15"/>
  <c r="N240" i="15"/>
  <c r="B277" i="4" s="1"/>
  <c r="N239" i="15"/>
  <c r="B276" i="4" s="1"/>
  <c r="F276" i="4" s="1"/>
  <c r="D276" i="4" s="1"/>
  <c r="A239" i="15"/>
  <c r="N238" i="15"/>
  <c r="B275" i="4" s="1"/>
  <c r="J275" i="4" s="1"/>
  <c r="A238" i="15"/>
  <c r="N237" i="15"/>
  <c r="B274" i="4" s="1"/>
  <c r="K274" i="4" s="1"/>
  <c r="N236" i="15"/>
  <c r="B273" i="4" s="1"/>
  <c r="A236" i="15"/>
  <c r="N235" i="15"/>
  <c r="B272" i="4" s="1"/>
  <c r="J272" i="4" s="1"/>
  <c r="N234" i="15"/>
  <c r="B271" i="4" s="1"/>
  <c r="K271" i="4" s="1"/>
  <c r="A234" i="15"/>
  <c r="N233" i="15"/>
  <c r="B270" i="4" s="1"/>
  <c r="N232" i="15"/>
  <c r="B269" i="4" s="1"/>
  <c r="A232" i="15"/>
  <c r="N231" i="15"/>
  <c r="B268" i="4" s="1"/>
  <c r="A231" i="15"/>
  <c r="A230" i="15"/>
  <c r="M229" i="15"/>
  <c r="L229" i="15"/>
  <c r="K229" i="15"/>
  <c r="J229" i="15"/>
  <c r="I229" i="15"/>
  <c r="H229" i="15"/>
  <c r="G229" i="15"/>
  <c r="F229" i="15"/>
  <c r="E229" i="15"/>
  <c r="D229" i="15"/>
  <c r="C229" i="15"/>
  <c r="B229" i="15"/>
  <c r="N228" i="15"/>
  <c r="A228" i="15"/>
  <c r="N227" i="15"/>
  <c r="A227" i="15"/>
  <c r="A226" i="15"/>
  <c r="M225" i="15"/>
  <c r="L225" i="15"/>
  <c r="K225" i="15"/>
  <c r="J225" i="15"/>
  <c r="I225" i="15"/>
  <c r="H225" i="15"/>
  <c r="G225" i="15"/>
  <c r="F225" i="15"/>
  <c r="E225" i="15"/>
  <c r="D225" i="15"/>
  <c r="C225" i="15"/>
  <c r="N224" i="15"/>
  <c r="B261" i="4" s="1"/>
  <c r="A224" i="15"/>
  <c r="N223" i="15"/>
  <c r="B260" i="4" s="1"/>
  <c r="A223" i="15"/>
  <c r="N222" i="15"/>
  <c r="B259" i="4" s="1"/>
  <c r="K259" i="4" s="1"/>
  <c r="A222" i="15"/>
  <c r="A221" i="15"/>
  <c r="N219" i="15"/>
  <c r="B256" i="4" s="1"/>
  <c r="N218" i="15"/>
  <c r="B255" i="4" s="1"/>
  <c r="F255" i="4" s="1"/>
  <c r="A218" i="15"/>
  <c r="N217" i="15"/>
  <c r="B254" i="4" s="1"/>
  <c r="A217" i="15"/>
  <c r="N216" i="15"/>
  <c r="A216" i="15"/>
  <c r="N215" i="15"/>
  <c r="B252" i="4" s="1"/>
  <c r="A215" i="15"/>
  <c r="A214" i="15"/>
  <c r="M248" i="17"/>
  <c r="L248" i="17"/>
  <c r="K248" i="17"/>
  <c r="J248" i="17"/>
  <c r="I248" i="17"/>
  <c r="H248" i="17"/>
  <c r="G248" i="17"/>
  <c r="F248" i="17"/>
  <c r="E248" i="17"/>
  <c r="D248" i="17"/>
  <c r="C248" i="17"/>
  <c r="B248" i="17"/>
  <c r="N247" i="17"/>
  <c r="B281" i="3" s="1"/>
  <c r="A247" i="17"/>
  <c r="N246" i="17"/>
  <c r="B280" i="3" s="1"/>
  <c r="A246" i="17"/>
  <c r="A245" i="17"/>
  <c r="N243" i="17"/>
  <c r="B277" i="3" s="1"/>
  <c r="K277" i="3" s="1"/>
  <c r="A243" i="17"/>
  <c r="N242" i="17"/>
  <c r="B276" i="3" s="1"/>
  <c r="A242" i="17"/>
  <c r="N241" i="17"/>
  <c r="B275" i="3" s="1"/>
  <c r="A241" i="17"/>
  <c r="N240" i="17"/>
  <c r="B274" i="3" s="1"/>
  <c r="J274" i="3" s="1"/>
  <c r="N239" i="17"/>
  <c r="B273" i="3" s="1"/>
  <c r="F273" i="3" s="1"/>
  <c r="A239" i="17"/>
  <c r="N238" i="17"/>
  <c r="B272" i="3" s="1"/>
  <c r="K272" i="3" s="1"/>
  <c r="A238" i="17"/>
  <c r="N237" i="17"/>
  <c r="B271" i="3" s="1"/>
  <c r="F271" i="3" s="1"/>
  <c r="N236" i="17"/>
  <c r="B270" i="3" s="1"/>
  <c r="K270" i="3" s="1"/>
  <c r="A236" i="17"/>
  <c r="N235" i="17"/>
  <c r="B269" i="3" s="1"/>
  <c r="K269" i="3" s="1"/>
  <c r="N234" i="17"/>
  <c r="B268" i="3" s="1"/>
  <c r="A234" i="17"/>
  <c r="N233" i="17"/>
  <c r="B267" i="3" s="1"/>
  <c r="K267" i="3" s="1"/>
  <c r="N232" i="17"/>
  <c r="B266" i="3" s="1"/>
  <c r="J266" i="3" s="1"/>
  <c r="A232" i="17"/>
  <c r="N231" i="17"/>
  <c r="B265" i="3" s="1"/>
  <c r="J265" i="3" s="1"/>
  <c r="A231" i="17"/>
  <c r="A230" i="17"/>
  <c r="M229" i="17"/>
  <c r="L229" i="17"/>
  <c r="K229" i="17"/>
  <c r="J229" i="17"/>
  <c r="I229" i="17"/>
  <c r="H229" i="17"/>
  <c r="G229" i="17"/>
  <c r="F229" i="17"/>
  <c r="E229" i="17"/>
  <c r="D229" i="17"/>
  <c r="C229" i="17"/>
  <c r="B229" i="17"/>
  <c r="N228" i="17"/>
  <c r="B262" i="3" s="1"/>
  <c r="J262" i="3" s="1"/>
  <c r="A228" i="17"/>
  <c r="N227" i="17"/>
  <c r="N229" i="17" s="1"/>
  <c r="A227" i="17"/>
  <c r="A226" i="17"/>
  <c r="M225" i="17"/>
  <c r="L225" i="17"/>
  <c r="K225" i="17"/>
  <c r="J225" i="17"/>
  <c r="I225" i="17"/>
  <c r="H225" i="17"/>
  <c r="G225" i="17"/>
  <c r="F225" i="17"/>
  <c r="E225" i="17"/>
  <c r="D225" i="17"/>
  <c r="C225" i="17"/>
  <c r="B225" i="17"/>
  <c r="N224" i="17"/>
  <c r="B258" i="3" s="1"/>
  <c r="A224" i="17"/>
  <c r="N223" i="17"/>
  <c r="B257" i="3" s="1"/>
  <c r="A223" i="17"/>
  <c r="N222" i="17"/>
  <c r="B256" i="3" s="1"/>
  <c r="F256" i="3" s="1"/>
  <c r="D256" i="3" s="1"/>
  <c r="A222" i="17"/>
  <c r="A221" i="17"/>
  <c r="N219" i="17"/>
  <c r="B253" i="3" s="1"/>
  <c r="J253" i="3" s="1"/>
  <c r="N218" i="17"/>
  <c r="A218" i="17"/>
  <c r="N217" i="17"/>
  <c r="B251" i="3" s="1"/>
  <c r="K251" i="3" s="1"/>
  <c r="A217" i="17"/>
  <c r="N216" i="17"/>
  <c r="B250" i="3" s="1"/>
  <c r="K250" i="3" s="1"/>
  <c r="A216" i="17"/>
  <c r="N215" i="17"/>
  <c r="B249" i="3" s="1"/>
  <c r="K249" i="3" s="1"/>
  <c r="A215" i="17"/>
  <c r="A214" i="17"/>
  <c r="M248" i="16"/>
  <c r="L248" i="16"/>
  <c r="K248" i="16"/>
  <c r="J248" i="16"/>
  <c r="I248" i="16"/>
  <c r="H248" i="16"/>
  <c r="G248" i="16"/>
  <c r="F248" i="16"/>
  <c r="E248" i="16"/>
  <c r="D248" i="16"/>
  <c r="C248" i="16"/>
  <c r="B248" i="16"/>
  <c r="N247" i="16"/>
  <c r="B282" i="2" s="1"/>
  <c r="A247" i="16"/>
  <c r="N246" i="16"/>
  <c r="B281" i="2" s="1"/>
  <c r="A246" i="16"/>
  <c r="A245" i="16"/>
  <c r="N243" i="16"/>
  <c r="B278" i="2" s="1"/>
  <c r="F278" i="2" s="1"/>
  <c r="D278" i="2" s="1"/>
  <c r="A243" i="16"/>
  <c r="N242" i="16"/>
  <c r="B277" i="2" s="1"/>
  <c r="A242" i="16"/>
  <c r="N241" i="16"/>
  <c r="B276" i="2" s="1"/>
  <c r="J276" i="2" s="1"/>
  <c r="A241" i="16"/>
  <c r="N240" i="16"/>
  <c r="B275" i="2" s="1"/>
  <c r="K275" i="2" s="1"/>
  <c r="N239" i="16"/>
  <c r="B274" i="2" s="1"/>
  <c r="K274" i="2" s="1"/>
  <c r="A239" i="16"/>
  <c r="N238" i="16"/>
  <c r="B273" i="2" s="1"/>
  <c r="F273" i="2" s="1"/>
  <c r="A238" i="16"/>
  <c r="N237" i="16"/>
  <c r="B272" i="2" s="1"/>
  <c r="N236" i="16"/>
  <c r="B271" i="2" s="1"/>
  <c r="F271" i="2" s="1"/>
  <c r="M271" i="2" s="1"/>
  <c r="A236" i="16"/>
  <c r="N235" i="16"/>
  <c r="N234" i="16"/>
  <c r="B269" i="2" s="1"/>
  <c r="A234" i="16"/>
  <c r="N233" i="16"/>
  <c r="B268" i="2" s="1"/>
  <c r="N232" i="16"/>
  <c r="B267" i="2" s="1"/>
  <c r="F267" i="2" s="1"/>
  <c r="A232" i="16"/>
  <c r="N231" i="16"/>
  <c r="B266" i="2" s="1"/>
  <c r="K266" i="2" s="1"/>
  <c r="A231" i="16"/>
  <c r="A230" i="16"/>
  <c r="M229" i="16"/>
  <c r="L229" i="16"/>
  <c r="K229" i="16"/>
  <c r="J229" i="16"/>
  <c r="I229" i="16"/>
  <c r="H229" i="16"/>
  <c r="G229" i="16"/>
  <c r="F229" i="16"/>
  <c r="E229" i="16"/>
  <c r="D229" i="16"/>
  <c r="C229" i="16"/>
  <c r="B229" i="16"/>
  <c r="N228" i="16"/>
  <c r="B263" i="2" s="1"/>
  <c r="A228" i="16"/>
  <c r="N227" i="16"/>
  <c r="A227" i="16"/>
  <c r="A226" i="16"/>
  <c r="M225" i="16"/>
  <c r="L225" i="16"/>
  <c r="K225" i="16"/>
  <c r="J225" i="16"/>
  <c r="I225" i="16"/>
  <c r="H225" i="16"/>
  <c r="G225" i="16"/>
  <c r="F225" i="16"/>
  <c r="E225" i="16"/>
  <c r="D225" i="16"/>
  <c r="C225" i="16"/>
  <c r="B225" i="16"/>
  <c r="N224" i="16"/>
  <c r="B259" i="2" s="1"/>
  <c r="A224" i="16"/>
  <c r="N223" i="16"/>
  <c r="B258" i="2" s="1"/>
  <c r="A223" i="16"/>
  <c r="N222" i="16"/>
  <c r="A222" i="16"/>
  <c r="A221" i="16"/>
  <c r="N219" i="16"/>
  <c r="B254" i="2" s="1"/>
  <c r="K254" i="2" s="1"/>
  <c r="N218" i="16"/>
  <c r="B253" i="2" s="1"/>
  <c r="K253" i="2" s="1"/>
  <c r="A218" i="16"/>
  <c r="N217" i="16"/>
  <c r="A217" i="16"/>
  <c r="N216" i="16"/>
  <c r="B251" i="2" s="1"/>
  <c r="K251" i="2" s="1"/>
  <c r="A216" i="16"/>
  <c r="N215" i="16"/>
  <c r="B250" i="2" s="1"/>
  <c r="K250" i="2" s="1"/>
  <c r="A215" i="16"/>
  <c r="A214" i="16"/>
  <c r="M248" i="10"/>
  <c r="L248" i="10"/>
  <c r="K248" i="10"/>
  <c r="J248" i="10"/>
  <c r="I248" i="10"/>
  <c r="H248" i="10"/>
  <c r="G248" i="10"/>
  <c r="F248" i="10"/>
  <c r="E248" i="10"/>
  <c r="D248" i="10"/>
  <c r="C248" i="10"/>
  <c r="B248" i="10"/>
  <c r="N247" i="10"/>
  <c r="B282" i="9" s="1"/>
  <c r="F282" i="9" s="1"/>
  <c r="N246" i="10"/>
  <c r="B281" i="9" s="1"/>
  <c r="J281" i="9" s="1"/>
  <c r="N243" i="10"/>
  <c r="B278" i="9" s="1"/>
  <c r="N242" i="10"/>
  <c r="B277" i="9" s="1"/>
  <c r="K277" i="9" s="1"/>
  <c r="N241" i="10"/>
  <c r="B276" i="9" s="1"/>
  <c r="N240" i="10"/>
  <c r="B275" i="9" s="1"/>
  <c r="N239" i="10"/>
  <c r="B274" i="9" s="1"/>
  <c r="N238" i="10"/>
  <c r="B273" i="9" s="1"/>
  <c r="J273" i="9" s="1"/>
  <c r="L273" i="9" s="1"/>
  <c r="N237" i="10"/>
  <c r="B272" i="9" s="1"/>
  <c r="K272" i="9" s="1"/>
  <c r="N236" i="10"/>
  <c r="B271" i="9" s="1"/>
  <c r="F271" i="9" s="1"/>
  <c r="N235" i="10"/>
  <c r="B270" i="9" s="1"/>
  <c r="N234" i="10"/>
  <c r="B269" i="9" s="1"/>
  <c r="N233" i="10"/>
  <c r="B268" i="9" s="1"/>
  <c r="F268" i="9" s="1"/>
  <c r="H268" i="9" s="1"/>
  <c r="N232" i="10"/>
  <c r="B267" i="9" s="1"/>
  <c r="J267" i="9" s="1"/>
  <c r="N231" i="10"/>
  <c r="B266" i="9" s="1"/>
  <c r="F266" i="9" s="1"/>
  <c r="M229" i="10"/>
  <c r="L229" i="10"/>
  <c r="K229" i="10"/>
  <c r="J229" i="10"/>
  <c r="I229" i="10"/>
  <c r="H229" i="10"/>
  <c r="G229" i="10"/>
  <c r="F229" i="10"/>
  <c r="E229" i="10"/>
  <c r="D229" i="10"/>
  <c r="C229" i="10"/>
  <c r="B229" i="10"/>
  <c r="N228" i="10"/>
  <c r="N227" i="10"/>
  <c r="B262" i="9" s="1"/>
  <c r="K262" i="9" s="1"/>
  <c r="L225" i="10"/>
  <c r="K225" i="10"/>
  <c r="I225" i="10"/>
  <c r="H225" i="10"/>
  <c r="G225" i="10"/>
  <c r="F225" i="10"/>
  <c r="E225" i="10"/>
  <c r="D225" i="10"/>
  <c r="C225" i="10"/>
  <c r="B225" i="10"/>
  <c r="N224" i="10"/>
  <c r="B259" i="9" s="1"/>
  <c r="N223" i="10"/>
  <c r="B258" i="9" s="1"/>
  <c r="N222" i="10"/>
  <c r="B257" i="9" s="1"/>
  <c r="N219" i="10"/>
  <c r="B254" i="9" s="1"/>
  <c r="K254" i="9" s="1"/>
  <c r="N218" i="10"/>
  <c r="B253" i="9" s="1"/>
  <c r="J253" i="9" s="1"/>
  <c r="N217" i="10"/>
  <c r="B252" i="9" s="1"/>
  <c r="J252" i="9" s="1"/>
  <c r="N216" i="10"/>
  <c r="B251" i="9" s="1"/>
  <c r="K251" i="9" s="1"/>
  <c r="N215" i="10"/>
  <c r="B250" i="9" s="1"/>
  <c r="F250" i="9" s="1"/>
  <c r="L259" i="7"/>
  <c r="B266" i="8"/>
  <c r="J266" i="8" s="1"/>
  <c r="I281" i="1"/>
  <c r="L271" i="9"/>
  <c r="L278" i="2"/>
  <c r="L302" i="1"/>
  <c r="L271" i="8"/>
  <c r="L273" i="2"/>
  <c r="L273" i="8"/>
  <c r="K281" i="1"/>
  <c r="J281" i="1"/>
  <c r="L268" i="4"/>
  <c r="L266" i="9"/>
  <c r="L266" i="6"/>
  <c r="L295" i="1"/>
  <c r="F337" i="1"/>
  <c r="F302" i="5"/>
  <c r="H302" i="5" s="1"/>
  <c r="F302" i="2"/>
  <c r="H302" i="2" s="1"/>
  <c r="H356" i="1"/>
  <c r="K316" i="2"/>
  <c r="K302" i="2"/>
  <c r="L302" i="2" s="1"/>
  <c r="L301" i="2"/>
  <c r="M301" i="2" s="1"/>
  <c r="K300" i="2"/>
  <c r="K322" i="4"/>
  <c r="L322" i="4" s="1"/>
  <c r="F322" i="4"/>
  <c r="H322" i="4" s="1"/>
  <c r="F304" i="4"/>
  <c r="D304" i="4" s="1"/>
  <c r="K304" i="4"/>
  <c r="J304" i="4"/>
  <c r="I304" i="4"/>
  <c r="L303" i="4"/>
  <c r="M303" i="4" s="1"/>
  <c r="K320" i="5"/>
  <c r="J320" i="5"/>
  <c r="F320" i="5"/>
  <c r="H320" i="5" s="1"/>
  <c r="K302" i="5"/>
  <c r="J302" i="5"/>
  <c r="K300" i="5"/>
  <c r="L300" i="5" s="1"/>
  <c r="H321" i="6"/>
  <c r="K320" i="6"/>
  <c r="J320" i="6"/>
  <c r="F320" i="6"/>
  <c r="K309" i="6"/>
  <c r="J309" i="6"/>
  <c r="I302" i="8"/>
  <c r="I302" i="7"/>
  <c r="I302" i="6"/>
  <c r="J302" i="6"/>
  <c r="K302" i="6"/>
  <c r="F302" i="6"/>
  <c r="K300" i="6"/>
  <c r="L300" i="6" s="1"/>
  <c r="J316" i="7"/>
  <c r="F302" i="7"/>
  <c r="J302" i="7"/>
  <c r="K302" i="7"/>
  <c r="K300" i="7"/>
  <c r="L300" i="7" s="1"/>
  <c r="J320" i="9"/>
  <c r="K320" i="9"/>
  <c r="F316" i="9"/>
  <c r="H316" i="9" s="1"/>
  <c r="J302" i="8"/>
  <c r="K302" i="8"/>
  <c r="F302" i="8"/>
  <c r="H302" i="8" s="1"/>
  <c r="K300" i="8"/>
  <c r="L300" i="8" s="1"/>
  <c r="F320" i="9"/>
  <c r="L301" i="9"/>
  <c r="M301" i="9" s="1"/>
  <c r="A184" i="11"/>
  <c r="D190" i="13"/>
  <c r="E190" i="13"/>
  <c r="A206" i="12"/>
  <c r="A205" i="13"/>
  <c r="A206" i="14"/>
  <c r="A206" i="15"/>
  <c r="A206" i="17"/>
  <c r="A206" i="16"/>
  <c r="A206" i="11"/>
  <c r="A192" i="12"/>
  <c r="A191" i="13"/>
  <c r="A192" i="14"/>
  <c r="A192" i="15"/>
  <c r="A192" i="17"/>
  <c r="A192" i="16"/>
  <c r="A192" i="11"/>
  <c r="A188" i="12"/>
  <c r="A187" i="13"/>
  <c r="A188" i="14"/>
  <c r="A188" i="15"/>
  <c r="A188" i="17"/>
  <c r="A188" i="16"/>
  <c r="A188" i="11"/>
  <c r="A183" i="12"/>
  <c r="A182" i="13"/>
  <c r="A183" i="14"/>
  <c r="A183" i="15"/>
  <c r="A183" i="17"/>
  <c r="A183" i="16"/>
  <c r="A183" i="11"/>
  <c r="A177" i="12"/>
  <c r="A176" i="13"/>
  <c r="A177" i="14"/>
  <c r="A177" i="15"/>
  <c r="A177" i="17"/>
  <c r="A177" i="16"/>
  <c r="A177" i="11"/>
  <c r="A208" i="12"/>
  <c r="A207" i="13"/>
  <c r="A208" i="14"/>
  <c r="A208" i="15"/>
  <c r="A208" i="17"/>
  <c r="A208" i="16"/>
  <c r="A208" i="11"/>
  <c r="A207" i="12"/>
  <c r="A206" i="13"/>
  <c r="A207" i="14"/>
  <c r="A207" i="15"/>
  <c r="A207" i="17"/>
  <c r="A207" i="16"/>
  <c r="A207" i="11"/>
  <c r="A205" i="12"/>
  <c r="A204" i="13"/>
  <c r="A205" i="14"/>
  <c r="A205" i="15"/>
  <c r="A205" i="17"/>
  <c r="A205" i="16"/>
  <c r="A205" i="11"/>
  <c r="A204" i="12"/>
  <c r="A203" i="13"/>
  <c r="A204" i="14"/>
  <c r="A204" i="15"/>
  <c r="A204" i="17"/>
  <c r="A204" i="16"/>
  <c r="A204" i="11"/>
  <c r="A203" i="12"/>
  <c r="A202" i="13"/>
  <c r="A203" i="14"/>
  <c r="A203" i="15"/>
  <c r="A203" i="17"/>
  <c r="A203" i="16"/>
  <c r="A203" i="11"/>
  <c r="A201" i="12"/>
  <c r="A200" i="13"/>
  <c r="A201" i="14"/>
  <c r="A201" i="15"/>
  <c r="A201" i="17"/>
  <c r="A201" i="16"/>
  <c r="A201" i="11"/>
  <c r="A200" i="12"/>
  <c r="A199" i="13"/>
  <c r="A200" i="14"/>
  <c r="A200" i="15"/>
  <c r="A200" i="17"/>
  <c r="A200" i="16"/>
  <c r="A200" i="11"/>
  <c r="A198" i="12"/>
  <c r="A197" i="13"/>
  <c r="A198" i="14"/>
  <c r="A198" i="15"/>
  <c r="A198" i="17"/>
  <c r="A198" i="16"/>
  <c r="A198" i="11"/>
  <c r="A196" i="12"/>
  <c r="A195" i="13"/>
  <c r="A196" i="14"/>
  <c r="A196" i="15"/>
  <c r="A196" i="17"/>
  <c r="A196" i="16"/>
  <c r="A196" i="11"/>
  <c r="A194" i="12"/>
  <c r="A193" i="13"/>
  <c r="A194" i="14"/>
  <c r="A194" i="15"/>
  <c r="A194" i="17"/>
  <c r="A194" i="16"/>
  <c r="A194" i="11"/>
  <c r="A193" i="12"/>
  <c r="A192" i="13"/>
  <c r="A193" i="14"/>
  <c r="A193" i="15"/>
  <c r="A193" i="17"/>
  <c r="A193" i="16"/>
  <c r="A193" i="11"/>
  <c r="A190" i="12"/>
  <c r="A189" i="13"/>
  <c r="A190" i="14"/>
  <c r="A190" i="15"/>
  <c r="A190" i="17"/>
  <c r="A190" i="16"/>
  <c r="A190" i="11"/>
  <c r="A189" i="12"/>
  <c r="A188" i="13"/>
  <c r="A189" i="14"/>
  <c r="A189" i="15"/>
  <c r="A189" i="17"/>
  <c r="A189" i="16"/>
  <c r="A189" i="11"/>
  <c r="A186" i="12"/>
  <c r="A185" i="13"/>
  <c r="A186" i="14"/>
  <c r="A186" i="15"/>
  <c r="A186" i="17"/>
  <c r="A186" i="16"/>
  <c r="A186" i="11"/>
  <c r="A185" i="12"/>
  <c r="A184" i="13"/>
  <c r="A185" i="14"/>
  <c r="A185" i="15"/>
  <c r="A185" i="17"/>
  <c r="A185" i="16"/>
  <c r="A185" i="11"/>
  <c r="A184" i="12"/>
  <c r="A183" i="13"/>
  <c r="A184" i="14"/>
  <c r="A184" i="15"/>
  <c r="A184" i="17"/>
  <c r="A184" i="16"/>
  <c r="A179" i="12"/>
  <c r="A180" i="12"/>
  <c r="A181" i="12"/>
  <c r="A178" i="13"/>
  <c r="A179" i="13"/>
  <c r="A180" i="13"/>
  <c r="A179" i="14"/>
  <c r="A180" i="14"/>
  <c r="A181" i="14"/>
  <c r="A179" i="15"/>
  <c r="A180" i="15"/>
  <c r="A181" i="15"/>
  <c r="A179" i="17"/>
  <c r="A180" i="17"/>
  <c r="A181" i="17"/>
  <c r="A179" i="16"/>
  <c r="A180" i="16"/>
  <c r="A181" i="16"/>
  <c r="A179" i="11"/>
  <c r="A180" i="11"/>
  <c r="A181" i="11"/>
  <c r="A178" i="12"/>
  <c r="A177" i="13"/>
  <c r="A178" i="14"/>
  <c r="A178" i="15"/>
  <c r="A178" i="17"/>
  <c r="A178" i="16"/>
  <c r="A178" i="11"/>
  <c r="A322" i="7"/>
  <c r="A322" i="6"/>
  <c r="A322" i="5"/>
  <c r="A324" i="4"/>
  <c r="A321" i="3"/>
  <c r="A322" i="2"/>
  <c r="A322" i="8"/>
  <c r="A308" i="7"/>
  <c r="A308" i="6"/>
  <c r="A308" i="5"/>
  <c r="A310" i="4"/>
  <c r="A307" i="3"/>
  <c r="A308" i="2"/>
  <c r="A308" i="8"/>
  <c r="A304" i="7"/>
  <c r="A304" i="6"/>
  <c r="A304" i="5"/>
  <c r="A306" i="4"/>
  <c r="A303" i="3"/>
  <c r="A304" i="2"/>
  <c r="A304" i="8"/>
  <c r="A299" i="7"/>
  <c r="A299" i="6"/>
  <c r="A299" i="5"/>
  <c r="A301" i="4"/>
  <c r="A298" i="3"/>
  <c r="A299" i="2"/>
  <c r="A299" i="8"/>
  <c r="A293" i="7"/>
  <c r="A293" i="6"/>
  <c r="A293" i="5"/>
  <c r="A295" i="4"/>
  <c r="A292" i="3"/>
  <c r="A293" i="2"/>
  <c r="A293" i="8"/>
  <c r="A323" i="7"/>
  <c r="A323" i="6"/>
  <c r="A323" i="5"/>
  <c r="A325" i="4"/>
  <c r="A322" i="3"/>
  <c r="A323" i="2"/>
  <c r="A323" i="8"/>
  <c r="A321" i="7"/>
  <c r="A321" i="6"/>
  <c r="A321" i="5"/>
  <c r="A323" i="4"/>
  <c r="A320" i="3"/>
  <c r="A321" i="2"/>
  <c r="A321" i="8"/>
  <c r="A320" i="7"/>
  <c r="A320" i="6"/>
  <c r="A320" i="5"/>
  <c r="A322" i="4"/>
  <c r="A319" i="3"/>
  <c r="A320" i="2"/>
  <c r="A320" i="8"/>
  <c r="A319" i="7"/>
  <c r="A319" i="6"/>
  <c r="A319" i="5"/>
  <c r="A321" i="4"/>
  <c r="A318" i="3"/>
  <c r="A319" i="2"/>
  <c r="A319" i="8"/>
  <c r="A317" i="7"/>
  <c r="A317" i="6"/>
  <c r="A317" i="5"/>
  <c r="A319" i="4"/>
  <c r="A316" i="3"/>
  <c r="A317" i="2"/>
  <c r="A317" i="8"/>
  <c r="A316" i="7"/>
  <c r="A316" i="6"/>
  <c r="A316" i="5"/>
  <c r="A318" i="4"/>
  <c r="A315" i="3"/>
  <c r="A316" i="2"/>
  <c r="A316" i="8"/>
  <c r="A314" i="7"/>
  <c r="A314" i="6"/>
  <c r="A314" i="5"/>
  <c r="A316" i="4"/>
  <c r="A313" i="3"/>
  <c r="A314" i="2"/>
  <c r="A314" i="8"/>
  <c r="A310" i="7"/>
  <c r="A312" i="7"/>
  <c r="A310" i="6"/>
  <c r="A312" i="6"/>
  <c r="A310" i="5"/>
  <c r="A312" i="5"/>
  <c r="A312" i="4"/>
  <c r="A314" i="4"/>
  <c r="A309" i="3"/>
  <c r="A311" i="3"/>
  <c r="A310" i="2"/>
  <c r="A312" i="2"/>
  <c r="A310" i="8"/>
  <c r="A312" i="8"/>
  <c r="A309" i="7"/>
  <c r="A309" i="6"/>
  <c r="A309" i="5"/>
  <c r="A311" i="4"/>
  <c r="A308" i="3"/>
  <c r="A309" i="2"/>
  <c r="A309" i="8"/>
  <c r="A306" i="7"/>
  <c r="A306" i="6"/>
  <c r="A306" i="5"/>
  <c r="A308" i="4"/>
  <c r="A305" i="3"/>
  <c r="A306" i="2"/>
  <c r="A306" i="8"/>
  <c r="A305" i="7"/>
  <c r="A305" i="6"/>
  <c r="A305" i="5"/>
  <c r="A307" i="4"/>
  <c r="A304" i="3"/>
  <c r="A305" i="2"/>
  <c r="A305" i="8"/>
  <c r="A295" i="7"/>
  <c r="A296" i="7"/>
  <c r="A297" i="7"/>
  <c r="A295" i="6"/>
  <c r="A296" i="6"/>
  <c r="A297" i="6"/>
  <c r="A295" i="5"/>
  <c r="A296" i="5"/>
  <c r="A297" i="5"/>
  <c r="A297" i="4"/>
  <c r="A298" i="4"/>
  <c r="A299" i="4"/>
  <c r="A294" i="3"/>
  <c r="A295" i="3"/>
  <c r="A296" i="3"/>
  <c r="A295" i="2"/>
  <c r="A296" i="2"/>
  <c r="A297" i="2"/>
  <c r="A295" i="8"/>
  <c r="A296" i="8"/>
  <c r="A297" i="8"/>
  <c r="A294" i="7"/>
  <c r="A294" i="6"/>
  <c r="A294" i="5"/>
  <c r="A296" i="4"/>
  <c r="A293" i="3"/>
  <c r="A294" i="2"/>
  <c r="A294" i="8"/>
  <c r="L337" i="1"/>
  <c r="A340" i="1"/>
  <c r="A330" i="1"/>
  <c r="A331" i="1"/>
  <c r="A332" i="1"/>
  <c r="A329" i="1"/>
  <c r="A343" i="1"/>
  <c r="A357" i="1"/>
  <c r="A339" i="1"/>
  <c r="A334" i="1"/>
  <c r="A328" i="1"/>
  <c r="C209" i="11"/>
  <c r="C209" i="12"/>
  <c r="C208" i="13"/>
  <c r="C209" i="15"/>
  <c r="C209" i="17"/>
  <c r="C209" i="16"/>
  <c r="B209" i="11"/>
  <c r="B209" i="12"/>
  <c r="B208" i="13"/>
  <c r="B209" i="15"/>
  <c r="B209" i="17"/>
  <c r="B209" i="16"/>
  <c r="N186" i="11"/>
  <c r="B302" i="8" s="1"/>
  <c r="N186" i="12"/>
  <c r="B302" i="7" s="1"/>
  <c r="N185" i="13"/>
  <c r="B302" i="6" s="1"/>
  <c r="N186" i="14"/>
  <c r="B302" i="5" s="1"/>
  <c r="N186" i="15"/>
  <c r="B304" i="4" s="1"/>
  <c r="N186" i="17"/>
  <c r="B301" i="3" s="1"/>
  <c r="N186" i="16"/>
  <c r="B302" i="2" s="1"/>
  <c r="N186" i="10"/>
  <c r="B302" i="9" s="1"/>
  <c r="N184" i="11"/>
  <c r="B300" i="8" s="1"/>
  <c r="F300" i="8" s="1"/>
  <c r="N184" i="12"/>
  <c r="B300" i="7" s="1"/>
  <c r="F300" i="7" s="1"/>
  <c r="H300" i="7" s="1"/>
  <c r="N183" i="13"/>
  <c r="B300" i="6" s="1"/>
  <c r="F300" i="6" s="1"/>
  <c r="H300" i="6" s="1"/>
  <c r="N184" i="14"/>
  <c r="B300" i="5" s="1"/>
  <c r="F300" i="5" s="1"/>
  <c r="M300" i="5" s="1"/>
  <c r="N184" i="15"/>
  <c r="B302" i="4" s="1"/>
  <c r="N184" i="17"/>
  <c r="B299" i="3" s="1"/>
  <c r="F299" i="3" s="1"/>
  <c r="N184" i="16"/>
  <c r="B300" i="2" s="1"/>
  <c r="I300" i="2" s="1"/>
  <c r="L300" i="2" s="1"/>
  <c r="N184" i="10"/>
  <c r="B300" i="9" s="1"/>
  <c r="K300" i="9" s="1"/>
  <c r="L300" i="9" s="1"/>
  <c r="C187" i="12"/>
  <c r="D187" i="12"/>
  <c r="E187" i="12"/>
  <c r="F187" i="12"/>
  <c r="G187" i="12"/>
  <c r="H187" i="12"/>
  <c r="I187" i="12"/>
  <c r="J187" i="12"/>
  <c r="K187" i="12"/>
  <c r="L187" i="12"/>
  <c r="M187" i="12"/>
  <c r="C186" i="13"/>
  <c r="D186" i="13"/>
  <c r="E186" i="13"/>
  <c r="F186" i="13"/>
  <c r="G186" i="13"/>
  <c r="H186" i="13"/>
  <c r="I186" i="13"/>
  <c r="J186" i="13"/>
  <c r="K186" i="13"/>
  <c r="L186" i="13"/>
  <c r="M186" i="13"/>
  <c r="C187" i="14"/>
  <c r="D187" i="14"/>
  <c r="E187" i="14"/>
  <c r="F187" i="14"/>
  <c r="G187" i="14"/>
  <c r="H187" i="14"/>
  <c r="I187" i="14"/>
  <c r="J187" i="14"/>
  <c r="K187" i="14"/>
  <c r="M187" i="14"/>
  <c r="C187" i="15"/>
  <c r="D187" i="15"/>
  <c r="E187" i="15"/>
  <c r="F187" i="15"/>
  <c r="G187" i="15"/>
  <c r="H187" i="15"/>
  <c r="I187" i="15"/>
  <c r="J187" i="15"/>
  <c r="K187" i="15"/>
  <c r="L187" i="15"/>
  <c r="M187" i="15"/>
  <c r="C187" i="17"/>
  <c r="D187" i="17"/>
  <c r="E187" i="17"/>
  <c r="F187" i="17"/>
  <c r="G187" i="17"/>
  <c r="H187" i="17"/>
  <c r="I187" i="17"/>
  <c r="J187" i="17"/>
  <c r="K187" i="17"/>
  <c r="L187" i="17"/>
  <c r="M187" i="17"/>
  <c r="C187" i="16"/>
  <c r="D187" i="16"/>
  <c r="E187" i="16"/>
  <c r="F187" i="16"/>
  <c r="G187" i="16"/>
  <c r="H187" i="16"/>
  <c r="I187" i="16"/>
  <c r="J187" i="16"/>
  <c r="K187" i="16"/>
  <c r="L187" i="16"/>
  <c r="M187" i="16"/>
  <c r="B187" i="12"/>
  <c r="B186" i="13"/>
  <c r="B187" i="14"/>
  <c r="B187" i="15"/>
  <c r="B187" i="17"/>
  <c r="B187" i="16"/>
  <c r="D301" i="3"/>
  <c r="M302" i="9"/>
  <c r="J302" i="9"/>
  <c r="D302" i="9"/>
  <c r="C191" i="11"/>
  <c r="D191" i="11"/>
  <c r="E191" i="11"/>
  <c r="F191" i="11"/>
  <c r="G191" i="11"/>
  <c r="H191" i="11"/>
  <c r="I191" i="11"/>
  <c r="J191" i="11"/>
  <c r="K191" i="11"/>
  <c r="L191" i="11"/>
  <c r="M191" i="11"/>
  <c r="C191" i="12"/>
  <c r="D191" i="12"/>
  <c r="E191" i="12"/>
  <c r="F191" i="12"/>
  <c r="G191" i="12"/>
  <c r="H191" i="12"/>
  <c r="I191" i="12"/>
  <c r="J191" i="12"/>
  <c r="K191" i="12"/>
  <c r="L191" i="12"/>
  <c r="M191" i="12"/>
  <c r="C190" i="13"/>
  <c r="F190" i="13"/>
  <c r="G190" i="13"/>
  <c r="H190" i="13"/>
  <c r="I190" i="13"/>
  <c r="J190" i="13"/>
  <c r="K190" i="13"/>
  <c r="L190" i="13"/>
  <c r="M190" i="13"/>
  <c r="C191" i="14"/>
  <c r="D191" i="14"/>
  <c r="E191" i="14"/>
  <c r="F191" i="14"/>
  <c r="G191" i="14"/>
  <c r="H191" i="14"/>
  <c r="I191" i="14"/>
  <c r="J191" i="14"/>
  <c r="K191" i="14"/>
  <c r="L191" i="14"/>
  <c r="M191" i="14"/>
  <c r="C191" i="15"/>
  <c r="D191" i="15"/>
  <c r="E191" i="15"/>
  <c r="F191" i="15"/>
  <c r="G191" i="15"/>
  <c r="H191" i="15"/>
  <c r="I191" i="15"/>
  <c r="J191" i="15"/>
  <c r="K191" i="15"/>
  <c r="L191" i="15"/>
  <c r="M191" i="15"/>
  <c r="C191" i="17"/>
  <c r="D191" i="17"/>
  <c r="E191" i="17"/>
  <c r="F191" i="17"/>
  <c r="G191" i="17"/>
  <c r="H191" i="17"/>
  <c r="I191" i="17"/>
  <c r="J191" i="17"/>
  <c r="K191" i="17"/>
  <c r="L191" i="17"/>
  <c r="M191" i="17"/>
  <c r="C191" i="16"/>
  <c r="D191" i="16"/>
  <c r="E191" i="16"/>
  <c r="F191" i="16"/>
  <c r="G191" i="16"/>
  <c r="H191" i="16"/>
  <c r="I191" i="16"/>
  <c r="J191" i="16"/>
  <c r="K191" i="16"/>
  <c r="L191" i="16"/>
  <c r="M191" i="16"/>
  <c r="B191" i="11"/>
  <c r="B191" i="12"/>
  <c r="B190" i="13"/>
  <c r="B191" i="14"/>
  <c r="B191" i="15"/>
  <c r="B191" i="17"/>
  <c r="B191" i="16"/>
  <c r="D333" i="1"/>
  <c r="D336" i="1"/>
  <c r="D356" i="1"/>
  <c r="D358" i="1"/>
  <c r="L333" i="1"/>
  <c r="M333" i="1" s="1"/>
  <c r="L336" i="1"/>
  <c r="M336" i="1" s="1"/>
  <c r="L349" i="1"/>
  <c r="L354" i="1"/>
  <c r="L358" i="1"/>
  <c r="M358" i="1" s="1"/>
  <c r="D301" i="9"/>
  <c r="L298" i="8"/>
  <c r="L301" i="8"/>
  <c r="L323" i="8"/>
  <c r="L298" i="7"/>
  <c r="M298" i="7" s="1"/>
  <c r="L301" i="7"/>
  <c r="M301" i="7" s="1"/>
  <c r="L314" i="7"/>
  <c r="L319" i="7"/>
  <c r="L320" i="7"/>
  <c r="L321" i="7"/>
  <c r="L323" i="7"/>
  <c r="L301" i="6"/>
  <c r="M301" i="6" s="1"/>
  <c r="L319" i="6"/>
  <c r="L323" i="6"/>
  <c r="L314" i="5"/>
  <c r="L319" i="5"/>
  <c r="L321" i="5"/>
  <c r="L323" i="5"/>
  <c r="L298" i="5"/>
  <c r="M298" i="5" s="1"/>
  <c r="L301" i="5"/>
  <c r="M301" i="5" s="1"/>
  <c r="D298" i="5"/>
  <c r="D301" i="5"/>
  <c r="D325" i="4"/>
  <c r="D326" i="4"/>
  <c r="L316" i="4"/>
  <c r="L321" i="4"/>
  <c r="L323" i="4"/>
  <c r="L325" i="4"/>
  <c r="M325" i="4" s="1"/>
  <c r="H323" i="2"/>
  <c r="D323" i="2"/>
  <c r="L314" i="2"/>
  <c r="L300" i="3"/>
  <c r="M300" i="3" s="1"/>
  <c r="L319" i="8"/>
  <c r="L320" i="8"/>
  <c r="L321" i="8"/>
  <c r="N194" i="12"/>
  <c r="B310" i="7" s="1"/>
  <c r="K310" i="7" s="1"/>
  <c r="N195" i="12"/>
  <c r="B311" i="7" s="1"/>
  <c r="F311" i="7" s="1"/>
  <c r="D311" i="7" s="1"/>
  <c r="N196" i="12"/>
  <c r="B312" i="7" s="1"/>
  <c r="F312" i="7" s="1"/>
  <c r="N197" i="12"/>
  <c r="B313" i="7" s="1"/>
  <c r="K313" i="7" s="1"/>
  <c r="N198" i="12"/>
  <c r="N199" i="12"/>
  <c r="N200" i="12"/>
  <c r="N201" i="12"/>
  <c r="B317" i="7" s="1"/>
  <c r="N202" i="12"/>
  <c r="B318" i="7" s="1"/>
  <c r="K318" i="7" s="1"/>
  <c r="N207" i="12"/>
  <c r="N208" i="12"/>
  <c r="B324" i="7" s="1"/>
  <c r="K324" i="7" s="1"/>
  <c r="N203" i="12"/>
  <c r="B319" i="7" s="1"/>
  <c r="F319" i="7" s="1"/>
  <c r="H319" i="7" s="1"/>
  <c r="N204" i="12"/>
  <c r="B320" i="7" s="1"/>
  <c r="F320" i="7" s="1"/>
  <c r="H320" i="7" s="1"/>
  <c r="N205" i="12"/>
  <c r="B321" i="7" s="1"/>
  <c r="F321" i="7" s="1"/>
  <c r="N193" i="13"/>
  <c r="B310" i="6" s="1"/>
  <c r="N194" i="13"/>
  <c r="B311" i="6" s="1"/>
  <c r="F311" i="6" s="1"/>
  <c r="H311" i="6" s="1"/>
  <c r="N195" i="13"/>
  <c r="B312" i="6" s="1"/>
  <c r="N196" i="13"/>
  <c r="B313" i="6" s="1"/>
  <c r="N197" i="13"/>
  <c r="B314" i="6" s="1"/>
  <c r="F314" i="6" s="1"/>
  <c r="N198" i="13"/>
  <c r="B315" i="6" s="1"/>
  <c r="N199" i="13"/>
  <c r="B316" i="6" s="1"/>
  <c r="N200" i="13"/>
  <c r="B317" i="6" s="1"/>
  <c r="F317" i="6" s="1"/>
  <c r="D317" i="6" s="1"/>
  <c r="N201" i="13"/>
  <c r="B318" i="6" s="1"/>
  <c r="N206" i="13"/>
  <c r="B323" i="6" s="1"/>
  <c r="F323" i="6" s="1"/>
  <c r="N207" i="13"/>
  <c r="B324" i="6" s="1"/>
  <c r="K324" i="6" s="1"/>
  <c r="N202" i="13"/>
  <c r="B319" i="6" s="1"/>
  <c r="F319" i="6" s="1"/>
  <c r="D319" i="6" s="1"/>
  <c r="N203" i="13"/>
  <c r="N204" i="13"/>
  <c r="B321" i="6"/>
  <c r="K321" i="6" s="1"/>
  <c r="N194" i="14"/>
  <c r="B310" i="5" s="1"/>
  <c r="K310" i="5" s="1"/>
  <c r="N195" i="14"/>
  <c r="B311" i="5" s="1"/>
  <c r="F311" i="5" s="1"/>
  <c r="N196" i="14"/>
  <c r="B312" i="5" s="1"/>
  <c r="N197" i="14"/>
  <c r="B313" i="5" s="1"/>
  <c r="K313" i="5" s="1"/>
  <c r="N198" i="14"/>
  <c r="F314" i="5"/>
  <c r="N199" i="14"/>
  <c r="B315" i="5" s="1"/>
  <c r="N200" i="14"/>
  <c r="B316" i="5" s="1"/>
  <c r="J316" i="5" s="1"/>
  <c r="N201" i="14"/>
  <c r="N202" i="14"/>
  <c r="B318" i="5" s="1"/>
  <c r="J318" i="5" s="1"/>
  <c r="N207" i="14"/>
  <c r="B323" i="5" s="1"/>
  <c r="F323" i="5" s="1"/>
  <c r="N208" i="14"/>
  <c r="B324" i="5" s="1"/>
  <c r="K324" i="5" s="1"/>
  <c r="N203" i="14"/>
  <c r="B319" i="5" s="1"/>
  <c r="F319" i="5" s="1"/>
  <c r="N204" i="14"/>
  <c r="N205" i="14"/>
  <c r="B321" i="5" s="1"/>
  <c r="F321" i="5" s="1"/>
  <c r="H321" i="5" s="1"/>
  <c r="N194" i="15"/>
  <c r="B312" i="4" s="1"/>
  <c r="N195" i="15"/>
  <c r="N196" i="15"/>
  <c r="B314" i="4" s="1"/>
  <c r="J314" i="4" s="1"/>
  <c r="N197" i="15"/>
  <c r="B315" i="4" s="1"/>
  <c r="F315" i="4" s="1"/>
  <c r="D315" i="4" s="1"/>
  <c r="N198" i="15"/>
  <c r="F316" i="4"/>
  <c r="D316" i="4" s="1"/>
  <c r="N199" i="15"/>
  <c r="B317" i="4" s="1"/>
  <c r="F317" i="4" s="1"/>
  <c r="D317" i="4" s="1"/>
  <c r="N200" i="15"/>
  <c r="B318" i="4" s="1"/>
  <c r="N201" i="15"/>
  <c r="B319" i="4" s="1"/>
  <c r="N202" i="15"/>
  <c r="B320" i="4" s="1"/>
  <c r="F320" i="4" s="1"/>
  <c r="D320" i="4" s="1"/>
  <c r="N207" i="15"/>
  <c r="N208" i="15"/>
  <c r="B326" i="4" s="1"/>
  <c r="K326" i="4" s="1"/>
  <c r="L326" i="4" s="1"/>
  <c r="M326" i="4" s="1"/>
  <c r="N203" i="15"/>
  <c r="N204" i="15"/>
  <c r="N205" i="15"/>
  <c r="B323" i="4" s="1"/>
  <c r="F323" i="4" s="1"/>
  <c r="H323" i="4" s="1"/>
  <c r="N194" i="17"/>
  <c r="B309" i="3" s="1"/>
  <c r="K309" i="3" s="1"/>
  <c r="N195" i="17"/>
  <c r="B310" i="3" s="1"/>
  <c r="K310" i="3" s="1"/>
  <c r="N196" i="17"/>
  <c r="B311" i="3" s="1"/>
  <c r="K311" i="3" s="1"/>
  <c r="N197" i="17"/>
  <c r="B312" i="3" s="1"/>
  <c r="J312" i="3" s="1"/>
  <c r="N198" i="17"/>
  <c r="B313" i="3" s="1"/>
  <c r="N199" i="17"/>
  <c r="B314" i="3" s="1"/>
  <c r="K314" i="3" s="1"/>
  <c r="N200" i="17"/>
  <c r="B315" i="3" s="1"/>
  <c r="K315" i="3" s="1"/>
  <c r="N201" i="17"/>
  <c r="B316" i="3" s="1"/>
  <c r="K316" i="3" s="1"/>
  <c r="N202" i="17"/>
  <c r="B317" i="3" s="1"/>
  <c r="K317" i="3" s="1"/>
  <c r="N207" i="17"/>
  <c r="B322" i="3" s="1"/>
  <c r="N208" i="17"/>
  <c r="B323" i="3" s="1"/>
  <c r="K323" i="3" s="1"/>
  <c r="N203" i="17"/>
  <c r="B318" i="3"/>
  <c r="N204" i="17"/>
  <c r="B319" i="3" s="1"/>
  <c r="F319" i="3" s="1"/>
  <c r="N205" i="17"/>
  <c r="B320" i="3" s="1"/>
  <c r="K320" i="3" s="1"/>
  <c r="N194" i="16"/>
  <c r="B310" i="2" s="1"/>
  <c r="F310" i="2" s="1"/>
  <c r="N195" i="16"/>
  <c r="B311" i="2" s="1"/>
  <c r="F311" i="2" s="1"/>
  <c r="D311" i="2" s="1"/>
  <c r="N196" i="16"/>
  <c r="B312" i="2" s="1"/>
  <c r="N197" i="16"/>
  <c r="B313" i="2" s="1"/>
  <c r="F313" i="2" s="1"/>
  <c r="N198" i="16"/>
  <c r="N199" i="16"/>
  <c r="B315" i="2" s="1"/>
  <c r="N200" i="16"/>
  <c r="N201" i="16"/>
  <c r="B317" i="2" s="1"/>
  <c r="K317" i="2" s="1"/>
  <c r="N202" i="16"/>
  <c r="B318" i="2" s="1"/>
  <c r="J318" i="2" s="1"/>
  <c r="N207" i="16"/>
  <c r="B323" i="2" s="1"/>
  <c r="N208" i="16"/>
  <c r="B324" i="2" s="1"/>
  <c r="N203" i="16"/>
  <c r="B319" i="2" s="1"/>
  <c r="J319" i="2" s="1"/>
  <c r="N204" i="16"/>
  <c r="B320" i="2" s="1"/>
  <c r="J320" i="2" s="1"/>
  <c r="N205" i="16"/>
  <c r="B321" i="2" s="1"/>
  <c r="J321" i="2" s="1"/>
  <c r="N194" i="11"/>
  <c r="B310" i="8" s="1"/>
  <c r="J310" i="8" s="1"/>
  <c r="N195" i="11"/>
  <c r="B311" i="8" s="1"/>
  <c r="N196" i="11"/>
  <c r="B312" i="8" s="1"/>
  <c r="N197" i="11"/>
  <c r="B313" i="8" s="1"/>
  <c r="K313" i="8" s="1"/>
  <c r="N198" i="11"/>
  <c r="B314" i="8" s="1"/>
  <c r="K314" i="8" s="1"/>
  <c r="N199" i="11"/>
  <c r="B315" i="8" s="1"/>
  <c r="K315" i="8" s="1"/>
  <c r="N200" i="11"/>
  <c r="B316" i="8" s="1"/>
  <c r="K316" i="8" s="1"/>
  <c r="N201" i="11"/>
  <c r="B317" i="8" s="1"/>
  <c r="N202" i="11"/>
  <c r="B318" i="8" s="1"/>
  <c r="N207" i="11"/>
  <c r="B323" i="8" s="1"/>
  <c r="F323" i="8" s="1"/>
  <c r="M323" i="8" s="1"/>
  <c r="N208" i="11"/>
  <c r="B324" i="8" s="1"/>
  <c r="N203" i="11"/>
  <c r="B319" i="8" s="1"/>
  <c r="F319" i="8" s="1"/>
  <c r="D319" i="8" s="1"/>
  <c r="N204" i="11"/>
  <c r="B320" i="8" s="1"/>
  <c r="N205" i="11"/>
  <c r="B321" i="8" s="1"/>
  <c r="F321" i="8" s="1"/>
  <c r="N190" i="12"/>
  <c r="B306" i="7" s="1"/>
  <c r="N189" i="13"/>
  <c r="B306" i="6" s="1"/>
  <c r="F306" i="6" s="1"/>
  <c r="N190" i="14"/>
  <c r="B306" i="5" s="1"/>
  <c r="K306" i="5" s="1"/>
  <c r="N190" i="15"/>
  <c r="B308" i="4" s="1"/>
  <c r="J308" i="4" s="1"/>
  <c r="N190" i="17"/>
  <c r="B305" i="3" s="1"/>
  <c r="I305" i="3" s="1"/>
  <c r="N190" i="16"/>
  <c r="B306" i="2" s="1"/>
  <c r="K306" i="2" s="1"/>
  <c r="N190" i="11"/>
  <c r="B306" i="8" s="1"/>
  <c r="K306" i="8" s="1"/>
  <c r="K307" i="8" s="1"/>
  <c r="N189" i="12"/>
  <c r="N188" i="13"/>
  <c r="B305" i="6" s="1"/>
  <c r="K305" i="6" s="1"/>
  <c r="N189" i="15"/>
  <c r="B307" i="4" s="1"/>
  <c r="B309" i="4" s="1"/>
  <c r="N189" i="17"/>
  <c r="B304" i="3" s="1"/>
  <c r="F304" i="3" s="1"/>
  <c r="D304" i="3" s="1"/>
  <c r="N189" i="16"/>
  <c r="B305" i="2" s="1"/>
  <c r="F305" i="2" s="1"/>
  <c r="H305" i="2" s="1"/>
  <c r="N189" i="11"/>
  <c r="B305" i="8" s="1"/>
  <c r="K305" i="8" s="1"/>
  <c r="N180" i="12"/>
  <c r="N181" i="12"/>
  <c r="B297" i="7" s="1"/>
  <c r="K297" i="7" s="1"/>
  <c r="N182" i="12"/>
  <c r="B298" i="7" s="1"/>
  <c r="N179" i="13"/>
  <c r="B296" i="6" s="1"/>
  <c r="N180" i="13"/>
  <c r="B297" i="6" s="1"/>
  <c r="F297" i="6" s="1"/>
  <c r="H297" i="6"/>
  <c r="N181" i="13"/>
  <c r="B298" i="6" s="1"/>
  <c r="N180" i="14"/>
  <c r="B296" i="5" s="1"/>
  <c r="N181" i="14"/>
  <c r="B297" i="5" s="1"/>
  <c r="N182" i="14"/>
  <c r="B298" i="5" s="1"/>
  <c r="N180" i="15"/>
  <c r="B298" i="4" s="1"/>
  <c r="N181" i="15"/>
  <c r="B299" i="4" s="1"/>
  <c r="F299" i="4" s="1"/>
  <c r="D299" i="4" s="1"/>
  <c r="N182" i="15"/>
  <c r="B300" i="4" s="1"/>
  <c r="K300" i="4" s="1"/>
  <c r="N180" i="17"/>
  <c r="B295" i="3" s="1"/>
  <c r="K295" i="3" s="1"/>
  <c r="N181" i="17"/>
  <c r="B296" i="3" s="1"/>
  <c r="K296" i="3" s="1"/>
  <c r="N182" i="17"/>
  <c r="B297" i="3" s="1"/>
  <c r="N180" i="16"/>
  <c r="B296" i="2" s="1"/>
  <c r="N181" i="16"/>
  <c r="B297" i="2"/>
  <c r="K297" i="2" s="1"/>
  <c r="N182" i="16"/>
  <c r="B298" i="2" s="1"/>
  <c r="I298" i="2" s="1"/>
  <c r="L298" i="2" s="1"/>
  <c r="N180" i="11"/>
  <c r="B296" i="8" s="1"/>
  <c r="F296" i="8" s="1"/>
  <c r="N181" i="11"/>
  <c r="N182" i="11"/>
  <c r="B298" i="8" s="1"/>
  <c r="N203" i="10"/>
  <c r="B319" i="9" s="1"/>
  <c r="K319" i="9" s="1"/>
  <c r="N204" i="10"/>
  <c r="N208" i="10"/>
  <c r="N190" i="10"/>
  <c r="B306" i="9" s="1"/>
  <c r="F306" i="9" s="1"/>
  <c r="D306" i="9" s="1"/>
  <c r="N189" i="10"/>
  <c r="B305" i="9" s="1"/>
  <c r="N180" i="10"/>
  <c r="B296" i="9" s="1"/>
  <c r="N181" i="10"/>
  <c r="B297" i="9" s="1"/>
  <c r="N182" i="10"/>
  <c r="N185" i="10"/>
  <c r="B301" i="9" s="1"/>
  <c r="M209" i="16"/>
  <c r="L209" i="16"/>
  <c r="K209" i="16"/>
  <c r="J209" i="16"/>
  <c r="I209" i="16"/>
  <c r="H209" i="16"/>
  <c r="G209" i="16"/>
  <c r="F209" i="16"/>
  <c r="E209" i="16"/>
  <c r="D209" i="16"/>
  <c r="N193" i="16"/>
  <c r="B309" i="2" s="1"/>
  <c r="F309" i="2" s="1"/>
  <c r="H309" i="2" s="1"/>
  <c r="N185" i="16"/>
  <c r="B301" i="2" s="1"/>
  <c r="N179" i="16"/>
  <c r="B295" i="2" s="1"/>
  <c r="I295" i="2" s="1"/>
  <c r="N178" i="16"/>
  <c r="B294" i="2" s="1"/>
  <c r="I324" i="3"/>
  <c r="D300" i="3"/>
  <c r="M297" i="3"/>
  <c r="H297" i="3"/>
  <c r="M209" i="17"/>
  <c r="L209" i="17"/>
  <c r="K209" i="17"/>
  <c r="J209" i="17"/>
  <c r="I209" i="17"/>
  <c r="H209" i="17"/>
  <c r="G209" i="17"/>
  <c r="F209" i="17"/>
  <c r="E209" i="17"/>
  <c r="D209" i="17"/>
  <c r="N193" i="17"/>
  <c r="B308" i="3" s="1"/>
  <c r="F308" i="3" s="1"/>
  <c r="N185" i="17"/>
  <c r="B300" i="3" s="1"/>
  <c r="N179" i="17"/>
  <c r="B294" i="3" s="1"/>
  <c r="F294" i="3" s="1"/>
  <c r="N178" i="17"/>
  <c r="B293" i="3" s="1"/>
  <c r="F293" i="3" s="1"/>
  <c r="D293" i="3" s="1"/>
  <c r="H313" i="4"/>
  <c r="D313" i="4"/>
  <c r="D303" i="4"/>
  <c r="M209" i="15"/>
  <c r="L209" i="15"/>
  <c r="K209" i="15"/>
  <c r="J209" i="15"/>
  <c r="I209" i="15"/>
  <c r="H209" i="15"/>
  <c r="G209" i="15"/>
  <c r="F209" i="15"/>
  <c r="E209" i="15"/>
  <c r="D209" i="15"/>
  <c r="N193" i="15"/>
  <c r="B311" i="4" s="1"/>
  <c r="J311" i="4" s="1"/>
  <c r="N185" i="15"/>
  <c r="B303" i="4" s="1"/>
  <c r="N179" i="15"/>
  <c r="B297" i="4" s="1"/>
  <c r="I297" i="4" s="1"/>
  <c r="N178" i="15"/>
  <c r="B296" i="4" s="1"/>
  <c r="F296" i="4" s="1"/>
  <c r="H296" i="4" s="1"/>
  <c r="H298" i="5"/>
  <c r="M209" i="14"/>
  <c r="L209" i="14"/>
  <c r="K209" i="14"/>
  <c r="J209" i="14"/>
  <c r="I209" i="14"/>
  <c r="H209" i="14"/>
  <c r="G209" i="14"/>
  <c r="F209" i="14"/>
  <c r="E209" i="14"/>
  <c r="D209" i="14"/>
  <c r="N193" i="14"/>
  <c r="B309" i="5" s="1"/>
  <c r="K309" i="5" s="1"/>
  <c r="N185" i="14"/>
  <c r="B301" i="5" s="1"/>
  <c r="N179" i="14"/>
  <c r="B295" i="5" s="1"/>
  <c r="N178" i="14"/>
  <c r="K315" i="6"/>
  <c r="J315" i="6"/>
  <c r="F315" i="6"/>
  <c r="H315" i="6" s="1"/>
  <c r="D301" i="6"/>
  <c r="K298" i="6"/>
  <c r="J298" i="6"/>
  <c r="F298" i="6"/>
  <c r="H298" i="6" s="1"/>
  <c r="M208" i="13"/>
  <c r="L208" i="13"/>
  <c r="K208" i="13"/>
  <c r="J208" i="13"/>
  <c r="I208" i="13"/>
  <c r="H208" i="13"/>
  <c r="G208" i="13"/>
  <c r="F208" i="13"/>
  <c r="E208" i="13"/>
  <c r="D208" i="13"/>
  <c r="N192" i="13"/>
  <c r="N184" i="13"/>
  <c r="B301" i="6" s="1"/>
  <c r="N178" i="13"/>
  <c r="N177" i="13"/>
  <c r="B294" i="6" s="1"/>
  <c r="H298" i="7"/>
  <c r="M209" i="12"/>
  <c r="L209" i="12"/>
  <c r="K209" i="12"/>
  <c r="J209" i="12"/>
  <c r="I209" i="12"/>
  <c r="H209" i="12"/>
  <c r="G209" i="12"/>
  <c r="F209" i="12"/>
  <c r="E209" i="12"/>
  <c r="D209" i="12"/>
  <c r="N193" i="12"/>
  <c r="B309" i="7" s="1"/>
  <c r="F309" i="7" s="1"/>
  <c r="D309" i="7" s="1"/>
  <c r="N185" i="12"/>
  <c r="N179" i="12"/>
  <c r="B295" i="7" s="1"/>
  <c r="F295" i="7" s="1"/>
  <c r="N178" i="12"/>
  <c r="B294" i="7" s="1"/>
  <c r="J294" i="7" s="1"/>
  <c r="M209" i="11"/>
  <c r="L209" i="11"/>
  <c r="K209" i="11"/>
  <c r="J209" i="11"/>
  <c r="I209" i="11"/>
  <c r="H209" i="11"/>
  <c r="G209" i="11"/>
  <c r="F209" i="11"/>
  <c r="E209" i="11"/>
  <c r="D209" i="11"/>
  <c r="N193" i="11"/>
  <c r="N185" i="11"/>
  <c r="B301" i="8" s="1"/>
  <c r="F301" i="8" s="1"/>
  <c r="D301" i="8" s="1"/>
  <c r="N179" i="11"/>
  <c r="B295" i="8"/>
  <c r="I295" i="8" s="1"/>
  <c r="N178" i="11"/>
  <c r="B294" i="8" s="1"/>
  <c r="K294" i="8" s="1"/>
  <c r="N205" i="10"/>
  <c r="B321" i="9" s="1"/>
  <c r="F321" i="9" s="1"/>
  <c r="N207" i="10"/>
  <c r="B323" i="9" s="1"/>
  <c r="N202" i="10"/>
  <c r="B318" i="9" s="1"/>
  <c r="N201" i="10"/>
  <c r="B317" i="9" s="1"/>
  <c r="K317" i="9" s="1"/>
  <c r="N200" i="10"/>
  <c r="N199" i="10"/>
  <c r="B315" i="9" s="1"/>
  <c r="J315" i="9" s="1"/>
  <c r="N198" i="10"/>
  <c r="B314" i="9" s="1"/>
  <c r="N197" i="10"/>
  <c r="B313" i="9" s="1"/>
  <c r="J313" i="9" s="1"/>
  <c r="N196" i="10"/>
  <c r="B312" i="9" s="1"/>
  <c r="N195" i="10"/>
  <c r="B311" i="9" s="1"/>
  <c r="N194" i="10"/>
  <c r="B310" i="9" s="1"/>
  <c r="N193" i="10"/>
  <c r="B309" i="9" s="1"/>
  <c r="J309" i="9" s="1"/>
  <c r="N179" i="10"/>
  <c r="B295" i="9" s="1"/>
  <c r="N178" i="10"/>
  <c r="B294" i="9" s="1"/>
  <c r="L367" i="1"/>
  <c r="M367" i="1" s="1"/>
  <c r="H367" i="1"/>
  <c r="D367" i="1"/>
  <c r="I360" i="1"/>
  <c r="K350" i="1"/>
  <c r="J350" i="1"/>
  <c r="H333" i="1"/>
  <c r="L400" i="1"/>
  <c r="L361" i="2"/>
  <c r="L354" i="6"/>
  <c r="M342" i="9"/>
  <c r="B347" i="4"/>
  <c r="K347" i="4" s="1"/>
  <c r="B346" i="4"/>
  <c r="B345" i="3"/>
  <c r="J345" i="3" s="1"/>
  <c r="B346" i="7"/>
  <c r="B346" i="8"/>
  <c r="J346" i="8" s="1"/>
  <c r="B345" i="8"/>
  <c r="F345" i="8" s="1"/>
  <c r="H345" i="8" s="1"/>
  <c r="D360" i="4"/>
  <c r="D343" i="4"/>
  <c r="D341" i="3"/>
  <c r="D398" i="1"/>
  <c r="D381" i="1"/>
  <c r="B360" i="2"/>
  <c r="J360" i="2" s="1"/>
  <c r="B346" i="2"/>
  <c r="B345" i="2"/>
  <c r="I401" i="1"/>
  <c r="I361" i="3"/>
  <c r="I363" i="4"/>
  <c r="I362" i="5"/>
  <c r="I362" i="6"/>
  <c r="D361" i="6"/>
  <c r="F361" i="6"/>
  <c r="H361" i="6" s="1"/>
  <c r="I362" i="7"/>
  <c r="C172" i="16"/>
  <c r="D172" i="16"/>
  <c r="E172" i="16"/>
  <c r="F172" i="16"/>
  <c r="G172" i="16"/>
  <c r="H172" i="16"/>
  <c r="I172" i="16"/>
  <c r="J172" i="16"/>
  <c r="K172" i="16"/>
  <c r="B172" i="16"/>
  <c r="C172" i="17"/>
  <c r="D172" i="17"/>
  <c r="E172" i="17"/>
  <c r="F172" i="17"/>
  <c r="G172" i="17"/>
  <c r="H172" i="17"/>
  <c r="I172" i="17"/>
  <c r="J172" i="17"/>
  <c r="K172" i="17"/>
  <c r="L172" i="17"/>
  <c r="M172" i="17"/>
  <c r="B172" i="17"/>
  <c r="C172" i="15"/>
  <c r="D172" i="15"/>
  <c r="E172" i="15"/>
  <c r="F172" i="15"/>
  <c r="G172" i="15"/>
  <c r="H172" i="15"/>
  <c r="I172" i="15"/>
  <c r="J172" i="15"/>
  <c r="K172" i="15"/>
  <c r="L172" i="15"/>
  <c r="M172" i="15"/>
  <c r="B172" i="15"/>
  <c r="C172" i="14"/>
  <c r="D172" i="14"/>
  <c r="E172" i="14"/>
  <c r="F172" i="14"/>
  <c r="G172" i="14"/>
  <c r="H172" i="14"/>
  <c r="I172" i="14"/>
  <c r="J172" i="14"/>
  <c r="K172" i="14"/>
  <c r="L172" i="14"/>
  <c r="M172" i="14"/>
  <c r="B172" i="14"/>
  <c r="C172" i="13"/>
  <c r="D172" i="13"/>
  <c r="E172" i="13"/>
  <c r="F172" i="13"/>
  <c r="G172" i="13"/>
  <c r="H172" i="13"/>
  <c r="I172" i="13"/>
  <c r="J172" i="13"/>
  <c r="K172" i="13"/>
  <c r="L172" i="13"/>
  <c r="B172" i="13"/>
  <c r="C172" i="12"/>
  <c r="D172" i="12"/>
  <c r="E172" i="12"/>
  <c r="F172" i="12"/>
  <c r="G172" i="12"/>
  <c r="H172" i="12"/>
  <c r="I172" i="12"/>
  <c r="J172" i="12"/>
  <c r="K172" i="12"/>
  <c r="L172" i="12"/>
  <c r="M172" i="12"/>
  <c r="B172" i="12"/>
  <c r="C172" i="11"/>
  <c r="D172" i="11"/>
  <c r="E172" i="11"/>
  <c r="F172" i="11"/>
  <c r="G172" i="11"/>
  <c r="H172" i="11"/>
  <c r="I172" i="11"/>
  <c r="J172" i="11"/>
  <c r="K172" i="11"/>
  <c r="L172" i="11"/>
  <c r="M172" i="11"/>
  <c r="B172" i="11"/>
  <c r="B172" i="10"/>
  <c r="N169" i="16"/>
  <c r="N169" i="17"/>
  <c r="N169" i="14"/>
  <c r="N169" i="13"/>
  <c r="N169" i="12"/>
  <c r="N171" i="16"/>
  <c r="B361" i="2" s="1"/>
  <c r="F361" i="2" s="1"/>
  <c r="H361" i="2" s="1"/>
  <c r="N171" i="17"/>
  <c r="B360" i="3" s="1"/>
  <c r="J360" i="3" s="1"/>
  <c r="N171" i="15"/>
  <c r="B362" i="4" s="1"/>
  <c r="F362" i="4" s="1"/>
  <c r="N171" i="14"/>
  <c r="B361" i="5" s="1"/>
  <c r="F361" i="5" s="1"/>
  <c r="N171" i="13"/>
  <c r="B361" i="6" s="1"/>
  <c r="N171" i="12"/>
  <c r="B361" i="7" s="1"/>
  <c r="F361" i="7" s="1"/>
  <c r="H361" i="7" s="1"/>
  <c r="N171" i="11"/>
  <c r="B361" i="8" s="1"/>
  <c r="F361" i="8" s="1"/>
  <c r="D361" i="8" s="1"/>
  <c r="N171" i="10"/>
  <c r="B361" i="9" s="1"/>
  <c r="C172" i="10"/>
  <c r="D172" i="10"/>
  <c r="E172" i="10"/>
  <c r="F172" i="10"/>
  <c r="G172" i="10"/>
  <c r="H172" i="10"/>
  <c r="I172" i="10"/>
  <c r="J172" i="10"/>
  <c r="K172" i="10"/>
  <c r="N169" i="11"/>
  <c r="N169" i="10"/>
  <c r="N168" i="15"/>
  <c r="N169" i="15"/>
  <c r="C140" i="10"/>
  <c r="D140" i="10"/>
  <c r="E140" i="10"/>
  <c r="F140" i="10"/>
  <c r="G140" i="10"/>
  <c r="H140" i="10"/>
  <c r="I140" i="10"/>
  <c r="J140" i="10"/>
  <c r="K140" i="10"/>
  <c r="L140" i="10"/>
  <c r="M140" i="10"/>
  <c r="B140" i="10"/>
  <c r="N139" i="10"/>
  <c r="C140" i="11"/>
  <c r="D140" i="11"/>
  <c r="E140" i="11"/>
  <c r="F140" i="11"/>
  <c r="G140" i="11"/>
  <c r="H140" i="11"/>
  <c r="I140" i="11"/>
  <c r="J140" i="11"/>
  <c r="K140" i="11"/>
  <c r="L140" i="11"/>
  <c r="M140" i="11"/>
  <c r="B140" i="11"/>
  <c r="N139" i="11"/>
  <c r="C140" i="12"/>
  <c r="D140" i="12"/>
  <c r="E140" i="12"/>
  <c r="F140" i="12"/>
  <c r="G140" i="12"/>
  <c r="H140" i="12"/>
  <c r="I140" i="12"/>
  <c r="J140" i="12"/>
  <c r="K140" i="12"/>
  <c r="L140" i="12"/>
  <c r="M140" i="12"/>
  <c r="B140" i="12"/>
  <c r="N139" i="12"/>
  <c r="N139" i="13"/>
  <c r="N139" i="14"/>
  <c r="B140" i="14"/>
  <c r="C140" i="14"/>
  <c r="D140" i="14"/>
  <c r="E140" i="14"/>
  <c r="F140" i="14"/>
  <c r="G140" i="14"/>
  <c r="H140" i="14"/>
  <c r="I140" i="14"/>
  <c r="J140" i="14"/>
  <c r="K140" i="14"/>
  <c r="L140" i="14"/>
  <c r="M140" i="14"/>
  <c r="C140" i="17"/>
  <c r="D140" i="17"/>
  <c r="E140" i="17"/>
  <c r="F140" i="17"/>
  <c r="G140" i="17"/>
  <c r="H140" i="17"/>
  <c r="I140" i="17"/>
  <c r="J140" i="17"/>
  <c r="K140" i="17"/>
  <c r="L140" i="17"/>
  <c r="M140" i="17"/>
  <c r="B140" i="17"/>
  <c r="N139" i="17"/>
  <c r="N139" i="16"/>
  <c r="C140" i="16"/>
  <c r="D140" i="16"/>
  <c r="E140" i="16"/>
  <c r="F140" i="16"/>
  <c r="G140" i="16"/>
  <c r="H140" i="16"/>
  <c r="I140" i="16"/>
  <c r="J140" i="16"/>
  <c r="L140" i="16"/>
  <c r="M140" i="16"/>
  <c r="B140" i="16"/>
  <c r="N123" i="16"/>
  <c r="C124" i="16"/>
  <c r="D124" i="16"/>
  <c r="E124" i="16"/>
  <c r="F124" i="16"/>
  <c r="G124" i="16"/>
  <c r="H124" i="16"/>
  <c r="I124" i="16"/>
  <c r="J124" i="16"/>
  <c r="L124" i="16"/>
  <c r="M124" i="16"/>
  <c r="B124" i="16"/>
  <c r="N122" i="17"/>
  <c r="N122" i="15"/>
  <c r="B124" i="15"/>
  <c r="N123" i="12"/>
  <c r="C124" i="12"/>
  <c r="D124" i="12"/>
  <c r="E124" i="12"/>
  <c r="F124" i="12"/>
  <c r="G124" i="12"/>
  <c r="H124" i="12"/>
  <c r="I124" i="12"/>
  <c r="J124" i="12"/>
  <c r="K124" i="12"/>
  <c r="L124" i="12"/>
  <c r="M124" i="12"/>
  <c r="B124" i="12"/>
  <c r="N123" i="11"/>
  <c r="C124" i="11"/>
  <c r="D124" i="11"/>
  <c r="E124" i="11"/>
  <c r="F124" i="11"/>
  <c r="G124" i="11"/>
  <c r="H124" i="11"/>
  <c r="I124" i="11"/>
  <c r="J124" i="11"/>
  <c r="K124" i="11"/>
  <c r="L124" i="11"/>
  <c r="M124" i="11"/>
  <c r="B124" i="11"/>
  <c r="N157" i="16"/>
  <c r="N157" i="15"/>
  <c r="N157" i="14"/>
  <c r="N157" i="13"/>
  <c r="L341" i="3"/>
  <c r="M341" i="3" s="1"/>
  <c r="I395" i="3"/>
  <c r="K378" i="3"/>
  <c r="J378" i="3"/>
  <c r="F378" i="3"/>
  <c r="D378" i="3" s="1"/>
  <c r="J377" i="3"/>
  <c r="F377" i="3"/>
  <c r="D377" i="3" s="1"/>
  <c r="B372" i="3"/>
  <c r="K372" i="3" s="1"/>
  <c r="N168" i="16"/>
  <c r="N168" i="17"/>
  <c r="B359" i="3" s="1"/>
  <c r="N170" i="17"/>
  <c r="N170" i="15"/>
  <c r="L358" i="5"/>
  <c r="L360" i="5"/>
  <c r="B360" i="5"/>
  <c r="F360" i="5" s="1"/>
  <c r="N168" i="14"/>
  <c r="B358" i="5" s="1"/>
  <c r="B360" i="6"/>
  <c r="J360" i="6" s="1"/>
  <c r="N168" i="13"/>
  <c r="B358" i="6" s="1"/>
  <c r="K358" i="6" s="1"/>
  <c r="B360" i="8"/>
  <c r="N168" i="12"/>
  <c r="B358" i="7" s="1"/>
  <c r="J358" i="7" s="1"/>
  <c r="N170" i="12"/>
  <c r="B360" i="7" s="1"/>
  <c r="K360" i="7" s="1"/>
  <c r="N168" i="10"/>
  <c r="B358" i="9" s="1"/>
  <c r="K358" i="9" s="1"/>
  <c r="N168" i="11"/>
  <c r="L408" i="1"/>
  <c r="M408" i="1" s="1"/>
  <c r="H408" i="1"/>
  <c r="D408" i="1"/>
  <c r="L398" i="1"/>
  <c r="M398" i="1" s="1"/>
  <c r="K394" i="1"/>
  <c r="J394" i="1"/>
  <c r="F394" i="1"/>
  <c r="D394" i="1" s="1"/>
  <c r="L393" i="1"/>
  <c r="L381" i="1"/>
  <c r="M381" i="1" s="1"/>
  <c r="L380" i="1"/>
  <c r="L379" i="1"/>
  <c r="H379" i="1"/>
  <c r="B341" i="2"/>
  <c r="F341" i="2" s="1"/>
  <c r="L354" i="2"/>
  <c r="K341" i="2"/>
  <c r="L341" i="2" s="1"/>
  <c r="L340" i="2"/>
  <c r="H340" i="2"/>
  <c r="B348" i="3"/>
  <c r="K348" i="3" s="1"/>
  <c r="B350" i="4"/>
  <c r="L360" i="4"/>
  <c r="M360" i="4" s="1"/>
  <c r="H352" i="4"/>
  <c r="D352" i="4"/>
  <c r="H343" i="4"/>
  <c r="B346" i="5"/>
  <c r="F346" i="5" s="1"/>
  <c r="B345" i="5"/>
  <c r="J345" i="5" s="1"/>
  <c r="J347" i="5" s="1"/>
  <c r="L357" i="5"/>
  <c r="L356" i="5"/>
  <c r="L354" i="5"/>
  <c r="M342" i="5"/>
  <c r="D342" i="5"/>
  <c r="K341" i="5"/>
  <c r="L341" i="5" s="1"/>
  <c r="L340" i="5"/>
  <c r="M340" i="5" s="1"/>
  <c r="H340" i="5"/>
  <c r="B346" i="6"/>
  <c r="K346" i="6" s="1"/>
  <c r="B345" i="6"/>
  <c r="I345" i="6" s="1"/>
  <c r="B341" i="6"/>
  <c r="F341" i="6" s="1"/>
  <c r="D341" i="6" s="1"/>
  <c r="K355" i="6"/>
  <c r="J355" i="6"/>
  <c r="F355" i="6"/>
  <c r="L342" i="6"/>
  <c r="M342" i="6" s="1"/>
  <c r="D342" i="6"/>
  <c r="K341" i="6"/>
  <c r="L341" i="6" s="1"/>
  <c r="K340" i="6"/>
  <c r="J340" i="6"/>
  <c r="F340" i="6"/>
  <c r="B341" i="7"/>
  <c r="F341" i="7" s="1"/>
  <c r="H341" i="7" s="1"/>
  <c r="K341" i="7"/>
  <c r="L341" i="7" s="1"/>
  <c r="H340" i="7"/>
  <c r="B341" i="8"/>
  <c r="F341" i="8" s="1"/>
  <c r="D341" i="8" s="1"/>
  <c r="K341" i="8"/>
  <c r="L341" i="8" s="1"/>
  <c r="L340" i="8"/>
  <c r="M340" i="8"/>
  <c r="H340" i="8"/>
  <c r="B346" i="9"/>
  <c r="F346" i="9" s="1"/>
  <c r="H346" i="9" s="1"/>
  <c r="B345" i="9"/>
  <c r="B341" i="9"/>
  <c r="K341" i="9" s="1"/>
  <c r="L341" i="9" s="1"/>
  <c r="D342" i="9"/>
  <c r="H340" i="9"/>
  <c r="N167" i="16"/>
  <c r="B358" i="2" s="1"/>
  <c r="J358" i="2" s="1"/>
  <c r="N166" i="16"/>
  <c r="B356" i="2" s="1"/>
  <c r="K356" i="2" s="1"/>
  <c r="N165" i="16"/>
  <c r="N164" i="16"/>
  <c r="N163" i="16"/>
  <c r="N162" i="16"/>
  <c r="B352" i="2" s="1"/>
  <c r="K352" i="2" s="1"/>
  <c r="N161" i="16"/>
  <c r="B351" i="2" s="1"/>
  <c r="K351" i="2" s="1"/>
  <c r="N160" i="16"/>
  <c r="N159" i="16"/>
  <c r="B349" i="2" s="1"/>
  <c r="L157" i="16"/>
  <c r="K157" i="16"/>
  <c r="J157" i="16"/>
  <c r="I157" i="16"/>
  <c r="H157" i="16"/>
  <c r="G157" i="16"/>
  <c r="F157" i="16"/>
  <c r="E157" i="16"/>
  <c r="D157" i="16"/>
  <c r="C157" i="16"/>
  <c r="B157" i="16"/>
  <c r="M153" i="16"/>
  <c r="L153" i="16"/>
  <c r="K153" i="16"/>
  <c r="J153" i="16"/>
  <c r="I153" i="16"/>
  <c r="H153" i="16"/>
  <c r="G153" i="16"/>
  <c r="F153" i="16"/>
  <c r="E153" i="16"/>
  <c r="D153" i="16"/>
  <c r="C153" i="16"/>
  <c r="B153" i="16"/>
  <c r="N152" i="16"/>
  <c r="B342" i="2" s="1"/>
  <c r="F342" i="2" s="1"/>
  <c r="N150" i="16"/>
  <c r="B340" i="2" s="1"/>
  <c r="N149" i="16"/>
  <c r="B339" i="2" s="1"/>
  <c r="F339" i="2" s="1"/>
  <c r="N148" i="16"/>
  <c r="B338" i="2" s="1"/>
  <c r="I338" i="2" s="1"/>
  <c r="N147" i="16"/>
  <c r="B337" i="2" s="1"/>
  <c r="F337" i="2" s="1"/>
  <c r="D337" i="2" s="1"/>
  <c r="N146" i="16"/>
  <c r="N167" i="17"/>
  <c r="B357" i="3" s="1"/>
  <c r="N166" i="17"/>
  <c r="B356" i="3" s="1"/>
  <c r="F356" i="3" s="1"/>
  <c r="H356" i="3" s="1"/>
  <c r="N165" i="17"/>
  <c r="B355" i="3" s="1"/>
  <c r="K355" i="3" s="1"/>
  <c r="N164" i="17"/>
  <c r="B354" i="3" s="1"/>
  <c r="F354" i="3" s="1"/>
  <c r="D354" i="3" s="1"/>
  <c r="N163" i="17"/>
  <c r="B353" i="3" s="1"/>
  <c r="J353" i="3" s="1"/>
  <c r="N162" i="17"/>
  <c r="N161" i="17"/>
  <c r="B351" i="3" s="1"/>
  <c r="K351" i="3" s="1"/>
  <c r="N160" i="17"/>
  <c r="B350" i="3" s="1"/>
  <c r="F350" i="3" s="1"/>
  <c r="H350" i="3" s="1"/>
  <c r="N159" i="17"/>
  <c r="B349" i="3" s="1"/>
  <c r="J349" i="3" s="1"/>
  <c r="M157" i="17"/>
  <c r="L157" i="17"/>
  <c r="K157" i="17"/>
  <c r="J157" i="17"/>
  <c r="I157" i="17"/>
  <c r="H157" i="17"/>
  <c r="G157" i="17"/>
  <c r="F157" i="17"/>
  <c r="E157" i="17"/>
  <c r="D157" i="17"/>
  <c r="C157" i="17"/>
  <c r="B157" i="17"/>
  <c r="N155" i="17"/>
  <c r="B344" i="3" s="1"/>
  <c r="J344" i="3" s="1"/>
  <c r="M153" i="17"/>
  <c r="L153" i="17"/>
  <c r="K153" i="17"/>
  <c r="J153" i="17"/>
  <c r="I153" i="17"/>
  <c r="H153" i="17"/>
  <c r="G153" i="17"/>
  <c r="F153" i="17"/>
  <c r="E153" i="17"/>
  <c r="D153" i="17"/>
  <c r="C153" i="17"/>
  <c r="B153" i="17"/>
  <c r="N152" i="17"/>
  <c r="N151" i="17"/>
  <c r="B340" i="3" s="1"/>
  <c r="F340" i="3" s="1"/>
  <c r="D340" i="3" s="1"/>
  <c r="N150" i="17"/>
  <c r="N149" i="17"/>
  <c r="B338" i="3" s="1"/>
  <c r="F338" i="3" s="1"/>
  <c r="N148" i="17"/>
  <c r="B337" i="3" s="1"/>
  <c r="J337" i="3" s="1"/>
  <c r="N147" i="17"/>
  <c r="B336" i="3" s="1"/>
  <c r="F336" i="3" s="1"/>
  <c r="D336" i="3" s="1"/>
  <c r="N146" i="17"/>
  <c r="B335" i="3" s="1"/>
  <c r="K335" i="3" s="1"/>
  <c r="B398" i="1"/>
  <c r="N167" i="15"/>
  <c r="B358" i="4" s="1"/>
  <c r="J358" i="4" s="1"/>
  <c r="N166" i="15"/>
  <c r="N165" i="15"/>
  <c r="N164" i="15"/>
  <c r="N163" i="15"/>
  <c r="N162" i="15"/>
  <c r="B354" i="4" s="1"/>
  <c r="K354" i="4" s="1"/>
  <c r="N161" i="15"/>
  <c r="B353" i="4" s="1"/>
  <c r="K353" i="4" s="1"/>
  <c r="N160" i="15"/>
  <c r="B352" i="4" s="1"/>
  <c r="N159" i="15"/>
  <c r="B351" i="4" s="1"/>
  <c r="K351" i="4" s="1"/>
  <c r="M157" i="15"/>
  <c r="L157" i="15"/>
  <c r="K157" i="15"/>
  <c r="J157" i="15"/>
  <c r="I157" i="15"/>
  <c r="H157" i="15"/>
  <c r="G157" i="15"/>
  <c r="F157" i="15"/>
  <c r="E157" i="15"/>
  <c r="D157" i="15"/>
  <c r="C157" i="15"/>
  <c r="B157" i="15"/>
  <c r="M153" i="15"/>
  <c r="L153" i="15"/>
  <c r="K153" i="15"/>
  <c r="J153" i="15"/>
  <c r="I153" i="15"/>
  <c r="H153" i="15"/>
  <c r="G153" i="15"/>
  <c r="F153" i="15"/>
  <c r="E153" i="15"/>
  <c r="D153" i="15"/>
  <c r="C153" i="15"/>
  <c r="B153" i="15"/>
  <c r="N152" i="15"/>
  <c r="N151" i="15"/>
  <c r="B342" i="4" s="1"/>
  <c r="F342" i="4" s="1"/>
  <c r="N150" i="15"/>
  <c r="B341" i="4" s="1"/>
  <c r="K341" i="4" s="1"/>
  <c r="N149" i="15"/>
  <c r="B340" i="4" s="1"/>
  <c r="K340" i="4" s="1"/>
  <c r="N148" i="15"/>
  <c r="B339" i="4" s="1"/>
  <c r="J339" i="4" s="1"/>
  <c r="N147" i="15"/>
  <c r="B338" i="4" s="1"/>
  <c r="K338" i="4" s="1"/>
  <c r="N146" i="15"/>
  <c r="N153" i="15" s="1"/>
  <c r="N167" i="14"/>
  <c r="B357" i="5" s="1"/>
  <c r="N166" i="14"/>
  <c r="B356" i="5" s="1"/>
  <c r="N165" i="14"/>
  <c r="B355" i="5" s="1"/>
  <c r="K355" i="5" s="1"/>
  <c r="N164" i="14"/>
  <c r="B354" i="5" s="1"/>
  <c r="F354" i="5" s="1"/>
  <c r="D354" i="5" s="1"/>
  <c r="N163" i="14"/>
  <c r="B353" i="5" s="1"/>
  <c r="N162" i="14"/>
  <c r="B352" i="5" s="1"/>
  <c r="N161" i="14"/>
  <c r="B351" i="5" s="1"/>
  <c r="N160" i="14"/>
  <c r="B350" i="5" s="1"/>
  <c r="F350" i="5" s="1"/>
  <c r="H350" i="5" s="1"/>
  <c r="N159" i="14"/>
  <c r="M157" i="14"/>
  <c r="L157" i="14"/>
  <c r="K157" i="14"/>
  <c r="J157" i="14"/>
  <c r="I157" i="14"/>
  <c r="H157" i="14"/>
  <c r="G157" i="14"/>
  <c r="F157" i="14"/>
  <c r="E157" i="14"/>
  <c r="D157" i="14"/>
  <c r="C157" i="14"/>
  <c r="B157" i="14"/>
  <c r="M153" i="14"/>
  <c r="L153" i="14"/>
  <c r="K153" i="14"/>
  <c r="J153" i="14"/>
  <c r="I153" i="14"/>
  <c r="H153" i="14"/>
  <c r="G153" i="14"/>
  <c r="F153" i="14"/>
  <c r="E153" i="14"/>
  <c r="D153" i="14"/>
  <c r="C153" i="14"/>
  <c r="B153" i="14"/>
  <c r="N152" i="14"/>
  <c r="N148" i="14"/>
  <c r="B338" i="5" s="1"/>
  <c r="I338" i="5" s="1"/>
  <c r="N147" i="14"/>
  <c r="B337" i="5" s="1"/>
  <c r="K337" i="5" s="1"/>
  <c r="N146" i="14"/>
  <c r="N167" i="13"/>
  <c r="B357" i="6" s="1"/>
  <c r="J357" i="6" s="1"/>
  <c r="N166" i="13"/>
  <c r="B356" i="6" s="1"/>
  <c r="N165" i="13"/>
  <c r="B355" i="6" s="1"/>
  <c r="N164" i="13"/>
  <c r="B354" i="6" s="1"/>
  <c r="F354" i="6" s="1"/>
  <c r="N163" i="13"/>
  <c r="B353" i="6" s="1"/>
  <c r="N162" i="13"/>
  <c r="B352" i="6" s="1"/>
  <c r="F352" i="6" s="1"/>
  <c r="H352" i="6" s="1"/>
  <c r="N161" i="13"/>
  <c r="B351" i="6" s="1"/>
  <c r="N160" i="13"/>
  <c r="B350" i="6" s="1"/>
  <c r="N159" i="13"/>
  <c r="L153" i="13"/>
  <c r="K153" i="13"/>
  <c r="J153" i="13"/>
  <c r="I153" i="13"/>
  <c r="H153" i="13"/>
  <c r="G153" i="13"/>
  <c r="F153" i="13"/>
  <c r="E153" i="13"/>
  <c r="D153" i="13"/>
  <c r="C153" i="13"/>
  <c r="B153" i="13"/>
  <c r="N152" i="13"/>
  <c r="N150" i="13"/>
  <c r="B340" i="6" s="1"/>
  <c r="N149" i="13"/>
  <c r="B339" i="6" s="1"/>
  <c r="J339" i="6" s="1"/>
  <c r="N148" i="13"/>
  <c r="B338" i="6" s="1"/>
  <c r="I338" i="6" s="1"/>
  <c r="N147" i="13"/>
  <c r="N153" i="13" s="1"/>
  <c r="N146" i="13"/>
  <c r="B336" i="6" s="1"/>
  <c r="K336" i="6" s="1"/>
  <c r="N167" i="12"/>
  <c r="B357" i="7" s="1"/>
  <c r="J357" i="7" s="1"/>
  <c r="N166" i="12"/>
  <c r="B356" i="7" s="1"/>
  <c r="J356" i="7" s="1"/>
  <c r="N165" i="12"/>
  <c r="B355" i="7" s="1"/>
  <c r="N164" i="12"/>
  <c r="B354" i="7" s="1"/>
  <c r="F354" i="7" s="1"/>
  <c r="N163" i="12"/>
  <c r="B353" i="7" s="1"/>
  <c r="F353" i="7" s="1"/>
  <c r="D353" i="7" s="1"/>
  <c r="N162" i="12"/>
  <c r="N161" i="12"/>
  <c r="B351" i="7" s="1"/>
  <c r="F351" i="7" s="1"/>
  <c r="N160" i="12"/>
  <c r="B350" i="7" s="1"/>
  <c r="J350" i="7" s="1"/>
  <c r="N159" i="12"/>
  <c r="B349" i="7" s="1"/>
  <c r="K349" i="7" s="1"/>
  <c r="M157" i="12"/>
  <c r="L157" i="12"/>
  <c r="K157" i="12"/>
  <c r="J157" i="12"/>
  <c r="I157" i="12"/>
  <c r="H157" i="12"/>
  <c r="G157" i="12"/>
  <c r="F157" i="12"/>
  <c r="E157" i="12"/>
  <c r="D157" i="12"/>
  <c r="C157" i="12"/>
  <c r="B157" i="12"/>
  <c r="N155" i="12"/>
  <c r="B345" i="7" s="1"/>
  <c r="B347" i="7" s="1"/>
  <c r="M153" i="12"/>
  <c r="L153" i="12"/>
  <c r="K153" i="12"/>
  <c r="J153" i="12"/>
  <c r="I153" i="12"/>
  <c r="H153" i="12"/>
  <c r="G153" i="12"/>
  <c r="F153" i="12"/>
  <c r="E153" i="12"/>
  <c r="D153" i="12"/>
  <c r="C153" i="12"/>
  <c r="B153" i="12"/>
  <c r="N152" i="12"/>
  <c r="B342" i="7"/>
  <c r="F342" i="7" s="1"/>
  <c r="D342" i="7" s="1"/>
  <c r="N150" i="12"/>
  <c r="B340" i="7" s="1"/>
  <c r="N149" i="12"/>
  <c r="B339" i="7" s="1"/>
  <c r="K339" i="7" s="1"/>
  <c r="N148" i="12"/>
  <c r="B338" i="7" s="1"/>
  <c r="I338" i="7" s="1"/>
  <c r="N147" i="12"/>
  <c r="N146" i="12"/>
  <c r="B336" i="7" s="1"/>
  <c r="N167" i="11"/>
  <c r="B357" i="8" s="1"/>
  <c r="J357" i="8" s="1"/>
  <c r="N166" i="11"/>
  <c r="B356" i="8" s="1"/>
  <c r="J356" i="8" s="1"/>
  <c r="N165" i="11"/>
  <c r="B355" i="8" s="1"/>
  <c r="K355" i="8" s="1"/>
  <c r="N164" i="11"/>
  <c r="B354" i="8" s="1"/>
  <c r="N163" i="11"/>
  <c r="B353" i="8" s="1"/>
  <c r="J353" i="8" s="1"/>
  <c r="N162" i="11"/>
  <c r="B352" i="8" s="1"/>
  <c r="K352" i="8" s="1"/>
  <c r="N161" i="11"/>
  <c r="B351" i="8" s="1"/>
  <c r="F351" i="8" s="1"/>
  <c r="N160" i="11"/>
  <c r="B350" i="8" s="1"/>
  <c r="F350" i="8" s="1"/>
  <c r="N159" i="11"/>
  <c r="M157" i="11"/>
  <c r="L157" i="11"/>
  <c r="K157" i="11"/>
  <c r="J157" i="11"/>
  <c r="I157" i="11"/>
  <c r="H157" i="11"/>
  <c r="G157" i="11"/>
  <c r="F157" i="11"/>
  <c r="E157" i="11"/>
  <c r="D157" i="11"/>
  <c r="C157" i="11"/>
  <c r="B157" i="11"/>
  <c r="N152" i="11"/>
  <c r="B342" i="8"/>
  <c r="F342" i="8" s="1"/>
  <c r="N150" i="11"/>
  <c r="B340" i="8" s="1"/>
  <c r="N149" i="11"/>
  <c r="B339" i="8" s="1"/>
  <c r="F339" i="8" s="1"/>
  <c r="D339" i="8" s="1"/>
  <c r="N148" i="11"/>
  <c r="B338" i="8" s="1"/>
  <c r="K338" i="8" s="1"/>
  <c r="N147" i="11"/>
  <c r="B337" i="8" s="1"/>
  <c r="I337" i="8" s="1"/>
  <c r="N146" i="11"/>
  <c r="N167" i="10"/>
  <c r="B357" i="9" s="1"/>
  <c r="K357" i="9" s="1"/>
  <c r="N166" i="10"/>
  <c r="B356" i="9" s="1"/>
  <c r="N165" i="10"/>
  <c r="B355" i="9" s="1"/>
  <c r="K355" i="9" s="1"/>
  <c r="N164" i="10"/>
  <c r="B354" i="9" s="1"/>
  <c r="F354" i="9" s="1"/>
  <c r="N163" i="10"/>
  <c r="B353" i="9" s="1"/>
  <c r="K353" i="9" s="1"/>
  <c r="N162" i="10"/>
  <c r="B352" i="9"/>
  <c r="K352" i="9" s="1"/>
  <c r="N161" i="10"/>
  <c r="B351" i="9" s="1"/>
  <c r="N160" i="10"/>
  <c r="N159" i="10"/>
  <c r="B349" i="9"/>
  <c r="F349" i="9" s="1"/>
  <c r="H349" i="9" s="1"/>
  <c r="M157" i="10"/>
  <c r="L157" i="10"/>
  <c r="K157" i="10"/>
  <c r="J157" i="10"/>
  <c r="I157" i="10"/>
  <c r="H157" i="10"/>
  <c r="G157" i="10"/>
  <c r="F157" i="10"/>
  <c r="E157" i="10"/>
  <c r="D157" i="10"/>
  <c r="C157" i="10"/>
  <c r="B157" i="10"/>
  <c r="M153" i="10"/>
  <c r="K153" i="10"/>
  <c r="J153" i="10"/>
  <c r="I153" i="10"/>
  <c r="H153" i="10"/>
  <c r="G153" i="10"/>
  <c r="F153" i="10"/>
  <c r="E153" i="10"/>
  <c r="D153" i="10"/>
  <c r="C153" i="10"/>
  <c r="B153" i="10"/>
  <c r="N152" i="10"/>
  <c r="N150" i="10"/>
  <c r="B340" i="9" s="1"/>
  <c r="N149" i="10"/>
  <c r="N148" i="10"/>
  <c r="N147" i="10"/>
  <c r="B337" i="9" s="1"/>
  <c r="K337" i="9" s="1"/>
  <c r="N146" i="10"/>
  <c r="B336" i="9" s="1"/>
  <c r="K336" i="9" s="1"/>
  <c r="L336" i="9" s="1"/>
  <c r="M336" i="9" s="1"/>
  <c r="H447" i="1"/>
  <c r="L439" i="1"/>
  <c r="M439" i="1" s="1"/>
  <c r="D439" i="1"/>
  <c r="L434" i="1"/>
  <c r="L423" i="1"/>
  <c r="M423" i="1" s="1"/>
  <c r="D423" i="1"/>
  <c r="K378" i="2"/>
  <c r="L378" i="2" s="1"/>
  <c r="K377" i="5"/>
  <c r="L377" i="5" s="1"/>
  <c r="K378" i="6"/>
  <c r="L378" i="6" s="1"/>
  <c r="K378" i="7"/>
  <c r="L378" i="7" s="1"/>
  <c r="K378" i="8"/>
  <c r="L378" i="8" s="1"/>
  <c r="K378" i="9"/>
  <c r="L378" i="9" s="1"/>
  <c r="L422" i="1"/>
  <c r="K421" i="1"/>
  <c r="J421" i="1"/>
  <c r="K387" i="2"/>
  <c r="J387" i="2"/>
  <c r="L387" i="2" s="1"/>
  <c r="L390" i="2"/>
  <c r="K377" i="2"/>
  <c r="J377" i="2"/>
  <c r="F377" i="2"/>
  <c r="L340" i="3"/>
  <c r="L395" i="4"/>
  <c r="M395" i="4" s="1"/>
  <c r="D395" i="4"/>
  <c r="L379" i="4"/>
  <c r="M379" i="4" s="1"/>
  <c r="D379" i="4"/>
  <c r="H379" i="4"/>
  <c r="K378" i="4"/>
  <c r="J378" i="4"/>
  <c r="F378" i="4"/>
  <c r="L389" i="5"/>
  <c r="L378" i="5"/>
  <c r="M378" i="5" s="1"/>
  <c r="D378" i="5"/>
  <c r="K377" i="9"/>
  <c r="J377" i="9"/>
  <c r="K377" i="8"/>
  <c r="J377" i="8"/>
  <c r="K376" i="5"/>
  <c r="J376" i="5"/>
  <c r="F376" i="5"/>
  <c r="D376" i="5" s="1"/>
  <c r="L379" i="6"/>
  <c r="M379" i="6" s="1"/>
  <c r="D379" i="6"/>
  <c r="F377" i="8"/>
  <c r="F377" i="9"/>
  <c r="D379" i="9"/>
  <c r="I440" i="1"/>
  <c r="B439" i="1"/>
  <c r="N122" i="16"/>
  <c r="B378" i="2" s="1"/>
  <c r="F378" i="2" s="1"/>
  <c r="N123" i="17"/>
  <c r="C124" i="17"/>
  <c r="D124" i="17"/>
  <c r="E124" i="17"/>
  <c r="F124" i="17"/>
  <c r="G124" i="17"/>
  <c r="H124" i="17"/>
  <c r="I124" i="17"/>
  <c r="J124" i="17"/>
  <c r="K124" i="17"/>
  <c r="L124" i="17"/>
  <c r="M124" i="17"/>
  <c r="B124" i="17"/>
  <c r="N122" i="14"/>
  <c r="N123" i="14"/>
  <c r="B378" i="5" s="1"/>
  <c r="N122" i="13"/>
  <c r="B378" i="6" s="1"/>
  <c r="F378" i="6" s="1"/>
  <c r="N123" i="13"/>
  <c r="N122" i="12"/>
  <c r="B378" i="7" s="1"/>
  <c r="F378" i="7" s="1"/>
  <c r="N122" i="11"/>
  <c r="B378" i="8" s="1"/>
  <c r="F378" i="8" s="1"/>
  <c r="D378" i="8" s="1"/>
  <c r="N122" i="10"/>
  <c r="B378" i="9" s="1"/>
  <c r="F378" i="9" s="1"/>
  <c r="N123" i="10"/>
  <c r="B379" i="9" s="1"/>
  <c r="I396" i="4"/>
  <c r="C140" i="15"/>
  <c r="D140" i="15"/>
  <c r="E140" i="15"/>
  <c r="F140" i="15"/>
  <c r="G140" i="15"/>
  <c r="H140" i="15"/>
  <c r="I140" i="15"/>
  <c r="J140" i="15"/>
  <c r="K140" i="15"/>
  <c r="L140" i="15"/>
  <c r="M140" i="15"/>
  <c r="B140" i="15"/>
  <c r="N139" i="15"/>
  <c r="N123" i="15"/>
  <c r="B379" i="4" s="1"/>
  <c r="C124" i="15"/>
  <c r="D124" i="15"/>
  <c r="E124" i="15"/>
  <c r="F124" i="15"/>
  <c r="G124" i="15"/>
  <c r="H124" i="15"/>
  <c r="I124" i="15"/>
  <c r="J124" i="15"/>
  <c r="K124" i="15"/>
  <c r="L124" i="15"/>
  <c r="M124" i="15"/>
  <c r="C124" i="14"/>
  <c r="D124" i="14"/>
  <c r="E124" i="14"/>
  <c r="F124" i="14"/>
  <c r="G124" i="14"/>
  <c r="H124" i="14"/>
  <c r="I124" i="14"/>
  <c r="J124" i="14"/>
  <c r="K124" i="14"/>
  <c r="L124" i="14"/>
  <c r="M124" i="14"/>
  <c r="B124" i="14"/>
  <c r="C124" i="13"/>
  <c r="D124" i="13"/>
  <c r="E124" i="13"/>
  <c r="F124" i="13"/>
  <c r="G124" i="13"/>
  <c r="H124" i="13"/>
  <c r="I124" i="13"/>
  <c r="J124" i="13"/>
  <c r="K124" i="13"/>
  <c r="L124" i="13"/>
  <c r="M124" i="13"/>
  <c r="B124" i="13"/>
  <c r="L379" i="9"/>
  <c r="M379" i="9" s="1"/>
  <c r="C124" i="10"/>
  <c r="D124" i="10"/>
  <c r="E124" i="10"/>
  <c r="F124" i="10"/>
  <c r="G124" i="10"/>
  <c r="H124" i="10"/>
  <c r="I124" i="10"/>
  <c r="J124" i="10"/>
  <c r="K124" i="10"/>
  <c r="L124" i="10"/>
  <c r="M124" i="10"/>
  <c r="B124" i="10"/>
  <c r="D447" i="1"/>
  <c r="K435" i="1"/>
  <c r="J435" i="1"/>
  <c r="F435" i="1"/>
  <c r="F421" i="1"/>
  <c r="D421" i="1" s="1"/>
  <c r="I396" i="2"/>
  <c r="M339" i="3"/>
  <c r="M377" i="4"/>
  <c r="I395" i="5"/>
  <c r="L393" i="5"/>
  <c r="L392" i="5"/>
  <c r="L391" i="5"/>
  <c r="I396" i="6"/>
  <c r="K391" i="6"/>
  <c r="J391" i="6"/>
  <c r="F391" i="6"/>
  <c r="K377" i="6"/>
  <c r="J377" i="6"/>
  <c r="F377" i="6"/>
  <c r="D377" i="6" s="1"/>
  <c r="I396" i="7"/>
  <c r="H377" i="7"/>
  <c r="I396" i="8"/>
  <c r="I396" i="9"/>
  <c r="N138" i="16"/>
  <c r="B394" i="2" s="1"/>
  <c r="F394" i="2" s="1"/>
  <c r="N137" i="16"/>
  <c r="B393" i="2" s="1"/>
  <c r="K393" i="2" s="1"/>
  <c r="N136" i="16"/>
  <c r="B392" i="2" s="1"/>
  <c r="N135" i="16"/>
  <c r="B391" i="2" s="1"/>
  <c r="N134" i="16"/>
  <c r="B390" i="2" s="1"/>
  <c r="F390" i="2" s="1"/>
  <c r="D390" i="2" s="1"/>
  <c r="N133" i="16"/>
  <c r="B389" i="2" s="1"/>
  <c r="K389" i="2" s="1"/>
  <c r="N132" i="16"/>
  <c r="B388" i="2" s="1"/>
  <c r="N131" i="16"/>
  <c r="N130" i="16"/>
  <c r="B386" i="2" s="1"/>
  <c r="K386" i="2" s="1"/>
  <c r="J316" i="2"/>
  <c r="N129" i="16"/>
  <c r="B385" i="2" s="1"/>
  <c r="F385" i="2" s="1"/>
  <c r="D385" i="2" s="1"/>
  <c r="M127" i="16"/>
  <c r="L127" i="16"/>
  <c r="K127" i="16"/>
  <c r="J127" i="16"/>
  <c r="I127" i="16"/>
  <c r="H127" i="16"/>
  <c r="G127" i="16"/>
  <c r="F127" i="16"/>
  <c r="E127" i="16"/>
  <c r="D127" i="16"/>
  <c r="C127" i="16"/>
  <c r="B127" i="16"/>
  <c r="N126" i="16"/>
  <c r="B382" i="2" s="1"/>
  <c r="I382" i="2" s="1"/>
  <c r="N121" i="16"/>
  <c r="N120" i="16"/>
  <c r="B376" i="2" s="1"/>
  <c r="K376" i="2" s="1"/>
  <c r="N119" i="16"/>
  <c r="B375" i="2" s="1"/>
  <c r="F375" i="2" s="1"/>
  <c r="N118" i="16"/>
  <c r="B374" i="2" s="1"/>
  <c r="N117" i="16"/>
  <c r="B373" i="2" s="1"/>
  <c r="F373" i="2" s="1"/>
  <c r="H373" i="2" s="1"/>
  <c r="N138" i="17"/>
  <c r="B393" i="3" s="1"/>
  <c r="J393" i="3" s="1"/>
  <c r="N137" i="17"/>
  <c r="N136" i="17"/>
  <c r="B391" i="3" s="1"/>
  <c r="K391" i="3" s="1"/>
  <c r="N135" i="17"/>
  <c r="B390" i="3" s="1"/>
  <c r="N134" i="17"/>
  <c r="B389" i="3" s="1"/>
  <c r="K389" i="3" s="1"/>
  <c r="N133" i="17"/>
  <c r="N132" i="17"/>
  <c r="B387" i="3" s="1"/>
  <c r="F387" i="3" s="1"/>
  <c r="N131" i="17"/>
  <c r="B386" i="3" s="1"/>
  <c r="K386" i="3" s="1"/>
  <c r="N130" i="17"/>
  <c r="B385" i="3" s="1"/>
  <c r="N129" i="17"/>
  <c r="M127" i="17"/>
  <c r="L127" i="17"/>
  <c r="K127" i="17"/>
  <c r="J127" i="17"/>
  <c r="I127" i="17"/>
  <c r="H127" i="17"/>
  <c r="G127" i="17"/>
  <c r="F127" i="17"/>
  <c r="E127" i="17"/>
  <c r="D127" i="17"/>
  <c r="C127" i="17"/>
  <c r="B127" i="17"/>
  <c r="N126" i="17"/>
  <c r="B382" i="3" s="1"/>
  <c r="F382" i="3" s="1"/>
  <c r="N121" i="17"/>
  <c r="B377" i="3" s="1"/>
  <c r="K377" i="3" s="1"/>
  <c r="N120" i="17"/>
  <c r="B376" i="3" s="1"/>
  <c r="K376" i="3" s="1"/>
  <c r="N119" i="17"/>
  <c r="B375" i="3" s="1"/>
  <c r="N118" i="17"/>
  <c r="B374" i="3" s="1"/>
  <c r="K374" i="3" s="1"/>
  <c r="N117" i="17"/>
  <c r="B373" i="3" s="1"/>
  <c r="J373" i="3" s="1"/>
  <c r="N138" i="15"/>
  <c r="B394" i="4" s="1"/>
  <c r="N137" i="15"/>
  <c r="N136" i="15"/>
  <c r="B392" i="4" s="1"/>
  <c r="N135" i="15"/>
  <c r="B391" i="4" s="1"/>
  <c r="F391" i="4" s="1"/>
  <c r="N134" i="15"/>
  <c r="B390" i="4" s="1"/>
  <c r="N133" i="15"/>
  <c r="B389" i="4" s="1"/>
  <c r="F389" i="4" s="1"/>
  <c r="N132" i="15"/>
  <c r="B388" i="4" s="1"/>
  <c r="N131" i="15"/>
  <c r="B387" i="4" s="1"/>
  <c r="K387" i="4" s="1"/>
  <c r="N130" i="15"/>
  <c r="B386" i="4" s="1"/>
  <c r="K386" i="4" s="1"/>
  <c r="N129" i="15"/>
  <c r="B385" i="4" s="1"/>
  <c r="F385" i="4" s="1"/>
  <c r="D385" i="4" s="1"/>
  <c r="M127" i="15"/>
  <c r="L127" i="15"/>
  <c r="K127" i="15"/>
  <c r="J127" i="15"/>
  <c r="I127" i="15"/>
  <c r="H127" i="15"/>
  <c r="G127" i="15"/>
  <c r="F127" i="15"/>
  <c r="E127" i="15"/>
  <c r="D127" i="15"/>
  <c r="C127" i="15"/>
  <c r="B127" i="15"/>
  <c r="N126" i="15"/>
  <c r="N121" i="15"/>
  <c r="N120" i="15"/>
  <c r="B377" i="4" s="1"/>
  <c r="F377" i="4" s="1"/>
  <c r="D377" i="4" s="1"/>
  <c r="N119" i="15"/>
  <c r="B376" i="4" s="1"/>
  <c r="N118" i="15"/>
  <c r="B375" i="4" s="1"/>
  <c r="F375" i="4" s="1"/>
  <c r="D375" i="4" s="1"/>
  <c r="N117" i="15"/>
  <c r="N138" i="14"/>
  <c r="B393" i="5" s="1"/>
  <c r="F393" i="5" s="1"/>
  <c r="H393" i="5" s="1"/>
  <c r="N137" i="14"/>
  <c r="B392" i="5" s="1"/>
  <c r="K392" i="5" s="1"/>
  <c r="N136" i="14"/>
  <c r="N135" i="14"/>
  <c r="B390" i="5" s="1"/>
  <c r="N134" i="14"/>
  <c r="B389" i="5" s="1"/>
  <c r="F389" i="5" s="1"/>
  <c r="H389" i="5" s="1"/>
  <c r="N133" i="14"/>
  <c r="B388" i="5" s="1"/>
  <c r="J388" i="5" s="1"/>
  <c r="N132" i="14"/>
  <c r="B387" i="5" s="1"/>
  <c r="K387" i="5" s="1"/>
  <c r="N131" i="14"/>
  <c r="B386" i="5" s="1"/>
  <c r="N130" i="14"/>
  <c r="N129" i="14"/>
  <c r="B384" i="5" s="1"/>
  <c r="M127" i="14"/>
  <c r="L127" i="14"/>
  <c r="K127" i="14"/>
  <c r="J127" i="14"/>
  <c r="I127" i="14"/>
  <c r="H127" i="14"/>
  <c r="G127" i="14"/>
  <c r="F127" i="14"/>
  <c r="E127" i="14"/>
  <c r="D127" i="14"/>
  <c r="C127" i="14"/>
  <c r="B127" i="14"/>
  <c r="N126" i="14"/>
  <c r="N121" i="14"/>
  <c r="N120" i="14"/>
  <c r="B375" i="5" s="1"/>
  <c r="N119" i="14"/>
  <c r="B374" i="5" s="1"/>
  <c r="N118" i="14"/>
  <c r="B373" i="5" s="1"/>
  <c r="I373" i="5" s="1"/>
  <c r="N117" i="14"/>
  <c r="B372" i="5" s="1"/>
  <c r="K372" i="5" s="1"/>
  <c r="N138" i="13"/>
  <c r="N137" i="13"/>
  <c r="N136" i="13"/>
  <c r="B392" i="6" s="1"/>
  <c r="F392" i="6" s="1"/>
  <c r="H392" i="6" s="1"/>
  <c r="N135" i="13"/>
  <c r="B391" i="6" s="1"/>
  <c r="N134" i="13"/>
  <c r="B390" i="6" s="1"/>
  <c r="N133" i="13"/>
  <c r="B389" i="6" s="1"/>
  <c r="N132" i="13"/>
  <c r="N131" i="13"/>
  <c r="B387" i="6" s="1"/>
  <c r="J387" i="6" s="1"/>
  <c r="N130" i="13"/>
  <c r="B386" i="6" s="1"/>
  <c r="K386" i="6" s="1"/>
  <c r="N129" i="13"/>
  <c r="B385" i="6" s="1"/>
  <c r="M127" i="13"/>
  <c r="L127" i="13"/>
  <c r="K127" i="13"/>
  <c r="J127" i="13"/>
  <c r="I127" i="13"/>
  <c r="G127" i="13"/>
  <c r="F127" i="13"/>
  <c r="E127" i="13"/>
  <c r="D127" i="13"/>
  <c r="C127" i="13"/>
  <c r="B127" i="13"/>
  <c r="N121" i="13"/>
  <c r="B377" i="6" s="1"/>
  <c r="N120" i="13"/>
  <c r="B376" i="6" s="1"/>
  <c r="K376" i="6" s="1"/>
  <c r="N119" i="13"/>
  <c r="B375" i="6" s="1"/>
  <c r="K375" i="6" s="1"/>
  <c r="N118" i="13"/>
  <c r="B374" i="6" s="1"/>
  <c r="N117" i="13"/>
  <c r="B373" i="6" s="1"/>
  <c r="N138" i="12"/>
  <c r="B394" i="7" s="1"/>
  <c r="F394" i="7" s="1"/>
  <c r="N137" i="12"/>
  <c r="B393" i="7" s="1"/>
  <c r="K393" i="7" s="1"/>
  <c r="N136" i="12"/>
  <c r="B392" i="7" s="1"/>
  <c r="K392" i="7" s="1"/>
  <c r="N135" i="12"/>
  <c r="B391" i="7" s="1"/>
  <c r="J391" i="7" s="1"/>
  <c r="N134" i="12"/>
  <c r="B390" i="7" s="1"/>
  <c r="F390" i="7" s="1"/>
  <c r="N133" i="12"/>
  <c r="B389" i="7" s="1"/>
  <c r="F389" i="7" s="1"/>
  <c r="D389" i="7" s="1"/>
  <c r="N132" i="12"/>
  <c r="B388" i="7" s="1"/>
  <c r="N131" i="12"/>
  <c r="N140" i="12" s="1"/>
  <c r="B387" i="7"/>
  <c r="F387" i="7" s="1"/>
  <c r="N130" i="12"/>
  <c r="B386" i="7" s="1"/>
  <c r="F386" i="7" s="1"/>
  <c r="D386" i="7" s="1"/>
  <c r="N129" i="12"/>
  <c r="B385" i="7" s="1"/>
  <c r="M127" i="12"/>
  <c r="L127" i="12"/>
  <c r="K127" i="12"/>
  <c r="J127" i="12"/>
  <c r="I127" i="12"/>
  <c r="H127" i="12"/>
  <c r="G127" i="12"/>
  <c r="F127" i="12"/>
  <c r="E127" i="12"/>
  <c r="D127" i="12"/>
  <c r="C127" i="12"/>
  <c r="B127" i="12"/>
  <c r="N126" i="12"/>
  <c r="N121" i="12"/>
  <c r="B377" i="7" s="1"/>
  <c r="N120" i="12"/>
  <c r="B376" i="7" s="1"/>
  <c r="N119" i="12"/>
  <c r="B375" i="7" s="1"/>
  <c r="K375" i="7" s="1"/>
  <c r="N118" i="12"/>
  <c r="B374" i="7" s="1"/>
  <c r="K374" i="7" s="1"/>
  <c r="N117" i="12"/>
  <c r="B373" i="7" s="1"/>
  <c r="N138" i="11"/>
  <c r="B394" i="8" s="1"/>
  <c r="N137" i="11"/>
  <c r="B393" i="8" s="1"/>
  <c r="F393" i="8" s="1"/>
  <c r="N136" i="11"/>
  <c r="B392" i="8" s="1"/>
  <c r="F392" i="8" s="1"/>
  <c r="N135" i="11"/>
  <c r="B391" i="8" s="1"/>
  <c r="N134" i="11"/>
  <c r="B390" i="8" s="1"/>
  <c r="K390" i="8" s="1"/>
  <c r="N133" i="11"/>
  <c r="B389" i="8" s="1"/>
  <c r="F389" i="8" s="1"/>
  <c r="H389" i="8" s="1"/>
  <c r="N132" i="11"/>
  <c r="N131" i="11"/>
  <c r="B387" i="8" s="1"/>
  <c r="J387" i="8" s="1"/>
  <c r="N130" i="11"/>
  <c r="B386" i="8" s="1"/>
  <c r="K386" i="8" s="1"/>
  <c r="N129" i="11"/>
  <c r="B385" i="8" s="1"/>
  <c r="F385" i="8" s="1"/>
  <c r="M127" i="11"/>
  <c r="L127" i="11"/>
  <c r="K127" i="11"/>
  <c r="J127" i="11"/>
  <c r="I127" i="11"/>
  <c r="H127" i="11"/>
  <c r="G127" i="11"/>
  <c r="F127" i="11"/>
  <c r="E127" i="11"/>
  <c r="D127" i="11"/>
  <c r="C127" i="11"/>
  <c r="B127" i="11"/>
  <c r="N126" i="11"/>
  <c r="N121" i="11"/>
  <c r="N120" i="11"/>
  <c r="B376" i="8" s="1"/>
  <c r="N119" i="11"/>
  <c r="B375" i="8" s="1"/>
  <c r="N118" i="11"/>
  <c r="B374" i="8"/>
  <c r="F374" i="8" s="1"/>
  <c r="H374" i="8" s="1"/>
  <c r="N117" i="11"/>
  <c r="N138" i="10"/>
  <c r="B394" i="9" s="1"/>
  <c r="N137" i="10"/>
  <c r="B393" i="9" s="1"/>
  <c r="J393" i="9" s="1"/>
  <c r="N136" i="10"/>
  <c r="B392" i="9" s="1"/>
  <c r="F392" i="9" s="1"/>
  <c r="D392" i="9" s="1"/>
  <c r="N135" i="10"/>
  <c r="B391" i="9" s="1"/>
  <c r="J391" i="9" s="1"/>
  <c r="N134" i="10"/>
  <c r="B390" i="9" s="1"/>
  <c r="N133" i="10"/>
  <c r="B389" i="9"/>
  <c r="N132" i="10"/>
  <c r="N131" i="10"/>
  <c r="B387" i="9" s="1"/>
  <c r="F387" i="9" s="1"/>
  <c r="N130" i="10"/>
  <c r="B386" i="9" s="1"/>
  <c r="N129" i="10"/>
  <c r="B385" i="9" s="1"/>
  <c r="M127" i="10"/>
  <c r="L127" i="10"/>
  <c r="K127" i="10"/>
  <c r="J127" i="10"/>
  <c r="I127" i="10"/>
  <c r="H127" i="10"/>
  <c r="G127" i="10"/>
  <c r="F127" i="10"/>
  <c r="E127" i="10"/>
  <c r="D127" i="10"/>
  <c r="C127" i="10"/>
  <c r="B127" i="10"/>
  <c r="N126" i="10"/>
  <c r="N121" i="10"/>
  <c r="N120" i="10"/>
  <c r="B376" i="9" s="1"/>
  <c r="F376" i="9" s="1"/>
  <c r="N119" i="10"/>
  <c r="B375" i="9" s="1"/>
  <c r="N118" i="10"/>
  <c r="B374" i="9" s="1"/>
  <c r="I374" i="9" s="1"/>
  <c r="N117" i="10"/>
  <c r="F462" i="1"/>
  <c r="D462" i="1" s="1"/>
  <c r="K495" i="1"/>
  <c r="L495" i="1" s="1"/>
  <c r="M495" i="1" s="1"/>
  <c r="J411" i="5"/>
  <c r="F461" i="1"/>
  <c r="K476" i="1"/>
  <c r="J476" i="1"/>
  <c r="F476" i="1"/>
  <c r="F410" i="5"/>
  <c r="K462" i="1"/>
  <c r="J462" i="1"/>
  <c r="F413" i="8"/>
  <c r="F412" i="9"/>
  <c r="D412" i="9" s="1"/>
  <c r="K413" i="2"/>
  <c r="J413" i="2"/>
  <c r="F412" i="2"/>
  <c r="D412" i="2" s="1"/>
  <c r="F413" i="2"/>
  <c r="H413" i="2" s="1"/>
  <c r="J413" i="7"/>
  <c r="J411" i="3"/>
  <c r="F411" i="3"/>
  <c r="K412" i="3"/>
  <c r="J412" i="3"/>
  <c r="F412" i="3"/>
  <c r="D412" i="3" s="1"/>
  <c r="F413" i="4"/>
  <c r="F412" i="4"/>
  <c r="K413" i="4"/>
  <c r="J413" i="4"/>
  <c r="K427" i="6"/>
  <c r="J427" i="6"/>
  <c r="F427" i="6"/>
  <c r="H427" i="6"/>
  <c r="K413" i="6"/>
  <c r="J413" i="6"/>
  <c r="F413" i="6"/>
  <c r="D413" i="6"/>
  <c r="J412" i="6"/>
  <c r="F412" i="6"/>
  <c r="D412" i="6" s="1"/>
  <c r="K413" i="7"/>
  <c r="F413" i="7"/>
  <c r="D413" i="7" s="1"/>
  <c r="J412" i="7"/>
  <c r="F412" i="7"/>
  <c r="H412" i="7" s="1"/>
  <c r="D438" i="8"/>
  <c r="K413" i="8"/>
  <c r="J413" i="8"/>
  <c r="J413" i="9"/>
  <c r="L413" i="9" s="1"/>
  <c r="M413" i="9" s="1"/>
  <c r="L438" i="9"/>
  <c r="K413" i="9"/>
  <c r="F413" i="9"/>
  <c r="H413" i="9" s="1"/>
  <c r="H495" i="1"/>
  <c r="D495" i="1"/>
  <c r="I488" i="1"/>
  <c r="L487" i="1"/>
  <c r="M487" i="1" s="1"/>
  <c r="I480" i="1"/>
  <c r="I439" i="2"/>
  <c r="I431" i="2"/>
  <c r="I438" i="3"/>
  <c r="I430" i="3"/>
  <c r="I439" i="4"/>
  <c r="I431" i="4"/>
  <c r="M411" i="4"/>
  <c r="M407" i="4"/>
  <c r="I437" i="5"/>
  <c r="I429" i="5"/>
  <c r="L428" i="5"/>
  <c r="L427" i="5"/>
  <c r="L426" i="5"/>
  <c r="K411" i="5"/>
  <c r="F411" i="5"/>
  <c r="I439" i="6"/>
  <c r="K438" i="6"/>
  <c r="J438" i="6"/>
  <c r="F438" i="6"/>
  <c r="H438" i="6"/>
  <c r="I431" i="6"/>
  <c r="I439" i="7"/>
  <c r="I431" i="7"/>
  <c r="K412" i="7"/>
  <c r="I439" i="8"/>
  <c r="L438" i="8"/>
  <c r="M438" i="8" s="1"/>
  <c r="H438" i="8"/>
  <c r="I431" i="8"/>
  <c r="H412" i="8"/>
  <c r="D412" i="8"/>
  <c r="M111" i="16"/>
  <c r="L111" i="16"/>
  <c r="K111" i="16"/>
  <c r="J111" i="16"/>
  <c r="I111" i="16"/>
  <c r="H111" i="16"/>
  <c r="G111" i="16"/>
  <c r="F111" i="16"/>
  <c r="E111" i="16"/>
  <c r="D111" i="16"/>
  <c r="C111" i="16"/>
  <c r="B111" i="16"/>
  <c r="N110" i="16"/>
  <c r="B438" i="2" s="1"/>
  <c r="K438" i="2" s="1"/>
  <c r="N109" i="16"/>
  <c r="B437" i="2" s="1"/>
  <c r="N108" i="16"/>
  <c r="B436" i="2" s="1"/>
  <c r="F436" i="2" s="1"/>
  <c r="N107" i="16"/>
  <c r="B435" i="2" s="1"/>
  <c r="N106" i="16"/>
  <c r="B434" i="2" s="1"/>
  <c r="J434" i="2" s="1"/>
  <c r="N105" i="16"/>
  <c r="B433" i="2" s="1"/>
  <c r="K433" i="2" s="1"/>
  <c r="M103" i="16"/>
  <c r="L103" i="16"/>
  <c r="K103" i="16"/>
  <c r="J103" i="16"/>
  <c r="I103" i="16"/>
  <c r="H103" i="16"/>
  <c r="G103" i="16"/>
  <c r="F103" i="16"/>
  <c r="E103" i="16"/>
  <c r="D103" i="16"/>
  <c r="C103" i="16"/>
  <c r="B103" i="16"/>
  <c r="N102" i="16"/>
  <c r="B430" i="2" s="1"/>
  <c r="K430" i="2" s="1"/>
  <c r="N101" i="16"/>
  <c r="B429" i="2" s="1"/>
  <c r="J429" i="2" s="1"/>
  <c r="N100" i="16"/>
  <c r="B428" i="2"/>
  <c r="J428" i="2" s="1"/>
  <c r="N99" i="16"/>
  <c r="B427" i="2" s="1"/>
  <c r="F427" i="2" s="1"/>
  <c r="D427" i="2" s="1"/>
  <c r="N98" i="16"/>
  <c r="B426" i="2" s="1"/>
  <c r="F426" i="2" s="1"/>
  <c r="N97" i="16"/>
  <c r="B425" i="2" s="1"/>
  <c r="F425" i="2" s="1"/>
  <c r="H425" i="2" s="1"/>
  <c r="N96" i="16"/>
  <c r="N95" i="16"/>
  <c r="B423" i="2" s="1"/>
  <c r="K423" i="2" s="1"/>
  <c r="N94" i="16"/>
  <c r="B422" i="2" s="1"/>
  <c r="J422" i="2" s="1"/>
  <c r="N93" i="16"/>
  <c r="B421" i="2" s="1"/>
  <c r="K421" i="2" s="1"/>
  <c r="N92" i="16"/>
  <c r="B420" i="2" s="1"/>
  <c r="J420" i="2" s="1"/>
  <c r="N91" i="16"/>
  <c r="B419" i="2" s="1"/>
  <c r="M89" i="16"/>
  <c r="L89" i="16"/>
  <c r="K89" i="16"/>
  <c r="J89" i="16"/>
  <c r="I89" i="16"/>
  <c r="H89" i="16"/>
  <c r="G89" i="16"/>
  <c r="F89" i="16"/>
  <c r="E89" i="16"/>
  <c r="D89" i="16"/>
  <c r="C89" i="16"/>
  <c r="B89" i="16"/>
  <c r="N88" i="16"/>
  <c r="M86" i="16"/>
  <c r="L86" i="16"/>
  <c r="K86" i="16"/>
  <c r="J86" i="16"/>
  <c r="I86" i="16"/>
  <c r="H86" i="16"/>
  <c r="G86" i="16"/>
  <c r="F86" i="16"/>
  <c r="E86" i="16"/>
  <c r="D86" i="16"/>
  <c r="C86" i="16"/>
  <c r="B86" i="16"/>
  <c r="N85" i="16"/>
  <c r="B413" i="2" s="1"/>
  <c r="N84" i="16"/>
  <c r="B412" i="2" s="1"/>
  <c r="K412" i="2" s="1"/>
  <c r="L412" i="2" s="1"/>
  <c r="N83" i="16"/>
  <c r="B411" i="2" s="1"/>
  <c r="N82" i="16"/>
  <c r="B410" i="2" s="1"/>
  <c r="J410" i="2" s="1"/>
  <c r="N81" i="16"/>
  <c r="B409" i="2" s="1"/>
  <c r="I409" i="2" s="1"/>
  <c r="N80" i="16"/>
  <c r="B408" i="2" s="1"/>
  <c r="N79" i="16"/>
  <c r="B407" i="2" s="1"/>
  <c r="J407" i="2" s="1"/>
  <c r="M111" i="17"/>
  <c r="L111" i="17"/>
  <c r="K111" i="17"/>
  <c r="J111" i="17"/>
  <c r="I111" i="17"/>
  <c r="H111" i="17"/>
  <c r="G111" i="17"/>
  <c r="F111" i="17"/>
  <c r="E111" i="17"/>
  <c r="D111" i="17"/>
  <c r="C111" i="17"/>
  <c r="B111" i="17"/>
  <c r="N110" i="17"/>
  <c r="B437" i="3" s="1"/>
  <c r="J437" i="3" s="1"/>
  <c r="N109" i="17"/>
  <c r="B436" i="3" s="1"/>
  <c r="F436" i="3" s="1"/>
  <c r="D436" i="3" s="1"/>
  <c r="N108" i="17"/>
  <c r="B435" i="3" s="1"/>
  <c r="J435" i="3" s="1"/>
  <c r="N107" i="17"/>
  <c r="B434" i="3"/>
  <c r="J434" i="3" s="1"/>
  <c r="N106" i="17"/>
  <c r="B433" i="3" s="1"/>
  <c r="J433" i="3" s="1"/>
  <c r="N105" i="17"/>
  <c r="M103" i="17"/>
  <c r="L103" i="17"/>
  <c r="K103" i="17"/>
  <c r="J103" i="17"/>
  <c r="I103" i="17"/>
  <c r="H103" i="17"/>
  <c r="G103" i="17"/>
  <c r="F103" i="17"/>
  <c r="E103" i="17"/>
  <c r="D103" i="17"/>
  <c r="C103" i="17"/>
  <c r="B103" i="17"/>
  <c r="N102" i="17"/>
  <c r="B429" i="3" s="1"/>
  <c r="K429" i="3" s="1"/>
  <c r="N101" i="17"/>
  <c r="B428" i="3" s="1"/>
  <c r="J428" i="3" s="1"/>
  <c r="N100" i="17"/>
  <c r="B427" i="3" s="1"/>
  <c r="K427" i="3" s="1"/>
  <c r="N99" i="17"/>
  <c r="B426" i="3" s="1"/>
  <c r="F426" i="3" s="1"/>
  <c r="H426" i="3" s="1"/>
  <c r="N98" i="17"/>
  <c r="B425" i="3" s="1"/>
  <c r="J425" i="3" s="1"/>
  <c r="N97" i="17"/>
  <c r="B424" i="3" s="1"/>
  <c r="K424" i="3" s="1"/>
  <c r="N96" i="17"/>
  <c r="B423" i="3" s="1"/>
  <c r="J423" i="3" s="1"/>
  <c r="N95" i="17"/>
  <c r="B422" i="3" s="1"/>
  <c r="F422" i="3" s="1"/>
  <c r="N94" i="17"/>
  <c r="B421" i="3" s="1"/>
  <c r="F421" i="3" s="1"/>
  <c r="H421" i="3" s="1"/>
  <c r="N93" i="17"/>
  <c r="B420" i="3" s="1"/>
  <c r="N92" i="17"/>
  <c r="B419" i="3" s="1"/>
  <c r="K419" i="3" s="1"/>
  <c r="N91" i="17"/>
  <c r="B418" i="3" s="1"/>
  <c r="F418" i="3" s="1"/>
  <c r="D418" i="3" s="1"/>
  <c r="M89" i="17"/>
  <c r="L89" i="17"/>
  <c r="K89" i="17"/>
  <c r="J89" i="17"/>
  <c r="I89" i="17"/>
  <c r="H89" i="17"/>
  <c r="G89" i="17"/>
  <c r="F89" i="17"/>
  <c r="E89" i="17"/>
  <c r="D89" i="17"/>
  <c r="C89" i="17"/>
  <c r="B89" i="17"/>
  <c r="N88" i="17"/>
  <c r="M86" i="17"/>
  <c r="L86" i="17"/>
  <c r="K86" i="17"/>
  <c r="J86" i="17"/>
  <c r="I86" i="17"/>
  <c r="H86" i="17"/>
  <c r="G86" i="17"/>
  <c r="F86" i="17"/>
  <c r="E86" i="17"/>
  <c r="D86" i="17"/>
  <c r="C86" i="17"/>
  <c r="B86" i="17"/>
  <c r="N84" i="17"/>
  <c r="B411" i="3" s="1"/>
  <c r="N83" i="17"/>
  <c r="B410" i="3" s="1"/>
  <c r="N82" i="17"/>
  <c r="B409" i="3" s="1"/>
  <c r="N81" i="17"/>
  <c r="B408" i="3" s="1"/>
  <c r="K408" i="3" s="1"/>
  <c r="N80" i="17"/>
  <c r="B407" i="3" s="1"/>
  <c r="N79" i="17"/>
  <c r="B406" i="3" s="1"/>
  <c r="M111" i="15"/>
  <c r="L111" i="15"/>
  <c r="K111" i="15"/>
  <c r="J111" i="15"/>
  <c r="I111" i="15"/>
  <c r="H111" i="15"/>
  <c r="G111" i="15"/>
  <c r="F111" i="15"/>
  <c r="E111" i="15"/>
  <c r="D111" i="15"/>
  <c r="C111" i="15"/>
  <c r="B111" i="15"/>
  <c r="N110" i="15"/>
  <c r="B438" i="4" s="1"/>
  <c r="J438" i="4" s="1"/>
  <c r="N109" i="15"/>
  <c r="B437" i="4" s="1"/>
  <c r="F437" i="4" s="1"/>
  <c r="H437" i="4" s="1"/>
  <c r="N108" i="15"/>
  <c r="B436" i="4" s="1"/>
  <c r="N107" i="15"/>
  <c r="B435" i="4" s="1"/>
  <c r="J435" i="4" s="1"/>
  <c r="N106" i="15"/>
  <c r="N105" i="15"/>
  <c r="B433" i="4" s="1"/>
  <c r="M103" i="15"/>
  <c r="L103" i="15"/>
  <c r="K103" i="15"/>
  <c r="J103" i="15"/>
  <c r="I103" i="15"/>
  <c r="H103" i="15"/>
  <c r="G103" i="15"/>
  <c r="F103" i="15"/>
  <c r="E103" i="15"/>
  <c r="D103" i="15"/>
  <c r="C103" i="15"/>
  <c r="B103" i="15"/>
  <c r="N102" i="15"/>
  <c r="B430" i="4" s="1"/>
  <c r="N101" i="15"/>
  <c r="B429" i="4" s="1"/>
  <c r="F429" i="4" s="1"/>
  <c r="H429" i="4" s="1"/>
  <c r="N100" i="15"/>
  <c r="B428" i="4" s="1"/>
  <c r="N99" i="15"/>
  <c r="B427" i="4" s="1"/>
  <c r="N98" i="15"/>
  <c r="B426" i="4" s="1"/>
  <c r="N97" i="15"/>
  <c r="N96" i="15"/>
  <c r="B424" i="4" s="1"/>
  <c r="F424" i="4" s="1"/>
  <c r="N95" i="15"/>
  <c r="B423" i="4" s="1"/>
  <c r="N94" i="15"/>
  <c r="B422" i="4" s="1"/>
  <c r="F422" i="4" s="1"/>
  <c r="N93" i="15"/>
  <c r="B421" i="4" s="1"/>
  <c r="J421" i="4" s="1"/>
  <c r="N92" i="15"/>
  <c r="B420" i="4" s="1"/>
  <c r="K420" i="4" s="1"/>
  <c r="L420" i="4" s="1"/>
  <c r="N91" i="15"/>
  <c r="B419" i="4" s="1"/>
  <c r="M89" i="15"/>
  <c r="L89" i="15"/>
  <c r="K89" i="15"/>
  <c r="J89" i="15"/>
  <c r="I89" i="15"/>
  <c r="H89" i="15"/>
  <c r="G89" i="15"/>
  <c r="F89" i="15"/>
  <c r="E89" i="15"/>
  <c r="D89" i="15"/>
  <c r="C89" i="15"/>
  <c r="B89" i="15"/>
  <c r="N88" i="15"/>
  <c r="M86" i="15"/>
  <c r="L86" i="15"/>
  <c r="K86" i="15"/>
  <c r="J86" i="15"/>
  <c r="I86" i="15"/>
  <c r="H86" i="15"/>
  <c r="G86" i="15"/>
  <c r="F86" i="15"/>
  <c r="E86" i="15"/>
  <c r="D86" i="15"/>
  <c r="C86" i="15"/>
  <c r="B86" i="15"/>
  <c r="N85" i="15"/>
  <c r="B413" i="4" s="1"/>
  <c r="N84" i="15"/>
  <c r="B412" i="4" s="1"/>
  <c r="K412" i="4" s="1"/>
  <c r="L412" i="4" s="1"/>
  <c r="N83" i="15"/>
  <c r="B411" i="4" s="1"/>
  <c r="N82" i="15"/>
  <c r="B410" i="4" s="1"/>
  <c r="I410" i="4" s="1"/>
  <c r="N81" i="15"/>
  <c r="B409" i="4" s="1"/>
  <c r="F409" i="4" s="1"/>
  <c r="N80" i="15"/>
  <c r="B408" i="4" s="1"/>
  <c r="N79" i="15"/>
  <c r="B407" i="4" s="1"/>
  <c r="M111" i="14"/>
  <c r="L111" i="14"/>
  <c r="K111" i="14"/>
  <c r="J111" i="14"/>
  <c r="I111" i="14"/>
  <c r="H111" i="14"/>
  <c r="G111" i="14"/>
  <c r="F111" i="14"/>
  <c r="E111" i="14"/>
  <c r="D111" i="14"/>
  <c r="C111" i="14"/>
  <c r="B111" i="14"/>
  <c r="N110" i="14"/>
  <c r="B436" i="5" s="1"/>
  <c r="N109" i="14"/>
  <c r="B435" i="5" s="1"/>
  <c r="J435" i="5" s="1"/>
  <c r="N108" i="14"/>
  <c r="B434" i="5" s="1"/>
  <c r="J434" i="5" s="1"/>
  <c r="N107" i="14"/>
  <c r="N106" i="14"/>
  <c r="B432" i="5" s="1"/>
  <c r="K432" i="5" s="1"/>
  <c r="N105" i="14"/>
  <c r="B431" i="5" s="1"/>
  <c r="K431" i="5" s="1"/>
  <c r="M103" i="14"/>
  <c r="L103" i="14"/>
  <c r="K103" i="14"/>
  <c r="J103" i="14"/>
  <c r="I103" i="14"/>
  <c r="H103" i="14"/>
  <c r="G103" i="14"/>
  <c r="F103" i="14"/>
  <c r="E103" i="14"/>
  <c r="D103" i="14"/>
  <c r="C103" i="14"/>
  <c r="B103" i="14"/>
  <c r="N102" i="14"/>
  <c r="B428" i="5" s="1"/>
  <c r="N101" i="14"/>
  <c r="B427" i="5" s="1"/>
  <c r="K427" i="5" s="1"/>
  <c r="N100" i="14"/>
  <c r="B426" i="5" s="1"/>
  <c r="F426" i="5" s="1"/>
  <c r="H426" i="5" s="1"/>
  <c r="N99" i="14"/>
  <c r="B425" i="5" s="1"/>
  <c r="F425" i="5" s="1"/>
  <c r="N98" i="14"/>
  <c r="B424" i="5" s="1"/>
  <c r="N97" i="14"/>
  <c r="B423" i="5" s="1"/>
  <c r="K423" i="5" s="1"/>
  <c r="N96" i="14"/>
  <c r="B422" i="5" s="1"/>
  <c r="K422" i="5" s="1"/>
  <c r="N95" i="14"/>
  <c r="B421" i="5" s="1"/>
  <c r="K421" i="5" s="1"/>
  <c r="N94" i="14"/>
  <c r="B420" i="5" s="1"/>
  <c r="N93" i="14"/>
  <c r="N92" i="14"/>
  <c r="B418" i="5" s="1"/>
  <c r="N91" i="14"/>
  <c r="B417" i="5" s="1"/>
  <c r="F417" i="5" s="1"/>
  <c r="M89" i="14"/>
  <c r="L89" i="14"/>
  <c r="K89" i="14"/>
  <c r="J89" i="14"/>
  <c r="I89" i="14"/>
  <c r="H89" i="14"/>
  <c r="G89" i="14"/>
  <c r="F89" i="14"/>
  <c r="E89" i="14"/>
  <c r="D89" i="14"/>
  <c r="C89" i="14"/>
  <c r="B89" i="14"/>
  <c r="N88" i="14"/>
  <c r="M86" i="14"/>
  <c r="L86" i="14"/>
  <c r="K86" i="14"/>
  <c r="J86" i="14"/>
  <c r="I86" i="14"/>
  <c r="H86" i="14"/>
  <c r="G86" i="14"/>
  <c r="F86" i="14"/>
  <c r="E86" i="14"/>
  <c r="D86" i="14"/>
  <c r="C86" i="14"/>
  <c r="B86" i="14"/>
  <c r="N85" i="14"/>
  <c r="B411" i="5" s="1"/>
  <c r="N84" i="14"/>
  <c r="B410" i="5" s="1"/>
  <c r="K410" i="5" s="1"/>
  <c r="L410" i="5" s="1"/>
  <c r="N83" i="14"/>
  <c r="B409" i="5" s="1"/>
  <c r="F409" i="5" s="1"/>
  <c r="D409" i="5" s="1"/>
  <c r="N82" i="14"/>
  <c r="B408" i="5" s="1"/>
  <c r="N81" i="14"/>
  <c r="B407" i="5" s="1"/>
  <c r="N80" i="14"/>
  <c r="B406" i="5" s="1"/>
  <c r="F406" i="5" s="1"/>
  <c r="D406" i="5" s="1"/>
  <c r="N79" i="14"/>
  <c r="B405" i="5" s="1"/>
  <c r="M111" i="13"/>
  <c r="L111" i="13"/>
  <c r="K111" i="13"/>
  <c r="J111" i="13"/>
  <c r="I111" i="13"/>
  <c r="H111" i="13"/>
  <c r="G111" i="13"/>
  <c r="F111" i="13"/>
  <c r="E111" i="13"/>
  <c r="D111" i="13"/>
  <c r="C111" i="13"/>
  <c r="B111" i="13"/>
  <c r="N110" i="13"/>
  <c r="B438" i="6" s="1"/>
  <c r="N109" i="13"/>
  <c r="B437" i="6" s="1"/>
  <c r="J437" i="6" s="1"/>
  <c r="N108" i="13"/>
  <c r="B436" i="6" s="1"/>
  <c r="N107" i="13"/>
  <c r="B435" i="6" s="1"/>
  <c r="F435" i="6" s="1"/>
  <c r="H435" i="6" s="1"/>
  <c r="N106" i="13"/>
  <c r="B434" i="6" s="1"/>
  <c r="N105" i="13"/>
  <c r="N111" i="13" s="1"/>
  <c r="M103" i="13"/>
  <c r="L103" i="13"/>
  <c r="K103" i="13"/>
  <c r="J103" i="13"/>
  <c r="I103" i="13"/>
  <c r="H103" i="13"/>
  <c r="G103" i="13"/>
  <c r="F103" i="13"/>
  <c r="E103" i="13"/>
  <c r="D103" i="13"/>
  <c r="C103" i="13"/>
  <c r="B103" i="13"/>
  <c r="N102" i="13"/>
  <c r="B430" i="6" s="1"/>
  <c r="N101" i="13"/>
  <c r="B429" i="6" s="1"/>
  <c r="K429" i="6" s="1"/>
  <c r="N100" i="13"/>
  <c r="B428" i="6" s="1"/>
  <c r="F428" i="6" s="1"/>
  <c r="N99" i="13"/>
  <c r="B427" i="6" s="1"/>
  <c r="N98" i="13"/>
  <c r="B426" i="6" s="1"/>
  <c r="F426" i="6" s="1"/>
  <c r="N97" i="13"/>
  <c r="B425" i="6" s="1"/>
  <c r="J425" i="6" s="1"/>
  <c r="N96" i="13"/>
  <c r="B424" i="6" s="1"/>
  <c r="N95" i="13"/>
  <c r="B423" i="6" s="1"/>
  <c r="F423" i="6" s="1"/>
  <c r="D423" i="6" s="1"/>
  <c r="N94" i="13"/>
  <c r="B422" i="6" s="1"/>
  <c r="N93" i="13"/>
  <c r="B421" i="6" s="1"/>
  <c r="N92" i="13"/>
  <c r="N91" i="13"/>
  <c r="M89" i="13"/>
  <c r="L89" i="13"/>
  <c r="K89" i="13"/>
  <c r="J89" i="13"/>
  <c r="I89" i="13"/>
  <c r="H89" i="13"/>
  <c r="G89" i="13"/>
  <c r="F89" i="13"/>
  <c r="E89" i="13"/>
  <c r="D89" i="13"/>
  <c r="C89" i="13"/>
  <c r="B89" i="13"/>
  <c r="N88" i="13"/>
  <c r="M86" i="13"/>
  <c r="L86" i="13"/>
  <c r="K86" i="13"/>
  <c r="J86" i="13"/>
  <c r="I86" i="13"/>
  <c r="H86" i="13"/>
  <c r="G86" i="13"/>
  <c r="F86" i="13"/>
  <c r="E86" i="13"/>
  <c r="D86" i="13"/>
  <c r="C86" i="13"/>
  <c r="B86" i="13"/>
  <c r="N85" i="13"/>
  <c r="B413" i="6" s="1"/>
  <c r="N84" i="13"/>
  <c r="B412" i="6" s="1"/>
  <c r="K412" i="6" s="1"/>
  <c r="N83" i="13"/>
  <c r="B411" i="6" s="1"/>
  <c r="N82" i="13"/>
  <c r="B410" i="6" s="1"/>
  <c r="K410" i="6" s="1"/>
  <c r="N81" i="13"/>
  <c r="B409" i="6" s="1"/>
  <c r="N80" i="13"/>
  <c r="B408" i="6" s="1"/>
  <c r="F408" i="6" s="1"/>
  <c r="N79" i="13"/>
  <c r="B407" i="6" s="1"/>
  <c r="F407" i="6" s="1"/>
  <c r="D407" i="6" s="1"/>
  <c r="M111" i="12"/>
  <c r="L111" i="12"/>
  <c r="K111" i="12"/>
  <c r="J111" i="12"/>
  <c r="I111" i="12"/>
  <c r="H111" i="12"/>
  <c r="G111" i="12"/>
  <c r="F111" i="12"/>
  <c r="E111" i="12"/>
  <c r="D111" i="12"/>
  <c r="C111" i="12"/>
  <c r="B111" i="12"/>
  <c r="N110" i="12"/>
  <c r="B438" i="7" s="1"/>
  <c r="J438" i="7" s="1"/>
  <c r="N109" i="12"/>
  <c r="B437" i="7" s="1"/>
  <c r="K437" i="7" s="1"/>
  <c r="N108" i="12"/>
  <c r="B436" i="7" s="1"/>
  <c r="N107" i="12"/>
  <c r="N106" i="12"/>
  <c r="B434" i="7" s="1"/>
  <c r="N105" i="12"/>
  <c r="B433" i="7" s="1"/>
  <c r="M103" i="12"/>
  <c r="L103" i="12"/>
  <c r="K103" i="12"/>
  <c r="J103" i="12"/>
  <c r="I103" i="12"/>
  <c r="H103" i="12"/>
  <c r="G103" i="12"/>
  <c r="F103" i="12"/>
  <c r="E103" i="12"/>
  <c r="D103" i="12"/>
  <c r="C103" i="12"/>
  <c r="B103" i="12"/>
  <c r="N102" i="12"/>
  <c r="B430" i="7" s="1"/>
  <c r="N101" i="12"/>
  <c r="B429" i="7" s="1"/>
  <c r="F429" i="7" s="1"/>
  <c r="D429" i="7" s="1"/>
  <c r="N100" i="12"/>
  <c r="B428" i="7" s="1"/>
  <c r="J428" i="7" s="1"/>
  <c r="N99" i="12"/>
  <c r="B427" i="7" s="1"/>
  <c r="N98" i="12"/>
  <c r="B426" i="7" s="1"/>
  <c r="F426" i="7" s="1"/>
  <c r="N97" i="12"/>
  <c r="B425" i="7" s="1"/>
  <c r="K425" i="7" s="1"/>
  <c r="N96" i="12"/>
  <c r="B424" i="7" s="1"/>
  <c r="F424" i="7" s="1"/>
  <c r="D424" i="7" s="1"/>
  <c r="N95" i="12"/>
  <c r="B423" i="7" s="1"/>
  <c r="N94" i="12"/>
  <c r="B422" i="7" s="1"/>
  <c r="K422" i="7" s="1"/>
  <c r="N93" i="12"/>
  <c r="B421" i="7" s="1"/>
  <c r="N92" i="12"/>
  <c r="B420" i="7" s="1"/>
  <c r="J420" i="7" s="1"/>
  <c r="N91" i="12"/>
  <c r="B419" i="7" s="1"/>
  <c r="K419" i="7" s="1"/>
  <c r="M89" i="12"/>
  <c r="L89" i="12"/>
  <c r="K89" i="12"/>
  <c r="J89" i="12"/>
  <c r="I89" i="12"/>
  <c r="H89" i="12"/>
  <c r="G89" i="12"/>
  <c r="F89" i="12"/>
  <c r="E89" i="12"/>
  <c r="D89" i="12"/>
  <c r="C89" i="12"/>
  <c r="B89" i="12"/>
  <c r="N88" i="12"/>
  <c r="M86" i="12"/>
  <c r="L86" i="12"/>
  <c r="K86" i="12"/>
  <c r="J86" i="12"/>
  <c r="I86" i="12"/>
  <c r="H86" i="12"/>
  <c r="G86" i="12"/>
  <c r="F86" i="12"/>
  <c r="E86" i="12"/>
  <c r="D86" i="12"/>
  <c r="C86" i="12"/>
  <c r="B86" i="12"/>
  <c r="N85" i="12"/>
  <c r="B413" i="7" s="1"/>
  <c r="N84" i="12"/>
  <c r="N83" i="12"/>
  <c r="B411" i="7" s="1"/>
  <c r="J411" i="7" s="1"/>
  <c r="N82" i="12"/>
  <c r="B410" i="7" s="1"/>
  <c r="K410" i="7" s="1"/>
  <c r="N81" i="12"/>
  <c r="B409" i="7" s="1"/>
  <c r="F409" i="7" s="1"/>
  <c r="N80" i="12"/>
  <c r="B408" i="7" s="1"/>
  <c r="K408" i="7" s="1"/>
  <c r="N79" i="12"/>
  <c r="B407" i="7" s="1"/>
  <c r="J407" i="7" s="1"/>
  <c r="M111" i="11"/>
  <c r="L111" i="11"/>
  <c r="K111" i="11"/>
  <c r="J111" i="11"/>
  <c r="I111" i="11"/>
  <c r="H111" i="11"/>
  <c r="G111" i="11"/>
  <c r="F111" i="11"/>
  <c r="E111" i="11"/>
  <c r="D111" i="11"/>
  <c r="C111" i="11"/>
  <c r="B111" i="11"/>
  <c r="N110" i="11"/>
  <c r="N109" i="11"/>
  <c r="B437" i="8" s="1"/>
  <c r="K437" i="8" s="1"/>
  <c r="N108" i="11"/>
  <c r="B436" i="8" s="1"/>
  <c r="N107" i="11"/>
  <c r="N106" i="11"/>
  <c r="B434" i="8" s="1"/>
  <c r="K434" i="8" s="1"/>
  <c r="N105" i="11"/>
  <c r="B433" i="8" s="1"/>
  <c r="K433" i="8" s="1"/>
  <c r="M103" i="11"/>
  <c r="L103" i="11"/>
  <c r="K103" i="11"/>
  <c r="J103" i="11"/>
  <c r="I103" i="11"/>
  <c r="H103" i="11"/>
  <c r="G103" i="11"/>
  <c r="F103" i="11"/>
  <c r="E103" i="11"/>
  <c r="D103" i="11"/>
  <c r="C103" i="11"/>
  <c r="B103" i="11"/>
  <c r="N102" i="11"/>
  <c r="B430" i="8" s="1"/>
  <c r="J430" i="8" s="1"/>
  <c r="N101" i="11"/>
  <c r="B429" i="8" s="1"/>
  <c r="K429" i="8" s="1"/>
  <c r="N100" i="11"/>
  <c r="B428" i="8" s="1"/>
  <c r="F428" i="8" s="1"/>
  <c r="H428" i="8" s="1"/>
  <c r="N99" i="11"/>
  <c r="B427" i="8" s="1"/>
  <c r="N98" i="11"/>
  <c r="B426" i="8" s="1"/>
  <c r="F426" i="8" s="1"/>
  <c r="H426" i="8" s="1"/>
  <c r="N97" i="11"/>
  <c r="B425" i="8" s="1"/>
  <c r="K425" i="8" s="1"/>
  <c r="N96" i="11"/>
  <c r="B424" i="8" s="1"/>
  <c r="F424" i="8" s="1"/>
  <c r="H424" i="8" s="1"/>
  <c r="N95" i="11"/>
  <c r="B423" i="8" s="1"/>
  <c r="K423" i="8" s="1"/>
  <c r="N94" i="11"/>
  <c r="B422" i="8" s="1"/>
  <c r="N93" i="11"/>
  <c r="N92" i="11"/>
  <c r="B420" i="8" s="1"/>
  <c r="J420" i="8" s="1"/>
  <c r="N91" i="11"/>
  <c r="B419" i="8" s="1"/>
  <c r="K419" i="8" s="1"/>
  <c r="M89" i="11"/>
  <c r="L89" i="11"/>
  <c r="K89" i="11"/>
  <c r="J89" i="11"/>
  <c r="I89" i="11"/>
  <c r="H89" i="11"/>
  <c r="G89" i="11"/>
  <c r="F89" i="11"/>
  <c r="E89" i="11"/>
  <c r="D89" i="11"/>
  <c r="C89" i="11"/>
  <c r="B89" i="11"/>
  <c r="N88" i="11"/>
  <c r="B416" i="8" s="1"/>
  <c r="J416" i="8" s="1"/>
  <c r="J417" i="8" s="1"/>
  <c r="M86" i="11"/>
  <c r="L86" i="11"/>
  <c r="K86" i="11"/>
  <c r="J86" i="11"/>
  <c r="I86" i="11"/>
  <c r="H86" i="11"/>
  <c r="G86" i="11"/>
  <c r="F86" i="11"/>
  <c r="E86" i="11"/>
  <c r="D86" i="11"/>
  <c r="C86" i="11"/>
  <c r="B86" i="11"/>
  <c r="N85" i="11"/>
  <c r="B413" i="8" s="1"/>
  <c r="N84" i="11"/>
  <c r="B412" i="8" s="1"/>
  <c r="K412" i="8" s="1"/>
  <c r="L412" i="8" s="1"/>
  <c r="N83" i="11"/>
  <c r="B411" i="8" s="1"/>
  <c r="N82" i="11"/>
  <c r="B410" i="8" s="1"/>
  <c r="N81" i="11"/>
  <c r="B409" i="8" s="1"/>
  <c r="N80" i="11"/>
  <c r="B408" i="8" s="1"/>
  <c r="N79" i="11"/>
  <c r="B407" i="8" s="1"/>
  <c r="C89" i="10"/>
  <c r="D89" i="10"/>
  <c r="E89" i="10"/>
  <c r="F89" i="10"/>
  <c r="G89" i="10"/>
  <c r="H89" i="10"/>
  <c r="I89" i="10"/>
  <c r="J89" i="10"/>
  <c r="K89" i="10"/>
  <c r="L89" i="10"/>
  <c r="M89" i="10"/>
  <c r="B89" i="10"/>
  <c r="N80" i="10"/>
  <c r="B408" i="9" s="1"/>
  <c r="F408" i="9" s="1"/>
  <c r="D408" i="9" s="1"/>
  <c r="N81" i="10"/>
  <c r="B409" i="9" s="1"/>
  <c r="N82" i="10"/>
  <c r="B410" i="9" s="1"/>
  <c r="K410" i="9" s="1"/>
  <c r="N83" i="10"/>
  <c r="B411" i="9" s="1"/>
  <c r="K411" i="9" s="1"/>
  <c r="N84" i="10"/>
  <c r="B412" i="9" s="1"/>
  <c r="K412" i="9" s="1"/>
  <c r="L412" i="9" s="1"/>
  <c r="N85" i="10"/>
  <c r="B413" i="9" s="1"/>
  <c r="I439" i="9"/>
  <c r="H438" i="9"/>
  <c r="D438" i="9"/>
  <c r="I431" i="9"/>
  <c r="M111" i="10"/>
  <c r="L111" i="10"/>
  <c r="K111" i="10"/>
  <c r="J111" i="10"/>
  <c r="I111" i="10"/>
  <c r="H111" i="10"/>
  <c r="G111" i="10"/>
  <c r="F111" i="10"/>
  <c r="E111" i="10"/>
  <c r="D111" i="10"/>
  <c r="C111" i="10"/>
  <c r="B111" i="10"/>
  <c r="N110" i="10"/>
  <c r="B438" i="9" s="1"/>
  <c r="N109" i="10"/>
  <c r="N108" i="10"/>
  <c r="B436" i="9"/>
  <c r="J436" i="9" s="1"/>
  <c r="N107" i="10"/>
  <c r="B435" i="9" s="1"/>
  <c r="K435" i="9" s="1"/>
  <c r="N106" i="10"/>
  <c r="B434" i="9" s="1"/>
  <c r="F434" i="9" s="1"/>
  <c r="N105" i="10"/>
  <c r="B433" i="9"/>
  <c r="M103" i="10"/>
  <c r="L103" i="10"/>
  <c r="K103" i="10"/>
  <c r="J103" i="10"/>
  <c r="I103" i="10"/>
  <c r="H103" i="10"/>
  <c r="G103" i="10"/>
  <c r="F103" i="10"/>
  <c r="E103" i="10"/>
  <c r="D103" i="10"/>
  <c r="C103" i="10"/>
  <c r="B103" i="10"/>
  <c r="N102" i="10"/>
  <c r="B430" i="9" s="1"/>
  <c r="F430" i="9" s="1"/>
  <c r="N101" i="10"/>
  <c r="N100" i="10"/>
  <c r="B428" i="9"/>
  <c r="N99" i="10"/>
  <c r="B427" i="9" s="1"/>
  <c r="F427" i="9" s="1"/>
  <c r="N98" i="10"/>
  <c r="B426" i="9" s="1"/>
  <c r="F426" i="9" s="1"/>
  <c r="H426" i="9" s="1"/>
  <c r="N97" i="10"/>
  <c r="B425" i="9" s="1"/>
  <c r="N96" i="10"/>
  <c r="B424" i="9" s="1"/>
  <c r="J424" i="9" s="1"/>
  <c r="N95" i="10"/>
  <c r="B423" i="9" s="1"/>
  <c r="J423" i="9" s="1"/>
  <c r="N94" i="10"/>
  <c r="B422" i="9" s="1"/>
  <c r="N93" i="10"/>
  <c r="B421" i="9" s="1"/>
  <c r="N92" i="10"/>
  <c r="B420" i="9" s="1"/>
  <c r="K420" i="9" s="1"/>
  <c r="N91" i="10"/>
  <c r="B419" i="9" s="1"/>
  <c r="J419" i="9" s="1"/>
  <c r="N88" i="10"/>
  <c r="B416" i="9" s="1"/>
  <c r="J416" i="9" s="1"/>
  <c r="M86" i="10"/>
  <c r="L86" i="10"/>
  <c r="K86" i="10"/>
  <c r="J86" i="10"/>
  <c r="I86" i="10"/>
  <c r="H86" i="10"/>
  <c r="G86" i="10"/>
  <c r="F86" i="10"/>
  <c r="E86" i="10"/>
  <c r="D86" i="10"/>
  <c r="C86" i="10"/>
  <c r="B86" i="10"/>
  <c r="N79" i="10"/>
  <c r="B407" i="9" s="1"/>
  <c r="J407" i="9" s="1"/>
  <c r="K510" i="1"/>
  <c r="J510" i="1"/>
  <c r="F510" i="1"/>
  <c r="D510" i="1" s="1"/>
  <c r="F509" i="1"/>
  <c r="D509" i="1" s="1"/>
  <c r="F455" i="6"/>
  <c r="F456" i="6"/>
  <c r="H456" i="6" s="1"/>
  <c r="J456" i="6"/>
  <c r="B658" i="1"/>
  <c r="F658" i="1" s="1"/>
  <c r="L543" i="1"/>
  <c r="M543" i="1" s="1"/>
  <c r="H543" i="1"/>
  <c r="D543" i="1"/>
  <c r="F524" i="1"/>
  <c r="H524" i="1" s="1"/>
  <c r="F481" i="8"/>
  <c r="F470" i="6"/>
  <c r="J524" i="1"/>
  <c r="K524" i="1"/>
  <c r="I528" i="1"/>
  <c r="F535" i="1"/>
  <c r="D535" i="1" s="1"/>
  <c r="K535" i="1"/>
  <c r="L535" i="1" s="1"/>
  <c r="I536" i="1"/>
  <c r="F557" i="1"/>
  <c r="D557" i="1" s="1"/>
  <c r="J557" i="1"/>
  <c r="F558" i="1"/>
  <c r="J558" i="1"/>
  <c r="K558" i="1"/>
  <c r="F572" i="1"/>
  <c r="J572" i="1"/>
  <c r="K572" i="1"/>
  <c r="I574" i="1"/>
  <c r="I581" i="1"/>
  <c r="I594" i="1"/>
  <c r="I595" i="1"/>
  <c r="I604" i="1"/>
  <c r="I605" i="1"/>
  <c r="I606" i="1"/>
  <c r="I607" i="1"/>
  <c r="J607" i="1"/>
  <c r="I608" i="1"/>
  <c r="J608" i="1"/>
  <c r="I609" i="1"/>
  <c r="I610" i="1"/>
  <c r="J610" i="1"/>
  <c r="I611" i="1"/>
  <c r="J611" i="1"/>
  <c r="B624" i="1"/>
  <c r="F624" i="1" s="1"/>
  <c r="I624" i="1"/>
  <c r="B625" i="1"/>
  <c r="F625" i="1" s="1"/>
  <c r="I625" i="1"/>
  <c r="B626" i="1"/>
  <c r="F626" i="1" s="1"/>
  <c r="I626" i="1"/>
  <c r="B627" i="1"/>
  <c r="F627" i="1" s="1"/>
  <c r="I627" i="1"/>
  <c r="B630" i="1"/>
  <c r="F630" i="1" s="1"/>
  <c r="F631" i="1" s="1"/>
  <c r="I630" i="1"/>
  <c r="I631" i="1" s="1"/>
  <c r="B633" i="1"/>
  <c r="F633" i="1" s="1"/>
  <c r="H633" i="1" s="1"/>
  <c r="I633" i="1"/>
  <c r="B634" i="1"/>
  <c r="F634" i="1" s="1"/>
  <c r="I634" i="1"/>
  <c r="J634" i="1"/>
  <c r="K634" i="1"/>
  <c r="B635" i="1"/>
  <c r="F635" i="1" s="1"/>
  <c r="I635" i="1"/>
  <c r="J635" i="1"/>
  <c r="B636" i="1"/>
  <c r="F636" i="1" s="1"/>
  <c r="H636" i="1" s="1"/>
  <c r="I636" i="1"/>
  <c r="J636" i="1"/>
  <c r="B637" i="1"/>
  <c r="F637" i="1" s="1"/>
  <c r="H637" i="1" s="1"/>
  <c r="I637" i="1"/>
  <c r="J637" i="1"/>
  <c r="K637" i="1"/>
  <c r="B638" i="1"/>
  <c r="F638" i="1" s="1"/>
  <c r="I638" i="1"/>
  <c r="J638" i="1"/>
  <c r="K638" i="1"/>
  <c r="B644" i="1"/>
  <c r="I644" i="1"/>
  <c r="B645" i="1"/>
  <c r="F645" i="1" s="1"/>
  <c r="H645" i="1" s="1"/>
  <c r="I645" i="1"/>
  <c r="B646" i="1"/>
  <c r="F646" i="1" s="1"/>
  <c r="I646" i="1"/>
  <c r="B647" i="1"/>
  <c r="F647" i="1" s="1"/>
  <c r="I647" i="1"/>
  <c r="B648" i="1"/>
  <c r="I648" i="1"/>
  <c r="K648" i="1"/>
  <c r="B651" i="1"/>
  <c r="B652" i="1" s="1"/>
  <c r="I651" i="1"/>
  <c r="I652" i="1" s="1"/>
  <c r="B654" i="1"/>
  <c r="F654" i="1" s="1"/>
  <c r="I654" i="1"/>
  <c r="J654" i="1"/>
  <c r="B655" i="1"/>
  <c r="F655" i="1" s="1"/>
  <c r="H655" i="1" s="1"/>
  <c r="I655" i="1"/>
  <c r="J655" i="1"/>
  <c r="B656" i="1"/>
  <c r="F656" i="1" s="1"/>
  <c r="D656" i="1" s="1"/>
  <c r="I656" i="1"/>
  <c r="J656" i="1"/>
  <c r="B657" i="1"/>
  <c r="F657" i="1" s="1"/>
  <c r="I657" i="1"/>
  <c r="J657" i="1"/>
  <c r="K657" i="1"/>
  <c r="I658" i="1"/>
  <c r="J658" i="1"/>
  <c r="K658" i="1"/>
  <c r="B659" i="1"/>
  <c r="F659" i="1" s="1"/>
  <c r="I659" i="1"/>
  <c r="J659" i="1"/>
  <c r="B672" i="1"/>
  <c r="F672" i="1" s="1"/>
  <c r="D672" i="1" s="1"/>
  <c r="I672" i="1"/>
  <c r="J672" i="1"/>
  <c r="K672" i="1"/>
  <c r="B673" i="1"/>
  <c r="F673" i="1" s="1"/>
  <c r="I673" i="1"/>
  <c r="J673" i="1"/>
  <c r="K673" i="1"/>
  <c r="B674" i="1"/>
  <c r="F674" i="1" s="1"/>
  <c r="I674" i="1"/>
  <c r="J674" i="1"/>
  <c r="K674" i="1"/>
  <c r="B675" i="1"/>
  <c r="F675" i="1" s="1"/>
  <c r="I675" i="1"/>
  <c r="J675" i="1"/>
  <c r="K675" i="1"/>
  <c r="B676" i="1"/>
  <c r="F676" i="1"/>
  <c r="I676" i="1"/>
  <c r="J676" i="1"/>
  <c r="K676" i="1"/>
  <c r="B679" i="1"/>
  <c r="I679" i="1"/>
  <c r="I680" i="1" s="1"/>
  <c r="J679" i="1"/>
  <c r="J680" i="1" s="1"/>
  <c r="K679" i="1"/>
  <c r="K680" i="1" s="1"/>
  <c r="B682" i="1"/>
  <c r="F682" i="1" s="1"/>
  <c r="H682" i="1" s="1"/>
  <c r="I682" i="1"/>
  <c r="J682" i="1"/>
  <c r="K682" i="1"/>
  <c r="B683" i="1"/>
  <c r="I683" i="1"/>
  <c r="J683" i="1"/>
  <c r="K683" i="1"/>
  <c r="B684" i="1"/>
  <c r="F684" i="1" s="1"/>
  <c r="I684" i="1"/>
  <c r="J684" i="1"/>
  <c r="K684" i="1"/>
  <c r="B685" i="1"/>
  <c r="F685" i="1" s="1"/>
  <c r="I685" i="1"/>
  <c r="J685" i="1"/>
  <c r="K685" i="1"/>
  <c r="B692" i="1"/>
  <c r="F692" i="1" s="1"/>
  <c r="D692" i="1" s="1"/>
  <c r="I692" i="1"/>
  <c r="J692" i="1"/>
  <c r="K692" i="1"/>
  <c r="B693" i="1"/>
  <c r="F693" i="1" s="1"/>
  <c r="I693" i="1"/>
  <c r="J693" i="1"/>
  <c r="K693" i="1"/>
  <c r="B694" i="1"/>
  <c r="F694" i="1" s="1"/>
  <c r="D694" i="1" s="1"/>
  <c r="I694" i="1"/>
  <c r="J694" i="1"/>
  <c r="K694" i="1"/>
  <c r="B695" i="1"/>
  <c r="F695" i="1" s="1"/>
  <c r="I695" i="1"/>
  <c r="J695" i="1"/>
  <c r="K695" i="1"/>
  <c r="B696" i="1"/>
  <c r="F696" i="1"/>
  <c r="I696" i="1"/>
  <c r="J696" i="1"/>
  <c r="K696" i="1"/>
  <c r="B699" i="1"/>
  <c r="J699" i="1"/>
  <c r="J700" i="1" s="1"/>
  <c r="K699" i="1"/>
  <c r="K700" i="1" s="1"/>
  <c r="I700" i="1"/>
  <c r="B702" i="1"/>
  <c r="J702" i="1"/>
  <c r="K702" i="1"/>
  <c r="B703" i="1"/>
  <c r="F703" i="1" s="1"/>
  <c r="D703" i="1" s="1"/>
  <c r="J703" i="1"/>
  <c r="K703" i="1"/>
  <c r="B704" i="1"/>
  <c r="F704" i="1" s="1"/>
  <c r="J704" i="1"/>
  <c r="K704" i="1"/>
  <c r="B705" i="1"/>
  <c r="F705" i="1" s="1"/>
  <c r="H705" i="1" s="1"/>
  <c r="J705" i="1"/>
  <c r="K705" i="1"/>
  <c r="I707" i="1"/>
  <c r="B455" i="2"/>
  <c r="K455" i="2" s="1"/>
  <c r="F455" i="2"/>
  <c r="D455" i="2" s="1"/>
  <c r="J455" i="2"/>
  <c r="B456" i="2"/>
  <c r="F456" i="2"/>
  <c r="J456" i="2"/>
  <c r="K456" i="2"/>
  <c r="I474" i="2"/>
  <c r="I482" i="2"/>
  <c r="F498" i="2"/>
  <c r="D498" i="2" s="1"/>
  <c r="J498" i="2"/>
  <c r="F499" i="2"/>
  <c r="D499" i="2" s="1"/>
  <c r="J499" i="2"/>
  <c r="K499" i="2"/>
  <c r="B514" i="2"/>
  <c r="I515" i="2"/>
  <c r="I522" i="2"/>
  <c r="B533" i="2"/>
  <c r="J533" i="2" s="1"/>
  <c r="B534" i="2"/>
  <c r="F534" i="2" s="1"/>
  <c r="B535" i="2"/>
  <c r="K535" i="2" s="1"/>
  <c r="B536" i="2"/>
  <c r="I536" i="2" s="1"/>
  <c r="B537" i="2"/>
  <c r="B538" i="2"/>
  <c r="I538" i="2" s="1"/>
  <c r="B541" i="2"/>
  <c r="F541" i="2" s="1"/>
  <c r="B544" i="2"/>
  <c r="J544" i="2" s="1"/>
  <c r="B545" i="2"/>
  <c r="K545" i="2" s="1"/>
  <c r="B546" i="2"/>
  <c r="F546" i="2" s="1"/>
  <c r="H546" i="2" s="1"/>
  <c r="B547" i="2"/>
  <c r="F547" i="2" s="1"/>
  <c r="B548" i="2"/>
  <c r="F548" i="2" s="1"/>
  <c r="B549" i="2"/>
  <c r="J549" i="2" s="1"/>
  <c r="B550" i="2"/>
  <c r="F550" i="2" s="1"/>
  <c r="H550" i="2" s="1"/>
  <c r="B551" i="2"/>
  <c r="K551" i="2" s="1"/>
  <c r="L551" i="2" s="1"/>
  <c r="I552" i="2"/>
  <c r="F563" i="2"/>
  <c r="D563" i="2" s="1"/>
  <c r="J563" i="2"/>
  <c r="K563" i="2"/>
  <c r="F564" i="2"/>
  <c r="H564" i="2" s="1"/>
  <c r="J564" i="2"/>
  <c r="K564" i="2"/>
  <c r="F565" i="2"/>
  <c r="D565" i="2" s="1"/>
  <c r="J565" i="2"/>
  <c r="K565" i="2"/>
  <c r="F566" i="2"/>
  <c r="H566" i="2" s="1"/>
  <c r="J566" i="2"/>
  <c r="K566" i="2"/>
  <c r="B567" i="2"/>
  <c r="I567" i="2"/>
  <c r="F569" i="2"/>
  <c r="J569" i="2"/>
  <c r="J570" i="2" s="1"/>
  <c r="K569" i="2"/>
  <c r="B570" i="2"/>
  <c r="I570" i="2"/>
  <c r="F572" i="2"/>
  <c r="H572" i="2" s="1"/>
  <c r="K572" i="2"/>
  <c r="L572" i="2" s="1"/>
  <c r="F573" i="2"/>
  <c r="H573" i="2" s="1"/>
  <c r="L573" i="2"/>
  <c r="L634" i="1" s="1"/>
  <c r="F574" i="2"/>
  <c r="L574" i="2"/>
  <c r="F575" i="2"/>
  <c r="D575" i="2" s="1"/>
  <c r="K575" i="2"/>
  <c r="L575" i="2" s="1"/>
  <c r="F576" i="2"/>
  <c r="D576" i="2" s="1"/>
  <c r="L576" i="2"/>
  <c r="F577" i="2"/>
  <c r="D577" i="2" s="1"/>
  <c r="L577" i="2"/>
  <c r="B578" i="2"/>
  <c r="I578" i="2"/>
  <c r="J578" i="2"/>
  <c r="F584" i="2"/>
  <c r="J584" i="2"/>
  <c r="K584" i="2"/>
  <c r="F585" i="2"/>
  <c r="J585" i="2"/>
  <c r="K585" i="2"/>
  <c r="F586" i="2"/>
  <c r="D586" i="2" s="1"/>
  <c r="J586" i="2"/>
  <c r="K586" i="2"/>
  <c r="L586" i="2" s="1"/>
  <c r="F587" i="2"/>
  <c r="J587" i="2"/>
  <c r="K587" i="2"/>
  <c r="D588" i="2"/>
  <c r="F588" i="2" s="1"/>
  <c r="J588" i="2"/>
  <c r="L588" i="2" s="1"/>
  <c r="B589" i="2"/>
  <c r="I589" i="2"/>
  <c r="F591" i="2"/>
  <c r="H591" i="2" s="1"/>
  <c r="H592" i="2" s="1"/>
  <c r="J591" i="2"/>
  <c r="J592" i="2" s="1"/>
  <c r="K591" i="2"/>
  <c r="K592" i="2" s="1"/>
  <c r="B592" i="2"/>
  <c r="I592" i="2"/>
  <c r="F594" i="2"/>
  <c r="H594" i="2" s="1"/>
  <c r="K594" i="2"/>
  <c r="F595" i="2"/>
  <c r="D595" i="2" s="1"/>
  <c r="F596" i="2"/>
  <c r="D596" i="2" s="1"/>
  <c r="L596" i="2"/>
  <c r="F597" i="2"/>
  <c r="D597" i="2" s="1"/>
  <c r="L597" i="2"/>
  <c r="D598" i="2"/>
  <c r="L598" i="2"/>
  <c r="F599" i="2"/>
  <c r="D599" i="2" s="1"/>
  <c r="K599" i="2"/>
  <c r="L599" i="2"/>
  <c r="B600" i="2"/>
  <c r="I600" i="2"/>
  <c r="I601" i="2" s="1"/>
  <c r="J600" i="2"/>
  <c r="F611" i="2"/>
  <c r="L611" i="2"/>
  <c r="F612" i="2"/>
  <c r="L612" i="2"/>
  <c r="F613" i="2"/>
  <c r="D613" i="2" s="1"/>
  <c r="L613" i="2"/>
  <c r="F614" i="2"/>
  <c r="L614" i="2"/>
  <c r="H615" i="2"/>
  <c r="L615" i="2"/>
  <c r="B616" i="2"/>
  <c r="I616" i="2"/>
  <c r="J616" i="2"/>
  <c r="K616" i="2"/>
  <c r="F618" i="2"/>
  <c r="L618" i="2"/>
  <c r="L619" i="2" s="1"/>
  <c r="B619" i="2"/>
  <c r="I619" i="2"/>
  <c r="J619" i="2"/>
  <c r="K619" i="2"/>
  <c r="F621" i="2"/>
  <c r="D621" i="2" s="1"/>
  <c r="L621" i="2"/>
  <c r="F622" i="2"/>
  <c r="L622" i="2"/>
  <c r="F623" i="2"/>
  <c r="D623" i="2" s="1"/>
  <c r="L623" i="2"/>
  <c r="F624" i="2"/>
  <c r="H624" i="2" s="1"/>
  <c r="L624" i="2"/>
  <c r="B625" i="2"/>
  <c r="I625" i="2"/>
  <c r="J625" i="2"/>
  <c r="K625" i="2"/>
  <c r="F631" i="2"/>
  <c r="D631" i="2" s="1"/>
  <c r="L631" i="2"/>
  <c r="F632" i="2"/>
  <c r="D632" i="2" s="1"/>
  <c r="L632" i="2"/>
  <c r="F633" i="2"/>
  <c r="H633" i="2" s="1"/>
  <c r="L633" i="2"/>
  <c r="F634" i="2"/>
  <c r="H634" i="2" s="1"/>
  <c r="L634" i="2"/>
  <c r="H635" i="2"/>
  <c r="L635" i="2"/>
  <c r="B636" i="2"/>
  <c r="I636" i="2"/>
  <c r="J636" i="2"/>
  <c r="K636" i="2"/>
  <c r="F638" i="2"/>
  <c r="F639" i="2" s="1"/>
  <c r="L638" i="2"/>
  <c r="L639" i="2" s="1"/>
  <c r="B639" i="2"/>
  <c r="I639" i="2"/>
  <c r="J639" i="2"/>
  <c r="K639" i="2"/>
  <c r="F641" i="2"/>
  <c r="L641" i="2"/>
  <c r="F642" i="2"/>
  <c r="D642" i="2" s="1"/>
  <c r="L642" i="2"/>
  <c r="F643" i="2"/>
  <c r="H643" i="2" s="1"/>
  <c r="L643" i="2"/>
  <c r="F644" i="2"/>
  <c r="L644" i="2"/>
  <c r="B646" i="2"/>
  <c r="I646" i="2"/>
  <c r="I647" i="2" s="1"/>
  <c r="J646" i="2"/>
  <c r="K646" i="2"/>
  <c r="N6" i="16"/>
  <c r="B493" i="2" s="1"/>
  <c r="F493" i="2" s="1"/>
  <c r="H493" i="2" s="1"/>
  <c r="N7" i="16"/>
  <c r="B494" i="2" s="1"/>
  <c r="J494" i="2" s="1"/>
  <c r="N8" i="16"/>
  <c r="B495" i="2" s="1"/>
  <c r="K495" i="2" s="1"/>
  <c r="N9" i="16"/>
  <c r="B496" i="2" s="1"/>
  <c r="F496" i="2" s="1"/>
  <c r="N10" i="16"/>
  <c r="B497" i="2" s="1"/>
  <c r="K497" i="2" s="1"/>
  <c r="N11" i="16"/>
  <c r="B498" i="2" s="1"/>
  <c r="K498" i="2" s="1"/>
  <c r="L498" i="2" s="1"/>
  <c r="N12" i="16"/>
  <c r="B499" i="2" s="1"/>
  <c r="B13" i="16"/>
  <c r="C13" i="16"/>
  <c r="D13" i="16"/>
  <c r="E13" i="16"/>
  <c r="F13" i="16"/>
  <c r="G13" i="16"/>
  <c r="H13" i="16"/>
  <c r="I13" i="16"/>
  <c r="J13" i="16"/>
  <c r="K13" i="16"/>
  <c r="L13" i="16"/>
  <c r="M13" i="16"/>
  <c r="N15" i="16"/>
  <c r="B502" i="2" s="1"/>
  <c r="I502" i="2" s="1"/>
  <c r="B16" i="16"/>
  <c r="C16" i="16"/>
  <c r="D16" i="16"/>
  <c r="E16" i="16"/>
  <c r="F16" i="16"/>
  <c r="G16" i="16"/>
  <c r="H16" i="16"/>
  <c r="I16" i="16"/>
  <c r="J16" i="16"/>
  <c r="K16" i="16"/>
  <c r="L16" i="16"/>
  <c r="M16" i="16"/>
  <c r="N18" i="16"/>
  <c r="B505" i="2" s="1"/>
  <c r="J505" i="2" s="1"/>
  <c r="N19" i="16"/>
  <c r="B506" i="2" s="1"/>
  <c r="J506" i="2" s="1"/>
  <c r="N20" i="16"/>
  <c r="N21" i="16"/>
  <c r="B508" i="2" s="1"/>
  <c r="K508" i="2" s="1"/>
  <c r="N22" i="16"/>
  <c r="B509" i="2" s="1"/>
  <c r="K509" i="2" s="1"/>
  <c r="N23" i="16"/>
  <c r="N24" i="16"/>
  <c r="B511" i="2" s="1"/>
  <c r="K511" i="2" s="1"/>
  <c r="N25" i="16"/>
  <c r="B512" i="2" s="1"/>
  <c r="K512" i="2" s="1"/>
  <c r="N26" i="16"/>
  <c r="B513" i="2" s="1"/>
  <c r="N27" i="16"/>
  <c r="B28" i="16"/>
  <c r="C28" i="16"/>
  <c r="D28" i="16"/>
  <c r="E28" i="16"/>
  <c r="F28" i="16"/>
  <c r="G28" i="16"/>
  <c r="H28" i="16"/>
  <c r="I28" i="16"/>
  <c r="J28" i="16"/>
  <c r="K28" i="16"/>
  <c r="L28" i="16"/>
  <c r="M28" i="16"/>
  <c r="N30" i="16"/>
  <c r="N31" i="16"/>
  <c r="B518" i="2" s="1"/>
  <c r="F518" i="2" s="1"/>
  <c r="N32" i="16"/>
  <c r="B519" i="2" s="1"/>
  <c r="K519" i="2" s="1"/>
  <c r="N33" i="16"/>
  <c r="B520" i="2" s="1"/>
  <c r="F520" i="2" s="1"/>
  <c r="H520" i="2" s="1"/>
  <c r="N34" i="16"/>
  <c r="B521" i="2" s="1"/>
  <c r="J521" i="2" s="1"/>
  <c r="B35" i="16"/>
  <c r="C35" i="16"/>
  <c r="D35" i="16"/>
  <c r="E35" i="16"/>
  <c r="F35" i="16"/>
  <c r="G35" i="16"/>
  <c r="H35" i="16"/>
  <c r="I35" i="16"/>
  <c r="J35" i="16"/>
  <c r="K35" i="16"/>
  <c r="L35" i="16"/>
  <c r="M35" i="16"/>
  <c r="N41" i="16"/>
  <c r="B450" i="2" s="1"/>
  <c r="F450" i="2" s="1"/>
  <c r="D450" i="2" s="1"/>
  <c r="N42" i="16"/>
  <c r="B451" i="2" s="1"/>
  <c r="F451" i="2" s="1"/>
  <c r="D451" i="2" s="1"/>
  <c r="N43" i="16"/>
  <c r="B452" i="2" s="1"/>
  <c r="J452" i="2" s="1"/>
  <c r="N44" i="16"/>
  <c r="B453" i="2" s="1"/>
  <c r="N45" i="16"/>
  <c r="B454" i="2" s="1"/>
  <c r="F454" i="2" s="1"/>
  <c r="B48" i="16"/>
  <c r="C48" i="16"/>
  <c r="D48" i="16"/>
  <c r="E48" i="16"/>
  <c r="F48" i="16"/>
  <c r="G48" i="16"/>
  <c r="H48" i="16"/>
  <c r="I48" i="16"/>
  <c r="J48" i="16"/>
  <c r="K48" i="16"/>
  <c r="L48" i="16"/>
  <c r="M48" i="16"/>
  <c r="N50" i="16"/>
  <c r="B459" i="2" s="1"/>
  <c r="I459" i="2" s="1"/>
  <c r="I460" i="2" s="1"/>
  <c r="B51" i="16"/>
  <c r="C51" i="16"/>
  <c r="D51" i="16"/>
  <c r="E51" i="16"/>
  <c r="F51" i="16"/>
  <c r="G51" i="16"/>
  <c r="H51" i="16"/>
  <c r="N53" i="16"/>
  <c r="B462" i="2" s="1"/>
  <c r="N54" i="16"/>
  <c r="B463" i="2" s="1"/>
  <c r="N55" i="16"/>
  <c r="B464" i="2" s="1"/>
  <c r="J464" i="2" s="1"/>
  <c r="N56" i="16"/>
  <c r="B465" i="2" s="1"/>
  <c r="N57" i="16"/>
  <c r="B466" i="2" s="1"/>
  <c r="N58" i="16"/>
  <c r="B467" i="2" s="1"/>
  <c r="N59" i="16"/>
  <c r="B468" i="2" s="1"/>
  <c r="K468" i="2" s="1"/>
  <c r="N60" i="16"/>
  <c r="B469" i="2" s="1"/>
  <c r="F469" i="2" s="1"/>
  <c r="N61" i="16"/>
  <c r="B470" i="2" s="1"/>
  <c r="F470" i="2" s="1"/>
  <c r="D470" i="2" s="1"/>
  <c r="N62" i="16"/>
  <c r="B471" i="2" s="1"/>
  <c r="N63" i="16"/>
  <c r="B472" i="2" s="1"/>
  <c r="N64" i="16"/>
  <c r="B473" i="2" s="1"/>
  <c r="J473" i="2" s="1"/>
  <c r="B65" i="16"/>
  <c r="C65" i="16"/>
  <c r="D65" i="16"/>
  <c r="E65" i="16"/>
  <c r="F65" i="16"/>
  <c r="G65" i="16"/>
  <c r="H65" i="16"/>
  <c r="I65" i="16"/>
  <c r="J65" i="16"/>
  <c r="K65" i="16"/>
  <c r="L65" i="16"/>
  <c r="M65" i="16"/>
  <c r="N67" i="16"/>
  <c r="B476" i="2" s="1"/>
  <c r="K476" i="2" s="1"/>
  <c r="N68" i="16"/>
  <c r="B477" i="2" s="1"/>
  <c r="K477" i="2" s="1"/>
  <c r="N69" i="16"/>
  <c r="B478" i="2" s="1"/>
  <c r="F478" i="2" s="1"/>
  <c r="H478" i="2" s="1"/>
  <c r="N70" i="16"/>
  <c r="B479" i="2" s="1"/>
  <c r="F479" i="2" s="1"/>
  <c r="N71" i="16"/>
  <c r="B480" i="2" s="1"/>
  <c r="F480" i="2" s="1"/>
  <c r="N72" i="16"/>
  <c r="B481" i="2" s="1"/>
  <c r="B73" i="16"/>
  <c r="C73" i="16"/>
  <c r="D73" i="16"/>
  <c r="E73" i="16"/>
  <c r="F73" i="16"/>
  <c r="G73" i="16"/>
  <c r="H73" i="16"/>
  <c r="I73" i="16"/>
  <c r="J73" i="16"/>
  <c r="K73" i="16"/>
  <c r="L73" i="16"/>
  <c r="M73" i="16"/>
  <c r="B454" i="3"/>
  <c r="K454" i="3" s="1"/>
  <c r="F454" i="3"/>
  <c r="H454" i="3" s="1"/>
  <c r="J454" i="3"/>
  <c r="B455" i="3"/>
  <c r="F455" i="3"/>
  <c r="H455" i="3" s="1"/>
  <c r="J455" i="3"/>
  <c r="K455" i="3"/>
  <c r="I473" i="3"/>
  <c r="I481" i="3"/>
  <c r="B513" i="3"/>
  <c r="J513" i="3" s="1"/>
  <c r="I514" i="3"/>
  <c r="I521" i="3"/>
  <c r="B532" i="3"/>
  <c r="K532" i="3" s="1"/>
  <c r="L532" i="3" s="1"/>
  <c r="B533" i="3"/>
  <c r="F533" i="3" s="1"/>
  <c r="H533" i="3" s="1"/>
  <c r="B534" i="3"/>
  <c r="F534" i="3" s="1"/>
  <c r="H534" i="3" s="1"/>
  <c r="B535" i="3"/>
  <c r="K535" i="3" s="1"/>
  <c r="L535" i="3" s="1"/>
  <c r="B536" i="3"/>
  <c r="B537" i="3"/>
  <c r="K537" i="3" s="1"/>
  <c r="L537" i="3" s="1"/>
  <c r="I538" i="3"/>
  <c r="B540" i="3"/>
  <c r="J540" i="3" s="1"/>
  <c r="B543" i="3"/>
  <c r="F543" i="3" s="1"/>
  <c r="H543" i="3" s="1"/>
  <c r="B544" i="3"/>
  <c r="B545" i="3"/>
  <c r="F545" i="3" s="1"/>
  <c r="B546" i="3"/>
  <c r="K546" i="3" s="1"/>
  <c r="L546" i="3" s="1"/>
  <c r="B547" i="3"/>
  <c r="F547" i="3" s="1"/>
  <c r="D547" i="3" s="1"/>
  <c r="B548" i="3"/>
  <c r="F548" i="3" s="1"/>
  <c r="D548" i="3" s="1"/>
  <c r="B549" i="3"/>
  <c r="K549" i="3" s="1"/>
  <c r="L549" i="3" s="1"/>
  <c r="B550" i="3"/>
  <c r="I551" i="3"/>
  <c r="F562" i="3"/>
  <c r="L562" i="3"/>
  <c r="F563" i="3"/>
  <c r="L563" i="3"/>
  <c r="F564" i="3"/>
  <c r="D564" i="3" s="1"/>
  <c r="J564" i="3"/>
  <c r="K564" i="3"/>
  <c r="F565" i="3"/>
  <c r="J565" i="3"/>
  <c r="K565" i="3"/>
  <c r="B566" i="3"/>
  <c r="I566" i="3"/>
  <c r="F568" i="3"/>
  <c r="J568" i="3"/>
  <c r="J569" i="3" s="1"/>
  <c r="K568" i="3"/>
  <c r="K569" i="3" s="1"/>
  <c r="B569" i="3"/>
  <c r="I569" i="3"/>
  <c r="F571" i="3"/>
  <c r="D571" i="3" s="1"/>
  <c r="F572" i="3"/>
  <c r="D572" i="3" s="1"/>
  <c r="F573" i="3"/>
  <c r="D573" i="3" s="1"/>
  <c r="F574" i="3"/>
  <c r="L574" i="3"/>
  <c r="F575" i="3"/>
  <c r="D575" i="3" s="1"/>
  <c r="L575" i="3"/>
  <c r="F576" i="3"/>
  <c r="H576" i="3" s="1"/>
  <c r="L576" i="3"/>
  <c r="B577" i="3"/>
  <c r="I577" i="3"/>
  <c r="J577" i="3"/>
  <c r="K577" i="3"/>
  <c r="F583" i="3"/>
  <c r="L583" i="3"/>
  <c r="F584" i="3"/>
  <c r="D584" i="3" s="1"/>
  <c r="J584" i="3"/>
  <c r="K584" i="3"/>
  <c r="F585" i="3"/>
  <c r="D585" i="3" s="1"/>
  <c r="J585" i="3"/>
  <c r="K585" i="3"/>
  <c r="F586" i="3"/>
  <c r="H586" i="3" s="1"/>
  <c r="J586" i="3"/>
  <c r="K586" i="3"/>
  <c r="D587" i="3"/>
  <c r="F587" i="3" s="1"/>
  <c r="H587" i="3" s="1"/>
  <c r="L587" i="3"/>
  <c r="B588" i="3"/>
  <c r="I588" i="3"/>
  <c r="F590" i="3"/>
  <c r="L590" i="3"/>
  <c r="L591" i="3" s="1"/>
  <c r="B591" i="3"/>
  <c r="I591" i="3"/>
  <c r="J591" i="3"/>
  <c r="K591" i="3"/>
  <c r="M591" i="3"/>
  <c r="F593" i="3"/>
  <c r="H593" i="3" s="1"/>
  <c r="F594" i="3"/>
  <c r="F595" i="3"/>
  <c r="H595" i="3" s="1"/>
  <c r="L595" i="3"/>
  <c r="F596" i="3"/>
  <c r="H596" i="3" s="1"/>
  <c r="L596" i="3"/>
  <c r="F597" i="3"/>
  <c r="D597" i="3" s="1"/>
  <c r="L597" i="3"/>
  <c r="F598" i="3"/>
  <c r="D598" i="3" s="1"/>
  <c r="B599" i="3"/>
  <c r="I599" i="3"/>
  <c r="J599" i="3"/>
  <c r="K599" i="3"/>
  <c r="F610" i="3"/>
  <c r="L610" i="3"/>
  <c r="F611" i="3"/>
  <c r="D611" i="3" s="1"/>
  <c r="L611" i="3"/>
  <c r="F612" i="3"/>
  <c r="H612" i="3" s="1"/>
  <c r="L612" i="3"/>
  <c r="F613" i="3"/>
  <c r="L613" i="3"/>
  <c r="H614" i="3"/>
  <c r="L614" i="3"/>
  <c r="B615" i="3"/>
  <c r="I615" i="3"/>
  <c r="J615" i="3"/>
  <c r="K615" i="3"/>
  <c r="F617" i="3"/>
  <c r="L617" i="3"/>
  <c r="L618" i="3" s="1"/>
  <c r="B618" i="3"/>
  <c r="I618" i="3"/>
  <c r="J618" i="3"/>
  <c r="K618" i="3"/>
  <c r="F620" i="3"/>
  <c r="L620" i="3"/>
  <c r="F621" i="3"/>
  <c r="H621" i="3" s="1"/>
  <c r="L621" i="3"/>
  <c r="F622" i="3"/>
  <c r="D622" i="3" s="1"/>
  <c r="L622" i="3"/>
  <c r="F623" i="3"/>
  <c r="D623" i="3" s="1"/>
  <c r="L623" i="3"/>
  <c r="B624" i="3"/>
  <c r="I624" i="3"/>
  <c r="J624" i="3"/>
  <c r="K624" i="3"/>
  <c r="F630" i="3"/>
  <c r="D630" i="3" s="1"/>
  <c r="L630" i="3"/>
  <c r="F631" i="3"/>
  <c r="D631" i="3" s="1"/>
  <c r="L631" i="3"/>
  <c r="F632" i="3"/>
  <c r="L632" i="3"/>
  <c r="F633" i="3"/>
  <c r="H633" i="3" s="1"/>
  <c r="L633" i="3"/>
  <c r="H634" i="3"/>
  <c r="L634" i="3"/>
  <c r="I635" i="3"/>
  <c r="F637" i="3"/>
  <c r="L637" i="3"/>
  <c r="L638" i="3" s="1"/>
  <c r="B638" i="3"/>
  <c r="I638" i="3"/>
  <c r="J638" i="3"/>
  <c r="K638" i="3"/>
  <c r="F640" i="3"/>
  <c r="H640" i="3" s="1"/>
  <c r="L640" i="3"/>
  <c r="F641" i="3"/>
  <c r="L641" i="3"/>
  <c r="F642" i="3"/>
  <c r="D642" i="3" s="1"/>
  <c r="L642" i="3"/>
  <c r="F643" i="3"/>
  <c r="D643" i="3" s="1"/>
  <c r="L643" i="3"/>
  <c r="B645" i="3"/>
  <c r="I645" i="3"/>
  <c r="J645" i="3"/>
  <c r="K645" i="3"/>
  <c r="N6" i="17"/>
  <c r="B492" i="3" s="1"/>
  <c r="F492" i="3" s="1"/>
  <c r="N7" i="17"/>
  <c r="B493" i="3" s="1"/>
  <c r="K493" i="3" s="1"/>
  <c r="N8" i="17"/>
  <c r="N9" i="17"/>
  <c r="B495" i="3" s="1"/>
  <c r="F495" i="3" s="1"/>
  <c r="D495" i="3" s="1"/>
  <c r="N10" i="17"/>
  <c r="B496" i="3" s="1"/>
  <c r="J496" i="3" s="1"/>
  <c r="N11" i="17"/>
  <c r="B497" i="3" s="1"/>
  <c r="J497" i="3" s="1"/>
  <c r="N12" i="17"/>
  <c r="B13" i="17"/>
  <c r="C13" i="17"/>
  <c r="D13" i="17"/>
  <c r="E13" i="17"/>
  <c r="F13" i="17"/>
  <c r="G13" i="17"/>
  <c r="H13" i="17"/>
  <c r="I13" i="17"/>
  <c r="J13" i="17"/>
  <c r="K13" i="17"/>
  <c r="L13" i="17"/>
  <c r="M13" i="17"/>
  <c r="N15" i="17"/>
  <c r="B16" i="17"/>
  <c r="C16" i="17"/>
  <c r="D16" i="17"/>
  <c r="E16" i="17"/>
  <c r="F16" i="17"/>
  <c r="G16" i="17"/>
  <c r="H16" i="17"/>
  <c r="I16" i="17"/>
  <c r="J16" i="17"/>
  <c r="K16" i="17"/>
  <c r="L16" i="17"/>
  <c r="M16" i="17"/>
  <c r="N18" i="17"/>
  <c r="B504" i="3" s="1"/>
  <c r="J504" i="3" s="1"/>
  <c r="N19" i="17"/>
  <c r="B505" i="3" s="1"/>
  <c r="K505" i="3" s="1"/>
  <c r="N20" i="17"/>
  <c r="N21" i="17"/>
  <c r="B507" i="3" s="1"/>
  <c r="F507" i="3" s="1"/>
  <c r="H507" i="3" s="1"/>
  <c r="N22" i="17"/>
  <c r="B508" i="3" s="1"/>
  <c r="N23" i="17"/>
  <c r="B509" i="3" s="1"/>
  <c r="F509" i="3" s="1"/>
  <c r="N24" i="17"/>
  <c r="B510" i="3" s="1"/>
  <c r="J510" i="3" s="1"/>
  <c r="N25" i="17"/>
  <c r="B511" i="3" s="1"/>
  <c r="J511" i="3" s="1"/>
  <c r="N26" i="17"/>
  <c r="B512" i="3" s="1"/>
  <c r="N27" i="17"/>
  <c r="B28" i="17"/>
  <c r="C28" i="17"/>
  <c r="D28" i="17"/>
  <c r="E28" i="17"/>
  <c r="F28" i="17"/>
  <c r="G28" i="17"/>
  <c r="H28" i="17"/>
  <c r="I28" i="17"/>
  <c r="J28" i="17"/>
  <c r="K28" i="17"/>
  <c r="L28" i="17"/>
  <c r="M28" i="17"/>
  <c r="N30" i="17"/>
  <c r="B516" i="3" s="1"/>
  <c r="F516" i="3" s="1"/>
  <c r="N31" i="17"/>
  <c r="B517" i="3" s="1"/>
  <c r="J517" i="3" s="1"/>
  <c r="N32" i="17"/>
  <c r="N33" i="17"/>
  <c r="B519" i="3" s="1"/>
  <c r="K519" i="3" s="1"/>
  <c r="N34" i="17"/>
  <c r="B520" i="3" s="1"/>
  <c r="K520" i="3" s="1"/>
  <c r="B35" i="17"/>
  <c r="C35" i="17"/>
  <c r="D35" i="17"/>
  <c r="E35" i="17"/>
  <c r="F35" i="17"/>
  <c r="G35" i="17"/>
  <c r="H35" i="17"/>
  <c r="I35" i="17"/>
  <c r="J35" i="17"/>
  <c r="K35" i="17"/>
  <c r="L35" i="17"/>
  <c r="M35" i="17"/>
  <c r="N41" i="17"/>
  <c r="B449" i="3" s="1"/>
  <c r="K449" i="3" s="1"/>
  <c r="N42" i="17"/>
  <c r="B450" i="3" s="1"/>
  <c r="K450" i="3" s="1"/>
  <c r="N43" i="17"/>
  <c r="B451" i="3" s="1"/>
  <c r="J451" i="3" s="1"/>
  <c r="N44" i="17"/>
  <c r="N45" i="17"/>
  <c r="B453" i="3" s="1"/>
  <c r="J453" i="3" s="1"/>
  <c r="B48" i="17"/>
  <c r="C48" i="17"/>
  <c r="D48" i="17"/>
  <c r="E48" i="17"/>
  <c r="F48" i="17"/>
  <c r="G48" i="17"/>
  <c r="H48" i="17"/>
  <c r="I48" i="17"/>
  <c r="J48" i="17"/>
  <c r="K48" i="17"/>
  <c r="L48" i="17"/>
  <c r="M48" i="17"/>
  <c r="N50" i="17"/>
  <c r="B51" i="17"/>
  <c r="C51" i="17"/>
  <c r="D51" i="17"/>
  <c r="E51" i="17"/>
  <c r="F51" i="17"/>
  <c r="G51" i="17"/>
  <c r="H51" i="17"/>
  <c r="I51" i="17"/>
  <c r="J51" i="17"/>
  <c r="K51" i="17"/>
  <c r="L51" i="17"/>
  <c r="M51" i="17"/>
  <c r="N53" i="17"/>
  <c r="B461" i="3" s="1"/>
  <c r="J461" i="3" s="1"/>
  <c r="N54" i="17"/>
  <c r="B462" i="3" s="1"/>
  <c r="J462" i="3" s="1"/>
  <c r="N55" i="17"/>
  <c r="N56" i="17"/>
  <c r="B464" i="3" s="1"/>
  <c r="K464" i="3" s="1"/>
  <c r="N57" i="17"/>
  <c r="B465" i="3" s="1"/>
  <c r="F465" i="3" s="1"/>
  <c r="H465" i="3" s="1"/>
  <c r="N58" i="17"/>
  <c r="B466" i="3" s="1"/>
  <c r="K466" i="3" s="1"/>
  <c r="N59" i="17"/>
  <c r="B467" i="3" s="1"/>
  <c r="J467" i="3" s="1"/>
  <c r="N60" i="17"/>
  <c r="B468" i="3" s="1"/>
  <c r="K468" i="3" s="1"/>
  <c r="N61" i="17"/>
  <c r="B469" i="3" s="1"/>
  <c r="K469" i="3" s="1"/>
  <c r="N62" i="17"/>
  <c r="B470" i="3" s="1"/>
  <c r="K470" i="3" s="1"/>
  <c r="N63" i="17"/>
  <c r="B471" i="3" s="1"/>
  <c r="J471" i="3" s="1"/>
  <c r="N64" i="17"/>
  <c r="B472" i="3" s="1"/>
  <c r="F472" i="3" s="1"/>
  <c r="D472" i="3" s="1"/>
  <c r="B65" i="17"/>
  <c r="C65" i="17"/>
  <c r="D65" i="17"/>
  <c r="E65" i="17"/>
  <c r="F65" i="17"/>
  <c r="G65" i="17"/>
  <c r="H65" i="17"/>
  <c r="I65" i="17"/>
  <c r="J65" i="17"/>
  <c r="K65" i="17"/>
  <c r="L65" i="17"/>
  <c r="M65" i="17"/>
  <c r="N67" i="17"/>
  <c r="B475" i="3" s="1"/>
  <c r="N68" i="17"/>
  <c r="B476" i="3" s="1"/>
  <c r="J476" i="3" s="1"/>
  <c r="N69" i="17"/>
  <c r="N70" i="17"/>
  <c r="B478" i="3" s="1"/>
  <c r="N71" i="17"/>
  <c r="B479" i="3" s="1"/>
  <c r="K479" i="3" s="1"/>
  <c r="N72" i="17"/>
  <c r="B480" i="3" s="1"/>
  <c r="J480" i="3" s="1"/>
  <c r="B73" i="17"/>
  <c r="C73" i="17"/>
  <c r="D73" i="17"/>
  <c r="E73" i="17"/>
  <c r="F73" i="17"/>
  <c r="G73" i="17"/>
  <c r="H73" i="17"/>
  <c r="I73" i="17"/>
  <c r="J73" i="17"/>
  <c r="K73" i="17"/>
  <c r="L73" i="17"/>
  <c r="M73" i="17"/>
  <c r="M450" i="4"/>
  <c r="M454" i="4"/>
  <c r="B455" i="4"/>
  <c r="K455" i="4" s="1"/>
  <c r="L455" i="4" s="1"/>
  <c r="M455" i="4" s="1"/>
  <c r="F455" i="4"/>
  <c r="D455" i="4" s="1"/>
  <c r="B456" i="4"/>
  <c r="F456" i="4"/>
  <c r="H456" i="4" s="1"/>
  <c r="J456" i="4"/>
  <c r="K456" i="4"/>
  <c r="I474" i="4"/>
  <c r="I482" i="4"/>
  <c r="F498" i="4"/>
  <c r="J498" i="4"/>
  <c r="F499" i="4"/>
  <c r="J499" i="4"/>
  <c r="K499" i="4"/>
  <c r="B514" i="4"/>
  <c r="I515" i="4"/>
  <c r="I522" i="4"/>
  <c r="M522" i="4"/>
  <c r="B533" i="4"/>
  <c r="K533" i="4" s="1"/>
  <c r="L533" i="4" s="1"/>
  <c r="B534" i="4"/>
  <c r="K534" i="4" s="1"/>
  <c r="L534" i="4" s="1"/>
  <c r="B535" i="4"/>
  <c r="F535" i="4" s="1"/>
  <c r="B536" i="4"/>
  <c r="B537" i="4"/>
  <c r="B538" i="4"/>
  <c r="F538" i="4" s="1"/>
  <c r="D538" i="4" s="1"/>
  <c r="I539" i="4"/>
  <c r="B541" i="4"/>
  <c r="K541" i="4" s="1"/>
  <c r="K542" i="4" s="1"/>
  <c r="B544" i="4"/>
  <c r="K544" i="4" s="1"/>
  <c r="B545" i="4"/>
  <c r="J545" i="4" s="1"/>
  <c r="B546" i="4"/>
  <c r="K546" i="4" s="1"/>
  <c r="B547" i="4"/>
  <c r="F547" i="4" s="1"/>
  <c r="B548" i="4"/>
  <c r="B549" i="4"/>
  <c r="J549" i="4" s="1"/>
  <c r="B550" i="4"/>
  <c r="K550" i="4" s="1"/>
  <c r="L550" i="4" s="1"/>
  <c r="B551" i="4"/>
  <c r="F551" i="4" s="1"/>
  <c r="D551" i="4" s="1"/>
  <c r="I552" i="4"/>
  <c r="F563" i="4"/>
  <c r="F564" i="4"/>
  <c r="L564" i="4"/>
  <c r="F565" i="4"/>
  <c r="J565" i="4"/>
  <c r="K565" i="4"/>
  <c r="F566" i="4"/>
  <c r="H566" i="4" s="1"/>
  <c r="J566" i="4"/>
  <c r="K566" i="4"/>
  <c r="B567" i="4"/>
  <c r="I567" i="4"/>
  <c r="F569" i="4"/>
  <c r="J569" i="4"/>
  <c r="J570" i="4" s="1"/>
  <c r="K569" i="4"/>
  <c r="K570" i="4" s="1"/>
  <c r="B570" i="4"/>
  <c r="I570" i="4"/>
  <c r="F572" i="4"/>
  <c r="H572" i="4" s="1"/>
  <c r="J572" i="4"/>
  <c r="J578" i="4" s="1"/>
  <c r="K572" i="4"/>
  <c r="K574" i="4"/>
  <c r="L574" i="4" s="1"/>
  <c r="F573" i="4"/>
  <c r="H573" i="4" s="1"/>
  <c r="F574" i="4"/>
  <c r="F575" i="4"/>
  <c r="L575" i="4"/>
  <c r="F576" i="4"/>
  <c r="D576" i="4" s="1"/>
  <c r="L576" i="4"/>
  <c r="F577" i="4"/>
  <c r="D577" i="4" s="1"/>
  <c r="L577" i="4"/>
  <c r="B578" i="4"/>
  <c r="I578" i="4"/>
  <c r="F584" i="4"/>
  <c r="F585" i="4"/>
  <c r="J585" i="4"/>
  <c r="K585" i="4"/>
  <c r="F586" i="4"/>
  <c r="J586" i="4"/>
  <c r="K586" i="4"/>
  <c r="F587" i="4"/>
  <c r="J587" i="4"/>
  <c r="K587" i="4"/>
  <c r="D588" i="4"/>
  <c r="F588" i="4" s="1"/>
  <c r="L588" i="4"/>
  <c r="B589" i="4"/>
  <c r="B600" i="4"/>
  <c r="B592" i="4"/>
  <c r="I589" i="4"/>
  <c r="F591" i="4"/>
  <c r="J591" i="4"/>
  <c r="J592" i="4" s="1"/>
  <c r="K591" i="4"/>
  <c r="I592" i="4"/>
  <c r="F594" i="4"/>
  <c r="H594" i="4" s="1"/>
  <c r="F595" i="4"/>
  <c r="D595" i="4" s="1"/>
  <c r="K595" i="4"/>
  <c r="K655" i="1" s="1"/>
  <c r="F596" i="4"/>
  <c r="K596" i="4"/>
  <c r="L596" i="4" s="1"/>
  <c r="F597" i="4"/>
  <c r="L597" i="4"/>
  <c r="F598" i="4"/>
  <c r="D598" i="4" s="1"/>
  <c r="L598" i="4"/>
  <c r="F599" i="4"/>
  <c r="I600" i="4"/>
  <c r="J600" i="4"/>
  <c r="F611" i="4"/>
  <c r="D611" i="4" s="1"/>
  <c r="L611" i="4"/>
  <c r="F612" i="4"/>
  <c r="L612" i="4"/>
  <c r="F613" i="4"/>
  <c r="L613" i="4"/>
  <c r="F614" i="4"/>
  <c r="L614" i="4"/>
  <c r="H615" i="4"/>
  <c r="L615" i="4"/>
  <c r="B616" i="4"/>
  <c r="I616" i="4"/>
  <c r="J616" i="4"/>
  <c r="J626" i="4" s="1"/>
  <c r="K616" i="4"/>
  <c r="F618" i="4"/>
  <c r="D618" i="4" s="1"/>
  <c r="D619" i="4" s="1"/>
  <c r="L618" i="4"/>
  <c r="L619" i="4" s="1"/>
  <c r="B619" i="4"/>
  <c r="I619" i="4"/>
  <c r="J619" i="4"/>
  <c r="K619" i="4"/>
  <c r="F621" i="4"/>
  <c r="L621" i="4"/>
  <c r="F622" i="4"/>
  <c r="L622" i="4"/>
  <c r="F623" i="4"/>
  <c r="D623" i="4" s="1"/>
  <c r="L623" i="4"/>
  <c r="F624" i="4"/>
  <c r="L624" i="4"/>
  <c r="B625" i="4"/>
  <c r="I625" i="4"/>
  <c r="J625" i="4"/>
  <c r="K625" i="4"/>
  <c r="K626" i="4" s="1"/>
  <c r="F631" i="4"/>
  <c r="L631" i="4"/>
  <c r="L632" i="4"/>
  <c r="L633" i="4"/>
  <c r="L634" i="4"/>
  <c r="L635" i="4"/>
  <c r="F632" i="4"/>
  <c r="H632" i="4" s="1"/>
  <c r="F633" i="4"/>
  <c r="H633" i="4" s="1"/>
  <c r="F634" i="4"/>
  <c r="D634" i="4" s="1"/>
  <c r="H635" i="4"/>
  <c r="B636" i="4"/>
  <c r="I636" i="4"/>
  <c r="J636" i="4"/>
  <c r="K636" i="4"/>
  <c r="F638" i="4"/>
  <c r="L638" i="4"/>
  <c r="L639" i="4" s="1"/>
  <c r="B639" i="4"/>
  <c r="I639" i="4"/>
  <c r="J639" i="4"/>
  <c r="K639" i="4"/>
  <c r="F641" i="4"/>
  <c r="L641" i="4"/>
  <c r="L642" i="4"/>
  <c r="L643" i="4"/>
  <c r="L644" i="4"/>
  <c r="F642" i="4"/>
  <c r="D642" i="4" s="1"/>
  <c r="F643" i="4"/>
  <c r="F644" i="4"/>
  <c r="D644" i="4" s="1"/>
  <c r="B646" i="4"/>
  <c r="I646" i="4"/>
  <c r="J646" i="4"/>
  <c r="K646" i="4"/>
  <c r="N6" i="15"/>
  <c r="B493" i="4" s="1"/>
  <c r="N7" i="15"/>
  <c r="B494" i="4" s="1"/>
  <c r="N8" i="15"/>
  <c r="B495" i="4" s="1"/>
  <c r="N9" i="15"/>
  <c r="B496" i="4" s="1"/>
  <c r="J496" i="4" s="1"/>
  <c r="N10" i="15"/>
  <c r="B497" i="4" s="1"/>
  <c r="F497" i="4" s="1"/>
  <c r="D497" i="4" s="1"/>
  <c r="N11" i="15"/>
  <c r="B498" i="4" s="1"/>
  <c r="K498" i="4" s="1"/>
  <c r="N12" i="15"/>
  <c r="B499" i="4" s="1"/>
  <c r="B13" i="15"/>
  <c r="C13" i="15"/>
  <c r="D13" i="15"/>
  <c r="E13" i="15"/>
  <c r="F13" i="15"/>
  <c r="G13" i="15"/>
  <c r="H13" i="15"/>
  <c r="I13" i="15"/>
  <c r="J13" i="15"/>
  <c r="K13" i="15"/>
  <c r="M13" i="15"/>
  <c r="N15" i="15"/>
  <c r="B16" i="15"/>
  <c r="C16" i="15"/>
  <c r="D16" i="15"/>
  <c r="E16" i="15"/>
  <c r="F16" i="15"/>
  <c r="G16" i="15"/>
  <c r="H16" i="15"/>
  <c r="I16" i="15"/>
  <c r="J16" i="15"/>
  <c r="K16" i="15"/>
  <c r="L16" i="15"/>
  <c r="M16" i="15"/>
  <c r="N18" i="15"/>
  <c r="N19" i="15"/>
  <c r="B506" i="4" s="1"/>
  <c r="F506" i="4" s="1"/>
  <c r="H506" i="4" s="1"/>
  <c r="N20" i="15"/>
  <c r="B507" i="4" s="1"/>
  <c r="K507" i="4" s="1"/>
  <c r="N21" i="15"/>
  <c r="B508" i="4" s="1"/>
  <c r="N22" i="15"/>
  <c r="B509" i="4" s="1"/>
  <c r="N23" i="15"/>
  <c r="B510" i="4" s="1"/>
  <c r="K510" i="4" s="1"/>
  <c r="N24" i="15"/>
  <c r="B511" i="4" s="1"/>
  <c r="K511" i="4" s="1"/>
  <c r="N25" i="15"/>
  <c r="B512" i="4" s="1"/>
  <c r="N26" i="15"/>
  <c r="B513" i="4" s="1"/>
  <c r="N27" i="15"/>
  <c r="B28" i="15"/>
  <c r="C28" i="15"/>
  <c r="D28" i="15"/>
  <c r="E28" i="15"/>
  <c r="F28" i="15"/>
  <c r="G28" i="15"/>
  <c r="H28" i="15"/>
  <c r="I28" i="15"/>
  <c r="J28" i="15"/>
  <c r="K28" i="15"/>
  <c r="L28" i="15"/>
  <c r="M28" i="15"/>
  <c r="N30" i="15"/>
  <c r="B517" i="4"/>
  <c r="N31" i="15"/>
  <c r="B518" i="4" s="1"/>
  <c r="N32" i="15"/>
  <c r="B519" i="4" s="1"/>
  <c r="J519" i="4" s="1"/>
  <c r="N33" i="15"/>
  <c r="B520" i="4" s="1"/>
  <c r="N34" i="15"/>
  <c r="B521" i="4" s="1"/>
  <c r="K521" i="4" s="1"/>
  <c r="B35" i="15"/>
  <c r="C35" i="15"/>
  <c r="D35" i="15"/>
  <c r="E35" i="15"/>
  <c r="F35" i="15"/>
  <c r="G35" i="15"/>
  <c r="H35" i="15"/>
  <c r="I35" i="15"/>
  <c r="J35" i="15"/>
  <c r="K35" i="15"/>
  <c r="L35" i="15"/>
  <c r="M35" i="15"/>
  <c r="N41" i="15"/>
  <c r="N42" i="15"/>
  <c r="B451" i="4" s="1"/>
  <c r="J451" i="4" s="1"/>
  <c r="N43" i="15"/>
  <c r="B452" i="4" s="1"/>
  <c r="K452" i="4" s="1"/>
  <c r="N44" i="15"/>
  <c r="B453" i="4" s="1"/>
  <c r="F453" i="4" s="1"/>
  <c r="N45" i="15"/>
  <c r="B454" i="4" s="1"/>
  <c r="K454" i="4" s="1"/>
  <c r="B48" i="15"/>
  <c r="C48" i="15"/>
  <c r="D48" i="15"/>
  <c r="E48" i="15"/>
  <c r="F48" i="15"/>
  <c r="G48" i="15"/>
  <c r="H48" i="15"/>
  <c r="I48" i="15"/>
  <c r="J48" i="15"/>
  <c r="K48" i="15"/>
  <c r="L48" i="15"/>
  <c r="M48" i="15"/>
  <c r="N50" i="15"/>
  <c r="B459" i="4" s="1"/>
  <c r="B51" i="15"/>
  <c r="C51" i="15"/>
  <c r="D51" i="15"/>
  <c r="E51" i="15"/>
  <c r="F51" i="15"/>
  <c r="G51" i="15"/>
  <c r="H51" i="15"/>
  <c r="I51" i="15"/>
  <c r="J51" i="15"/>
  <c r="K51" i="15"/>
  <c r="L51" i="15"/>
  <c r="M51" i="15"/>
  <c r="N53" i="15"/>
  <c r="B462" i="4" s="1"/>
  <c r="F462" i="4" s="1"/>
  <c r="N54" i="15"/>
  <c r="B463" i="4" s="1"/>
  <c r="N55" i="15"/>
  <c r="B464" i="4" s="1"/>
  <c r="F464" i="4" s="1"/>
  <c r="D464" i="4" s="1"/>
  <c r="N56" i="15"/>
  <c r="N57" i="15"/>
  <c r="B466" i="4" s="1"/>
  <c r="F466" i="4" s="1"/>
  <c r="N58" i="15"/>
  <c r="B467" i="4" s="1"/>
  <c r="K467" i="4" s="1"/>
  <c r="N59" i="15"/>
  <c r="B468" i="4" s="1"/>
  <c r="F468" i="4" s="1"/>
  <c r="D468" i="4" s="1"/>
  <c r="N60" i="15"/>
  <c r="B469" i="4" s="1"/>
  <c r="F469" i="4" s="1"/>
  <c r="N61" i="15"/>
  <c r="B470" i="4" s="1"/>
  <c r="F470" i="4" s="1"/>
  <c r="D470" i="4" s="1"/>
  <c r="N62" i="15"/>
  <c r="B471" i="4" s="1"/>
  <c r="J471" i="4" s="1"/>
  <c r="N63" i="15"/>
  <c r="B472" i="4" s="1"/>
  <c r="F472" i="4" s="1"/>
  <c r="H472" i="4" s="1"/>
  <c r="N64" i="15"/>
  <c r="B473" i="4" s="1"/>
  <c r="B65" i="15"/>
  <c r="C65" i="15"/>
  <c r="D65" i="15"/>
  <c r="E65" i="15"/>
  <c r="F65" i="15"/>
  <c r="G65" i="15"/>
  <c r="H65" i="15"/>
  <c r="I65" i="15"/>
  <c r="J65" i="15"/>
  <c r="K65" i="15"/>
  <c r="L65" i="15"/>
  <c r="M65" i="15"/>
  <c r="N67" i="15"/>
  <c r="B476" i="4" s="1"/>
  <c r="N68" i="15"/>
  <c r="B477" i="4" s="1"/>
  <c r="K477" i="4" s="1"/>
  <c r="N69" i="15"/>
  <c r="B478" i="4" s="1"/>
  <c r="F478" i="4" s="1"/>
  <c r="N70" i="15"/>
  <c r="B479" i="4" s="1"/>
  <c r="N71" i="15"/>
  <c r="B480" i="4" s="1"/>
  <c r="J480" i="4" s="1"/>
  <c r="N72" i="15"/>
  <c r="B481" i="4" s="1"/>
  <c r="J481" i="4" s="1"/>
  <c r="B73" i="15"/>
  <c r="C73" i="15"/>
  <c r="D73" i="15"/>
  <c r="E73" i="15"/>
  <c r="F73" i="15"/>
  <c r="G73" i="15"/>
  <c r="H73" i="15"/>
  <c r="I73" i="15"/>
  <c r="J73" i="15"/>
  <c r="K73" i="15"/>
  <c r="L73" i="15"/>
  <c r="M73" i="15"/>
  <c r="B452" i="5"/>
  <c r="K452" i="5" s="1"/>
  <c r="F452" i="5"/>
  <c r="J452" i="5"/>
  <c r="B453" i="5"/>
  <c r="F453" i="5"/>
  <c r="J453" i="5"/>
  <c r="K453" i="5"/>
  <c r="L468" i="5"/>
  <c r="L469" i="5"/>
  <c r="L470" i="5"/>
  <c r="I471" i="5"/>
  <c r="I479" i="5"/>
  <c r="F494" i="5"/>
  <c r="J494" i="5"/>
  <c r="F495" i="5"/>
  <c r="D495" i="5" s="1"/>
  <c r="J495" i="5"/>
  <c r="K495" i="5"/>
  <c r="B510" i="5"/>
  <c r="K510" i="5" s="1"/>
  <c r="L510" i="5"/>
  <c r="I511" i="5"/>
  <c r="I518" i="5"/>
  <c r="B528" i="5"/>
  <c r="F528" i="5" s="1"/>
  <c r="B529" i="5"/>
  <c r="B530" i="5"/>
  <c r="K530" i="5" s="1"/>
  <c r="L530" i="5" s="1"/>
  <c r="B531" i="5"/>
  <c r="F531" i="5" s="1"/>
  <c r="B532" i="5"/>
  <c r="F532" i="5" s="1"/>
  <c r="D532" i="5" s="1"/>
  <c r="B533" i="5"/>
  <c r="F533" i="5" s="1"/>
  <c r="I534" i="5"/>
  <c r="B536" i="5"/>
  <c r="I536" i="5" s="1"/>
  <c r="B539" i="5"/>
  <c r="F539" i="5" s="1"/>
  <c r="D539" i="5" s="1"/>
  <c r="B540" i="5"/>
  <c r="F540" i="5" s="1"/>
  <c r="B541" i="5"/>
  <c r="J541" i="5" s="1"/>
  <c r="B542" i="5"/>
  <c r="K542" i="5" s="1"/>
  <c r="L542" i="5" s="1"/>
  <c r="B543" i="5"/>
  <c r="F543" i="5" s="1"/>
  <c r="H543" i="5" s="1"/>
  <c r="B544" i="5"/>
  <c r="F544" i="5" s="1"/>
  <c r="D544" i="5" s="1"/>
  <c r="B545" i="5"/>
  <c r="K545" i="5" s="1"/>
  <c r="L545" i="5" s="1"/>
  <c r="B546" i="5"/>
  <c r="F546" i="5" s="1"/>
  <c r="I547" i="5"/>
  <c r="F557" i="5"/>
  <c r="H557" i="5" s="1"/>
  <c r="J557" i="5"/>
  <c r="K557" i="5"/>
  <c r="F558" i="5"/>
  <c r="L558" i="5"/>
  <c r="F559" i="5"/>
  <c r="D559" i="5" s="1"/>
  <c r="J559" i="5"/>
  <c r="K559" i="5"/>
  <c r="L559" i="5" s="1"/>
  <c r="F560" i="5"/>
  <c r="H560" i="5" s="1"/>
  <c r="J560" i="5"/>
  <c r="K560" i="5"/>
  <c r="B561" i="5"/>
  <c r="I561" i="5"/>
  <c r="F563" i="5"/>
  <c r="J563" i="5"/>
  <c r="K563" i="5"/>
  <c r="K564" i="5" s="1"/>
  <c r="B564" i="5"/>
  <c r="I564" i="5"/>
  <c r="F566" i="5"/>
  <c r="J566" i="5"/>
  <c r="F567" i="5"/>
  <c r="H567" i="5" s="1"/>
  <c r="F568" i="5"/>
  <c r="D568" i="5" s="1"/>
  <c r="K568" i="5"/>
  <c r="F569" i="5"/>
  <c r="L569" i="5"/>
  <c r="F570" i="5"/>
  <c r="L570" i="5"/>
  <c r="F571" i="5"/>
  <c r="D571" i="5" s="1"/>
  <c r="L571" i="5"/>
  <c r="B572" i="5"/>
  <c r="I572" i="5"/>
  <c r="F578" i="5"/>
  <c r="L578" i="5"/>
  <c r="F579" i="5"/>
  <c r="J579" i="5"/>
  <c r="K579" i="5"/>
  <c r="F580" i="5"/>
  <c r="H580" i="5" s="1"/>
  <c r="F581" i="5"/>
  <c r="D582" i="5"/>
  <c r="F582" i="5"/>
  <c r="H582" i="5" s="1"/>
  <c r="J580" i="5"/>
  <c r="K580" i="5"/>
  <c r="J581" i="5"/>
  <c r="K581" i="5"/>
  <c r="L581" i="5" s="1"/>
  <c r="J582" i="5"/>
  <c r="L582" i="5" s="1"/>
  <c r="B583" i="5"/>
  <c r="I583" i="5"/>
  <c r="F585" i="5"/>
  <c r="D585" i="5" s="1"/>
  <c r="D586" i="5" s="1"/>
  <c r="J585" i="5"/>
  <c r="K585" i="5"/>
  <c r="K586" i="5" s="1"/>
  <c r="B586" i="5"/>
  <c r="I586" i="5"/>
  <c r="F588" i="5"/>
  <c r="L588" i="5"/>
  <c r="F589" i="5"/>
  <c r="F590" i="5"/>
  <c r="D590" i="5" s="1"/>
  <c r="K590" i="5"/>
  <c r="K594" i="5" s="1"/>
  <c r="F591" i="5"/>
  <c r="L591" i="5"/>
  <c r="F592" i="5"/>
  <c r="H592" i="5" s="1"/>
  <c r="L592" i="5"/>
  <c r="F593" i="5"/>
  <c r="B594" i="5"/>
  <c r="I594" i="5"/>
  <c r="J594" i="5"/>
  <c r="F604" i="5"/>
  <c r="L604" i="5"/>
  <c r="F605" i="5"/>
  <c r="L605" i="5"/>
  <c r="F606" i="5"/>
  <c r="D606" i="5" s="1"/>
  <c r="L606" i="5"/>
  <c r="F607" i="5"/>
  <c r="L607" i="5"/>
  <c r="H608" i="5"/>
  <c r="L608" i="5"/>
  <c r="B609" i="5"/>
  <c r="I609" i="5"/>
  <c r="J609" i="5"/>
  <c r="K609" i="5"/>
  <c r="F611" i="5"/>
  <c r="L611" i="5"/>
  <c r="L612" i="5" s="1"/>
  <c r="B612" i="5"/>
  <c r="I612" i="5"/>
  <c r="J612" i="5"/>
  <c r="K612" i="5"/>
  <c r="F614" i="5"/>
  <c r="H614" i="5" s="1"/>
  <c r="L614" i="5"/>
  <c r="F615" i="5"/>
  <c r="D615" i="5" s="1"/>
  <c r="L615" i="5"/>
  <c r="F616" i="5"/>
  <c r="L616" i="5"/>
  <c r="F617" i="5"/>
  <c r="L617" i="5"/>
  <c r="B618" i="5"/>
  <c r="I618" i="5"/>
  <c r="J618" i="5"/>
  <c r="K618" i="5"/>
  <c r="F624" i="5"/>
  <c r="L624" i="5"/>
  <c r="F625" i="5"/>
  <c r="D625" i="5" s="1"/>
  <c r="L625" i="5"/>
  <c r="F626" i="5"/>
  <c r="L626" i="5"/>
  <c r="F627" i="5"/>
  <c r="D627" i="5" s="1"/>
  <c r="L627" i="5"/>
  <c r="H628" i="5"/>
  <c r="L628" i="5"/>
  <c r="B629" i="5"/>
  <c r="I629" i="5"/>
  <c r="J629" i="5"/>
  <c r="K629" i="5"/>
  <c r="F631" i="5"/>
  <c r="F632" i="5" s="1"/>
  <c r="L631" i="5"/>
  <c r="L632" i="5" s="1"/>
  <c r="B632" i="5"/>
  <c r="I632" i="5"/>
  <c r="J632" i="5"/>
  <c r="K632" i="5"/>
  <c r="F634" i="5"/>
  <c r="L634" i="5"/>
  <c r="F635" i="5"/>
  <c r="H635" i="5" s="1"/>
  <c r="L635" i="5"/>
  <c r="F636" i="5"/>
  <c r="D636" i="5" s="1"/>
  <c r="L636" i="5"/>
  <c r="F637" i="5"/>
  <c r="L637" i="5"/>
  <c r="B639" i="5"/>
  <c r="I639" i="5"/>
  <c r="J639" i="5"/>
  <c r="K639" i="5"/>
  <c r="N6" i="14"/>
  <c r="B489" i="5" s="1"/>
  <c r="K489" i="5" s="1"/>
  <c r="N7" i="14"/>
  <c r="B490" i="5" s="1"/>
  <c r="N8" i="14"/>
  <c r="B491" i="5" s="1"/>
  <c r="F491" i="5" s="1"/>
  <c r="H491" i="5" s="1"/>
  <c r="N9" i="14"/>
  <c r="B492" i="5" s="1"/>
  <c r="N10" i="14"/>
  <c r="B493" i="5" s="1"/>
  <c r="F493" i="5" s="1"/>
  <c r="H493" i="5" s="1"/>
  <c r="N11" i="14"/>
  <c r="B494" i="5" s="1"/>
  <c r="K494" i="5" s="1"/>
  <c r="N12" i="14"/>
  <c r="B13" i="14"/>
  <c r="C13" i="14"/>
  <c r="D13" i="14"/>
  <c r="E13" i="14"/>
  <c r="F13" i="14"/>
  <c r="G13" i="14"/>
  <c r="H13" i="14"/>
  <c r="I13" i="14"/>
  <c r="J13" i="14"/>
  <c r="K13" i="14"/>
  <c r="L13" i="14"/>
  <c r="M13" i="14"/>
  <c r="N15" i="14"/>
  <c r="B16" i="14"/>
  <c r="C16" i="14"/>
  <c r="D16" i="14"/>
  <c r="E16" i="14"/>
  <c r="F16" i="14"/>
  <c r="G16" i="14"/>
  <c r="H16" i="14"/>
  <c r="I16" i="14"/>
  <c r="J16" i="14"/>
  <c r="K16" i="14"/>
  <c r="L16" i="14"/>
  <c r="M16" i="14"/>
  <c r="N18" i="14"/>
  <c r="B501" i="5" s="1"/>
  <c r="J501" i="5" s="1"/>
  <c r="N19" i="14"/>
  <c r="N20" i="14"/>
  <c r="B503" i="5" s="1"/>
  <c r="K503" i="5" s="1"/>
  <c r="N21" i="14"/>
  <c r="B504" i="5" s="1"/>
  <c r="K504" i="5" s="1"/>
  <c r="N22" i="14"/>
  <c r="B505" i="5" s="1"/>
  <c r="N23" i="14"/>
  <c r="B506" i="5" s="1"/>
  <c r="K506" i="5" s="1"/>
  <c r="N24" i="14"/>
  <c r="N25" i="14"/>
  <c r="B508" i="5" s="1"/>
  <c r="N26" i="14"/>
  <c r="B509" i="5" s="1"/>
  <c r="J509" i="5" s="1"/>
  <c r="N27" i="14"/>
  <c r="B28" i="14"/>
  <c r="C28" i="14"/>
  <c r="D28" i="14"/>
  <c r="E28" i="14"/>
  <c r="F28" i="14"/>
  <c r="G28" i="14"/>
  <c r="H28" i="14"/>
  <c r="I28" i="14"/>
  <c r="J28" i="14"/>
  <c r="K28" i="14"/>
  <c r="L28" i="14"/>
  <c r="M28" i="14"/>
  <c r="N30" i="14"/>
  <c r="N31" i="14"/>
  <c r="B514" i="5" s="1"/>
  <c r="F514" i="5" s="1"/>
  <c r="D514" i="5" s="1"/>
  <c r="N32" i="14"/>
  <c r="B515" i="5" s="1"/>
  <c r="N33" i="14"/>
  <c r="B516" i="5" s="1"/>
  <c r="J516" i="5" s="1"/>
  <c r="N34" i="14"/>
  <c r="B517" i="5" s="1"/>
  <c r="B35" i="14"/>
  <c r="C35" i="14"/>
  <c r="D35" i="14"/>
  <c r="E35" i="14"/>
  <c r="F35" i="14"/>
  <c r="G35" i="14"/>
  <c r="H35" i="14"/>
  <c r="I35" i="14"/>
  <c r="J35" i="14"/>
  <c r="K35" i="14"/>
  <c r="L35" i="14"/>
  <c r="M35" i="14"/>
  <c r="N41" i="14"/>
  <c r="B447" i="5" s="1"/>
  <c r="N42" i="14"/>
  <c r="B448" i="5" s="1"/>
  <c r="N43" i="14"/>
  <c r="N44" i="14"/>
  <c r="B450" i="5" s="1"/>
  <c r="F450" i="5" s="1"/>
  <c r="D450" i="5" s="1"/>
  <c r="N45" i="14"/>
  <c r="B451" i="5" s="1"/>
  <c r="K451" i="5" s="1"/>
  <c r="B48" i="14"/>
  <c r="C48" i="14"/>
  <c r="D48" i="14"/>
  <c r="E48" i="14"/>
  <c r="F48" i="14"/>
  <c r="G48" i="14"/>
  <c r="H48" i="14"/>
  <c r="I48" i="14"/>
  <c r="J48" i="14"/>
  <c r="K48" i="14"/>
  <c r="L48" i="14"/>
  <c r="M48" i="14"/>
  <c r="N50" i="14"/>
  <c r="B456" i="5" s="1"/>
  <c r="F456" i="5" s="1"/>
  <c r="B51" i="14"/>
  <c r="C51" i="14"/>
  <c r="D51" i="14"/>
  <c r="E51" i="14"/>
  <c r="F51" i="14"/>
  <c r="G51" i="14"/>
  <c r="H51" i="14"/>
  <c r="I51" i="14"/>
  <c r="J51" i="14"/>
  <c r="K51" i="14"/>
  <c r="L51" i="14"/>
  <c r="M51" i="14"/>
  <c r="N53" i="14"/>
  <c r="B459" i="5" s="1"/>
  <c r="J459" i="5" s="1"/>
  <c r="N54" i="14"/>
  <c r="B460" i="5" s="1"/>
  <c r="N55" i="14"/>
  <c r="N56" i="14"/>
  <c r="B462" i="5" s="1"/>
  <c r="N57" i="14"/>
  <c r="B463" i="5" s="1"/>
  <c r="K463" i="5" s="1"/>
  <c r="N58" i="14"/>
  <c r="B464" i="5" s="1"/>
  <c r="F464" i="5" s="1"/>
  <c r="D464" i="5" s="1"/>
  <c r="N59" i="14"/>
  <c r="B465" i="5" s="1"/>
  <c r="N60" i="14"/>
  <c r="B466" i="5" s="1"/>
  <c r="F466" i="5" s="1"/>
  <c r="D466" i="5" s="1"/>
  <c r="N61" i="14"/>
  <c r="B467" i="5"/>
  <c r="N62" i="14"/>
  <c r="B468" i="5" s="1"/>
  <c r="F468" i="5" s="1"/>
  <c r="H468" i="5" s="1"/>
  <c r="N63" i="14"/>
  <c r="B469" i="5" s="1"/>
  <c r="N64" i="14"/>
  <c r="B470" i="5"/>
  <c r="K470" i="5" s="1"/>
  <c r="B65" i="14"/>
  <c r="C65" i="14"/>
  <c r="D65" i="14"/>
  <c r="E65" i="14"/>
  <c r="F65" i="14"/>
  <c r="G65" i="14"/>
  <c r="H65" i="14"/>
  <c r="I65" i="14"/>
  <c r="J65" i="14"/>
  <c r="K65" i="14"/>
  <c r="L65" i="14"/>
  <c r="M65" i="14"/>
  <c r="N67" i="14"/>
  <c r="B473" i="5" s="1"/>
  <c r="N68" i="14"/>
  <c r="B474" i="5" s="1"/>
  <c r="K474" i="5" s="1"/>
  <c r="N69" i="14"/>
  <c r="N70" i="14"/>
  <c r="B476" i="5" s="1"/>
  <c r="J476" i="5" s="1"/>
  <c r="N71" i="14"/>
  <c r="B477" i="5" s="1"/>
  <c r="N72" i="14"/>
  <c r="B478" i="5" s="1"/>
  <c r="K478" i="5" s="1"/>
  <c r="B73" i="14"/>
  <c r="C73" i="14"/>
  <c r="D73" i="14"/>
  <c r="E73" i="14"/>
  <c r="F73" i="14"/>
  <c r="G73" i="14"/>
  <c r="H73" i="14"/>
  <c r="I73" i="14"/>
  <c r="J73" i="14"/>
  <c r="K73" i="14"/>
  <c r="L73" i="14"/>
  <c r="M73" i="14"/>
  <c r="B455" i="6"/>
  <c r="J455" i="6"/>
  <c r="B456" i="6"/>
  <c r="K456" i="6"/>
  <c r="J470" i="6"/>
  <c r="K470" i="6"/>
  <c r="F481" i="6"/>
  <c r="H481" i="6" s="1"/>
  <c r="J481" i="6"/>
  <c r="K481" i="6"/>
  <c r="I482" i="6"/>
  <c r="F498" i="6"/>
  <c r="D498" i="6" s="1"/>
  <c r="J498" i="6"/>
  <c r="F499" i="6"/>
  <c r="J499" i="6"/>
  <c r="K499" i="6"/>
  <c r="F513" i="6"/>
  <c r="D513" i="6" s="1"/>
  <c r="J513" i="6"/>
  <c r="K513" i="6"/>
  <c r="I515" i="6"/>
  <c r="I522" i="6"/>
  <c r="F533" i="6"/>
  <c r="D533" i="6" s="1"/>
  <c r="K533" i="6"/>
  <c r="L533" i="6" s="1"/>
  <c r="F534" i="6"/>
  <c r="K534" i="6"/>
  <c r="L534" i="6" s="1"/>
  <c r="B535" i="6"/>
  <c r="F535" i="6" s="1"/>
  <c r="B536" i="6"/>
  <c r="K536" i="6" s="1"/>
  <c r="L536" i="6" s="1"/>
  <c r="B537" i="6"/>
  <c r="B538" i="6"/>
  <c r="K538" i="6" s="1"/>
  <c r="L538" i="6" s="1"/>
  <c r="I539" i="6"/>
  <c r="B541" i="6"/>
  <c r="J541" i="6" s="1"/>
  <c r="J542" i="6" s="1"/>
  <c r="B544" i="6"/>
  <c r="F544" i="6" s="1"/>
  <c r="B545" i="6"/>
  <c r="J545" i="6" s="1"/>
  <c r="F546" i="6"/>
  <c r="H546" i="6" s="1"/>
  <c r="J546" i="6"/>
  <c r="K546" i="6"/>
  <c r="B547" i="6"/>
  <c r="K547" i="6" s="1"/>
  <c r="L547" i="6" s="1"/>
  <c r="B548" i="6"/>
  <c r="F548" i="6" s="1"/>
  <c r="D548" i="6" s="1"/>
  <c r="B549" i="6"/>
  <c r="B550" i="6"/>
  <c r="F550" i="6" s="1"/>
  <c r="B551" i="6"/>
  <c r="K551" i="6" s="1"/>
  <c r="L551" i="6" s="1"/>
  <c r="I552" i="6"/>
  <c r="F563" i="6"/>
  <c r="H563" i="6" s="1"/>
  <c r="J563" i="6"/>
  <c r="K563" i="6"/>
  <c r="F564" i="6"/>
  <c r="J564" i="6"/>
  <c r="K564" i="6"/>
  <c r="L564" i="6" s="1"/>
  <c r="F565" i="6"/>
  <c r="J565" i="6"/>
  <c r="K565" i="6"/>
  <c r="F566" i="6"/>
  <c r="J566" i="6"/>
  <c r="K566" i="6"/>
  <c r="B567" i="6"/>
  <c r="I567" i="6"/>
  <c r="F569" i="6"/>
  <c r="J569" i="6"/>
  <c r="J570" i="6" s="1"/>
  <c r="K569" i="6"/>
  <c r="K570" i="6" s="1"/>
  <c r="B570" i="6"/>
  <c r="I570" i="6"/>
  <c r="F572" i="6"/>
  <c r="D572" i="6" s="1"/>
  <c r="J572" i="6"/>
  <c r="J578" i="6" s="1"/>
  <c r="K572" i="6"/>
  <c r="F573" i="6"/>
  <c r="D573" i="6" s="1"/>
  <c r="F574" i="6"/>
  <c r="D574" i="6" s="1"/>
  <c r="K574" i="6"/>
  <c r="L574" i="6" s="1"/>
  <c r="F575" i="6"/>
  <c r="L575" i="6"/>
  <c r="F576" i="6"/>
  <c r="H576" i="6" s="1"/>
  <c r="L576" i="6"/>
  <c r="F577" i="6"/>
  <c r="L577" i="6"/>
  <c r="B578" i="6"/>
  <c r="I578" i="6"/>
  <c r="F584" i="6"/>
  <c r="J584" i="6"/>
  <c r="K584" i="6"/>
  <c r="F585" i="6"/>
  <c r="H585" i="6" s="1"/>
  <c r="J585" i="6"/>
  <c r="K585" i="6"/>
  <c r="F586" i="6"/>
  <c r="D586" i="6" s="1"/>
  <c r="J586" i="6"/>
  <c r="K586" i="6"/>
  <c r="F587" i="6"/>
  <c r="J587" i="6"/>
  <c r="K587" i="6"/>
  <c r="D588" i="6"/>
  <c r="J588" i="6"/>
  <c r="L588" i="6" s="1"/>
  <c r="B589" i="6"/>
  <c r="I589" i="6"/>
  <c r="F591" i="6"/>
  <c r="F592" i="6" s="1"/>
  <c r="J591" i="6"/>
  <c r="J592" i="6" s="1"/>
  <c r="K591" i="6"/>
  <c r="B592" i="6"/>
  <c r="I592" i="6"/>
  <c r="F594" i="6"/>
  <c r="F595" i="6"/>
  <c r="D595" i="6" s="1"/>
  <c r="F596" i="6"/>
  <c r="D596" i="6" s="1"/>
  <c r="K596" i="6"/>
  <c r="F597" i="6"/>
  <c r="H597" i="6" s="1"/>
  <c r="L597" i="6"/>
  <c r="F598" i="6"/>
  <c r="L598" i="6"/>
  <c r="F599" i="6"/>
  <c r="K599" i="6"/>
  <c r="L599" i="6" s="1"/>
  <c r="M599" i="6" s="1"/>
  <c r="B600" i="6"/>
  <c r="I600" i="6"/>
  <c r="J600" i="6"/>
  <c r="F611" i="6"/>
  <c r="L611" i="6"/>
  <c r="F612" i="6"/>
  <c r="H612" i="6" s="1"/>
  <c r="L612" i="6"/>
  <c r="F613" i="6"/>
  <c r="H613" i="6" s="1"/>
  <c r="L613" i="6"/>
  <c r="F614" i="6"/>
  <c r="L614" i="6"/>
  <c r="H615" i="6"/>
  <c r="L615" i="6"/>
  <c r="B616" i="6"/>
  <c r="I616" i="6"/>
  <c r="J616" i="6"/>
  <c r="K616" i="6"/>
  <c r="F618" i="6"/>
  <c r="L618" i="6"/>
  <c r="L619" i="6" s="1"/>
  <c r="B619" i="6"/>
  <c r="I619" i="6"/>
  <c r="I625" i="6"/>
  <c r="J619" i="6"/>
  <c r="K619" i="6"/>
  <c r="F621" i="6"/>
  <c r="H621" i="6" s="1"/>
  <c r="L621" i="6"/>
  <c r="F622" i="6"/>
  <c r="D622" i="6" s="1"/>
  <c r="L622" i="6"/>
  <c r="F623" i="6"/>
  <c r="L623" i="6"/>
  <c r="F624" i="6"/>
  <c r="H624" i="6" s="1"/>
  <c r="L624" i="6"/>
  <c r="B625" i="6"/>
  <c r="J625" i="6"/>
  <c r="K625" i="6"/>
  <c r="F631" i="6"/>
  <c r="L631" i="6"/>
  <c r="F632" i="6"/>
  <c r="H632" i="6" s="1"/>
  <c r="L632" i="6"/>
  <c r="F633" i="6"/>
  <c r="L633" i="6"/>
  <c r="F634" i="6"/>
  <c r="D634" i="6" s="1"/>
  <c r="L634" i="6"/>
  <c r="H635" i="6"/>
  <c r="L635" i="6"/>
  <c r="B636" i="6"/>
  <c r="I636" i="6"/>
  <c r="J636" i="6"/>
  <c r="J639" i="6"/>
  <c r="J646" i="6"/>
  <c r="K636" i="6"/>
  <c r="F638" i="6"/>
  <c r="D638" i="6" s="1"/>
  <c r="D639" i="6" s="1"/>
  <c r="L638" i="6"/>
  <c r="L639" i="6"/>
  <c r="B639" i="6"/>
  <c r="I639" i="6"/>
  <c r="K639" i="6"/>
  <c r="F641" i="6"/>
  <c r="L641" i="6"/>
  <c r="F642" i="6"/>
  <c r="H642" i="6" s="1"/>
  <c r="L642" i="6"/>
  <c r="F643" i="6"/>
  <c r="H643" i="6" s="1"/>
  <c r="L643" i="6"/>
  <c r="F644" i="6"/>
  <c r="L644" i="6"/>
  <c r="B646" i="6"/>
  <c r="I646" i="6"/>
  <c r="K646" i="6"/>
  <c r="N6" i="13"/>
  <c r="B493" i="6" s="1"/>
  <c r="J493" i="6" s="1"/>
  <c r="N7" i="13"/>
  <c r="B494" i="6" s="1"/>
  <c r="N8" i="13"/>
  <c r="B495" i="6" s="1"/>
  <c r="K495" i="6" s="1"/>
  <c r="N9" i="13"/>
  <c r="B496" i="6" s="1"/>
  <c r="K496" i="6" s="1"/>
  <c r="N10" i="13"/>
  <c r="B497" i="6" s="1"/>
  <c r="N11" i="13"/>
  <c r="B498" i="6" s="1"/>
  <c r="K498" i="6" s="1"/>
  <c r="N12" i="13"/>
  <c r="B499" i="6" s="1"/>
  <c r="B13" i="13"/>
  <c r="C13" i="13"/>
  <c r="D13" i="13"/>
  <c r="E13" i="13"/>
  <c r="F13" i="13"/>
  <c r="G13" i="13"/>
  <c r="H13" i="13"/>
  <c r="I13" i="13"/>
  <c r="J13" i="13"/>
  <c r="K13" i="13"/>
  <c r="L13" i="13"/>
  <c r="M13" i="13"/>
  <c r="N15" i="13"/>
  <c r="B16" i="13"/>
  <c r="C16" i="13"/>
  <c r="D16" i="13"/>
  <c r="E16" i="13"/>
  <c r="F16" i="13"/>
  <c r="G16" i="13"/>
  <c r="H16" i="13"/>
  <c r="I16" i="13"/>
  <c r="J16" i="13"/>
  <c r="K16" i="13"/>
  <c r="L16" i="13"/>
  <c r="M16" i="13"/>
  <c r="N18" i="13"/>
  <c r="N19" i="13"/>
  <c r="B506" i="6" s="1"/>
  <c r="N20" i="13"/>
  <c r="B507" i="6" s="1"/>
  <c r="N21" i="13"/>
  <c r="B508" i="6" s="1"/>
  <c r="F508" i="6" s="1"/>
  <c r="H508" i="6" s="1"/>
  <c r="N22" i="13"/>
  <c r="B509" i="6" s="1"/>
  <c r="N23" i="13"/>
  <c r="B510" i="6" s="1"/>
  <c r="J510" i="6" s="1"/>
  <c r="N24" i="13"/>
  <c r="B511" i="6" s="1"/>
  <c r="N25" i="13"/>
  <c r="B512" i="6" s="1"/>
  <c r="F512" i="6" s="1"/>
  <c r="N26" i="13"/>
  <c r="B513" i="6" s="1"/>
  <c r="N27" i="13"/>
  <c r="B28" i="13"/>
  <c r="C28" i="13"/>
  <c r="D28" i="13"/>
  <c r="E28" i="13"/>
  <c r="F28" i="13"/>
  <c r="G28" i="13"/>
  <c r="H28" i="13"/>
  <c r="I28" i="13"/>
  <c r="J28" i="13"/>
  <c r="K28" i="13"/>
  <c r="L28" i="13"/>
  <c r="M28" i="13"/>
  <c r="N30" i="13"/>
  <c r="B517" i="6" s="1"/>
  <c r="K517" i="6" s="1"/>
  <c r="N31" i="13"/>
  <c r="B518" i="6" s="1"/>
  <c r="K518" i="6" s="1"/>
  <c r="N32" i="13"/>
  <c r="B519" i="6" s="1"/>
  <c r="N33" i="13"/>
  <c r="B520" i="6" s="1"/>
  <c r="N34" i="13"/>
  <c r="B521" i="6" s="1"/>
  <c r="J521" i="6" s="1"/>
  <c r="B35" i="13"/>
  <c r="C35" i="13"/>
  <c r="D35" i="13"/>
  <c r="E35" i="13"/>
  <c r="F35" i="13"/>
  <c r="G35" i="13"/>
  <c r="H35" i="13"/>
  <c r="I35" i="13"/>
  <c r="J35" i="13"/>
  <c r="K35" i="13"/>
  <c r="L35" i="13"/>
  <c r="M35" i="13"/>
  <c r="N41" i="13"/>
  <c r="B450" i="6" s="1"/>
  <c r="K450" i="6" s="1"/>
  <c r="N42" i="13"/>
  <c r="B451" i="6" s="1"/>
  <c r="N43" i="13"/>
  <c r="B452" i="6" s="1"/>
  <c r="N44" i="13"/>
  <c r="B453" i="6" s="1"/>
  <c r="F453" i="6" s="1"/>
  <c r="H453" i="6" s="1"/>
  <c r="N45" i="13"/>
  <c r="B454" i="6" s="1"/>
  <c r="J454" i="6" s="1"/>
  <c r="B48" i="13"/>
  <c r="C48" i="13"/>
  <c r="D48" i="13"/>
  <c r="E48" i="13"/>
  <c r="F48" i="13"/>
  <c r="G48" i="13"/>
  <c r="H48" i="13"/>
  <c r="I48" i="13"/>
  <c r="J48" i="13"/>
  <c r="K48" i="13"/>
  <c r="L48" i="13"/>
  <c r="M48" i="13"/>
  <c r="N50" i="13"/>
  <c r="N51" i="13" s="1"/>
  <c r="B51" i="13"/>
  <c r="C51" i="13"/>
  <c r="D51" i="13"/>
  <c r="E51" i="13"/>
  <c r="F51" i="13"/>
  <c r="G51" i="13"/>
  <c r="H51" i="13"/>
  <c r="I51" i="13"/>
  <c r="J51" i="13"/>
  <c r="K51" i="13"/>
  <c r="L51" i="13"/>
  <c r="M51" i="13"/>
  <c r="N53" i="13"/>
  <c r="B462" i="6" s="1"/>
  <c r="N54" i="13"/>
  <c r="B463" i="6" s="1"/>
  <c r="N55" i="13"/>
  <c r="B464" i="6" s="1"/>
  <c r="N56" i="13"/>
  <c r="B465" i="6" s="1"/>
  <c r="F465" i="6" s="1"/>
  <c r="H465" i="6" s="1"/>
  <c r="N57" i="13"/>
  <c r="N58" i="13"/>
  <c r="B467" i="6" s="1"/>
  <c r="K467" i="6" s="1"/>
  <c r="N59" i="13"/>
  <c r="B468" i="6" s="1"/>
  <c r="N60" i="13"/>
  <c r="B469" i="6" s="1"/>
  <c r="N61" i="13"/>
  <c r="B470" i="6" s="1"/>
  <c r="N62" i="13"/>
  <c r="B471" i="6" s="1"/>
  <c r="N63" i="13"/>
  <c r="B472" i="6" s="1"/>
  <c r="K472" i="6" s="1"/>
  <c r="N64" i="13"/>
  <c r="B473" i="6" s="1"/>
  <c r="F473" i="6" s="1"/>
  <c r="D473" i="6" s="1"/>
  <c r="B65" i="13"/>
  <c r="C65" i="13"/>
  <c r="D65" i="13"/>
  <c r="E65" i="13"/>
  <c r="F65" i="13"/>
  <c r="G65" i="13"/>
  <c r="H65" i="13"/>
  <c r="I65" i="13"/>
  <c r="J65" i="13"/>
  <c r="K65" i="13"/>
  <c r="L65" i="13"/>
  <c r="M65" i="13"/>
  <c r="N67" i="13"/>
  <c r="B476" i="6" s="1"/>
  <c r="F476" i="6" s="1"/>
  <c r="N68" i="13"/>
  <c r="B477" i="6" s="1"/>
  <c r="N69" i="13"/>
  <c r="B478" i="6" s="1"/>
  <c r="K478" i="6" s="1"/>
  <c r="N70" i="13"/>
  <c r="B479" i="6" s="1"/>
  <c r="N71" i="13"/>
  <c r="B480" i="6" s="1"/>
  <c r="N72" i="13"/>
  <c r="B481" i="6" s="1"/>
  <c r="B73" i="13"/>
  <c r="C73" i="13"/>
  <c r="D73" i="13"/>
  <c r="E73" i="13"/>
  <c r="F73" i="13"/>
  <c r="G73" i="13"/>
  <c r="H73" i="13"/>
  <c r="I73" i="13"/>
  <c r="J73" i="13"/>
  <c r="K73" i="13"/>
  <c r="L73" i="13"/>
  <c r="M73" i="13"/>
  <c r="F451" i="7"/>
  <c r="H451" i="7" s="1"/>
  <c r="J451" i="7"/>
  <c r="K451" i="7"/>
  <c r="F453" i="7"/>
  <c r="H453" i="7" s="1"/>
  <c r="I453" i="7"/>
  <c r="J453" i="7"/>
  <c r="K453" i="7"/>
  <c r="B455" i="7"/>
  <c r="K455" i="7" s="1"/>
  <c r="F455" i="7"/>
  <c r="J455" i="7"/>
  <c r="B456" i="7"/>
  <c r="F456" i="7"/>
  <c r="H456" i="7" s="1"/>
  <c r="J456" i="7"/>
  <c r="K456" i="7"/>
  <c r="I474" i="7"/>
  <c r="I482" i="7"/>
  <c r="F498" i="7"/>
  <c r="J498" i="7"/>
  <c r="F499" i="7"/>
  <c r="J499" i="7"/>
  <c r="K499" i="7"/>
  <c r="B514" i="7"/>
  <c r="J514" i="7" s="1"/>
  <c r="I515" i="7"/>
  <c r="I522" i="7"/>
  <c r="B533" i="7"/>
  <c r="K533" i="7" s="1"/>
  <c r="B534" i="7"/>
  <c r="B539" i="7" s="1"/>
  <c r="B535" i="7"/>
  <c r="K535" i="7" s="1"/>
  <c r="L535" i="7" s="1"/>
  <c r="B536" i="7"/>
  <c r="B537" i="7"/>
  <c r="K537" i="7" s="1"/>
  <c r="B538" i="7"/>
  <c r="K538" i="7" s="1"/>
  <c r="L538" i="7" s="1"/>
  <c r="I539" i="7"/>
  <c r="B541" i="7"/>
  <c r="B542" i="7" s="1"/>
  <c r="B544" i="7"/>
  <c r="K544" i="7" s="1"/>
  <c r="B545" i="7"/>
  <c r="F545" i="7" s="1"/>
  <c r="B546" i="7"/>
  <c r="F546" i="7" s="1"/>
  <c r="B547" i="7"/>
  <c r="K547" i="7" s="1"/>
  <c r="L547" i="7" s="1"/>
  <c r="B548" i="7"/>
  <c r="F548" i="7" s="1"/>
  <c r="B549" i="7"/>
  <c r="K549" i="7" s="1"/>
  <c r="B550" i="7"/>
  <c r="K550" i="7" s="1"/>
  <c r="L550" i="7" s="1"/>
  <c r="B551" i="7"/>
  <c r="F563" i="7"/>
  <c r="H563" i="7" s="1"/>
  <c r="L563" i="7"/>
  <c r="F564" i="7"/>
  <c r="F565" i="7"/>
  <c r="H565" i="7" s="1"/>
  <c r="L565" i="7"/>
  <c r="F566" i="7"/>
  <c r="L566" i="7"/>
  <c r="B567" i="7"/>
  <c r="I567" i="7"/>
  <c r="J567" i="7"/>
  <c r="K567" i="7"/>
  <c r="F569" i="7"/>
  <c r="F570" i="7" s="1"/>
  <c r="L569" i="7"/>
  <c r="L570" i="7" s="1"/>
  <c r="B570" i="7"/>
  <c r="I570" i="7"/>
  <c r="J570" i="7"/>
  <c r="K570" i="7"/>
  <c r="F572" i="7"/>
  <c r="F573" i="7"/>
  <c r="F574" i="7"/>
  <c r="H574" i="7" s="1"/>
  <c r="L574" i="7"/>
  <c r="F575" i="7"/>
  <c r="L575" i="7"/>
  <c r="F576" i="7"/>
  <c r="H576" i="7" s="1"/>
  <c r="L576" i="7"/>
  <c r="F577" i="7"/>
  <c r="D577" i="7" s="1"/>
  <c r="L577" i="7"/>
  <c r="B578" i="7"/>
  <c r="I578" i="7"/>
  <c r="J578" i="7"/>
  <c r="K578" i="7"/>
  <c r="F584" i="7"/>
  <c r="D584" i="7" s="1"/>
  <c r="L584" i="7"/>
  <c r="F585" i="7"/>
  <c r="J585" i="7"/>
  <c r="K585" i="7"/>
  <c r="F586" i="7"/>
  <c r="D586" i="7" s="1"/>
  <c r="J586" i="7"/>
  <c r="K586" i="7"/>
  <c r="F587" i="7"/>
  <c r="J587" i="7"/>
  <c r="K587" i="7"/>
  <c r="D588" i="7"/>
  <c r="F588" i="7" s="1"/>
  <c r="H588" i="7" s="1"/>
  <c r="J588" i="7"/>
  <c r="B589" i="7"/>
  <c r="I589" i="7"/>
  <c r="F591" i="7"/>
  <c r="J591" i="7"/>
  <c r="K591" i="7"/>
  <c r="K592" i="7" s="1"/>
  <c r="B592" i="7"/>
  <c r="I592" i="7"/>
  <c r="F594" i="7"/>
  <c r="H594" i="7" s="1"/>
  <c r="F595" i="7"/>
  <c r="F596" i="7"/>
  <c r="L596" i="7"/>
  <c r="F597" i="7"/>
  <c r="H597" i="7" s="1"/>
  <c r="L597" i="7"/>
  <c r="F598" i="7"/>
  <c r="L598" i="7"/>
  <c r="F599" i="7"/>
  <c r="H599" i="7" s="1"/>
  <c r="B600" i="7"/>
  <c r="I600" i="7"/>
  <c r="J600" i="7"/>
  <c r="K600" i="7"/>
  <c r="F611" i="7"/>
  <c r="D611" i="7" s="1"/>
  <c r="L611" i="7"/>
  <c r="F612" i="7"/>
  <c r="L612" i="7"/>
  <c r="F613" i="7"/>
  <c r="L613" i="7"/>
  <c r="F614" i="7"/>
  <c r="L614" i="7"/>
  <c r="H615" i="7"/>
  <c r="L615" i="7"/>
  <c r="B616" i="7"/>
  <c r="I616" i="7"/>
  <c r="J616" i="7"/>
  <c r="K616" i="7"/>
  <c r="F618" i="7"/>
  <c r="H618" i="7" s="1"/>
  <c r="H619" i="7" s="1"/>
  <c r="L618" i="7"/>
  <c r="B619" i="7"/>
  <c r="I619" i="7"/>
  <c r="J619" i="7"/>
  <c r="K619" i="7"/>
  <c r="H621" i="7"/>
  <c r="L621" i="7"/>
  <c r="F622" i="7"/>
  <c r="L622" i="7"/>
  <c r="F623" i="7"/>
  <c r="H623" i="7" s="1"/>
  <c r="L623" i="7"/>
  <c r="F624" i="7"/>
  <c r="L624" i="7"/>
  <c r="B625" i="7"/>
  <c r="I625" i="7"/>
  <c r="J625" i="7"/>
  <c r="K625" i="7"/>
  <c r="F631" i="7"/>
  <c r="L631" i="7"/>
  <c r="F632" i="7"/>
  <c r="D632" i="7" s="1"/>
  <c r="L632" i="7"/>
  <c r="F633" i="7"/>
  <c r="D633" i="7" s="1"/>
  <c r="L633" i="7"/>
  <c r="F634" i="7"/>
  <c r="L634" i="7"/>
  <c r="H635" i="7"/>
  <c r="L635" i="7"/>
  <c r="B636" i="7"/>
  <c r="I636" i="7"/>
  <c r="J636" i="7"/>
  <c r="K636" i="7"/>
  <c r="F638" i="7"/>
  <c r="H638" i="7" s="1"/>
  <c r="H639" i="7" s="1"/>
  <c r="L638" i="7"/>
  <c r="L639" i="7" s="1"/>
  <c r="B639" i="7"/>
  <c r="I639" i="7"/>
  <c r="J639" i="7"/>
  <c r="K639" i="7"/>
  <c r="F641" i="7"/>
  <c r="L641" i="7"/>
  <c r="L642" i="7"/>
  <c r="F643" i="7"/>
  <c r="L643" i="7"/>
  <c r="F644" i="7"/>
  <c r="L644" i="7"/>
  <c r="B646" i="7"/>
  <c r="I646" i="7"/>
  <c r="I647" i="7" s="1"/>
  <c r="J646" i="7"/>
  <c r="K646" i="7"/>
  <c r="N6" i="12"/>
  <c r="B493" i="7" s="1"/>
  <c r="N7" i="12"/>
  <c r="B494" i="7" s="1"/>
  <c r="F494" i="7" s="1"/>
  <c r="N8" i="12"/>
  <c r="B495" i="7" s="1"/>
  <c r="K495" i="7" s="1"/>
  <c r="N9" i="12"/>
  <c r="B496" i="7" s="1"/>
  <c r="N10" i="12"/>
  <c r="N11" i="12"/>
  <c r="B498" i="7" s="1"/>
  <c r="K498" i="7" s="1"/>
  <c r="N12" i="12"/>
  <c r="B499" i="7" s="1"/>
  <c r="B13" i="12"/>
  <c r="C13" i="12"/>
  <c r="D13" i="12"/>
  <c r="E13" i="12"/>
  <c r="F13" i="12"/>
  <c r="G13" i="12"/>
  <c r="H13" i="12"/>
  <c r="I13" i="12"/>
  <c r="J13" i="12"/>
  <c r="K13" i="12"/>
  <c r="L13" i="12"/>
  <c r="M13" i="12"/>
  <c r="N15" i="12"/>
  <c r="B16" i="12"/>
  <c r="C16" i="12"/>
  <c r="D16" i="12"/>
  <c r="E16" i="12"/>
  <c r="F16" i="12"/>
  <c r="G16" i="12"/>
  <c r="H16" i="12"/>
  <c r="I16" i="12"/>
  <c r="J16" i="12"/>
  <c r="K16" i="12"/>
  <c r="L16" i="12"/>
  <c r="M16" i="12"/>
  <c r="N18" i="12"/>
  <c r="B505" i="7" s="1"/>
  <c r="K505" i="7" s="1"/>
  <c r="N19" i="12"/>
  <c r="B506" i="7" s="1"/>
  <c r="F506" i="7" s="1"/>
  <c r="H506" i="7" s="1"/>
  <c r="N20" i="12"/>
  <c r="B507" i="7" s="1"/>
  <c r="N21" i="12"/>
  <c r="N22" i="12"/>
  <c r="B509" i="7" s="1"/>
  <c r="K509" i="7" s="1"/>
  <c r="N23" i="12"/>
  <c r="N24" i="12"/>
  <c r="B511" i="7" s="1"/>
  <c r="F511" i="7" s="1"/>
  <c r="H511" i="7" s="1"/>
  <c r="N25" i="12"/>
  <c r="B512" i="7" s="1"/>
  <c r="K512" i="7" s="1"/>
  <c r="N26" i="12"/>
  <c r="B513" i="7" s="1"/>
  <c r="F513" i="7" s="1"/>
  <c r="D513" i="7" s="1"/>
  <c r="N27" i="12"/>
  <c r="B28" i="12"/>
  <c r="C28" i="12"/>
  <c r="D28" i="12"/>
  <c r="E28" i="12"/>
  <c r="F28" i="12"/>
  <c r="G28" i="12"/>
  <c r="H28" i="12"/>
  <c r="I28" i="12"/>
  <c r="J28" i="12"/>
  <c r="K28" i="12"/>
  <c r="L28" i="12"/>
  <c r="M28" i="12"/>
  <c r="N30" i="12"/>
  <c r="B517" i="7"/>
  <c r="N31" i="12"/>
  <c r="N32" i="12"/>
  <c r="B519" i="7" s="1"/>
  <c r="N33" i="12"/>
  <c r="B520" i="7" s="1"/>
  <c r="J520" i="7" s="1"/>
  <c r="N34" i="12"/>
  <c r="B35" i="12"/>
  <c r="C35" i="12"/>
  <c r="D35" i="12"/>
  <c r="E35" i="12"/>
  <c r="F35" i="12"/>
  <c r="G35" i="12"/>
  <c r="H35" i="12"/>
  <c r="I35" i="12"/>
  <c r="J35" i="12"/>
  <c r="K35" i="12"/>
  <c r="L35" i="12"/>
  <c r="M35" i="12"/>
  <c r="N41" i="12"/>
  <c r="B450" i="7" s="1"/>
  <c r="N42" i="12"/>
  <c r="N43" i="12"/>
  <c r="N44" i="12"/>
  <c r="N45" i="12"/>
  <c r="B454" i="7" s="1"/>
  <c r="B48" i="12"/>
  <c r="C48" i="12"/>
  <c r="D48" i="12"/>
  <c r="E48" i="12"/>
  <c r="F48" i="12"/>
  <c r="G48" i="12"/>
  <c r="H48" i="12"/>
  <c r="I48" i="12"/>
  <c r="J48" i="12"/>
  <c r="K48" i="12"/>
  <c r="L48" i="12"/>
  <c r="M48" i="12"/>
  <c r="N50" i="12"/>
  <c r="B51" i="12"/>
  <c r="C51" i="12"/>
  <c r="D51" i="12"/>
  <c r="E51" i="12"/>
  <c r="F51" i="12"/>
  <c r="G51" i="12"/>
  <c r="H51" i="12"/>
  <c r="I51" i="12"/>
  <c r="J51" i="12"/>
  <c r="K51" i="12"/>
  <c r="L51" i="12"/>
  <c r="M51" i="12"/>
  <c r="N53" i="12"/>
  <c r="N54" i="12"/>
  <c r="B463" i="7" s="1"/>
  <c r="J463" i="7" s="1"/>
  <c r="N55" i="12"/>
  <c r="B464" i="7" s="1"/>
  <c r="K464" i="7" s="1"/>
  <c r="N56" i="12"/>
  <c r="B465" i="7" s="1"/>
  <c r="J465" i="7" s="1"/>
  <c r="N57" i="12"/>
  <c r="B466" i="7" s="1"/>
  <c r="N58" i="12"/>
  <c r="B467" i="7" s="1"/>
  <c r="N59" i="12"/>
  <c r="B468" i="7" s="1"/>
  <c r="J468" i="7" s="1"/>
  <c r="N60" i="12"/>
  <c r="B469" i="7" s="1"/>
  <c r="K469" i="7" s="1"/>
  <c r="N61" i="12"/>
  <c r="B470" i="7" s="1"/>
  <c r="K470" i="7" s="1"/>
  <c r="N62" i="12"/>
  <c r="B471" i="7" s="1"/>
  <c r="N63" i="12"/>
  <c r="B472" i="7" s="1"/>
  <c r="J472" i="7" s="1"/>
  <c r="N64" i="12"/>
  <c r="B473" i="7" s="1"/>
  <c r="J473" i="7" s="1"/>
  <c r="B65" i="12"/>
  <c r="C65" i="12"/>
  <c r="D65" i="12"/>
  <c r="E65" i="12"/>
  <c r="F65" i="12"/>
  <c r="G65" i="12"/>
  <c r="H65" i="12"/>
  <c r="I65" i="12"/>
  <c r="J65" i="12"/>
  <c r="K65" i="12"/>
  <c r="L65" i="12"/>
  <c r="M65" i="12"/>
  <c r="N67" i="12"/>
  <c r="N68" i="12"/>
  <c r="N69" i="12"/>
  <c r="B478" i="7" s="1"/>
  <c r="F478" i="7" s="1"/>
  <c r="N70" i="12"/>
  <c r="B479" i="7" s="1"/>
  <c r="N71" i="12"/>
  <c r="B480" i="7" s="1"/>
  <c r="F480" i="7" s="1"/>
  <c r="D480" i="7" s="1"/>
  <c r="N72" i="12"/>
  <c r="B481" i="7" s="1"/>
  <c r="B73" i="12"/>
  <c r="C73" i="12"/>
  <c r="D73" i="12"/>
  <c r="E73" i="12"/>
  <c r="F73" i="12"/>
  <c r="G73" i="12"/>
  <c r="H73" i="12"/>
  <c r="I73" i="12"/>
  <c r="J73" i="12"/>
  <c r="K73" i="12"/>
  <c r="L73" i="12"/>
  <c r="M73" i="12"/>
  <c r="B455" i="8"/>
  <c r="F455" i="8"/>
  <c r="D455" i="8" s="1"/>
  <c r="B456" i="8"/>
  <c r="F456" i="8"/>
  <c r="D456" i="8" s="1"/>
  <c r="J456" i="8"/>
  <c r="K456" i="8"/>
  <c r="I474" i="8"/>
  <c r="K481" i="8"/>
  <c r="L481" i="8" s="1"/>
  <c r="I482" i="8"/>
  <c r="F499" i="8"/>
  <c r="H499" i="8" s="1"/>
  <c r="J499" i="8"/>
  <c r="K499" i="8"/>
  <c r="F513" i="8"/>
  <c r="H513" i="8" s="1"/>
  <c r="J513" i="8"/>
  <c r="K513" i="8"/>
  <c r="B514" i="8"/>
  <c r="K514" i="8" s="1"/>
  <c r="I515" i="8"/>
  <c r="I522" i="8"/>
  <c r="B533" i="8"/>
  <c r="F533" i="8" s="1"/>
  <c r="B534" i="8"/>
  <c r="F534" i="8" s="1"/>
  <c r="B535" i="8"/>
  <c r="B536" i="8"/>
  <c r="B537" i="8"/>
  <c r="F537" i="8" s="1"/>
  <c r="B538" i="8"/>
  <c r="F538" i="8" s="1"/>
  <c r="I539" i="8"/>
  <c r="B541" i="8"/>
  <c r="I541" i="8" s="1"/>
  <c r="I542" i="8" s="1"/>
  <c r="B544" i="8"/>
  <c r="J544" i="8" s="1"/>
  <c r="B545" i="8"/>
  <c r="J545" i="8" s="1"/>
  <c r="B546" i="8"/>
  <c r="K546" i="8" s="1"/>
  <c r="B547" i="8"/>
  <c r="B548" i="8"/>
  <c r="F548" i="8" s="1"/>
  <c r="B549" i="8"/>
  <c r="F549" i="8" s="1"/>
  <c r="B550" i="8"/>
  <c r="F550" i="8" s="1"/>
  <c r="H550" i="8" s="1"/>
  <c r="B551" i="8"/>
  <c r="F551" i="8" s="1"/>
  <c r="F563" i="8"/>
  <c r="J563" i="8"/>
  <c r="K563" i="8"/>
  <c r="F564" i="8"/>
  <c r="D564" i="8" s="1"/>
  <c r="K564" i="8"/>
  <c r="F565" i="8"/>
  <c r="D565" i="8" s="1"/>
  <c r="J565" i="8"/>
  <c r="J566" i="8"/>
  <c r="K565" i="8"/>
  <c r="F566" i="8"/>
  <c r="K566" i="8"/>
  <c r="B567" i="8"/>
  <c r="I567" i="8"/>
  <c r="F569" i="8"/>
  <c r="F570" i="8" s="1"/>
  <c r="J569" i="8"/>
  <c r="J570" i="8" s="1"/>
  <c r="K569" i="8"/>
  <c r="B570" i="8"/>
  <c r="I570" i="8"/>
  <c r="F572" i="8"/>
  <c r="F573" i="8"/>
  <c r="F574" i="8"/>
  <c r="D574" i="8" s="1"/>
  <c r="L574" i="8"/>
  <c r="F575" i="8"/>
  <c r="H575" i="8" s="1"/>
  <c r="L575" i="8"/>
  <c r="F576" i="8"/>
  <c r="L576" i="8"/>
  <c r="F577" i="8"/>
  <c r="D577" i="8" s="1"/>
  <c r="L577" i="8"/>
  <c r="B578" i="8"/>
  <c r="I578" i="8"/>
  <c r="J578" i="8"/>
  <c r="K578" i="8"/>
  <c r="H584" i="8"/>
  <c r="J584" i="8"/>
  <c r="K584" i="8"/>
  <c r="F585" i="8"/>
  <c r="D585" i="8" s="1"/>
  <c r="J585" i="8"/>
  <c r="K585" i="8"/>
  <c r="F586" i="8"/>
  <c r="H586" i="8" s="1"/>
  <c r="J586" i="8"/>
  <c r="K586" i="8"/>
  <c r="F587" i="8"/>
  <c r="D587" i="8" s="1"/>
  <c r="J587" i="8"/>
  <c r="K587" i="8"/>
  <c r="L587" i="8" s="1"/>
  <c r="M587" i="8" s="1"/>
  <c r="D588" i="8"/>
  <c r="F588" i="8" s="1"/>
  <c r="H588" i="8" s="1"/>
  <c r="L588" i="8"/>
  <c r="B589" i="8"/>
  <c r="I589" i="8"/>
  <c r="F591" i="8"/>
  <c r="F592" i="8" s="1"/>
  <c r="J591" i="8"/>
  <c r="J592" i="8" s="1"/>
  <c r="K591" i="8"/>
  <c r="K592" i="8" s="1"/>
  <c r="B592" i="8"/>
  <c r="I592" i="8"/>
  <c r="F594" i="8"/>
  <c r="K594" i="8"/>
  <c r="F595" i="8"/>
  <c r="D595" i="8" s="1"/>
  <c r="F596" i="8"/>
  <c r="H596" i="8" s="1"/>
  <c r="K596" i="8"/>
  <c r="L596" i="8" s="1"/>
  <c r="F597" i="8"/>
  <c r="L597" i="8"/>
  <c r="F598" i="8"/>
  <c r="L598" i="8"/>
  <c r="F599" i="8"/>
  <c r="D599" i="8" s="1"/>
  <c r="B600" i="8"/>
  <c r="I600" i="8"/>
  <c r="J600" i="8"/>
  <c r="F611" i="8"/>
  <c r="H611" i="8" s="1"/>
  <c r="L611" i="8"/>
  <c r="F612" i="8"/>
  <c r="D612" i="8" s="1"/>
  <c r="L612" i="8"/>
  <c r="F613" i="8"/>
  <c r="H613" i="8" s="1"/>
  <c r="L613" i="8"/>
  <c r="F614" i="8"/>
  <c r="D614" i="8" s="1"/>
  <c r="L614" i="8"/>
  <c r="H615" i="8"/>
  <c r="L615" i="8"/>
  <c r="B616" i="8"/>
  <c r="I616" i="8"/>
  <c r="J616" i="8"/>
  <c r="K616" i="8"/>
  <c r="F618" i="8"/>
  <c r="H618" i="8" s="1"/>
  <c r="H619" i="8" s="1"/>
  <c r="L618" i="8"/>
  <c r="L619" i="8" s="1"/>
  <c r="B619" i="8"/>
  <c r="I619" i="8"/>
  <c r="J619" i="8"/>
  <c r="K619" i="8"/>
  <c r="F621" i="8"/>
  <c r="D621" i="8" s="1"/>
  <c r="L621" i="8"/>
  <c r="F622" i="8"/>
  <c r="L622" i="8"/>
  <c r="F623" i="8"/>
  <c r="L623" i="8"/>
  <c r="F624" i="8"/>
  <c r="D624" i="8" s="1"/>
  <c r="L624" i="8"/>
  <c r="B625" i="8"/>
  <c r="I625" i="8"/>
  <c r="J625" i="8"/>
  <c r="K625" i="8"/>
  <c r="F631" i="8"/>
  <c r="H631" i="8" s="1"/>
  <c r="L631" i="8"/>
  <c r="F632" i="8"/>
  <c r="L632" i="8"/>
  <c r="F633" i="8"/>
  <c r="L633" i="8"/>
  <c r="F634" i="8"/>
  <c r="D634" i="8" s="1"/>
  <c r="L634" i="8"/>
  <c r="H635" i="8"/>
  <c r="L635" i="8"/>
  <c r="B636" i="8"/>
  <c r="I636" i="8"/>
  <c r="J636" i="8"/>
  <c r="K636" i="8"/>
  <c r="F638" i="8"/>
  <c r="L638" i="8"/>
  <c r="L639" i="8" s="1"/>
  <c r="B639" i="8"/>
  <c r="I639" i="8"/>
  <c r="J639" i="8"/>
  <c r="K639" i="8"/>
  <c r="F641" i="8"/>
  <c r="L641" i="8"/>
  <c r="F642" i="8"/>
  <c r="H642" i="8" s="1"/>
  <c r="L642" i="8"/>
  <c r="F643" i="8"/>
  <c r="H643" i="8" s="1"/>
  <c r="L643" i="8"/>
  <c r="F644" i="8"/>
  <c r="L644" i="8"/>
  <c r="B646" i="8"/>
  <c r="I646" i="8"/>
  <c r="J646" i="8"/>
  <c r="K646" i="8"/>
  <c r="N6" i="11"/>
  <c r="B493" i="8" s="1"/>
  <c r="N7" i="11"/>
  <c r="B494" i="8" s="1"/>
  <c r="N8" i="11"/>
  <c r="N9" i="11"/>
  <c r="B496" i="8" s="1"/>
  <c r="J496" i="8" s="1"/>
  <c r="N10" i="11"/>
  <c r="B497" i="8" s="1"/>
  <c r="K497" i="8" s="1"/>
  <c r="N11" i="11"/>
  <c r="B498" i="8" s="1"/>
  <c r="F498" i="8" s="1"/>
  <c r="N12" i="11"/>
  <c r="B499" i="8" s="1"/>
  <c r="B13" i="11"/>
  <c r="C13" i="11"/>
  <c r="D13" i="11"/>
  <c r="E13" i="11"/>
  <c r="F13" i="11"/>
  <c r="G13" i="11"/>
  <c r="H13" i="11"/>
  <c r="I13" i="11"/>
  <c r="J13" i="11"/>
  <c r="K13" i="11"/>
  <c r="L13" i="11"/>
  <c r="M13" i="11"/>
  <c r="N15" i="11"/>
  <c r="B16" i="11"/>
  <c r="C16" i="11"/>
  <c r="D16" i="11"/>
  <c r="E16" i="11"/>
  <c r="F16" i="11"/>
  <c r="G16" i="11"/>
  <c r="H16" i="11"/>
  <c r="I16" i="11"/>
  <c r="J16" i="11"/>
  <c r="K16" i="11"/>
  <c r="L16" i="11"/>
  <c r="M16" i="11"/>
  <c r="N18" i="11"/>
  <c r="B505" i="8" s="1"/>
  <c r="N19" i="11"/>
  <c r="B506" i="8" s="1"/>
  <c r="N20" i="11"/>
  <c r="B507" i="8" s="1"/>
  <c r="J507" i="8" s="1"/>
  <c r="N21" i="11"/>
  <c r="B508" i="8" s="1"/>
  <c r="F508" i="8" s="1"/>
  <c r="H508" i="8" s="1"/>
  <c r="N22" i="11"/>
  <c r="B509" i="8" s="1"/>
  <c r="N23" i="11"/>
  <c r="B510" i="8" s="1"/>
  <c r="N24" i="11"/>
  <c r="B511" i="8" s="1"/>
  <c r="N25" i="11"/>
  <c r="B512" i="8" s="1"/>
  <c r="K512" i="8" s="1"/>
  <c r="N26" i="11"/>
  <c r="B513" i="8" s="1"/>
  <c r="N27" i="11"/>
  <c r="B28" i="11"/>
  <c r="C28" i="11"/>
  <c r="D28" i="11"/>
  <c r="E28" i="11"/>
  <c r="F28" i="11"/>
  <c r="G28" i="11"/>
  <c r="H28" i="11"/>
  <c r="I28" i="11"/>
  <c r="J28" i="11"/>
  <c r="K28" i="11"/>
  <c r="L28" i="11"/>
  <c r="M28" i="11"/>
  <c r="N30" i="11"/>
  <c r="B517" i="8" s="1"/>
  <c r="J517" i="8" s="1"/>
  <c r="N31" i="11"/>
  <c r="B518" i="8" s="1"/>
  <c r="J518" i="8" s="1"/>
  <c r="N32" i="11"/>
  <c r="B519" i="8" s="1"/>
  <c r="N33" i="11"/>
  <c r="B520" i="8" s="1"/>
  <c r="K520" i="8" s="1"/>
  <c r="N34" i="11"/>
  <c r="B521" i="8" s="1"/>
  <c r="B35" i="11"/>
  <c r="C35" i="11"/>
  <c r="D35" i="11"/>
  <c r="E35" i="11"/>
  <c r="F35" i="11"/>
  <c r="G35" i="11"/>
  <c r="H35" i="11"/>
  <c r="I35" i="11"/>
  <c r="J35" i="11"/>
  <c r="K35" i="11"/>
  <c r="L35" i="11"/>
  <c r="M35" i="11"/>
  <c r="N41" i="11"/>
  <c r="B450" i="8" s="1"/>
  <c r="F450" i="8" s="1"/>
  <c r="D450" i="8" s="1"/>
  <c r="N42" i="11"/>
  <c r="N43" i="11"/>
  <c r="B452" i="8" s="1"/>
  <c r="N44" i="11"/>
  <c r="B453" i="8" s="1"/>
  <c r="I453" i="8" s="1"/>
  <c r="N45" i="11"/>
  <c r="B454" i="8" s="1"/>
  <c r="K454" i="8" s="1"/>
  <c r="N50" i="11"/>
  <c r="N53" i="11"/>
  <c r="B462" i="8" s="1"/>
  <c r="K462" i="8" s="1"/>
  <c r="N54" i="11"/>
  <c r="B463" i="8" s="1"/>
  <c r="F463" i="8" s="1"/>
  <c r="N55" i="11"/>
  <c r="B464" i="8" s="1"/>
  <c r="J464" i="8" s="1"/>
  <c r="N56" i="11"/>
  <c r="B465" i="8" s="1"/>
  <c r="K465" i="8" s="1"/>
  <c r="N57" i="11"/>
  <c r="B466" i="8" s="1"/>
  <c r="N58" i="11"/>
  <c r="B467" i="8" s="1"/>
  <c r="F467" i="8" s="1"/>
  <c r="N59" i="11"/>
  <c r="B468" i="8" s="1"/>
  <c r="K468" i="8" s="1"/>
  <c r="N60" i="11"/>
  <c r="B469" i="8" s="1"/>
  <c r="N61" i="11"/>
  <c r="B470" i="8" s="1"/>
  <c r="N62" i="11"/>
  <c r="B471" i="8" s="1"/>
  <c r="F471" i="8" s="1"/>
  <c r="N63" i="11"/>
  <c r="B472" i="8" s="1"/>
  <c r="N64" i="11"/>
  <c r="B473" i="8" s="1"/>
  <c r="J473" i="8" s="1"/>
  <c r="B65" i="11"/>
  <c r="C65" i="11"/>
  <c r="D65" i="11"/>
  <c r="E65" i="11"/>
  <c r="F65" i="11"/>
  <c r="G65" i="11"/>
  <c r="H65" i="11"/>
  <c r="I65" i="11"/>
  <c r="J65" i="11"/>
  <c r="K65" i="11"/>
  <c r="L65" i="11"/>
  <c r="M65" i="11"/>
  <c r="N67" i="11"/>
  <c r="B476" i="8" s="1"/>
  <c r="J476" i="8" s="1"/>
  <c r="N68" i="11"/>
  <c r="B477" i="8" s="1"/>
  <c r="K477" i="8" s="1"/>
  <c r="N69" i="11"/>
  <c r="B478" i="8" s="1"/>
  <c r="K478" i="8" s="1"/>
  <c r="N70" i="11"/>
  <c r="B479" i="8" s="1"/>
  <c r="N71" i="11"/>
  <c r="B480" i="8" s="1"/>
  <c r="N72" i="11"/>
  <c r="B481" i="8" s="1"/>
  <c r="B73" i="11"/>
  <c r="C73" i="11"/>
  <c r="D73" i="11"/>
  <c r="E73" i="11"/>
  <c r="F73" i="11"/>
  <c r="G73" i="11"/>
  <c r="H73" i="11"/>
  <c r="I73" i="11"/>
  <c r="J73" i="11"/>
  <c r="K73" i="11"/>
  <c r="L73" i="11"/>
  <c r="M73" i="11"/>
  <c r="F455" i="9"/>
  <c r="D455" i="9" s="1"/>
  <c r="J455" i="9"/>
  <c r="K455" i="9"/>
  <c r="F456" i="9"/>
  <c r="J456" i="9"/>
  <c r="K456" i="9"/>
  <c r="I474" i="9"/>
  <c r="F481" i="9"/>
  <c r="D481" i="9" s="1"/>
  <c r="K481" i="9"/>
  <c r="L481" i="9" s="1"/>
  <c r="F498" i="9"/>
  <c r="J498" i="9"/>
  <c r="F499" i="9"/>
  <c r="J499" i="9"/>
  <c r="K499" i="9"/>
  <c r="B513" i="9"/>
  <c r="I515" i="9"/>
  <c r="I522" i="9"/>
  <c r="B533" i="9"/>
  <c r="F533" i="9" s="1"/>
  <c r="B534" i="9"/>
  <c r="F534" i="9" s="1"/>
  <c r="H534" i="9" s="1"/>
  <c r="B535" i="9"/>
  <c r="B536" i="9"/>
  <c r="F536" i="9" s="1"/>
  <c r="H536" i="9" s="1"/>
  <c r="B537" i="9"/>
  <c r="J537" i="9" s="1"/>
  <c r="J539" i="9" s="1"/>
  <c r="B538" i="9"/>
  <c r="F538" i="9" s="1"/>
  <c r="I539" i="9"/>
  <c r="B541" i="9"/>
  <c r="K541" i="9" s="1"/>
  <c r="B544" i="9"/>
  <c r="B545" i="9"/>
  <c r="B546" i="9"/>
  <c r="B547" i="9"/>
  <c r="K547" i="9" s="1"/>
  <c r="L547" i="9" s="1"/>
  <c r="B548" i="9"/>
  <c r="F548" i="9" s="1"/>
  <c r="D548" i="9" s="1"/>
  <c r="B549" i="9"/>
  <c r="J549" i="9" s="1"/>
  <c r="B550" i="9"/>
  <c r="K550" i="9" s="1"/>
  <c r="L550" i="9" s="1"/>
  <c r="B551" i="9"/>
  <c r="F551" i="9" s="1"/>
  <c r="I552" i="9"/>
  <c r="F563" i="9"/>
  <c r="H563" i="9" s="1"/>
  <c r="J563" i="9"/>
  <c r="K563" i="9"/>
  <c r="F564" i="9"/>
  <c r="H564" i="9" s="1"/>
  <c r="L564" i="9"/>
  <c r="F565" i="9"/>
  <c r="D565" i="9" s="1"/>
  <c r="J565" i="9"/>
  <c r="K565" i="9"/>
  <c r="F566" i="9"/>
  <c r="D566" i="9" s="1"/>
  <c r="J566" i="9"/>
  <c r="K566" i="9"/>
  <c r="B567" i="9"/>
  <c r="I567" i="9"/>
  <c r="F569" i="9"/>
  <c r="J569" i="9"/>
  <c r="K569" i="9"/>
  <c r="B570" i="9"/>
  <c r="I570" i="9"/>
  <c r="F572" i="9"/>
  <c r="H572" i="9" s="1"/>
  <c r="J572" i="9"/>
  <c r="K572" i="9"/>
  <c r="F573" i="9"/>
  <c r="F574" i="9"/>
  <c r="K574" i="9"/>
  <c r="L574" i="9" s="1"/>
  <c r="F575" i="9"/>
  <c r="K575" i="9"/>
  <c r="F576" i="9"/>
  <c r="L576" i="9"/>
  <c r="F577" i="9"/>
  <c r="D577" i="9" s="1"/>
  <c r="L577" i="9"/>
  <c r="B578" i="9"/>
  <c r="I578" i="9"/>
  <c r="F584" i="9"/>
  <c r="D584" i="9" s="1"/>
  <c r="J584" i="9"/>
  <c r="K584" i="9"/>
  <c r="L584" i="9" s="1"/>
  <c r="F585" i="9"/>
  <c r="J585" i="9"/>
  <c r="K585" i="9"/>
  <c r="J586" i="9"/>
  <c r="K586" i="9"/>
  <c r="F587" i="9"/>
  <c r="D587" i="9" s="1"/>
  <c r="J587" i="9"/>
  <c r="K587" i="9"/>
  <c r="D588" i="9"/>
  <c r="F588" i="9" s="1"/>
  <c r="J588" i="9"/>
  <c r="L588" i="9" s="1"/>
  <c r="B589" i="9"/>
  <c r="I589" i="9"/>
  <c r="F591" i="9"/>
  <c r="J591" i="9"/>
  <c r="L591" i="9" s="1"/>
  <c r="L592" i="9" s="1"/>
  <c r="K591" i="9"/>
  <c r="K592" i="9" s="1"/>
  <c r="B592" i="9"/>
  <c r="I592" i="9"/>
  <c r="F594" i="9"/>
  <c r="H594" i="9" s="1"/>
  <c r="L594" i="9"/>
  <c r="F595" i="9"/>
  <c r="F596" i="9"/>
  <c r="H596" i="9" s="1"/>
  <c r="K596" i="9"/>
  <c r="F597" i="9"/>
  <c r="D597" i="9" s="1"/>
  <c r="L597" i="9"/>
  <c r="F598" i="9"/>
  <c r="L598" i="9"/>
  <c r="F599" i="9"/>
  <c r="D599" i="9" s="1"/>
  <c r="K599" i="9"/>
  <c r="B600" i="9"/>
  <c r="I600" i="9"/>
  <c r="J600" i="9"/>
  <c r="F611" i="9"/>
  <c r="H611" i="9" s="1"/>
  <c r="L611" i="9"/>
  <c r="F612" i="9"/>
  <c r="D612" i="9" s="1"/>
  <c r="L612" i="9"/>
  <c r="F613" i="9"/>
  <c r="L613" i="9"/>
  <c r="F614" i="9"/>
  <c r="H614" i="9" s="1"/>
  <c r="L614" i="9"/>
  <c r="H615" i="9"/>
  <c r="L615" i="9"/>
  <c r="B616" i="9"/>
  <c r="I616" i="9"/>
  <c r="J616" i="9"/>
  <c r="K616" i="9"/>
  <c r="F618" i="9"/>
  <c r="L618" i="9"/>
  <c r="L619" i="9" s="1"/>
  <c r="B619" i="9"/>
  <c r="I619" i="9"/>
  <c r="J619" i="9"/>
  <c r="K619" i="9"/>
  <c r="F621" i="9"/>
  <c r="H621" i="9" s="1"/>
  <c r="L621" i="9"/>
  <c r="F622" i="9"/>
  <c r="L622" i="9"/>
  <c r="F623" i="9"/>
  <c r="L623" i="9"/>
  <c r="F624" i="9"/>
  <c r="L624" i="9"/>
  <c r="B625" i="9"/>
  <c r="I625" i="9"/>
  <c r="J625" i="9"/>
  <c r="K625" i="9"/>
  <c r="F631" i="9"/>
  <c r="H631" i="9" s="1"/>
  <c r="L631" i="9"/>
  <c r="F632" i="9"/>
  <c r="L632" i="9"/>
  <c r="F633" i="9"/>
  <c r="D633" i="9" s="1"/>
  <c r="L633" i="9"/>
  <c r="F634" i="9"/>
  <c r="L634" i="9"/>
  <c r="H635" i="9"/>
  <c r="L635" i="9"/>
  <c r="B636" i="9"/>
  <c r="I636" i="9"/>
  <c r="J636" i="9"/>
  <c r="K636" i="9"/>
  <c r="F638" i="9"/>
  <c r="L638" i="9"/>
  <c r="B639" i="9"/>
  <c r="I639" i="9"/>
  <c r="J639" i="9"/>
  <c r="K639" i="9"/>
  <c r="F641" i="9"/>
  <c r="H641" i="9" s="1"/>
  <c r="L641" i="9"/>
  <c r="F642" i="9"/>
  <c r="L642" i="9"/>
  <c r="F643" i="9"/>
  <c r="D643" i="9" s="1"/>
  <c r="L643" i="9"/>
  <c r="F644" i="9"/>
  <c r="D644" i="9" s="1"/>
  <c r="L644" i="9"/>
  <c r="B646" i="9"/>
  <c r="I646" i="9"/>
  <c r="J646" i="9"/>
  <c r="K646" i="9"/>
  <c r="N6" i="10"/>
  <c r="B493" i="9" s="1"/>
  <c r="K493" i="9" s="1"/>
  <c r="N7" i="10"/>
  <c r="N8" i="10"/>
  <c r="B495" i="9" s="1"/>
  <c r="N9" i="10"/>
  <c r="B496" i="9" s="1"/>
  <c r="N10" i="10"/>
  <c r="N11" i="10"/>
  <c r="B498" i="9" s="1"/>
  <c r="N12" i="10"/>
  <c r="B499" i="9" s="1"/>
  <c r="N15" i="10"/>
  <c r="B16" i="10"/>
  <c r="C16" i="10"/>
  <c r="D16" i="10"/>
  <c r="E16" i="10"/>
  <c r="F16" i="10"/>
  <c r="G16" i="10"/>
  <c r="H16" i="10"/>
  <c r="I16" i="10"/>
  <c r="J16" i="10"/>
  <c r="K16" i="10"/>
  <c r="L16" i="10"/>
  <c r="M16" i="10"/>
  <c r="N18" i="10"/>
  <c r="N19" i="10"/>
  <c r="B506" i="9" s="1"/>
  <c r="J506" i="9" s="1"/>
  <c r="N20" i="10"/>
  <c r="B507" i="9" s="1"/>
  <c r="N21" i="10"/>
  <c r="B508" i="9" s="1"/>
  <c r="N22" i="10"/>
  <c r="B509" i="9" s="1"/>
  <c r="J509" i="9" s="1"/>
  <c r="N23" i="10"/>
  <c r="B510" i="9" s="1"/>
  <c r="F510" i="9" s="1"/>
  <c r="N24" i="10"/>
  <c r="B511" i="9" s="1"/>
  <c r="N25" i="10"/>
  <c r="N26" i="10"/>
  <c r="B512" i="9" s="1"/>
  <c r="N27" i="10"/>
  <c r="B28" i="10"/>
  <c r="C28" i="10"/>
  <c r="D28" i="10"/>
  <c r="E28" i="10"/>
  <c r="F28" i="10"/>
  <c r="G28" i="10"/>
  <c r="H28" i="10"/>
  <c r="I28" i="10"/>
  <c r="J28" i="10"/>
  <c r="K28" i="10"/>
  <c r="L28" i="10"/>
  <c r="M28" i="10"/>
  <c r="N30" i="10"/>
  <c r="B517" i="9" s="1"/>
  <c r="N31" i="10"/>
  <c r="B518" i="9" s="1"/>
  <c r="K518" i="9" s="1"/>
  <c r="N32" i="10"/>
  <c r="B519" i="9" s="1"/>
  <c r="J519" i="9" s="1"/>
  <c r="N33" i="10"/>
  <c r="B520" i="9" s="1"/>
  <c r="J520" i="9" s="1"/>
  <c r="N34" i="10"/>
  <c r="B521" i="9" s="1"/>
  <c r="B35" i="10"/>
  <c r="C35" i="10"/>
  <c r="D35" i="10"/>
  <c r="E35" i="10"/>
  <c r="F35" i="10"/>
  <c r="G35" i="10"/>
  <c r="H35" i="10"/>
  <c r="I35" i="10"/>
  <c r="J35" i="10"/>
  <c r="K35" i="10"/>
  <c r="L35" i="10"/>
  <c r="M35" i="10"/>
  <c r="N41" i="10"/>
  <c r="N42" i="10"/>
  <c r="B451" i="9" s="1"/>
  <c r="F451" i="9" s="1"/>
  <c r="D451" i="9" s="1"/>
  <c r="N43" i="10"/>
  <c r="B452" i="9" s="1"/>
  <c r="N44" i="10"/>
  <c r="B453" i="9" s="1"/>
  <c r="N45" i="10"/>
  <c r="B454" i="9" s="1"/>
  <c r="N50" i="10"/>
  <c r="N51" i="10" s="1"/>
  <c r="N53" i="10"/>
  <c r="B462" i="9" s="1"/>
  <c r="N54" i="10"/>
  <c r="B463" i="9" s="1"/>
  <c r="N55" i="10"/>
  <c r="B464" i="9" s="1"/>
  <c r="F464" i="9" s="1"/>
  <c r="D464" i="9" s="1"/>
  <c r="N56" i="10"/>
  <c r="N57" i="10"/>
  <c r="B466" i="9" s="1"/>
  <c r="K466" i="9" s="1"/>
  <c r="N58" i="10"/>
  <c r="N59" i="10"/>
  <c r="B468" i="9" s="1"/>
  <c r="N60" i="10"/>
  <c r="B469" i="9" s="1"/>
  <c r="F469" i="9" s="1"/>
  <c r="N61" i="10"/>
  <c r="B470" i="9" s="1"/>
  <c r="N62" i="10"/>
  <c r="B471" i="9" s="1"/>
  <c r="K471" i="9" s="1"/>
  <c r="N63" i="10"/>
  <c r="B472" i="9" s="1"/>
  <c r="N64" i="10"/>
  <c r="B473" i="9" s="1"/>
  <c r="N67" i="10"/>
  <c r="B476" i="9" s="1"/>
  <c r="F476" i="9" s="1"/>
  <c r="D476" i="9" s="1"/>
  <c r="N68" i="10"/>
  <c r="N69" i="10"/>
  <c r="B478" i="9"/>
  <c r="N70" i="10"/>
  <c r="B479" i="9" s="1"/>
  <c r="F479" i="9" s="1"/>
  <c r="N71" i="10"/>
  <c r="B480" i="9" s="1"/>
  <c r="F480" i="9" s="1"/>
  <c r="H480" i="9" s="1"/>
  <c r="N72" i="10"/>
  <c r="B481" i="9" s="1"/>
  <c r="K461" i="1"/>
  <c r="L461" i="1" s="1"/>
  <c r="M461" i="1" s="1"/>
  <c r="L424" i="5"/>
  <c r="L426" i="6"/>
  <c r="L426" i="2"/>
  <c r="M426" i="2" s="1"/>
  <c r="L426" i="9"/>
  <c r="L426" i="7"/>
  <c r="L475" i="1"/>
  <c r="L447" i="1"/>
  <c r="M447" i="1" s="1"/>
  <c r="F387" i="2"/>
  <c r="D387" i="4"/>
  <c r="H339" i="3"/>
  <c r="H387" i="4"/>
  <c r="H335" i="3"/>
  <c r="L354" i="9"/>
  <c r="L355" i="4"/>
  <c r="F422" i="1"/>
  <c r="N127" i="13"/>
  <c r="D321" i="6"/>
  <c r="F316" i="2"/>
  <c r="D316" i="2"/>
  <c r="F314" i="2"/>
  <c r="H314" i="2" s="1"/>
  <c r="F314" i="7"/>
  <c r="D314" i="7" s="1"/>
  <c r="B336" i="5"/>
  <c r="F336" i="5" s="1"/>
  <c r="D336" i="5" s="1"/>
  <c r="B388" i="8"/>
  <c r="K316" i="7"/>
  <c r="J316" i="9"/>
  <c r="F309" i="6"/>
  <c r="F316" i="7"/>
  <c r="D316" i="7" s="1"/>
  <c r="K316" i="9"/>
  <c r="D301" i="2"/>
  <c r="D301" i="7"/>
  <c r="H209" i="6"/>
  <c r="M209" i="6"/>
  <c r="L202" i="1"/>
  <c r="H196" i="1"/>
  <c r="L207" i="1"/>
  <c r="L199" i="1"/>
  <c r="N157" i="12"/>
  <c r="D566" i="4"/>
  <c r="M170" i="2"/>
  <c r="L189" i="1"/>
  <c r="L210" i="1"/>
  <c r="D176" i="8"/>
  <c r="H187" i="8"/>
  <c r="D611" i="8"/>
  <c r="F169" i="8"/>
  <c r="D169" i="8" s="1"/>
  <c r="D170" i="8"/>
  <c r="K171" i="8"/>
  <c r="D189" i="8"/>
  <c r="F208" i="1"/>
  <c r="K312" i="4"/>
  <c r="M170" i="4"/>
  <c r="K194" i="4"/>
  <c r="K195" i="4" s="1"/>
  <c r="F192" i="4"/>
  <c r="H192" i="4" s="1"/>
  <c r="N127" i="17"/>
  <c r="D585" i="6"/>
  <c r="N89" i="10"/>
  <c r="J640" i="5"/>
  <c r="H510" i="1"/>
  <c r="D575" i="8"/>
  <c r="B459" i="6"/>
  <c r="I459" i="6" s="1"/>
  <c r="I460" i="6" s="1"/>
  <c r="D315" i="6"/>
  <c r="N127" i="16"/>
  <c r="D298" i="6"/>
  <c r="N157" i="17"/>
  <c r="D573" i="4"/>
  <c r="L499" i="9"/>
  <c r="K297" i="5"/>
  <c r="D302" i="8"/>
  <c r="D413" i="9"/>
  <c r="H571" i="5"/>
  <c r="N51" i="15"/>
  <c r="D438" i="6"/>
  <c r="L320" i="6"/>
  <c r="M320" i="6" s="1"/>
  <c r="M190" i="4"/>
  <c r="H572" i="6"/>
  <c r="H577" i="8"/>
  <c r="L513" i="6"/>
  <c r="M513" i="6" s="1"/>
  <c r="H259" i="8"/>
  <c r="M172" i="2"/>
  <c r="J346" i="5"/>
  <c r="I346" i="5"/>
  <c r="F355" i="5"/>
  <c r="D355" i="5" s="1"/>
  <c r="H421" i="1"/>
  <c r="F392" i="2"/>
  <c r="D392" i="2" s="1"/>
  <c r="D413" i="2"/>
  <c r="B353" i="2"/>
  <c r="F353" i="2" s="1"/>
  <c r="D353" i="2" s="1"/>
  <c r="M171" i="2"/>
  <c r="J421" i="3"/>
  <c r="H315" i="4"/>
  <c r="K464" i="4"/>
  <c r="J386" i="4"/>
  <c r="L386" i="4" s="1"/>
  <c r="J221" i="4"/>
  <c r="M171" i="4"/>
  <c r="B359" i="4"/>
  <c r="J426" i="4"/>
  <c r="N191" i="15"/>
  <c r="L376" i="5"/>
  <c r="J230" i="5"/>
  <c r="I296" i="5"/>
  <c r="D427" i="6"/>
  <c r="H498" i="6"/>
  <c r="H377" i="6"/>
  <c r="L391" i="6"/>
  <c r="D189" i="9"/>
  <c r="M189" i="9"/>
  <c r="F336" i="9"/>
  <c r="H336" i="9" s="1"/>
  <c r="B222" i="6"/>
  <c r="K222" i="6" s="1"/>
  <c r="B213" i="6"/>
  <c r="B229" i="6"/>
  <c r="B225" i="6"/>
  <c r="B221" i="6"/>
  <c r="F221" i="6" s="1"/>
  <c r="H221" i="6" s="1"/>
  <c r="B227" i="6"/>
  <c r="B223" i="6"/>
  <c r="K438" i="7"/>
  <c r="M271" i="8"/>
  <c r="J229" i="8"/>
  <c r="L316" i="2"/>
  <c r="M316" i="2" s="1"/>
  <c r="H316" i="2"/>
  <c r="H169" i="3"/>
  <c r="J319" i="4"/>
  <c r="J315" i="4"/>
  <c r="D212" i="5"/>
  <c r="L212" i="5"/>
  <c r="K346" i="5"/>
  <c r="F297" i="5"/>
  <c r="K296" i="5"/>
  <c r="I305" i="6"/>
  <c r="L212" i="6"/>
  <c r="I346" i="7"/>
  <c r="L212" i="7"/>
  <c r="F212" i="8"/>
  <c r="M212" i="8" s="1"/>
  <c r="L212" i="8"/>
  <c r="B206" i="9"/>
  <c r="H129" i="9"/>
  <c r="F143" i="9"/>
  <c r="B207" i="9"/>
  <c r="F207" i="9" s="1"/>
  <c r="B212" i="9"/>
  <c r="K212" i="9" s="1"/>
  <c r="L212" i="9" s="1"/>
  <c r="B233" i="9"/>
  <c r="B229" i="9"/>
  <c r="K229" i="9" s="1"/>
  <c r="B225" i="9"/>
  <c r="B214" i="9"/>
  <c r="B208" i="9"/>
  <c r="J208" i="9" s="1"/>
  <c r="B228" i="9"/>
  <c r="B224" i="9"/>
  <c r="J224" i="9" s="1"/>
  <c r="B210" i="9"/>
  <c r="K210" i="9" s="1"/>
  <c r="B221" i="9"/>
  <c r="F221" i="9" s="1"/>
  <c r="B231" i="9"/>
  <c r="K231" i="9" s="1"/>
  <c r="B227" i="9"/>
  <c r="F227" i="9" s="1"/>
  <c r="H227" i="9" s="1"/>
  <c r="B223" i="9"/>
  <c r="F425" i="9"/>
  <c r="D425" i="9" s="1"/>
  <c r="F421" i="9"/>
  <c r="H421" i="9" s="1"/>
  <c r="F167" i="9"/>
  <c r="M190" i="9"/>
  <c r="D563" i="9"/>
  <c r="H622" i="6"/>
  <c r="B513" i="5"/>
  <c r="K513" i="5" s="1"/>
  <c r="N35" i="14"/>
  <c r="H597" i="4"/>
  <c r="D597" i="4"/>
  <c r="K205" i="7"/>
  <c r="D451" i="7"/>
  <c r="F517" i="6"/>
  <c r="M182" i="9"/>
  <c r="H182" i="9"/>
  <c r="D182" i="9"/>
  <c r="J314" i="9"/>
  <c r="H623" i="6"/>
  <c r="D623" i="6"/>
  <c r="J420" i="5"/>
  <c r="F420" i="5"/>
  <c r="D420" i="5" s="1"/>
  <c r="K420" i="5"/>
  <c r="J349" i="9"/>
  <c r="H340" i="6"/>
  <c r="D340" i="6"/>
  <c r="J323" i="9"/>
  <c r="K323" i="9"/>
  <c r="H302" i="7"/>
  <c r="D302" i="7"/>
  <c r="B263" i="8"/>
  <c r="F263" i="8" s="1"/>
  <c r="H263" i="8" s="1"/>
  <c r="N229" i="11"/>
  <c r="D252" i="5"/>
  <c r="H252" i="5"/>
  <c r="K168" i="6"/>
  <c r="J168" i="6"/>
  <c r="D624" i="6"/>
  <c r="H599" i="6"/>
  <c r="D599" i="6"/>
  <c r="H637" i="5"/>
  <c r="D637" i="5"/>
  <c r="D453" i="5"/>
  <c r="H453" i="5"/>
  <c r="D499" i="4"/>
  <c r="H499" i="4"/>
  <c r="H594" i="3"/>
  <c r="D594" i="3"/>
  <c r="F591" i="3"/>
  <c r="D569" i="6"/>
  <c r="D570" i="6" s="1"/>
  <c r="K514" i="4"/>
  <c r="H412" i="9"/>
  <c r="D622" i="2"/>
  <c r="H622" i="2"/>
  <c r="K544" i="2"/>
  <c r="J408" i="5"/>
  <c r="B414" i="5"/>
  <c r="J414" i="5" s="1"/>
  <c r="J415" i="5" s="1"/>
  <c r="N89" i="14"/>
  <c r="F434" i="5"/>
  <c r="H434" i="5" s="1"/>
  <c r="K434" i="5"/>
  <c r="L434" i="5" s="1"/>
  <c r="B394" i="6"/>
  <c r="J394" i="6" s="1"/>
  <c r="B385" i="5"/>
  <c r="D635" i="5"/>
  <c r="F323" i="9"/>
  <c r="H323" i="9" s="1"/>
  <c r="F408" i="5"/>
  <c r="D408" i="5" s="1"/>
  <c r="H597" i="9"/>
  <c r="N191" i="11"/>
  <c r="H596" i="6"/>
  <c r="H559" i="5"/>
  <c r="H638" i="8"/>
  <c r="H639" i="8" s="1"/>
  <c r="D638" i="8"/>
  <c r="D639" i="8" s="1"/>
  <c r="K506" i="2"/>
  <c r="M182" i="5"/>
  <c r="B416" i="2"/>
  <c r="F416" i="2" s="1"/>
  <c r="N89" i="16"/>
  <c r="K339" i="4"/>
  <c r="D250" i="9"/>
  <c r="J250" i="9"/>
  <c r="L250" i="9" s="1"/>
  <c r="M250" i="9" s="1"/>
  <c r="K250" i="9"/>
  <c r="M234" i="5"/>
  <c r="K647" i="6"/>
  <c r="L587" i="6"/>
  <c r="L565" i="6"/>
  <c r="M565" i="6" s="1"/>
  <c r="N51" i="14"/>
  <c r="J448" i="5"/>
  <c r="F448" i="5"/>
  <c r="H448" i="5" s="1"/>
  <c r="L412" i="3"/>
  <c r="B388" i="6"/>
  <c r="D259" i="6"/>
  <c r="H259" i="6"/>
  <c r="I219" i="5"/>
  <c r="H250" i="5"/>
  <c r="F260" i="5"/>
  <c r="L572" i="6"/>
  <c r="L578" i="6" s="1"/>
  <c r="M426" i="5"/>
  <c r="J361" i="9"/>
  <c r="F361" i="9"/>
  <c r="D361" i="9" s="1"/>
  <c r="L309" i="6"/>
  <c r="F266" i="8"/>
  <c r="K219" i="8"/>
  <c r="F283" i="5"/>
  <c r="L255" i="5"/>
  <c r="M255" i="5" s="1"/>
  <c r="L250" i="5"/>
  <c r="M250" i="5" s="1"/>
  <c r="D234" i="6"/>
  <c r="H255" i="5"/>
  <c r="D255" i="5"/>
  <c r="M188" i="2"/>
  <c r="K567" i="4"/>
  <c r="L413" i="2"/>
  <c r="B393" i="6"/>
  <c r="F205" i="8"/>
  <c r="D205" i="8" s="1"/>
  <c r="M185" i="2"/>
  <c r="M189" i="2"/>
  <c r="J319" i="3"/>
  <c r="D454" i="3"/>
  <c r="H354" i="3"/>
  <c r="F372" i="3"/>
  <c r="D372" i="3" s="1"/>
  <c r="K354" i="3"/>
  <c r="D568" i="3"/>
  <c r="D569" i="3" s="1"/>
  <c r="H575" i="3"/>
  <c r="M212" i="3"/>
  <c r="F315" i="3"/>
  <c r="H315" i="3" s="1"/>
  <c r="D533" i="3"/>
  <c r="J310" i="3"/>
  <c r="K353" i="3"/>
  <c r="L353" i="3" s="1"/>
  <c r="H623" i="3"/>
  <c r="D217" i="3"/>
  <c r="D595" i="3"/>
  <c r="J336" i="3"/>
  <c r="D633" i="3"/>
  <c r="H573" i="3"/>
  <c r="J296" i="3"/>
  <c r="L296" i="3" s="1"/>
  <c r="K208" i="3"/>
  <c r="K360" i="3"/>
  <c r="K336" i="3"/>
  <c r="J372" i="3"/>
  <c r="L372" i="3" s="1"/>
  <c r="I336" i="3"/>
  <c r="J206" i="3"/>
  <c r="D524" i="1"/>
  <c r="L302" i="6"/>
  <c r="M302" i="6" s="1"/>
  <c r="H317" i="6"/>
  <c r="D546" i="6"/>
  <c r="M533" i="6"/>
  <c r="H413" i="6"/>
  <c r="L625" i="6"/>
  <c r="H533" i="6"/>
  <c r="F374" i="6"/>
  <c r="D374" i="6" s="1"/>
  <c r="H412" i="6"/>
  <c r="J422" i="6"/>
  <c r="K510" i="6"/>
  <c r="L510" i="6" s="1"/>
  <c r="K317" i="6"/>
  <c r="F510" i="6"/>
  <c r="H510" i="6" s="1"/>
  <c r="J317" i="6"/>
  <c r="D272" i="5"/>
  <c r="K308" i="4"/>
  <c r="D456" i="4"/>
  <c r="H595" i="4"/>
  <c r="D572" i="4"/>
  <c r="K647" i="4"/>
  <c r="F223" i="4"/>
  <c r="K311" i="4"/>
  <c r="L311" i="4" s="1"/>
  <c r="J464" i="4"/>
  <c r="L464" i="4" s="1"/>
  <c r="M464" i="4" s="1"/>
  <c r="I221" i="4"/>
  <c r="D643" i="2"/>
  <c r="D591" i="2"/>
  <c r="D592" i="2" s="1"/>
  <c r="L684" i="1"/>
  <c r="K578" i="2"/>
  <c r="D633" i="2"/>
  <c r="H599" i="2"/>
  <c r="H498" i="2"/>
  <c r="F535" i="2"/>
  <c r="D535" i="2" s="1"/>
  <c r="H631" i="2"/>
  <c r="H455" i="2"/>
  <c r="H597" i="2"/>
  <c r="L217" i="9"/>
  <c r="M217" i="9" s="1"/>
  <c r="L254" i="5"/>
  <c r="M254" i="5" s="1"/>
  <c r="H551" i="4"/>
  <c r="J324" i="6"/>
  <c r="L324" i="6" s="1"/>
  <c r="I308" i="4"/>
  <c r="J346" i="7"/>
  <c r="F411" i="6"/>
  <c r="F461" i="3"/>
  <c r="D461" i="3" s="1"/>
  <c r="F386" i="6"/>
  <c r="J306" i="9"/>
  <c r="F318" i="7"/>
  <c r="F308" i="4"/>
  <c r="H308" i="4" s="1"/>
  <c r="B306" i="3"/>
  <c r="K390" i="9"/>
  <c r="J310" i="5"/>
  <c r="L310" i="5" s="1"/>
  <c r="K547" i="4"/>
  <c r="L547" i="4" s="1"/>
  <c r="J353" i="4"/>
  <c r="L353" i="4" s="1"/>
  <c r="J424" i="4"/>
  <c r="J318" i="7"/>
  <c r="L318" i="7" s="1"/>
  <c r="I409" i="4"/>
  <c r="J387" i="4"/>
  <c r="L387" i="4" s="1"/>
  <c r="M288" i="1"/>
  <c r="H557" i="1"/>
  <c r="K206" i="2"/>
  <c r="J227" i="2"/>
  <c r="J471" i="2"/>
  <c r="F233" i="2"/>
  <c r="L558" i="1"/>
  <c r="M558" i="1" s="1"/>
  <c r="H596" i="2"/>
  <c r="H598" i="2"/>
  <c r="H621" i="2"/>
  <c r="F636" i="2"/>
  <c r="L563" i="2"/>
  <c r="F625" i="2"/>
  <c r="K636" i="1"/>
  <c r="H623" i="2"/>
  <c r="F592" i="2"/>
  <c r="K436" i="2"/>
  <c r="I374" i="2"/>
  <c r="K349" i="3"/>
  <c r="F309" i="3"/>
  <c r="H309" i="3" s="1"/>
  <c r="F493" i="3"/>
  <c r="D493" i="3" s="1"/>
  <c r="F357" i="3"/>
  <c r="D357" i="3" s="1"/>
  <c r="F463" i="4"/>
  <c r="H463" i="4" s="1"/>
  <c r="J467" i="4"/>
  <c r="L467" i="4" s="1"/>
  <c r="K453" i="4"/>
  <c r="F477" i="4"/>
  <c r="H477" i="4" s="1"/>
  <c r="J474" i="5"/>
  <c r="K448" i="5"/>
  <c r="F310" i="5"/>
  <c r="D310" i="5" s="1"/>
  <c r="J232" i="5"/>
  <c r="L232" i="5" s="1"/>
  <c r="J478" i="5"/>
  <c r="F474" i="5"/>
  <c r="D474" i="5" s="1"/>
  <c r="F305" i="6"/>
  <c r="J345" i="6"/>
  <c r="F551" i="6"/>
  <c r="K376" i="7"/>
  <c r="D322" i="4"/>
  <c r="H316" i="4"/>
  <c r="D613" i="6"/>
  <c r="H611" i="3"/>
  <c r="M319" i="5"/>
  <c r="H643" i="9"/>
  <c r="K592" i="6"/>
  <c r="D567" i="5"/>
  <c r="H642" i="3"/>
  <c r="H269" i="5"/>
  <c r="L275" i="5"/>
  <c r="M275" i="5" s="1"/>
  <c r="L268" i="5"/>
  <c r="M268" i="5" s="1"/>
  <c r="L267" i="5"/>
  <c r="M267" i="5" s="1"/>
  <c r="D316" i="9"/>
  <c r="H577" i="2"/>
  <c r="M598" i="2"/>
  <c r="D263" i="5"/>
  <c r="D465" i="3"/>
  <c r="H611" i="4"/>
  <c r="H574" i="6"/>
  <c r="L565" i="4"/>
  <c r="M565" i="4" s="1"/>
  <c r="L282" i="5"/>
  <c r="M282" i="5" s="1"/>
  <c r="L273" i="5"/>
  <c r="M273" i="5" s="1"/>
  <c r="H406" i="5"/>
  <c r="D258" i="8"/>
  <c r="H258" i="8"/>
  <c r="D623" i="9"/>
  <c r="H623" i="9"/>
  <c r="H631" i="6"/>
  <c r="D631" i="6"/>
  <c r="D576" i="6"/>
  <c r="D621" i="4"/>
  <c r="H621" i="4"/>
  <c r="D591" i="4"/>
  <c r="D592" i="4" s="1"/>
  <c r="F592" i="4"/>
  <c r="H591" i="4"/>
  <c r="H592" i="4" s="1"/>
  <c r="H584" i="4"/>
  <c r="H575" i="4"/>
  <c r="D575" i="4"/>
  <c r="H565" i="4"/>
  <c r="D565" i="4"/>
  <c r="K507" i="3"/>
  <c r="N16" i="17"/>
  <c r="B501" i="3"/>
  <c r="B502" i="3" s="1"/>
  <c r="L625" i="2"/>
  <c r="H218" i="6"/>
  <c r="H219" i="6" s="1"/>
  <c r="D218" i="6"/>
  <c r="D236" i="4"/>
  <c r="H236" i="4"/>
  <c r="H176" i="6"/>
  <c r="M176" i="6"/>
  <c r="K321" i="11"/>
  <c r="N307" i="11"/>
  <c r="B180" i="8" s="1"/>
  <c r="H576" i="2"/>
  <c r="K535" i="4"/>
  <c r="L535" i="4" s="1"/>
  <c r="F470" i="3"/>
  <c r="F625" i="4"/>
  <c r="H577" i="4"/>
  <c r="H595" i="6"/>
  <c r="H644" i="4"/>
  <c r="H623" i="4"/>
  <c r="N51" i="11"/>
  <c r="B459" i="8"/>
  <c r="F459" i="8" s="1"/>
  <c r="H459" i="8" s="1"/>
  <c r="H460" i="8" s="1"/>
  <c r="H596" i="4"/>
  <c r="D596" i="4"/>
  <c r="F373" i="5"/>
  <c r="H373" i="5" s="1"/>
  <c r="J249" i="3"/>
  <c r="D257" i="5"/>
  <c r="H257" i="5"/>
  <c r="K626" i="8"/>
  <c r="I626" i="8"/>
  <c r="J626" i="6"/>
  <c r="I601" i="6"/>
  <c r="D624" i="4"/>
  <c r="H624" i="4"/>
  <c r="D612" i="4"/>
  <c r="L595" i="4"/>
  <c r="L655" i="1" s="1"/>
  <c r="H641" i="3"/>
  <c r="D641" i="3"/>
  <c r="H637" i="3"/>
  <c r="H638" i="3" s="1"/>
  <c r="J428" i="6"/>
  <c r="K428" i="6"/>
  <c r="I262" i="6"/>
  <c r="J222" i="8"/>
  <c r="K230" i="6"/>
  <c r="F222" i="7"/>
  <c r="D222" i="7" s="1"/>
  <c r="D314" i="2"/>
  <c r="H577" i="9"/>
  <c r="D594" i="2"/>
  <c r="D594" i="4"/>
  <c r="D631" i="9"/>
  <c r="F537" i="4"/>
  <c r="H595" i="2"/>
  <c r="D572" i="2"/>
  <c r="H633" i="9"/>
  <c r="L591" i="6"/>
  <c r="M591" i="6" s="1"/>
  <c r="M426" i="6"/>
  <c r="D632" i="4"/>
  <c r="L590" i="5"/>
  <c r="B459" i="9"/>
  <c r="K541" i="5"/>
  <c r="L541" i="5" s="1"/>
  <c r="D565" i="3"/>
  <c r="H565" i="3"/>
  <c r="D569" i="2"/>
  <c r="D570" i="2" s="1"/>
  <c r="H569" i="2"/>
  <c r="H570" i="2" s="1"/>
  <c r="F570" i="2"/>
  <c r="L566" i="2"/>
  <c r="M566" i="2" s="1"/>
  <c r="N89" i="13"/>
  <c r="B416" i="6"/>
  <c r="I416" i="6" s="1"/>
  <c r="H271" i="3"/>
  <c r="D271" i="3"/>
  <c r="D272" i="6"/>
  <c r="H272" i="6"/>
  <c r="M236" i="4"/>
  <c r="B647" i="8"/>
  <c r="L456" i="6"/>
  <c r="M456" i="6" s="1"/>
  <c r="B262" i="7"/>
  <c r="N229" i="12"/>
  <c r="H282" i="7"/>
  <c r="K225" i="8"/>
  <c r="F225" i="8"/>
  <c r="D225" i="8" s="1"/>
  <c r="L451" i="7"/>
  <c r="M451" i="7" s="1"/>
  <c r="K626" i="6"/>
  <c r="K646" i="3"/>
  <c r="D210" i="5"/>
  <c r="H279" i="5"/>
  <c r="I206" i="3"/>
  <c r="F206" i="3"/>
  <c r="D206" i="3" s="1"/>
  <c r="K225" i="4"/>
  <c r="J225" i="4"/>
  <c r="D186" i="3"/>
  <c r="M412" i="4"/>
  <c r="N191" i="10"/>
  <c r="F211" i="3"/>
  <c r="D211" i="3" s="1"/>
  <c r="F232" i="5"/>
  <c r="H232" i="5" s="1"/>
  <c r="H234" i="5"/>
  <c r="D182" i="5"/>
  <c r="H191" i="6"/>
  <c r="L378" i="3"/>
  <c r="M259" i="6"/>
  <c r="K219" i="6"/>
  <c r="D297" i="6"/>
  <c r="H624" i="9"/>
  <c r="D624" i="9"/>
  <c r="F625" i="9"/>
  <c r="L625" i="8"/>
  <c r="F469" i="7"/>
  <c r="H469" i="7" s="1"/>
  <c r="J469" i="7"/>
  <c r="H596" i="7"/>
  <c r="D596" i="7"/>
  <c r="D575" i="7"/>
  <c r="H575" i="7"/>
  <c r="H564" i="6"/>
  <c r="D564" i="6"/>
  <c r="F464" i="2"/>
  <c r="D464" i="2" s="1"/>
  <c r="K513" i="2"/>
  <c r="K423" i="3"/>
  <c r="B357" i="4"/>
  <c r="J357" i="4" s="1"/>
  <c r="F346" i="6"/>
  <c r="B298" i="9"/>
  <c r="F298" i="9" s="1"/>
  <c r="J267" i="8"/>
  <c r="K267" i="8"/>
  <c r="H189" i="7"/>
  <c r="D189" i="7"/>
  <c r="H189" i="5"/>
  <c r="M189" i="5"/>
  <c r="D189" i="5"/>
  <c r="D189" i="2"/>
  <c r="H189" i="2"/>
  <c r="H306" i="9"/>
  <c r="I375" i="7"/>
  <c r="F374" i="5"/>
  <c r="D374" i="5" s="1"/>
  <c r="F411" i="7"/>
  <c r="D411" i="7" s="1"/>
  <c r="F600" i="2"/>
  <c r="H600" i="2" s="1"/>
  <c r="L575" i="9"/>
  <c r="M575" i="9" s="1"/>
  <c r="H455" i="4"/>
  <c r="H336" i="3"/>
  <c r="K578" i="6"/>
  <c r="N16" i="16"/>
  <c r="N191" i="14"/>
  <c r="D456" i="6"/>
  <c r="F545" i="6"/>
  <c r="D545" i="6" s="1"/>
  <c r="L625" i="4"/>
  <c r="D563" i="4"/>
  <c r="H563" i="4"/>
  <c r="B419" i="5"/>
  <c r="D378" i="4"/>
  <c r="H378" i="4"/>
  <c r="J297" i="6"/>
  <c r="M584" i="9"/>
  <c r="H577" i="7"/>
  <c r="J592" i="9"/>
  <c r="K462" i="6"/>
  <c r="J520" i="6"/>
  <c r="L520" i="6" s="1"/>
  <c r="F520" i="6"/>
  <c r="D520" i="6" s="1"/>
  <c r="K520" i="6"/>
  <c r="D632" i="6"/>
  <c r="H618" i="6"/>
  <c r="H619" i="6" s="1"/>
  <c r="D618" i="6"/>
  <c r="D619" i="6" s="1"/>
  <c r="H614" i="6"/>
  <c r="D614" i="6"/>
  <c r="L596" i="6"/>
  <c r="M596" i="6" s="1"/>
  <c r="D591" i="6"/>
  <c r="D592" i="6" s="1"/>
  <c r="H591" i="6"/>
  <c r="H592" i="6" s="1"/>
  <c r="D584" i="6"/>
  <c r="H584" i="6"/>
  <c r="H577" i="6"/>
  <c r="D577" i="6"/>
  <c r="H470" i="6"/>
  <c r="D470" i="6"/>
  <c r="B416" i="7"/>
  <c r="B417" i="7" s="1"/>
  <c r="N89" i="12"/>
  <c r="F434" i="6"/>
  <c r="D434" i="6" s="1"/>
  <c r="D411" i="3"/>
  <c r="H411" i="3"/>
  <c r="H476" i="1"/>
  <c r="D476" i="1"/>
  <c r="K393" i="5"/>
  <c r="H391" i="6"/>
  <c r="D391" i="6"/>
  <c r="D237" i="5"/>
  <c r="H237" i="5"/>
  <c r="H319" i="5"/>
  <c r="M314" i="7"/>
  <c r="K297" i="6"/>
  <c r="K433" i="3"/>
  <c r="H412" i="2"/>
  <c r="J535" i="2"/>
  <c r="L535" i="2" s="1"/>
  <c r="F294" i="7"/>
  <c r="F374" i="3"/>
  <c r="H374" i="3" s="1"/>
  <c r="F619" i="6"/>
  <c r="J393" i="5"/>
  <c r="I374" i="3"/>
  <c r="F551" i="2"/>
  <c r="H551" i="2" s="1"/>
  <c r="H499" i="2"/>
  <c r="J480" i="6"/>
  <c r="F490" i="5"/>
  <c r="D490" i="5" s="1"/>
  <c r="H625" i="5"/>
  <c r="F612" i="5"/>
  <c r="H611" i="5"/>
  <c r="H612" i="5" s="1"/>
  <c r="D611" i="5"/>
  <c r="D612" i="5" s="1"/>
  <c r="H588" i="5"/>
  <c r="D588" i="5"/>
  <c r="J420" i="9"/>
  <c r="L420" i="9" s="1"/>
  <c r="K464" i="9"/>
  <c r="J464" i="9"/>
  <c r="B502" i="8"/>
  <c r="K502" i="8" s="1"/>
  <c r="K503" i="8" s="1"/>
  <c r="N16" i="11"/>
  <c r="D565" i="6"/>
  <c r="H565" i="6"/>
  <c r="J462" i="5"/>
  <c r="K462" i="5"/>
  <c r="F462" i="5"/>
  <c r="D462" i="5" s="1"/>
  <c r="H634" i="4"/>
  <c r="D613" i="4"/>
  <c r="H613" i="4"/>
  <c r="K465" i="3"/>
  <c r="N86" i="10"/>
  <c r="K436" i="3"/>
  <c r="J279" i="6"/>
  <c r="K279" i="6"/>
  <c r="L218" i="6"/>
  <c r="M218" i="6" s="1"/>
  <c r="D275" i="5"/>
  <c r="H275" i="5"/>
  <c r="I210" i="2"/>
  <c r="J208" i="2"/>
  <c r="J227" i="4"/>
  <c r="F238" i="5"/>
  <c r="J238" i="5"/>
  <c r="H176" i="9"/>
  <c r="D176" i="9"/>
  <c r="D176" i="2"/>
  <c r="H176" i="2"/>
  <c r="K339" i="5"/>
  <c r="H573" i="6"/>
  <c r="M594" i="9"/>
  <c r="L654" i="1"/>
  <c r="H575" i="9"/>
  <c r="D575" i="9"/>
  <c r="D498" i="9"/>
  <c r="H498" i="9"/>
  <c r="I579" i="8"/>
  <c r="I626" i="6"/>
  <c r="F567" i="6"/>
  <c r="D563" i="6"/>
  <c r="B640" i="5"/>
  <c r="F639" i="5"/>
  <c r="H578" i="5"/>
  <c r="D578" i="5"/>
  <c r="L566" i="5"/>
  <c r="J572" i="5"/>
  <c r="B377" i="5"/>
  <c r="J346" i="4"/>
  <c r="F346" i="4"/>
  <c r="D346" i="4" s="1"/>
  <c r="H273" i="3"/>
  <c r="D273" i="3"/>
  <c r="I168" i="9"/>
  <c r="L168" i="9" s="1"/>
  <c r="K168" i="9"/>
  <c r="D168" i="2"/>
  <c r="J172" i="4"/>
  <c r="F172" i="4"/>
  <c r="H172" i="4" s="1"/>
  <c r="I168" i="4"/>
  <c r="L168" i="4" s="1"/>
  <c r="F168" i="4"/>
  <c r="B459" i="7"/>
  <c r="F459" i="7" s="1"/>
  <c r="D459" i="7" s="1"/>
  <c r="D460" i="7" s="1"/>
  <c r="N51" i="12"/>
  <c r="K508" i="6"/>
  <c r="J508" i="6"/>
  <c r="B601" i="6"/>
  <c r="L566" i="6"/>
  <c r="M566" i="6" s="1"/>
  <c r="J567" i="6"/>
  <c r="D626" i="5"/>
  <c r="H626" i="5"/>
  <c r="D624" i="5"/>
  <c r="H624" i="5"/>
  <c r="D566" i="5"/>
  <c r="H566" i="5"/>
  <c r="K470" i="4"/>
  <c r="H564" i="3"/>
  <c r="K567" i="2"/>
  <c r="J408" i="9"/>
  <c r="N89" i="17"/>
  <c r="B415" i="3"/>
  <c r="J389" i="6"/>
  <c r="J385" i="3"/>
  <c r="D377" i="9"/>
  <c r="H377" i="9"/>
  <c r="N227" i="13"/>
  <c r="H273" i="5"/>
  <c r="D273" i="5"/>
  <c r="J469" i="4"/>
  <c r="K469" i="4"/>
  <c r="B505" i="4"/>
  <c r="J541" i="4"/>
  <c r="J542" i="4" s="1"/>
  <c r="N86" i="17"/>
  <c r="B264" i="4"/>
  <c r="L219" i="4"/>
  <c r="H214" i="5"/>
  <c r="D214" i="5"/>
  <c r="M214" i="5"/>
  <c r="K210" i="7"/>
  <c r="L210" i="7" s="1"/>
  <c r="M210" i="7" s="1"/>
  <c r="K229" i="4"/>
  <c r="L229" i="4" s="1"/>
  <c r="F229" i="4"/>
  <c r="L340" i="6"/>
  <c r="M340" i="6" s="1"/>
  <c r="L355" i="6"/>
  <c r="L394" i="1"/>
  <c r="M394" i="1" s="1"/>
  <c r="J273" i="3"/>
  <c r="K273" i="3"/>
  <c r="I206" i="2"/>
  <c r="J206" i="2"/>
  <c r="F224" i="2"/>
  <c r="H224" i="2" s="1"/>
  <c r="K224" i="2"/>
  <c r="M182" i="6"/>
  <c r="H188" i="5"/>
  <c r="J354" i="3"/>
  <c r="L456" i="9"/>
  <c r="M456" i="9" s="1"/>
  <c r="L636" i="6"/>
  <c r="L470" i="6"/>
  <c r="M470" i="6"/>
  <c r="L580" i="5"/>
  <c r="M580" i="5" s="1"/>
  <c r="L587" i="2"/>
  <c r="M587" i="2" s="1"/>
  <c r="L302" i="5"/>
  <c r="M302" i="5" s="1"/>
  <c r="N225" i="14"/>
  <c r="K219" i="5"/>
  <c r="J224" i="2"/>
  <c r="F227" i="2"/>
  <c r="H227" i="2" s="1"/>
  <c r="J207" i="6"/>
  <c r="M279" i="5"/>
  <c r="L274" i="5"/>
  <c r="M274" i="5" s="1"/>
  <c r="H254" i="5"/>
  <c r="H251" i="5"/>
  <c r="D251" i="5"/>
  <c r="F228" i="5"/>
  <c r="H228" i="5" s="1"/>
  <c r="J228" i="5"/>
  <c r="L228" i="5" s="1"/>
  <c r="M596" i="4"/>
  <c r="B579" i="4"/>
  <c r="B578" i="3"/>
  <c r="L565" i="3"/>
  <c r="M565" i="3" s="1"/>
  <c r="L413" i="4"/>
  <c r="M413" i="4" s="1"/>
  <c r="L377" i="6"/>
  <c r="L377" i="9"/>
  <c r="M377" i="9" s="1"/>
  <c r="L377" i="2"/>
  <c r="M231" i="6"/>
  <c r="M278" i="5"/>
  <c r="H274" i="5"/>
  <c r="D274" i="5"/>
  <c r="L272" i="5"/>
  <c r="M272" i="5" s="1"/>
  <c r="L251" i="5"/>
  <c r="M251" i="5" s="1"/>
  <c r="M237" i="5"/>
  <c r="L270" i="5"/>
  <c r="M270" i="5" s="1"/>
  <c r="M266" i="5"/>
  <c r="I264" i="5"/>
  <c r="M191" i="6"/>
  <c r="M184" i="8"/>
  <c r="B626" i="9"/>
  <c r="J589" i="9"/>
  <c r="J601" i="9" s="1"/>
  <c r="L320" i="9"/>
  <c r="M320" i="9" s="1"/>
  <c r="L237" i="9"/>
  <c r="M237" i="9" s="1"/>
  <c r="H587" i="8"/>
  <c r="M481" i="8"/>
  <c r="F294" i="8"/>
  <c r="D294" i="8" s="1"/>
  <c r="K317" i="8"/>
  <c r="K600" i="8"/>
  <c r="D642" i="8"/>
  <c r="H624" i="8"/>
  <c r="H565" i="8"/>
  <c r="H455" i="8"/>
  <c r="H456" i="8"/>
  <c r="L636" i="8"/>
  <c r="L513" i="8"/>
  <c r="M513" i="8" s="1"/>
  <c r="K207" i="8"/>
  <c r="M234" i="8"/>
  <c r="D584" i="8"/>
  <c r="F639" i="8"/>
  <c r="H634" i="8"/>
  <c r="H234" i="8"/>
  <c r="J519" i="8"/>
  <c r="F222" i="8"/>
  <c r="J324" i="8"/>
  <c r="J514" i="8"/>
  <c r="L514" i="8" s="1"/>
  <c r="J419" i="8"/>
  <c r="F267" i="8"/>
  <c r="J225" i="8"/>
  <c r="H611" i="7"/>
  <c r="D621" i="7"/>
  <c r="M341" i="7"/>
  <c r="I251" i="7"/>
  <c r="D218" i="7"/>
  <c r="J509" i="7"/>
  <c r="M189" i="7"/>
  <c r="J221" i="7"/>
  <c r="D599" i="7"/>
  <c r="D576" i="7"/>
  <c r="D412" i="7"/>
  <c r="D624" i="7"/>
  <c r="H624" i="7"/>
  <c r="F392" i="7"/>
  <c r="D392" i="7" s="1"/>
  <c r="J392" i="7"/>
  <c r="L392" i="7" s="1"/>
  <c r="M259" i="7"/>
  <c r="K219" i="7"/>
  <c r="D320" i="7"/>
  <c r="K294" i="7"/>
  <c r="K428" i="7"/>
  <c r="L428" i="7" s="1"/>
  <c r="D597" i="7"/>
  <c r="F639" i="7"/>
  <c r="I601" i="7"/>
  <c r="H238" i="7"/>
  <c r="H584" i="7"/>
  <c r="J626" i="7"/>
  <c r="H632" i="7"/>
  <c r="D638" i="7"/>
  <c r="D639" i="7" s="1"/>
  <c r="H455" i="7"/>
  <c r="D455" i="7"/>
  <c r="J419" i="7"/>
  <c r="L419" i="7" s="1"/>
  <c r="L412" i="7"/>
  <c r="M412" i="7" s="1"/>
  <c r="H259" i="7"/>
  <c r="J219" i="7"/>
  <c r="J205" i="7"/>
  <c r="M319" i="7"/>
  <c r="J273" i="6"/>
  <c r="F358" i="6"/>
  <c r="D358" i="6" s="1"/>
  <c r="K274" i="3"/>
  <c r="J489" i="5"/>
  <c r="F489" i="5"/>
  <c r="H489" i="5" s="1"/>
  <c r="K306" i="6"/>
  <c r="K307" i="6" s="1"/>
  <c r="J306" i="6"/>
  <c r="I306" i="6"/>
  <c r="B307" i="6"/>
  <c r="D300" i="5"/>
  <c r="H300" i="5"/>
  <c r="J385" i="8"/>
  <c r="K385" i="8"/>
  <c r="H293" i="3"/>
  <c r="D389" i="8"/>
  <c r="H436" i="3"/>
  <c r="F542" i="2"/>
  <c r="D541" i="2"/>
  <c r="D542" i="2" s="1"/>
  <c r="H541" i="2"/>
  <c r="H542" i="2" s="1"/>
  <c r="B451" i="8"/>
  <c r="F451" i="8" s="1"/>
  <c r="H451" i="8" s="1"/>
  <c r="N48" i="11"/>
  <c r="F495" i="6"/>
  <c r="H495" i="6" s="1"/>
  <c r="J495" i="6"/>
  <c r="D644" i="6"/>
  <c r="H644" i="6"/>
  <c r="D642" i="6"/>
  <c r="F646" i="6"/>
  <c r="I647" i="6"/>
  <c r="L498" i="6"/>
  <c r="M498" i="6" s="1"/>
  <c r="J466" i="5"/>
  <c r="F515" i="5"/>
  <c r="H515" i="5" s="1"/>
  <c r="J515" i="5"/>
  <c r="H634" i="5"/>
  <c r="D634" i="5"/>
  <c r="D617" i="5"/>
  <c r="H617" i="5"/>
  <c r="D593" i="5"/>
  <c r="H593" i="5"/>
  <c r="D591" i="5"/>
  <c r="H591" i="5"/>
  <c r="H589" i="5"/>
  <c r="D589" i="5"/>
  <c r="K496" i="4"/>
  <c r="I496" i="4"/>
  <c r="L585" i="4"/>
  <c r="M585" i="4" s="1"/>
  <c r="J589" i="4"/>
  <c r="B435" i="7"/>
  <c r="J435" i="7" s="1"/>
  <c r="N111" i="12"/>
  <c r="K430" i="6"/>
  <c r="K437" i="6"/>
  <c r="F420" i="4"/>
  <c r="H420" i="4" s="1"/>
  <c r="J420" i="4"/>
  <c r="K427" i="4"/>
  <c r="F427" i="4"/>
  <c r="J418" i="3"/>
  <c r="J435" i="2"/>
  <c r="H413" i="4"/>
  <c r="N127" i="10"/>
  <c r="B382" i="9"/>
  <c r="F382" i="9" s="1"/>
  <c r="J356" i="2"/>
  <c r="F313" i="8"/>
  <c r="J310" i="7"/>
  <c r="J252" i="4"/>
  <c r="K282" i="2"/>
  <c r="J282" i="2"/>
  <c r="F282" i="2"/>
  <c r="J256" i="4"/>
  <c r="F256" i="4"/>
  <c r="I251" i="6"/>
  <c r="K274" i="7"/>
  <c r="B257" i="8"/>
  <c r="F257" i="8" s="1"/>
  <c r="H257" i="8" s="1"/>
  <c r="N225" i="11"/>
  <c r="D255" i="8"/>
  <c r="D227" i="6"/>
  <c r="H227" i="6"/>
  <c r="D281" i="5"/>
  <c r="M281" i="5"/>
  <c r="H281" i="5"/>
  <c r="H277" i="5"/>
  <c r="D277" i="5"/>
  <c r="F208" i="4"/>
  <c r="J232" i="9"/>
  <c r="K232" i="9"/>
  <c r="D231" i="7"/>
  <c r="M231" i="7"/>
  <c r="K225" i="5"/>
  <c r="J223" i="3"/>
  <c r="D228" i="4"/>
  <c r="M228" i="4"/>
  <c r="H228" i="4"/>
  <c r="B172" i="6"/>
  <c r="M214" i="9"/>
  <c r="D183" i="5"/>
  <c r="H183" i="5"/>
  <c r="D183" i="9"/>
  <c r="H183" i="9"/>
  <c r="N306" i="16"/>
  <c r="K320" i="16"/>
  <c r="F180" i="5"/>
  <c r="K193" i="5"/>
  <c r="K194" i="5" s="1"/>
  <c r="F193" i="5"/>
  <c r="K193" i="9"/>
  <c r="J385" i="4"/>
  <c r="I345" i="7"/>
  <c r="D320" i="5"/>
  <c r="K430" i="4"/>
  <c r="J427" i="4"/>
  <c r="F467" i="2"/>
  <c r="D467" i="2" s="1"/>
  <c r="I495" i="6"/>
  <c r="N190" i="13"/>
  <c r="J504" i="5"/>
  <c r="L504" i="5" s="1"/>
  <c r="F345" i="5"/>
  <c r="F347" i="5" s="1"/>
  <c r="H627" i="5"/>
  <c r="H631" i="5"/>
  <c r="H632" i="5" s="1"/>
  <c r="F437" i="6"/>
  <c r="H615" i="5"/>
  <c r="H598" i="4"/>
  <c r="J570" i="9"/>
  <c r="F476" i="8"/>
  <c r="D641" i="8"/>
  <c r="H641" i="8"/>
  <c r="L616" i="8"/>
  <c r="F463" i="7"/>
  <c r="H463" i="7" s="1"/>
  <c r="F600" i="7"/>
  <c r="D595" i="7"/>
  <c r="F452" i="6"/>
  <c r="B461" i="5"/>
  <c r="F461" i="5" s="1"/>
  <c r="D461" i="5" s="1"/>
  <c r="N65" i="14"/>
  <c r="I619" i="5"/>
  <c r="D581" i="5"/>
  <c r="H581" i="5"/>
  <c r="D579" i="5"/>
  <c r="H579" i="5"/>
  <c r="D570" i="5"/>
  <c r="H570" i="5"/>
  <c r="F572" i="5"/>
  <c r="H568" i="5"/>
  <c r="H495" i="5"/>
  <c r="D585" i="4"/>
  <c r="K475" i="3"/>
  <c r="L475" i="3" s="1"/>
  <c r="J475" i="3"/>
  <c r="D617" i="3"/>
  <c r="D618" i="3" s="1"/>
  <c r="H617" i="3"/>
  <c r="H618" i="3" s="1"/>
  <c r="F618" i="3"/>
  <c r="D613" i="3"/>
  <c r="H613" i="3"/>
  <c r="D593" i="3"/>
  <c r="H562" i="3"/>
  <c r="D562" i="3"/>
  <c r="B517" i="2"/>
  <c r="N35" i="16"/>
  <c r="J410" i="9"/>
  <c r="K411" i="8"/>
  <c r="L411" i="8" s="1"/>
  <c r="J411" i="8"/>
  <c r="K430" i="8"/>
  <c r="L430" i="8" s="1"/>
  <c r="B435" i="8"/>
  <c r="K435" i="8" s="1"/>
  <c r="B419" i="6"/>
  <c r="F419" i="6" s="1"/>
  <c r="H419" i="6" s="1"/>
  <c r="K407" i="4"/>
  <c r="B432" i="3"/>
  <c r="J432" i="3" s="1"/>
  <c r="K376" i="4"/>
  <c r="I376" i="4"/>
  <c r="K393" i="3"/>
  <c r="N124" i="16"/>
  <c r="D377" i="8"/>
  <c r="H377" i="8"/>
  <c r="K356" i="9"/>
  <c r="J356" i="9"/>
  <c r="K356" i="7"/>
  <c r="F356" i="7"/>
  <c r="D356" i="7" s="1"/>
  <c r="B337" i="6"/>
  <c r="I337" i="6" s="1"/>
  <c r="J352" i="6"/>
  <c r="K352" i="6"/>
  <c r="J299" i="4"/>
  <c r="K299" i="4"/>
  <c r="F320" i="2"/>
  <c r="D320" i="2" s="1"/>
  <c r="K316" i="5"/>
  <c r="L316" i="5" s="1"/>
  <c r="F316" i="5"/>
  <c r="H320" i="9"/>
  <c r="D320" i="9"/>
  <c r="D302" i="5"/>
  <c r="I262" i="9"/>
  <c r="B261" i="3"/>
  <c r="F261" i="3" s="1"/>
  <c r="D261" i="3" s="1"/>
  <c r="J277" i="9"/>
  <c r="L277" i="9" s="1"/>
  <c r="K269" i="2"/>
  <c r="F269" i="2"/>
  <c r="D269" i="2" s="1"/>
  <c r="J269" i="2"/>
  <c r="K272" i="2"/>
  <c r="K255" i="8"/>
  <c r="H278" i="5"/>
  <c r="D278" i="5"/>
  <c r="F210" i="4"/>
  <c r="J210" i="4"/>
  <c r="K210" i="4"/>
  <c r="K212" i="4"/>
  <c r="J212" i="4"/>
  <c r="J207" i="2"/>
  <c r="H188" i="2"/>
  <c r="D188" i="2"/>
  <c r="N321" i="14"/>
  <c r="F172" i="8"/>
  <c r="H170" i="2"/>
  <c r="H176" i="8"/>
  <c r="H185" i="5"/>
  <c r="D185" i="5"/>
  <c r="H385" i="4"/>
  <c r="H299" i="4"/>
  <c r="J387" i="9"/>
  <c r="F386" i="4"/>
  <c r="D386" i="4" s="1"/>
  <c r="F313" i="5"/>
  <c r="H313" i="5" s="1"/>
  <c r="F433" i="3"/>
  <c r="K517" i="3"/>
  <c r="L517" i="3" s="1"/>
  <c r="L316" i="9"/>
  <c r="M316" i="9" s="1"/>
  <c r="K305" i="3"/>
  <c r="F356" i="9"/>
  <c r="D356" i="9" s="1"/>
  <c r="K515" i="5"/>
  <c r="L515" i="5" s="1"/>
  <c r="D413" i="4"/>
  <c r="H595" i="8"/>
  <c r="M581" i="5"/>
  <c r="N187" i="15"/>
  <c r="F336" i="7"/>
  <c r="D336" i="7" s="1"/>
  <c r="F506" i="2"/>
  <c r="H506" i="2" s="1"/>
  <c r="J305" i="3"/>
  <c r="F336" i="6"/>
  <c r="K418" i="3"/>
  <c r="I452" i="6"/>
  <c r="K476" i="6"/>
  <c r="L476" i="6" s="1"/>
  <c r="M476" i="6" s="1"/>
  <c r="K600" i="4"/>
  <c r="J376" i="4"/>
  <c r="F465" i="7"/>
  <c r="H465" i="7" s="1"/>
  <c r="H585" i="4"/>
  <c r="H636" i="5"/>
  <c r="B494" i="9"/>
  <c r="J494" i="9" s="1"/>
  <c r="H598" i="9"/>
  <c r="D598" i="9"/>
  <c r="D585" i="9"/>
  <c r="H585" i="9"/>
  <c r="B626" i="8"/>
  <c r="B462" i="7"/>
  <c r="J462" i="7" s="1"/>
  <c r="D574" i="7"/>
  <c r="H569" i="7"/>
  <c r="H570" i="7" s="1"/>
  <c r="D569" i="7"/>
  <c r="D570" i="7" s="1"/>
  <c r="B579" i="7"/>
  <c r="D498" i="7"/>
  <c r="H498" i="7"/>
  <c r="K508" i="4"/>
  <c r="H643" i="4"/>
  <c r="D643" i="4"/>
  <c r="D633" i="4"/>
  <c r="H586" i="4"/>
  <c r="D586" i="4"/>
  <c r="D632" i="3"/>
  <c r="H632" i="3"/>
  <c r="H630" i="3"/>
  <c r="D585" i="2"/>
  <c r="H585" i="2"/>
  <c r="B542" i="2"/>
  <c r="I541" i="2"/>
  <c r="K541" i="2"/>
  <c r="K542" i="2" s="1"/>
  <c r="J409" i="9"/>
  <c r="F436" i="8"/>
  <c r="N103" i="12"/>
  <c r="K425" i="6"/>
  <c r="K408" i="4"/>
  <c r="J410" i="4"/>
  <c r="B416" i="4"/>
  <c r="K416" i="4" s="1"/>
  <c r="K417" i="4" s="1"/>
  <c r="N89" i="15"/>
  <c r="F390" i="4"/>
  <c r="D390" i="4" s="1"/>
  <c r="K390" i="4"/>
  <c r="B393" i="4"/>
  <c r="J338" i="6"/>
  <c r="F338" i="6"/>
  <c r="B349" i="5"/>
  <c r="F349" i="5" s="1"/>
  <c r="H349" i="5" s="1"/>
  <c r="D361" i="7"/>
  <c r="F310" i="9"/>
  <c r="D310" i="9" s="1"/>
  <c r="K313" i="9"/>
  <c r="L313" i="9" s="1"/>
  <c r="B309" i="8"/>
  <c r="J309" i="8" s="1"/>
  <c r="N187" i="14"/>
  <c r="B294" i="5"/>
  <c r="J297" i="4"/>
  <c r="L297" i="4" s="1"/>
  <c r="K297" i="4"/>
  <c r="F297" i="4"/>
  <c r="J308" i="3"/>
  <c r="J295" i="2"/>
  <c r="K295" i="2"/>
  <c r="F296" i="9"/>
  <c r="H296" i="9" s="1"/>
  <c r="I296" i="9"/>
  <c r="K312" i="3"/>
  <c r="L312" i="3" s="1"/>
  <c r="F312" i="3"/>
  <c r="D218" i="5"/>
  <c r="F219" i="5"/>
  <c r="F214" i="4"/>
  <c r="H214" i="4" s="1"/>
  <c r="K205" i="6"/>
  <c r="H259" i="5"/>
  <c r="D174" i="7"/>
  <c r="H174" i="7"/>
  <c r="K385" i="4"/>
  <c r="D453" i="6"/>
  <c r="K345" i="7"/>
  <c r="D319" i="5"/>
  <c r="H314" i="7"/>
  <c r="J313" i="5"/>
  <c r="L313" i="5" s="1"/>
  <c r="F305" i="3"/>
  <c r="H305" i="3" s="1"/>
  <c r="K407" i="9"/>
  <c r="F393" i="9"/>
  <c r="D393" i="9" s="1"/>
  <c r="K534" i="3"/>
  <c r="L534" i="3" s="1"/>
  <c r="F419" i="8"/>
  <c r="H419" i="8" s="1"/>
  <c r="J506" i="7"/>
  <c r="H595" i="7"/>
  <c r="L702" i="1"/>
  <c r="K429" i="2"/>
  <c r="J374" i="3"/>
  <c r="J452" i="6"/>
  <c r="F427" i="3"/>
  <c r="K510" i="3"/>
  <c r="F358" i="5"/>
  <c r="F475" i="3"/>
  <c r="D475" i="3" s="1"/>
  <c r="N191" i="17"/>
  <c r="F422" i="5"/>
  <c r="J408" i="7"/>
  <c r="L408" i="7" s="1"/>
  <c r="J390" i="4"/>
  <c r="F376" i="4"/>
  <c r="M595" i="4"/>
  <c r="F629" i="5"/>
  <c r="D597" i="6"/>
  <c r="H584" i="3"/>
  <c r="N35" i="11"/>
  <c r="J541" i="2"/>
  <c r="J542" i="2" s="1"/>
  <c r="K338" i="6"/>
  <c r="H513" i="6"/>
  <c r="H606" i="5"/>
  <c r="B514" i="9"/>
  <c r="F514" i="9" s="1"/>
  <c r="H514" i="9" s="1"/>
  <c r="N35" i="10"/>
  <c r="D641" i="9"/>
  <c r="D595" i="9"/>
  <c r="H595" i="9"/>
  <c r="L587" i="9"/>
  <c r="D586" i="9"/>
  <c r="H586" i="9"/>
  <c r="D618" i="7"/>
  <c r="D619" i="7" s="1"/>
  <c r="F619" i="7"/>
  <c r="D614" i="7"/>
  <c r="H614" i="7"/>
  <c r="H633" i="6"/>
  <c r="D633" i="6"/>
  <c r="D621" i="6"/>
  <c r="F625" i="6"/>
  <c r="D575" i="6"/>
  <c r="H575" i="6"/>
  <c r="L563" i="6"/>
  <c r="K516" i="5"/>
  <c r="F516" i="5"/>
  <c r="H516" i="5" s="1"/>
  <c r="K505" i="5"/>
  <c r="F501" i="5"/>
  <c r="H501" i="5" s="1"/>
  <c r="K501" i="5"/>
  <c r="D631" i="5"/>
  <c r="D632" i="5" s="1"/>
  <c r="I640" i="5"/>
  <c r="F586" i="5"/>
  <c r="L579" i="5"/>
  <c r="M579" i="5" s="1"/>
  <c r="B450" i="4"/>
  <c r="F646" i="4"/>
  <c r="H642" i="4"/>
  <c r="B647" i="4"/>
  <c r="K592" i="4"/>
  <c r="H587" i="4"/>
  <c r="D587" i="4"/>
  <c r="D569" i="4"/>
  <c r="D570" i="4" s="1"/>
  <c r="H569" i="4"/>
  <c r="H570" i="4" s="1"/>
  <c r="F570" i="4"/>
  <c r="L566" i="4"/>
  <c r="M566" i="4" s="1"/>
  <c r="J567" i="4"/>
  <c r="F549" i="4"/>
  <c r="D549" i="4" s="1"/>
  <c r="J536" i="3"/>
  <c r="J538" i="3" s="1"/>
  <c r="K406" i="3"/>
  <c r="J406" i="3"/>
  <c r="F406" i="3"/>
  <c r="D406" i="3" s="1"/>
  <c r="D410" i="5"/>
  <c r="H410" i="5"/>
  <c r="H461" i="1"/>
  <c r="D461" i="1"/>
  <c r="J391" i="3"/>
  <c r="L391" i="3" s="1"/>
  <c r="J352" i="9"/>
  <c r="L352" i="9" s="1"/>
  <c r="K309" i="7"/>
  <c r="J293" i="3"/>
  <c r="K293" i="3"/>
  <c r="F295" i="3"/>
  <c r="H304" i="4"/>
  <c r="L302" i="7"/>
  <c r="M302" i="7" s="1"/>
  <c r="H320" i="6"/>
  <c r="D320" i="6"/>
  <c r="F251" i="6"/>
  <c r="H251" i="6" s="1"/>
  <c r="F281" i="3"/>
  <c r="D281" i="3" s="1"/>
  <c r="J254" i="2"/>
  <c r="L254" i="2" s="1"/>
  <c r="F254" i="2"/>
  <c r="I254" i="2"/>
  <c r="J275" i="2"/>
  <c r="L275" i="2" s="1"/>
  <c r="J251" i="3"/>
  <c r="K266" i="3"/>
  <c r="I254" i="4"/>
  <c r="F254" i="4"/>
  <c r="H254" i="4" s="1"/>
  <c r="K256" i="4"/>
  <c r="K275" i="4"/>
  <c r="L275" i="4" s="1"/>
  <c r="F275" i="4"/>
  <c r="K277" i="4"/>
  <c r="F277" i="4"/>
  <c r="D277" i="4" s="1"/>
  <c r="J277" i="4"/>
  <c r="K279" i="4"/>
  <c r="L279" i="4" s="1"/>
  <c r="F279" i="4"/>
  <c r="B263" i="6"/>
  <c r="K272" i="7"/>
  <c r="L272" i="6"/>
  <c r="M272" i="6" s="1"/>
  <c r="B207" i="7"/>
  <c r="F224" i="8"/>
  <c r="H224" i="8" s="1"/>
  <c r="M183" i="9"/>
  <c r="M169" i="3"/>
  <c r="M574" i="6"/>
  <c r="B450" i="9"/>
  <c r="K535" i="9"/>
  <c r="L535" i="9" s="1"/>
  <c r="D569" i="8"/>
  <c r="D570" i="8" s="1"/>
  <c r="H569" i="8"/>
  <c r="H570" i="8" s="1"/>
  <c r="D566" i="8"/>
  <c r="H566" i="8"/>
  <c r="B476" i="7"/>
  <c r="J476" i="7" s="1"/>
  <c r="I495" i="7"/>
  <c r="D566" i="7"/>
  <c r="H566" i="7"/>
  <c r="H638" i="6"/>
  <c r="H639" i="6" s="1"/>
  <c r="F639" i="6"/>
  <c r="B626" i="6"/>
  <c r="D587" i="6"/>
  <c r="H587" i="6"/>
  <c r="L585" i="6"/>
  <c r="M585" i="6" s="1"/>
  <c r="K589" i="6"/>
  <c r="J589" i="6"/>
  <c r="J601" i="6" s="1"/>
  <c r="K465" i="5"/>
  <c r="F451" i="4"/>
  <c r="H451" i="4" s="1"/>
  <c r="F517" i="4"/>
  <c r="H517" i="4" s="1"/>
  <c r="K509" i="4"/>
  <c r="B502" i="4"/>
  <c r="N16" i="15"/>
  <c r="H618" i="4"/>
  <c r="H619" i="4" s="1"/>
  <c r="F619" i="4"/>
  <c r="D614" i="4"/>
  <c r="H614" i="4"/>
  <c r="I601" i="4"/>
  <c r="F505" i="3"/>
  <c r="D505" i="3" s="1"/>
  <c r="J505" i="3"/>
  <c r="L505" i="3" s="1"/>
  <c r="H610" i="3"/>
  <c r="D610" i="3"/>
  <c r="N86" i="13"/>
  <c r="K411" i="4"/>
  <c r="K419" i="4"/>
  <c r="N103" i="17"/>
  <c r="N86" i="16"/>
  <c r="H412" i="4"/>
  <c r="D412" i="4"/>
  <c r="B382" i="4"/>
  <c r="K382" i="4" s="1"/>
  <c r="K383" i="4" s="1"/>
  <c r="N127" i="15"/>
  <c r="K338" i="5"/>
  <c r="B355" i="4"/>
  <c r="F355" i="4" s="1"/>
  <c r="M355" i="4" s="1"/>
  <c r="H271" i="9"/>
  <c r="D277" i="8"/>
  <c r="H277" i="8"/>
  <c r="D288" i="1"/>
  <c r="H288" i="1"/>
  <c r="H281" i="1"/>
  <c r="D281" i="1"/>
  <c r="I219" i="6"/>
  <c r="D598" i="8"/>
  <c r="H598" i="8"/>
  <c r="D591" i="8"/>
  <c r="D592" i="8" s="1"/>
  <c r="H591" i="8"/>
  <c r="H592" i="8" s="1"/>
  <c r="B579" i="8"/>
  <c r="B518" i="7"/>
  <c r="D642" i="7"/>
  <c r="H642" i="7"/>
  <c r="F592" i="7"/>
  <c r="H605" i="5"/>
  <c r="D605" i="5"/>
  <c r="D574" i="2"/>
  <c r="H574" i="2"/>
  <c r="N86" i="11"/>
  <c r="B382" i="7"/>
  <c r="I382" i="7" s="1"/>
  <c r="I383" i="7" s="1"/>
  <c r="N127" i="12"/>
  <c r="M323" i="4"/>
  <c r="F281" i="9"/>
  <c r="D281" i="9" s="1"/>
  <c r="J210" i="5"/>
  <c r="K210" i="5"/>
  <c r="N16" i="10"/>
  <c r="B502" i="9"/>
  <c r="B503" i="9" s="1"/>
  <c r="L685" i="1"/>
  <c r="L658" i="1"/>
  <c r="L563" i="8"/>
  <c r="L586" i="6"/>
  <c r="M586" i="6" s="1"/>
  <c r="D616" i="5"/>
  <c r="H616" i="5"/>
  <c r="H618" i="5" s="1"/>
  <c r="L499" i="4"/>
  <c r="M499" i="4" s="1"/>
  <c r="L572" i="1"/>
  <c r="M572" i="1" s="1"/>
  <c r="L510" i="1"/>
  <c r="M510" i="1" s="1"/>
  <c r="N86" i="12"/>
  <c r="L435" i="1"/>
  <c r="L378" i="4"/>
  <c r="M378" i="4" s="1"/>
  <c r="L421" i="1"/>
  <c r="M421" i="1" s="1"/>
  <c r="N208" i="13"/>
  <c r="K272" i="4"/>
  <c r="L272" i="4" s="1"/>
  <c r="F272" i="4"/>
  <c r="F219" i="6"/>
  <c r="D217" i="6"/>
  <c r="D219" i="6" s="1"/>
  <c r="J219" i="5"/>
  <c r="K205" i="8"/>
  <c r="J205" i="8"/>
  <c r="H231" i="6"/>
  <c r="I206" i="5"/>
  <c r="F206" i="5"/>
  <c r="J206" i="5"/>
  <c r="F264" i="5"/>
  <c r="D250" i="5"/>
  <c r="F227" i="7"/>
  <c r="D227" i="7" s="1"/>
  <c r="F226" i="3"/>
  <c r="H226" i="3" s="1"/>
  <c r="K226" i="3"/>
  <c r="F222" i="3"/>
  <c r="H222" i="3" s="1"/>
  <c r="J222" i="3"/>
  <c r="K222" i="3"/>
  <c r="J224" i="4"/>
  <c r="J626" i="9"/>
  <c r="B647" i="6"/>
  <c r="L584" i="6"/>
  <c r="L524" i="1"/>
  <c r="M524" i="1"/>
  <c r="L438" i="6"/>
  <c r="L413" i="8"/>
  <c r="M413" i="8" s="1"/>
  <c r="L298" i="6"/>
  <c r="M298" i="6" s="1"/>
  <c r="M337" i="1"/>
  <c r="L320" i="5"/>
  <c r="M320" i="5" s="1"/>
  <c r="L304" i="4"/>
  <c r="M304" i="4" s="1"/>
  <c r="F267" i="9"/>
  <c r="M278" i="4"/>
  <c r="N229" i="14"/>
  <c r="H219" i="4"/>
  <c r="F221" i="4"/>
  <c r="D219" i="4"/>
  <c r="K206" i="7"/>
  <c r="D266" i="5"/>
  <c r="H266" i="5"/>
  <c r="L253" i="5"/>
  <c r="L252" i="5"/>
  <c r="M252" i="5" s="1"/>
  <c r="F223" i="7"/>
  <c r="H234" i="9"/>
  <c r="D234" i="9"/>
  <c r="M176" i="8"/>
  <c r="M185" i="5"/>
  <c r="H171" i="4"/>
  <c r="D171" i="4"/>
  <c r="L301" i="1"/>
  <c r="L217" i="5"/>
  <c r="M217" i="5" s="1"/>
  <c r="M276" i="5"/>
  <c r="D276" i="5"/>
  <c r="L262" i="5"/>
  <c r="M262" i="5" s="1"/>
  <c r="M259" i="5"/>
  <c r="J210" i="2"/>
  <c r="M216" i="4"/>
  <c r="F167" i="2"/>
  <c r="H167" i="2" s="1"/>
  <c r="I167" i="2"/>
  <c r="B171" i="4"/>
  <c r="F172" i="5"/>
  <c r="H172" i="5" s="1"/>
  <c r="J172" i="5"/>
  <c r="L172" i="5" s="1"/>
  <c r="H212" i="3"/>
  <c r="D212" i="3"/>
  <c r="D177" i="4"/>
  <c r="H177" i="4"/>
  <c r="M234" i="6"/>
  <c r="K221" i="4"/>
  <c r="L227" i="6"/>
  <c r="M227" i="6" s="1"/>
  <c r="L269" i="5"/>
  <c r="M269" i="5" s="1"/>
  <c r="L263" i="5"/>
  <c r="J264" i="5"/>
  <c r="M257" i="5"/>
  <c r="M214" i="6"/>
  <c r="M181" i="6"/>
  <c r="J168" i="9"/>
  <c r="F168" i="9"/>
  <c r="D168" i="9" s="1"/>
  <c r="F167" i="5"/>
  <c r="H170" i="9"/>
  <c r="D170" i="9"/>
  <c r="M234" i="9"/>
  <c r="M183" i="5"/>
  <c r="F167" i="6"/>
  <c r="I167" i="6"/>
  <c r="L167" i="6" s="1"/>
  <c r="B180" i="9"/>
  <c r="F180" i="9" s="1"/>
  <c r="N321" i="10"/>
  <c r="F219" i="9"/>
  <c r="H191" i="9"/>
  <c r="K219" i="9"/>
  <c r="H535" i="1"/>
  <c r="H509" i="1"/>
  <c r="D422" i="1"/>
  <c r="H422" i="1"/>
  <c r="M535" i="1"/>
  <c r="F536" i="2"/>
  <c r="D536" i="2" s="1"/>
  <c r="J324" i="2"/>
  <c r="F186" i="2"/>
  <c r="H181" i="2"/>
  <c r="I533" i="2"/>
  <c r="I593" i="1" s="1"/>
  <c r="F312" i="2"/>
  <c r="H312" i="2" s="1"/>
  <c r="F232" i="2"/>
  <c r="D232" i="2" s="1"/>
  <c r="J232" i="2"/>
  <c r="L232" i="2" s="1"/>
  <c r="F434" i="2"/>
  <c r="F509" i="2"/>
  <c r="D509" i="2" s="1"/>
  <c r="I263" i="2"/>
  <c r="F166" i="2"/>
  <c r="J477" i="2"/>
  <c r="L477" i="2" s="1"/>
  <c r="J453" i="2"/>
  <c r="F453" i="2"/>
  <c r="D453" i="2" s="1"/>
  <c r="H185" i="2"/>
  <c r="L237" i="2"/>
  <c r="M237" i="2" s="1"/>
  <c r="J386" i="8"/>
  <c r="L386" i="8" s="1"/>
  <c r="D596" i="8"/>
  <c r="F600" i="8"/>
  <c r="D576" i="8"/>
  <c r="H576" i="8"/>
  <c r="K351" i="8"/>
  <c r="F219" i="8"/>
  <c r="D218" i="8"/>
  <c r="D219" i="8" s="1"/>
  <c r="J479" i="8"/>
  <c r="H361" i="8"/>
  <c r="L586" i="8"/>
  <c r="M586" i="8" s="1"/>
  <c r="L569" i="8"/>
  <c r="K570" i="8"/>
  <c r="K269" i="8"/>
  <c r="H226" i="8"/>
  <c r="F390" i="8"/>
  <c r="J390" i="8"/>
  <c r="L390" i="8" s="1"/>
  <c r="D613" i="8"/>
  <c r="D616" i="8" s="1"/>
  <c r="H585" i="8"/>
  <c r="J521" i="8"/>
  <c r="L646" i="8"/>
  <c r="L566" i="8"/>
  <c r="J422" i="8"/>
  <c r="J269" i="8"/>
  <c r="L269" i="8" s="1"/>
  <c r="L217" i="8"/>
  <c r="M217" i="8" s="1"/>
  <c r="H237" i="8"/>
  <c r="F407" i="8"/>
  <c r="H623" i="8"/>
  <c r="D623" i="8"/>
  <c r="I601" i="8"/>
  <c r="L564" i="8"/>
  <c r="K625" i="1"/>
  <c r="K250" i="8"/>
  <c r="D631" i="8"/>
  <c r="K311" i="8"/>
  <c r="H574" i="8"/>
  <c r="I452" i="8"/>
  <c r="D622" i="8"/>
  <c r="H622" i="8"/>
  <c r="J589" i="8"/>
  <c r="J601" i="8"/>
  <c r="K567" i="8"/>
  <c r="D413" i="8"/>
  <c r="H413" i="8"/>
  <c r="D374" i="8"/>
  <c r="H218" i="8"/>
  <c r="K229" i="8"/>
  <c r="H186" i="8"/>
  <c r="D186" i="8"/>
  <c r="L377" i="8"/>
  <c r="M377" i="8" s="1"/>
  <c r="L694" i="1"/>
  <c r="L676" i="1"/>
  <c r="D193" i="8"/>
  <c r="D276" i="8"/>
  <c r="K545" i="8"/>
  <c r="L545" i="8" s="1"/>
  <c r="F423" i="8"/>
  <c r="H423" i="8" s="1"/>
  <c r="J423" i="8"/>
  <c r="L423" i="8" s="1"/>
  <c r="K407" i="8"/>
  <c r="L407" i="8" s="1"/>
  <c r="J407" i="8"/>
  <c r="K353" i="8"/>
  <c r="L353" i="8" s="1"/>
  <c r="I345" i="8"/>
  <c r="J316" i="8"/>
  <c r="L316" i="8" s="1"/>
  <c r="F316" i="8"/>
  <c r="D316" i="8" s="1"/>
  <c r="J253" i="8"/>
  <c r="K253" i="8"/>
  <c r="L253" i="8" s="1"/>
  <c r="F253" i="8"/>
  <c r="J282" i="8"/>
  <c r="F207" i="8"/>
  <c r="F227" i="8"/>
  <c r="H227" i="8" s="1"/>
  <c r="F174" i="8"/>
  <c r="H174" i="8" s="1"/>
  <c r="H181" i="8"/>
  <c r="D181" i="8"/>
  <c r="F386" i="8"/>
  <c r="H386" i="8" s="1"/>
  <c r="H300" i="8"/>
  <c r="I346" i="8"/>
  <c r="F254" i="8"/>
  <c r="J207" i="8"/>
  <c r="I168" i="8"/>
  <c r="K193" i="8"/>
  <c r="F320" i="8"/>
  <c r="M320" i="8" s="1"/>
  <c r="J294" i="8"/>
  <c r="L294" i="8" s="1"/>
  <c r="M294" i="8" s="1"/>
  <c r="D345" i="8"/>
  <c r="F411" i="8"/>
  <c r="K473" i="8"/>
  <c r="L473" i="8" s="1"/>
  <c r="F465" i="8"/>
  <c r="D465" i="8" s="1"/>
  <c r="J465" i="8"/>
  <c r="L465" i="8" s="1"/>
  <c r="M465" i="8" s="1"/>
  <c r="K455" i="8"/>
  <c r="L455" i="8" s="1"/>
  <c r="M455" i="8" s="1"/>
  <c r="K393" i="8"/>
  <c r="H278" i="8"/>
  <c r="M277" i="8"/>
  <c r="K238" i="8"/>
  <c r="D184" i="8"/>
  <c r="F272" i="8"/>
  <c r="H272" i="8" s="1"/>
  <c r="M258" i="8"/>
  <c r="J219" i="8"/>
  <c r="D230" i="8"/>
  <c r="H218" i="9"/>
  <c r="H219" i="9" s="1"/>
  <c r="L218" i="9"/>
  <c r="M218" i="9" s="1"/>
  <c r="D217" i="9"/>
  <c r="D219" i="9" s="1"/>
  <c r="I219" i="9"/>
  <c r="F376" i="8"/>
  <c r="D376" i="8" s="1"/>
  <c r="J376" i="8"/>
  <c r="J390" i="3"/>
  <c r="D311" i="5"/>
  <c r="H311" i="5"/>
  <c r="F375" i="5"/>
  <c r="H375" i="5" s="1"/>
  <c r="F609" i="5"/>
  <c r="D604" i="5"/>
  <c r="H604" i="5"/>
  <c r="J586" i="5"/>
  <c r="L585" i="5"/>
  <c r="J651" i="1"/>
  <c r="J652" i="1" s="1"/>
  <c r="M582" i="5"/>
  <c r="F182" i="8"/>
  <c r="M182" i="8" s="1"/>
  <c r="F193" i="2"/>
  <c r="D193" i="2" s="1"/>
  <c r="K193" i="2"/>
  <c r="K194" i="2" s="1"/>
  <c r="K193" i="6"/>
  <c r="K194" i="6" s="1"/>
  <c r="H320" i="4"/>
  <c r="K376" i="8"/>
  <c r="D389" i="4"/>
  <c r="H389" i="4"/>
  <c r="J383" i="6"/>
  <c r="K383" i="6"/>
  <c r="D389" i="5"/>
  <c r="M389" i="5"/>
  <c r="I375" i="6"/>
  <c r="K375" i="5"/>
  <c r="M301" i="8"/>
  <c r="D426" i="5"/>
  <c r="B350" i="9"/>
  <c r="K350" i="9" s="1"/>
  <c r="J353" i="9"/>
  <c r="L353" i="9" s="1"/>
  <c r="F353" i="9"/>
  <c r="F337" i="8"/>
  <c r="H337" i="8" s="1"/>
  <c r="K356" i="5"/>
  <c r="J356" i="5"/>
  <c r="F356" i="5"/>
  <c r="D356" i="5" s="1"/>
  <c r="J352" i="2"/>
  <c r="D346" i="9"/>
  <c r="B301" i="7"/>
  <c r="B295" i="6"/>
  <c r="N186" i="13"/>
  <c r="L315" i="6"/>
  <c r="B313" i="4"/>
  <c r="J313" i="4" s="1"/>
  <c r="K318" i="5"/>
  <c r="F318" i="5"/>
  <c r="D318" i="5" s="1"/>
  <c r="K506" i="6"/>
  <c r="F506" i="6"/>
  <c r="D506" i="6" s="1"/>
  <c r="J385" i="6"/>
  <c r="F477" i="8"/>
  <c r="H477" i="8" s="1"/>
  <c r="J477" i="8"/>
  <c r="L584" i="8"/>
  <c r="K644" i="1"/>
  <c r="H573" i="8"/>
  <c r="D573" i="8"/>
  <c r="B510" i="7"/>
  <c r="K510" i="7" s="1"/>
  <c r="J496" i="6"/>
  <c r="B475" i="5"/>
  <c r="F475" i="5" s="1"/>
  <c r="D475" i="5" s="1"/>
  <c r="N73" i="14"/>
  <c r="B502" i="5"/>
  <c r="J502" i="5" s="1"/>
  <c r="L629" i="5"/>
  <c r="D614" i="5"/>
  <c r="F618" i="5"/>
  <c r="L674" i="1"/>
  <c r="L609" i="5"/>
  <c r="J428" i="5"/>
  <c r="F428" i="5"/>
  <c r="K428" i="5"/>
  <c r="J386" i="9"/>
  <c r="K386" i="9"/>
  <c r="K353" i="5"/>
  <c r="J353" i="5"/>
  <c r="I338" i="4"/>
  <c r="L338" i="4" s="1"/>
  <c r="F350" i="4"/>
  <c r="H350" i="4" s="1"/>
  <c r="K350" i="4"/>
  <c r="J350" i="4"/>
  <c r="F295" i="8"/>
  <c r="H295" i="8" s="1"/>
  <c r="D314" i="5"/>
  <c r="M314" i="5"/>
  <c r="M319" i="6"/>
  <c r="H319" i="6"/>
  <c r="B270" i="2"/>
  <c r="K270" i="2" s="1"/>
  <c r="B252" i="3"/>
  <c r="K252" i="3" s="1"/>
  <c r="N225" i="17"/>
  <c r="F273" i="4"/>
  <c r="D273" i="4" s="1"/>
  <c r="M319" i="8"/>
  <c r="J506" i="6"/>
  <c r="F386" i="9"/>
  <c r="H386" i="9" s="1"/>
  <c r="B349" i="8"/>
  <c r="F349" i="8" s="1"/>
  <c r="D408" i="6"/>
  <c r="H408" i="6"/>
  <c r="M588" i="8"/>
  <c r="J305" i="8"/>
  <c r="F305" i="8"/>
  <c r="H305" i="8" s="1"/>
  <c r="I305" i="8"/>
  <c r="J493" i="3"/>
  <c r="F506" i="8"/>
  <c r="D506" i="8" s="1"/>
  <c r="H360" i="5"/>
  <c r="D360" i="5"/>
  <c r="H564" i="8"/>
  <c r="H376" i="5"/>
  <c r="J454" i="9"/>
  <c r="K512" i="9"/>
  <c r="H455" i="9"/>
  <c r="J463" i="8"/>
  <c r="J497" i="8"/>
  <c r="F497" i="8"/>
  <c r="H497" i="8" s="1"/>
  <c r="D618" i="8"/>
  <c r="D619" i="8" s="1"/>
  <c r="F619" i="8"/>
  <c r="H614" i="8"/>
  <c r="F616" i="8"/>
  <c r="L600" i="8"/>
  <c r="M596" i="8"/>
  <c r="L578" i="8"/>
  <c r="H572" i="8"/>
  <c r="D572" i="8"/>
  <c r="F578" i="8"/>
  <c r="K473" i="7"/>
  <c r="L473" i="7" s="1"/>
  <c r="F473" i="7"/>
  <c r="D473" i="7" s="1"/>
  <c r="N48" i="12"/>
  <c r="B452" i="7"/>
  <c r="I452" i="7" s="1"/>
  <c r="I457" i="7" s="1"/>
  <c r="H633" i="7"/>
  <c r="D612" i="7"/>
  <c r="H573" i="7"/>
  <c r="D573" i="7"/>
  <c r="F578" i="7"/>
  <c r="L567" i="7"/>
  <c r="M565" i="7"/>
  <c r="D565" i="7"/>
  <c r="F567" i="7"/>
  <c r="D563" i="7"/>
  <c r="F588" i="6"/>
  <c r="D499" i="6"/>
  <c r="H499" i="6"/>
  <c r="K477" i="5"/>
  <c r="J477" i="5"/>
  <c r="J447" i="5"/>
  <c r="F447" i="5"/>
  <c r="D447" i="5" s="1"/>
  <c r="K447" i="5"/>
  <c r="B495" i="5"/>
  <c r="M588" i="4"/>
  <c r="H588" i="4"/>
  <c r="K578" i="4"/>
  <c r="K579" i="4" s="1"/>
  <c r="K633" i="1"/>
  <c r="B477" i="3"/>
  <c r="B463" i="3"/>
  <c r="J463" i="3" s="1"/>
  <c r="B452" i="3"/>
  <c r="J452" i="3" s="1"/>
  <c r="F519" i="3"/>
  <c r="F481" i="2"/>
  <c r="H481" i="2" s="1"/>
  <c r="J481" i="2"/>
  <c r="K481" i="2"/>
  <c r="J422" i="7"/>
  <c r="L422" i="7" s="1"/>
  <c r="F422" i="7"/>
  <c r="H422" i="7" s="1"/>
  <c r="J408" i="6"/>
  <c r="K408" i="6"/>
  <c r="B433" i="6"/>
  <c r="J424" i="3"/>
  <c r="B374" i="4"/>
  <c r="K374" i="4" s="1"/>
  <c r="K389" i="4"/>
  <c r="J389" i="4"/>
  <c r="F373" i="3"/>
  <c r="D373" i="3" s="1"/>
  <c r="H266" i="9"/>
  <c r="D266" i="9"/>
  <c r="M266" i="9"/>
  <c r="K268" i="3"/>
  <c r="M321" i="7"/>
  <c r="J436" i="4"/>
  <c r="F436" i="4"/>
  <c r="F338" i="8"/>
  <c r="H338" i="8" s="1"/>
  <c r="F459" i="5"/>
  <c r="H459" i="5" s="1"/>
  <c r="K509" i="8"/>
  <c r="F509" i="8"/>
  <c r="H509" i="8" s="1"/>
  <c r="J509" i="8"/>
  <c r="D586" i="8"/>
  <c r="F589" i="8"/>
  <c r="F601" i="8" s="1"/>
  <c r="L646" i="7"/>
  <c r="I416" i="8"/>
  <c r="I417" i="8" s="1"/>
  <c r="B417" i="8"/>
  <c r="J393" i="7"/>
  <c r="L393" i="7" s="1"/>
  <c r="N140" i="13"/>
  <c r="B388" i="3"/>
  <c r="F388" i="3" s="1"/>
  <c r="H388" i="3" s="1"/>
  <c r="K375" i="2"/>
  <c r="F355" i="8"/>
  <c r="H355" i="8" s="1"/>
  <c r="F337" i="5"/>
  <c r="D337" i="5" s="1"/>
  <c r="J340" i="4"/>
  <c r="L340" i="4" s="1"/>
  <c r="F340" i="4"/>
  <c r="D340" i="4" s="1"/>
  <c r="D341" i="7"/>
  <c r="N191" i="16"/>
  <c r="K318" i="4"/>
  <c r="F318" i="4"/>
  <c r="H318" i="4" s="1"/>
  <c r="J318" i="4"/>
  <c r="K311" i="5"/>
  <c r="B315" i="7"/>
  <c r="F315" i="7" s="1"/>
  <c r="D315" i="7" s="1"/>
  <c r="J277" i="3"/>
  <c r="J269" i="4"/>
  <c r="K269" i="4"/>
  <c r="F269" i="4"/>
  <c r="K254" i="6"/>
  <c r="K270" i="8"/>
  <c r="F270" i="8"/>
  <c r="H270" i="8" s="1"/>
  <c r="J270" i="8"/>
  <c r="K436" i="4"/>
  <c r="H314" i="5"/>
  <c r="M376" i="5"/>
  <c r="K589" i="8"/>
  <c r="N89" i="11"/>
  <c r="F416" i="8"/>
  <c r="H416" i="8" s="1"/>
  <c r="H417" i="8" s="1"/>
  <c r="K416" i="8"/>
  <c r="K417" i="8" s="1"/>
  <c r="F589" i="7"/>
  <c r="F353" i="5"/>
  <c r="H353" i="5" s="1"/>
  <c r="D437" i="4"/>
  <c r="B467" i="9"/>
  <c r="F467" i="9" s="1"/>
  <c r="D467" i="9" s="1"/>
  <c r="L639" i="9"/>
  <c r="D622" i="9"/>
  <c r="H622" i="9"/>
  <c r="H625" i="9" s="1"/>
  <c r="L599" i="9"/>
  <c r="K659" i="1"/>
  <c r="K600" i="9"/>
  <c r="L596" i="9"/>
  <c r="M596" i="9" s="1"/>
  <c r="K656" i="1"/>
  <c r="H588" i="9"/>
  <c r="M588" i="9"/>
  <c r="H587" i="9"/>
  <c r="F589" i="9"/>
  <c r="K645" i="1"/>
  <c r="K589" i="9"/>
  <c r="K601" i="9" s="1"/>
  <c r="J578" i="9"/>
  <c r="L572" i="9"/>
  <c r="H566" i="9"/>
  <c r="J624" i="1"/>
  <c r="D456" i="9"/>
  <c r="H456" i="9"/>
  <c r="H563" i="5"/>
  <c r="H564" i="5" s="1"/>
  <c r="D563" i="5"/>
  <c r="D564" i="5" s="1"/>
  <c r="F564" i="5"/>
  <c r="L560" i="5"/>
  <c r="M560" i="5" s="1"/>
  <c r="J561" i="5"/>
  <c r="J627" i="1"/>
  <c r="K561" i="5"/>
  <c r="L557" i="5"/>
  <c r="J454" i="4"/>
  <c r="F454" i="4"/>
  <c r="H454" i="4" s="1"/>
  <c r="F518" i="4"/>
  <c r="H518" i="4" s="1"/>
  <c r="J513" i="4"/>
  <c r="F507" i="4"/>
  <c r="H507" i="4" s="1"/>
  <c r="H638" i="4"/>
  <c r="H639" i="4" s="1"/>
  <c r="L616" i="4"/>
  <c r="F600" i="4"/>
  <c r="H599" i="4"/>
  <c r="H600" i="4" s="1"/>
  <c r="D599" i="4"/>
  <c r="B601" i="4"/>
  <c r="D574" i="4"/>
  <c r="H574" i="4"/>
  <c r="M574" i="4"/>
  <c r="F578" i="4"/>
  <c r="J466" i="3"/>
  <c r="B458" i="3"/>
  <c r="K458" i="3" s="1"/>
  <c r="K459" i="3" s="1"/>
  <c r="N51" i="17"/>
  <c r="D574" i="3"/>
  <c r="H574" i="3"/>
  <c r="J480" i="2"/>
  <c r="N48" i="16"/>
  <c r="F519" i="2"/>
  <c r="H519" i="2" s="1"/>
  <c r="D587" i="2"/>
  <c r="H587" i="2"/>
  <c r="F578" i="2"/>
  <c r="L564" i="2"/>
  <c r="J625" i="1"/>
  <c r="D572" i="1"/>
  <c r="H572" i="1"/>
  <c r="D481" i="8"/>
  <c r="H481" i="8"/>
  <c r="B437" i="9"/>
  <c r="J437" i="9" s="1"/>
  <c r="J336" i="6"/>
  <c r="F471" i="9"/>
  <c r="D471" i="9" s="1"/>
  <c r="J471" i="9"/>
  <c r="L625" i="9"/>
  <c r="D614" i="9"/>
  <c r="F616" i="9"/>
  <c r="D594" i="9"/>
  <c r="F600" i="9"/>
  <c r="K626" i="1"/>
  <c r="L565" i="9"/>
  <c r="J494" i="8"/>
  <c r="D594" i="8"/>
  <c r="H594" i="8"/>
  <c r="B502" i="6"/>
  <c r="B503" i="6" s="1"/>
  <c r="N16" i="13"/>
  <c r="H594" i="6"/>
  <c r="D594" i="6"/>
  <c r="D534" i="6"/>
  <c r="H534" i="6"/>
  <c r="L481" i="6"/>
  <c r="B449" i="5"/>
  <c r="K449" i="5" s="1"/>
  <c r="N48" i="14"/>
  <c r="I495" i="4"/>
  <c r="F495" i="4"/>
  <c r="D495" i="4" s="1"/>
  <c r="B498" i="3"/>
  <c r="B510" i="2"/>
  <c r="F510" i="2" s="1"/>
  <c r="H510" i="2" s="1"/>
  <c r="J645" i="1"/>
  <c r="L585" i="2"/>
  <c r="M585" i="2" s="1"/>
  <c r="D584" i="2"/>
  <c r="H584" i="2"/>
  <c r="K570" i="2"/>
  <c r="K630" i="1"/>
  <c r="K631" i="1" s="1"/>
  <c r="K426" i="8"/>
  <c r="J426" i="8"/>
  <c r="F408" i="7"/>
  <c r="F430" i="7"/>
  <c r="D430" i="7" s="1"/>
  <c r="J423" i="5"/>
  <c r="L423" i="5" s="1"/>
  <c r="F423" i="5"/>
  <c r="J433" i="4"/>
  <c r="K411" i="3"/>
  <c r="L411" i="3" s="1"/>
  <c r="B388" i="9"/>
  <c r="J388" i="9" s="1"/>
  <c r="K388" i="5"/>
  <c r="L388" i="5" s="1"/>
  <c r="F388" i="5"/>
  <c r="D388" i="5" s="1"/>
  <c r="K353" i="7"/>
  <c r="F351" i="4"/>
  <c r="H351" i="4" s="1"/>
  <c r="J351" i="4"/>
  <c r="L351" i="4" s="1"/>
  <c r="H341" i="6"/>
  <c r="M341" i="6"/>
  <c r="B324" i="9"/>
  <c r="F324" i="9" s="1"/>
  <c r="D324" i="9" s="1"/>
  <c r="N209" i="10"/>
  <c r="B297" i="8"/>
  <c r="J297" i="8" s="1"/>
  <c r="N187" i="11"/>
  <c r="B321" i="4"/>
  <c r="B239" i="4"/>
  <c r="M233" i="5"/>
  <c r="D233" i="5"/>
  <c r="H233" i="5"/>
  <c r="F470" i="9"/>
  <c r="D470" i="9" s="1"/>
  <c r="F463" i="9"/>
  <c r="D463" i="9" s="1"/>
  <c r="F546" i="9"/>
  <c r="D499" i="9"/>
  <c r="H499" i="9"/>
  <c r="K498" i="8"/>
  <c r="J498" i="8"/>
  <c r="I647" i="8"/>
  <c r="F625" i="8"/>
  <c r="H621" i="8"/>
  <c r="D563" i="8"/>
  <c r="H563" i="8"/>
  <c r="F567" i="8"/>
  <c r="B466" i="6"/>
  <c r="J466" i="6" s="1"/>
  <c r="K453" i="6"/>
  <c r="J493" i="5"/>
  <c r="K493" i="5"/>
  <c r="B619" i="5"/>
  <c r="H607" i="5"/>
  <c r="D607" i="5"/>
  <c r="J583" i="5"/>
  <c r="L638" i="1"/>
  <c r="J564" i="5"/>
  <c r="L563" i="5"/>
  <c r="H558" i="5"/>
  <c r="D558" i="5"/>
  <c r="F561" i="5"/>
  <c r="B537" i="5"/>
  <c r="J536" i="5"/>
  <c r="J537" i="5" s="1"/>
  <c r="J507" i="3"/>
  <c r="K424" i="8"/>
  <c r="B434" i="4"/>
  <c r="K434" i="4" s="1"/>
  <c r="J437" i="4"/>
  <c r="K437" i="4"/>
  <c r="K435" i="3"/>
  <c r="L435" i="3" s="1"/>
  <c r="B339" i="9"/>
  <c r="J339" i="9" s="1"/>
  <c r="J354" i="4"/>
  <c r="L354" i="4" s="1"/>
  <c r="F354" i="4"/>
  <c r="K350" i="3"/>
  <c r="J350" i="3"/>
  <c r="K339" i="2"/>
  <c r="J295" i="5"/>
  <c r="M280" i="4"/>
  <c r="J277" i="6"/>
  <c r="F277" i="6"/>
  <c r="H279" i="7"/>
  <c r="H261" i="4"/>
  <c r="D261" i="4"/>
  <c r="D499" i="8"/>
  <c r="D594" i="7"/>
  <c r="D612" i="6"/>
  <c r="L646" i="4"/>
  <c r="K360" i="5"/>
  <c r="J360" i="5"/>
  <c r="L281" i="1"/>
  <c r="M281" i="1" s="1"/>
  <c r="F253" i="9"/>
  <c r="B268" i="8"/>
  <c r="F268" i="8" s="1"/>
  <c r="H273" i="8"/>
  <c r="D220" i="4"/>
  <c r="H220" i="4"/>
  <c r="D229" i="8"/>
  <c r="H229" i="8"/>
  <c r="D566" i="6"/>
  <c r="H566" i="6"/>
  <c r="D494" i="5"/>
  <c r="H494" i="5"/>
  <c r="K350" i="5"/>
  <c r="L302" i="8"/>
  <c r="M302" i="8" s="1"/>
  <c r="H337" i="1"/>
  <c r="D337" i="1"/>
  <c r="F266" i="7"/>
  <c r="D266" i="7" s="1"/>
  <c r="J251" i="9"/>
  <c r="I251" i="9"/>
  <c r="K270" i="9"/>
  <c r="F270" i="9"/>
  <c r="H270" i="9" s="1"/>
  <c r="J270" i="9"/>
  <c r="H257" i="7"/>
  <c r="D257" i="7"/>
  <c r="J269" i="7"/>
  <c r="F251" i="8"/>
  <c r="D251" i="8" s="1"/>
  <c r="J255" i="2"/>
  <c r="F255" i="2"/>
  <c r="H255" i="2" s="1"/>
  <c r="K255" i="2"/>
  <c r="I255" i="2"/>
  <c r="M279" i="8"/>
  <c r="K257" i="4"/>
  <c r="J257" i="4"/>
  <c r="D226" i="4"/>
  <c r="M175" i="3"/>
  <c r="J647" i="6"/>
  <c r="M316" i="4"/>
  <c r="H302" i="6"/>
  <c r="D302" i="6"/>
  <c r="H250" i="9"/>
  <c r="N225" i="15"/>
  <c r="B253" i="4"/>
  <c r="I253" i="4" s="1"/>
  <c r="D271" i="6"/>
  <c r="K275" i="6"/>
  <c r="L275" i="6" s="1"/>
  <c r="F275" i="6"/>
  <c r="H275" i="6" s="1"/>
  <c r="B250" i="7"/>
  <c r="N225" i="12"/>
  <c r="F254" i="7"/>
  <c r="H254" i="7" s="1"/>
  <c r="K254" i="7"/>
  <c r="M261" i="4"/>
  <c r="M281" i="7"/>
  <c r="D259" i="2"/>
  <c r="H219" i="7"/>
  <c r="K266" i="8"/>
  <c r="J254" i="9"/>
  <c r="L254" i="9" s="1"/>
  <c r="F254" i="9"/>
  <c r="D254" i="9" s="1"/>
  <c r="B263" i="9"/>
  <c r="F263" i="9" s="1"/>
  <c r="N229" i="10"/>
  <c r="B252" i="2"/>
  <c r="I252" i="2" s="1"/>
  <c r="K263" i="2"/>
  <c r="J263" i="2"/>
  <c r="F263" i="2"/>
  <c r="H263" i="2" s="1"/>
  <c r="J274" i="2"/>
  <c r="L274" i="2" s="1"/>
  <c r="F274" i="2"/>
  <c r="H274" i="2" s="1"/>
  <c r="F267" i="3"/>
  <c r="D267" i="3" s="1"/>
  <c r="N223" i="13"/>
  <c r="B250" i="6"/>
  <c r="J250" i="6" s="1"/>
  <c r="K252" i="6"/>
  <c r="J252" i="6"/>
  <c r="F252" i="6"/>
  <c r="D252" i="6" s="1"/>
  <c r="J270" i="6"/>
  <c r="F270" i="6"/>
  <c r="D270" i="6" s="1"/>
  <c r="K270" i="6"/>
  <c r="F255" i="7"/>
  <c r="H255" i="7" s="1"/>
  <c r="F279" i="2"/>
  <c r="H279" i="2" s="1"/>
  <c r="J279" i="2"/>
  <c r="K279" i="2"/>
  <c r="L218" i="5"/>
  <c r="M218" i="5" s="1"/>
  <c r="J262" i="8"/>
  <c r="J262" i="6"/>
  <c r="J250" i="2"/>
  <c r="F268" i="4"/>
  <c r="J274" i="9"/>
  <c r="K274" i="9"/>
  <c r="F274" i="9"/>
  <c r="H274" i="9" s="1"/>
  <c r="K253" i="7"/>
  <c r="L253" i="7" s="1"/>
  <c r="F253" i="7"/>
  <c r="D253" i="7" s="1"/>
  <c r="M237" i="7"/>
  <c r="D237" i="7"/>
  <c r="H217" i="8"/>
  <c r="I219" i="8"/>
  <c r="L218" i="8"/>
  <c r="L219" i="8" s="1"/>
  <c r="K205" i="5"/>
  <c r="F232" i="4"/>
  <c r="H232" i="4" s="1"/>
  <c r="K232" i="4"/>
  <c r="J232" i="4"/>
  <c r="J238" i="2"/>
  <c r="L238" i="2" s="1"/>
  <c r="F238" i="2"/>
  <c r="H238" i="2" s="1"/>
  <c r="N225" i="10"/>
  <c r="K254" i="4"/>
  <c r="J254" i="4"/>
  <c r="N248" i="15"/>
  <c r="J251" i="7"/>
  <c r="F251" i="7"/>
  <c r="D251" i="7" s="1"/>
  <c r="N248" i="12"/>
  <c r="M257" i="7"/>
  <c r="M259" i="8"/>
  <c r="H281" i="4"/>
  <c r="I219" i="7"/>
  <c r="L218" i="7"/>
  <c r="H226" i="5"/>
  <c r="M237" i="6"/>
  <c r="D237" i="6"/>
  <c r="D217" i="7"/>
  <c r="D219" i="7" s="1"/>
  <c r="F219" i="7"/>
  <c r="B210" i="8"/>
  <c r="K210" i="8" s="1"/>
  <c r="F208" i="6"/>
  <c r="J208" i="6"/>
  <c r="F208" i="5"/>
  <c r="D208" i="5" s="1"/>
  <c r="D282" i="5"/>
  <c r="H282" i="5"/>
  <c r="H270" i="5"/>
  <c r="D270" i="5"/>
  <c r="K229" i="3"/>
  <c r="L229" i="3" s="1"/>
  <c r="J226" i="4"/>
  <c r="J231" i="2"/>
  <c r="F231" i="2"/>
  <c r="D231" i="2" s="1"/>
  <c r="K231" i="2"/>
  <c r="H190" i="2"/>
  <c r="J271" i="3"/>
  <c r="K271" i="3"/>
  <c r="J270" i="4"/>
  <c r="K270" i="4"/>
  <c r="J282" i="7"/>
  <c r="M281" i="4"/>
  <c r="J219" i="6"/>
  <c r="L217" i="6"/>
  <c r="H205" i="3"/>
  <c r="K283" i="5"/>
  <c r="N285" i="13"/>
  <c r="L220" i="4"/>
  <c r="M220" i="4" s="1"/>
  <c r="H271" i="5"/>
  <c r="D271" i="5"/>
  <c r="M271" i="5"/>
  <c r="H267" i="5"/>
  <c r="D267" i="5"/>
  <c r="J223" i="8"/>
  <c r="L223" i="8" s="1"/>
  <c r="F223" i="8"/>
  <c r="H223" i="8" s="1"/>
  <c r="D226" i="6"/>
  <c r="M226" i="6"/>
  <c r="H233" i="4"/>
  <c r="M233" i="4"/>
  <c r="B205" i="2"/>
  <c r="F205" i="2" s="1"/>
  <c r="D205" i="2" s="1"/>
  <c r="F231" i="8"/>
  <c r="H231" i="8" s="1"/>
  <c r="F230" i="3"/>
  <c r="H230" i="3" s="1"/>
  <c r="J230" i="3"/>
  <c r="J230" i="4"/>
  <c r="L230" i="4" s="1"/>
  <c r="J238" i="7"/>
  <c r="K205" i="9"/>
  <c r="F205" i="9"/>
  <c r="H205" i="9" s="1"/>
  <c r="J205" i="9"/>
  <c r="B170" i="9"/>
  <c r="F171" i="6"/>
  <c r="J283" i="5"/>
  <c r="L277" i="5"/>
  <c r="M277" i="5" s="1"/>
  <c r="D268" i="5"/>
  <c r="H268" i="5"/>
  <c r="H253" i="5"/>
  <c r="K260" i="5"/>
  <c r="F233" i="8"/>
  <c r="H185" i="6"/>
  <c r="F173" i="4"/>
  <c r="H173" i="4" s="1"/>
  <c r="F172" i="9"/>
  <c r="H172" i="9" s="1"/>
  <c r="N264" i="14"/>
  <c r="H262" i="5"/>
  <c r="H264" i="5" s="1"/>
  <c r="D262" i="5"/>
  <c r="J260" i="5"/>
  <c r="B204" i="3"/>
  <c r="K204" i="3" s="1"/>
  <c r="F238" i="9"/>
  <c r="H238" i="9" s="1"/>
  <c r="M181" i="8"/>
  <c r="F174" i="9"/>
  <c r="D174" i="9" s="1"/>
  <c r="J174" i="9"/>
  <c r="L174" i="9" s="1"/>
  <c r="K169" i="6"/>
  <c r="L169" i="6" s="1"/>
  <c r="M169" i="6" s="1"/>
  <c r="B180" i="7"/>
  <c r="F180" i="7" s="1"/>
  <c r="M189" i="6"/>
  <c r="F166" i="9"/>
  <c r="M166" i="9" s="1"/>
  <c r="M183" i="7"/>
  <c r="K174" i="5"/>
  <c r="D187" i="2"/>
  <c r="F187" i="9"/>
  <c r="D187" i="9" s="1"/>
  <c r="H183" i="2"/>
  <c r="D183" i="2"/>
  <c r="D237" i="9"/>
  <c r="H237" i="9"/>
  <c r="D187" i="3"/>
  <c r="M187" i="3"/>
  <c r="J171" i="8"/>
  <c r="B167" i="8"/>
  <c r="F167" i="8" s="1"/>
  <c r="F169" i="4"/>
  <c r="H169" i="4" s="1"/>
  <c r="I168" i="6"/>
  <c r="F168" i="6"/>
  <c r="H168" i="6" s="1"/>
  <c r="B170" i="7"/>
  <c r="J172" i="7"/>
  <c r="D189" i="3"/>
  <c r="M189" i="3"/>
  <c r="H189" i="8"/>
  <c r="M189" i="8"/>
  <c r="H189" i="6"/>
  <c r="D189" i="6"/>
  <c r="H187" i="6"/>
  <c r="M187" i="6"/>
  <c r="D187" i="6"/>
  <c r="M188" i="7"/>
  <c r="B168" i="3"/>
  <c r="K168" i="3" s="1"/>
  <c r="H190" i="5"/>
  <c r="D172" i="2"/>
  <c r="H172" i="2"/>
  <c r="H170" i="8"/>
  <c r="M170" i="8"/>
  <c r="D170" i="5"/>
  <c r="H170" i="5"/>
  <c r="M170" i="5"/>
  <c r="D190" i="4"/>
  <c r="H190" i="4"/>
  <c r="I166" i="3"/>
  <c r="K174" i="7"/>
  <c r="J174" i="7"/>
  <c r="B169" i="5"/>
  <c r="N321" i="17"/>
  <c r="H176" i="5"/>
  <c r="D176" i="5"/>
  <c r="M170" i="6"/>
  <c r="H170" i="6"/>
  <c r="N305" i="13"/>
  <c r="B180" i="6" s="1"/>
  <c r="F180" i="6" s="1"/>
  <c r="H319" i="13"/>
  <c r="F284" i="5"/>
  <c r="D170" i="4"/>
  <c r="M185" i="4"/>
  <c r="H175" i="4"/>
  <c r="D175" i="4"/>
  <c r="H311" i="7"/>
  <c r="M169" i="8"/>
  <c r="M181" i="4"/>
  <c r="M192" i="4"/>
  <c r="D192" i="4"/>
  <c r="D168" i="8"/>
  <c r="H353" i="2"/>
  <c r="M212" i="5"/>
  <c r="J513" i="5"/>
  <c r="H212" i="5"/>
  <c r="H205" i="7"/>
  <c r="H224" i="7"/>
  <c r="J416" i="2"/>
  <c r="J417" i="2" s="1"/>
  <c r="H194" i="4"/>
  <c r="J456" i="5"/>
  <c r="J457" i="5" s="1"/>
  <c r="D448" i="5"/>
  <c r="M572" i="6"/>
  <c r="D336" i="9"/>
  <c r="J229" i="9"/>
  <c r="L229" i="9" s="1"/>
  <c r="K393" i="6"/>
  <c r="F388" i="6"/>
  <c r="D388" i="6" s="1"/>
  <c r="F143" i="6"/>
  <c r="D143" i="6" s="1"/>
  <c r="D144" i="6"/>
  <c r="H144" i="6"/>
  <c r="F154" i="6"/>
  <c r="H154" i="6" s="1"/>
  <c r="D147" i="6"/>
  <c r="F212" i="9"/>
  <c r="M212" i="9" s="1"/>
  <c r="D263" i="8"/>
  <c r="I263" i="8"/>
  <c r="H212" i="8"/>
  <c r="H456" i="5"/>
  <c r="H457" i="5" s="1"/>
  <c r="D434" i="5"/>
  <c r="B260" i="8"/>
  <c r="F223" i="9"/>
  <c r="D223" i="9" s="1"/>
  <c r="F135" i="9"/>
  <c r="M135" i="9" s="1"/>
  <c r="F133" i="9"/>
  <c r="H133" i="9" s="1"/>
  <c r="H147" i="9"/>
  <c r="F128" i="9"/>
  <c r="H128" i="9" s="1"/>
  <c r="I128" i="9"/>
  <c r="L128" i="9" s="1"/>
  <c r="K233" i="9"/>
  <c r="H144" i="9"/>
  <c r="D144" i="9"/>
  <c r="F154" i="9"/>
  <c r="D154" i="9" s="1"/>
  <c r="K154" i="9"/>
  <c r="K155" i="9" s="1"/>
  <c r="K156" i="9" s="1"/>
  <c r="D143" i="9"/>
  <c r="K414" i="5"/>
  <c r="K415" i="5" s="1"/>
  <c r="B180" i="2"/>
  <c r="K456" i="5"/>
  <c r="K457" i="5" s="1"/>
  <c r="B457" i="5"/>
  <c r="I456" i="5"/>
  <c r="I457" i="5" s="1"/>
  <c r="B503" i="8"/>
  <c r="H408" i="5"/>
  <c r="H206" i="3"/>
  <c r="L600" i="6"/>
  <c r="D510" i="6"/>
  <c r="L308" i="4"/>
  <c r="M308" i="4" s="1"/>
  <c r="D308" i="4"/>
  <c r="J502" i="8"/>
  <c r="J503" i="8" s="1"/>
  <c r="D373" i="5"/>
  <c r="H310" i="9"/>
  <c r="H474" i="5"/>
  <c r="M310" i="5"/>
  <c r="I459" i="7"/>
  <c r="I460" i="7" s="1"/>
  <c r="L267" i="8"/>
  <c r="L592" i="6"/>
  <c r="H225" i="7"/>
  <c r="D393" i="5"/>
  <c r="L567" i="6"/>
  <c r="L238" i="5"/>
  <c r="L390" i="4"/>
  <c r="J502" i="9"/>
  <c r="J503" i="9" s="1"/>
  <c r="H225" i="8"/>
  <c r="L168" i="8"/>
  <c r="M168" i="8" s="1"/>
  <c r="D428" i="6"/>
  <c r="H428" i="6"/>
  <c r="F501" i="3"/>
  <c r="D501" i="3" s="1"/>
  <c r="D502" i="3" s="1"/>
  <c r="K501" i="3"/>
  <c r="K502" i="3" s="1"/>
  <c r="D578" i="6"/>
  <c r="L600" i="4"/>
  <c r="M590" i="5"/>
  <c r="L594" i="5"/>
  <c r="H470" i="3"/>
  <c r="D470" i="3"/>
  <c r="H567" i="6"/>
  <c r="L583" i="5"/>
  <c r="I383" i="2"/>
  <c r="D313" i="5"/>
  <c r="D567" i="6"/>
  <c r="D609" i="5"/>
  <c r="D459" i="8"/>
  <c r="D460" i="8" s="1"/>
  <c r="H298" i="9"/>
  <c r="H476" i="6"/>
  <c r="D206" i="2"/>
  <c r="H520" i="6"/>
  <c r="I416" i="7"/>
  <c r="I417" i="7" s="1"/>
  <c r="F357" i="4"/>
  <c r="K601" i="8"/>
  <c r="D636" i="6"/>
  <c r="H639" i="5"/>
  <c r="D476" i="6"/>
  <c r="D168" i="4"/>
  <c r="H168" i="4"/>
  <c r="H434" i="6"/>
  <c r="D589" i="9"/>
  <c r="H294" i="8"/>
  <c r="L385" i="8"/>
  <c r="D506" i="7"/>
  <c r="H193" i="9"/>
  <c r="D193" i="9"/>
  <c r="D231" i="4"/>
  <c r="D257" i="8"/>
  <c r="M257" i="8"/>
  <c r="K426" i="1"/>
  <c r="K427" i="1" s="1"/>
  <c r="H407" i="6"/>
  <c r="H281" i="3"/>
  <c r="H406" i="3"/>
  <c r="J466" i="4"/>
  <c r="H358" i="6"/>
  <c r="H512" i="3"/>
  <c r="D512" i="3"/>
  <c r="K476" i="7"/>
  <c r="H549" i="4"/>
  <c r="D222" i="3"/>
  <c r="L567" i="4"/>
  <c r="H297" i="4"/>
  <c r="D297" i="4"/>
  <c r="I416" i="4"/>
  <c r="I417" i="4" s="1"/>
  <c r="I502" i="4"/>
  <c r="F502" i="4"/>
  <c r="D502" i="4" s="1"/>
  <c r="D503" i="4" s="1"/>
  <c r="K263" i="6"/>
  <c r="F263" i="6"/>
  <c r="D263" i="6" s="1"/>
  <c r="D299" i="3"/>
  <c r="M587" i="9"/>
  <c r="M584" i="6"/>
  <c r="D480" i="9"/>
  <c r="L305" i="3"/>
  <c r="M305" i="3" s="1"/>
  <c r="J435" i="8"/>
  <c r="L435" i="8" s="1"/>
  <c r="H466" i="5"/>
  <c r="D493" i="2"/>
  <c r="D508" i="8"/>
  <c r="H465" i="8"/>
  <c r="D386" i="8"/>
  <c r="D238" i="9"/>
  <c r="F417" i="8"/>
  <c r="D337" i="8"/>
  <c r="D353" i="9"/>
  <c r="M585" i="5"/>
  <c r="L586" i="5"/>
  <c r="L595" i="5" s="1"/>
  <c r="L283" i="5"/>
  <c r="K268" i="8"/>
  <c r="H253" i="9"/>
  <c r="F321" i="4"/>
  <c r="D321" i="4" s="1"/>
  <c r="K349" i="8"/>
  <c r="F619" i="5"/>
  <c r="H356" i="5"/>
  <c r="J595" i="5"/>
  <c r="M218" i="7"/>
  <c r="M218" i="8"/>
  <c r="D275" i="6"/>
  <c r="D281" i="6"/>
  <c r="M563" i="5"/>
  <c r="L564" i="5"/>
  <c r="J339" i="8"/>
  <c r="K339" i="8"/>
  <c r="M557" i="5"/>
  <c r="L561" i="5"/>
  <c r="K467" i="9"/>
  <c r="J467" i="9"/>
  <c r="H428" i="5"/>
  <c r="D428" i="5"/>
  <c r="J510" i="7"/>
  <c r="M584" i="8"/>
  <c r="H506" i="6"/>
  <c r="M315" i="6"/>
  <c r="D169" i="6"/>
  <c r="D205" i="9"/>
  <c r="H470" i="9"/>
  <c r="D454" i="4"/>
  <c r="H436" i="4"/>
  <c r="D436" i="4"/>
  <c r="F374" i="4"/>
  <c r="D374" i="4" s="1"/>
  <c r="I383" i="6"/>
  <c r="H166" i="6"/>
  <c r="M217" i="6"/>
  <c r="L219" i="6"/>
  <c r="F434" i="4"/>
  <c r="D434" i="4" s="1"/>
  <c r="F626" i="8"/>
  <c r="J324" i="9"/>
  <c r="K437" i="9"/>
  <c r="K315" i="7"/>
  <c r="K392" i="6"/>
  <c r="J392" i="6"/>
  <c r="F579" i="7"/>
  <c r="F502" i="5"/>
  <c r="H502" i="5" s="1"/>
  <c r="F350" i="9"/>
  <c r="H350" i="9" s="1"/>
  <c r="J350" i="9"/>
  <c r="F383" i="6"/>
  <c r="D383" i="6"/>
  <c r="H383" i="6"/>
  <c r="L127" i="9"/>
  <c r="F180" i="2"/>
  <c r="H180" i="2" s="1"/>
  <c r="J156" i="6"/>
  <c r="J156" i="9"/>
  <c r="D135" i="9"/>
  <c r="L262" i="1"/>
  <c r="F426" i="1"/>
  <c r="F427" i="1" s="1"/>
  <c r="I426" i="1"/>
  <c r="J426" i="1"/>
  <c r="J427" i="1" s="1"/>
  <c r="B427" i="1"/>
  <c r="H284" i="1"/>
  <c r="L383" i="6"/>
  <c r="H339" i="8"/>
  <c r="D498" i="3"/>
  <c r="H498" i="3"/>
  <c r="K419" i="2" l="1"/>
  <c r="J419" i="2"/>
  <c r="F419" i="2"/>
  <c r="H419" i="2" s="1"/>
  <c r="K462" i="2"/>
  <c r="L462" i="2" s="1"/>
  <c r="J462" i="2"/>
  <c r="F462" i="2"/>
  <c r="H462" i="2" s="1"/>
  <c r="K480" i="2"/>
  <c r="F352" i="2"/>
  <c r="D352" i="2" s="1"/>
  <c r="J519" i="2"/>
  <c r="K409" i="2"/>
  <c r="K451" i="2"/>
  <c r="J470" i="2"/>
  <c r="F318" i="2"/>
  <c r="H318" i="2" s="1"/>
  <c r="K225" i="2"/>
  <c r="H470" i="2"/>
  <c r="F409" i="2"/>
  <c r="F298" i="2"/>
  <c r="J409" i="2"/>
  <c r="J451" i="2"/>
  <c r="K505" i="2"/>
  <c r="L505" i="2" s="1"/>
  <c r="J436" i="2"/>
  <c r="K353" i="2"/>
  <c r="K320" i="2"/>
  <c r="K318" i="2"/>
  <c r="L318" i="2" s="1"/>
  <c r="K360" i="2"/>
  <c r="F349" i="2"/>
  <c r="H349" i="2" s="1"/>
  <c r="K349" i="2"/>
  <c r="J294" i="2"/>
  <c r="L294" i="2" s="1"/>
  <c r="I294" i="2"/>
  <c r="K294" i="2"/>
  <c r="F315" i="2"/>
  <c r="J315" i="2"/>
  <c r="H464" i="2"/>
  <c r="D279" i="2"/>
  <c r="J252" i="2"/>
  <c r="F433" i="2"/>
  <c r="D433" i="2" s="1"/>
  <c r="N187" i="16"/>
  <c r="F511" i="2"/>
  <c r="H511" i="2" s="1"/>
  <c r="K229" i="2"/>
  <c r="J511" i="2"/>
  <c r="L511" i="2" s="1"/>
  <c r="J225" i="2"/>
  <c r="L225" i="2" s="1"/>
  <c r="M225" i="2" s="1"/>
  <c r="I212" i="2"/>
  <c r="L212" i="2" s="1"/>
  <c r="M212" i="2" s="1"/>
  <c r="N140" i="16"/>
  <c r="N287" i="16"/>
  <c r="N13" i="16"/>
  <c r="D238" i="2"/>
  <c r="D519" i="2"/>
  <c r="D263" i="2"/>
  <c r="N304" i="16"/>
  <c r="N111" i="16"/>
  <c r="F229" i="2"/>
  <c r="N65" i="16"/>
  <c r="F393" i="2"/>
  <c r="H393" i="2" s="1"/>
  <c r="N320" i="16"/>
  <c r="J338" i="2"/>
  <c r="K208" i="2"/>
  <c r="N209" i="16"/>
  <c r="H225" i="2"/>
  <c r="D225" i="2"/>
  <c r="D255" i="2"/>
  <c r="J510" i="2"/>
  <c r="F389" i="2"/>
  <c r="K358" i="2"/>
  <c r="J595" i="1"/>
  <c r="D551" i="2"/>
  <c r="K428" i="2"/>
  <c r="L428" i="2" s="1"/>
  <c r="J512" i="2"/>
  <c r="F468" i="2"/>
  <c r="L409" i="2"/>
  <c r="J545" i="2"/>
  <c r="L545" i="2" s="1"/>
  <c r="F208" i="2"/>
  <c r="K337" i="2"/>
  <c r="F473" i="2"/>
  <c r="H473" i="2" s="1"/>
  <c r="K407" i="2"/>
  <c r="K373" i="2"/>
  <c r="M318" i="2"/>
  <c r="K464" i="2"/>
  <c r="L464" i="2" s="1"/>
  <c r="M464" i="2" s="1"/>
  <c r="L506" i="2"/>
  <c r="L419" i="2"/>
  <c r="D419" i="2"/>
  <c r="K205" i="2"/>
  <c r="K174" i="2"/>
  <c r="D425" i="2"/>
  <c r="K496" i="2"/>
  <c r="J518" i="2"/>
  <c r="F545" i="2"/>
  <c r="D545" i="2" s="1"/>
  <c r="K473" i="2"/>
  <c r="L473" i="2" s="1"/>
  <c r="F508" i="2"/>
  <c r="D508" i="2" s="1"/>
  <c r="F407" i="2"/>
  <c r="H407" i="2" s="1"/>
  <c r="L282" i="2"/>
  <c r="K420" i="2"/>
  <c r="L420" i="2" s="1"/>
  <c r="F266" i="2"/>
  <c r="D266" i="2" s="1"/>
  <c r="H416" i="2"/>
  <c r="H417" i="2" s="1"/>
  <c r="F417" i="2"/>
  <c r="D496" i="2"/>
  <c r="H496" i="2"/>
  <c r="F437" i="2"/>
  <c r="H437" i="2" s="1"/>
  <c r="J437" i="2"/>
  <c r="K437" i="2"/>
  <c r="H480" i="2"/>
  <c r="D480" i="2"/>
  <c r="H385" i="2"/>
  <c r="J349" i="2"/>
  <c r="J450" i="2"/>
  <c r="K510" i="2"/>
  <c r="J205" i="2"/>
  <c r="F174" i="2"/>
  <c r="D174" i="2" s="1"/>
  <c r="F358" i="2"/>
  <c r="H358" i="2" s="1"/>
  <c r="F428" i="2"/>
  <c r="D428" i="2" s="1"/>
  <c r="J433" i="2"/>
  <c r="L433" i="2" s="1"/>
  <c r="F294" i="2"/>
  <c r="J468" i="2"/>
  <c r="L468" i="2" s="1"/>
  <c r="M468" i="2" s="1"/>
  <c r="K422" i="2"/>
  <c r="I452" i="2"/>
  <c r="F376" i="2"/>
  <c r="F295" i="2"/>
  <c r="J393" i="2"/>
  <c r="K315" i="2"/>
  <c r="F429" i="2"/>
  <c r="H429" i="2" s="1"/>
  <c r="F420" i="2"/>
  <c r="H420" i="2" s="1"/>
  <c r="J376" i="2"/>
  <c r="L376" i="2" s="1"/>
  <c r="K321" i="2"/>
  <c r="L321" i="2" s="1"/>
  <c r="D510" i="2"/>
  <c r="H433" i="2"/>
  <c r="J353" i="2"/>
  <c r="J339" i="2"/>
  <c r="L339" i="2" s="1"/>
  <c r="M339" i="2" s="1"/>
  <c r="K478" i="2"/>
  <c r="N248" i="16"/>
  <c r="I297" i="2"/>
  <c r="F319" i="2"/>
  <c r="H319" i="2" s="1"/>
  <c r="I337" i="2"/>
  <c r="J389" i="2"/>
  <c r="L389" i="2" s="1"/>
  <c r="M389" i="2" s="1"/>
  <c r="H337" i="2"/>
  <c r="K470" i="2"/>
  <c r="F306" i="2"/>
  <c r="D306" i="2" s="1"/>
  <c r="K518" i="2"/>
  <c r="D166" i="3"/>
  <c r="H166" i="3"/>
  <c r="L421" i="3"/>
  <c r="J166" i="3"/>
  <c r="J186" i="1" s="1"/>
  <c r="J232" i="3"/>
  <c r="F272" i="3"/>
  <c r="D272" i="3" s="1"/>
  <c r="F435" i="3"/>
  <c r="D435" i="3" s="1"/>
  <c r="K356" i="3"/>
  <c r="K373" i="3"/>
  <c r="J472" i="3"/>
  <c r="D356" i="3"/>
  <c r="F251" i="3"/>
  <c r="K299" i="3"/>
  <c r="L299" i="3" s="1"/>
  <c r="M299" i="3" s="1"/>
  <c r="F391" i="3"/>
  <c r="H391" i="3" s="1"/>
  <c r="K304" i="3"/>
  <c r="K306" i="3" s="1"/>
  <c r="J304" i="3"/>
  <c r="I304" i="3"/>
  <c r="I306" i="3" s="1"/>
  <c r="J267" i="3"/>
  <c r="F274" i="3"/>
  <c r="D274" i="3" s="1"/>
  <c r="K233" i="3"/>
  <c r="F249" i="3"/>
  <c r="H249" i="3" s="1"/>
  <c r="K225" i="3"/>
  <c r="F353" i="3"/>
  <c r="H353" i="3" s="1"/>
  <c r="K467" i="3"/>
  <c r="J426" i="3"/>
  <c r="F323" i="3"/>
  <c r="H323" i="3" s="1"/>
  <c r="B233" i="1"/>
  <c r="F452" i="3"/>
  <c r="H452" i="3" s="1"/>
  <c r="F306" i="3"/>
  <c r="D315" i="3"/>
  <c r="K166" i="3"/>
  <c r="F229" i="3"/>
  <c r="D229" i="3" s="1"/>
  <c r="F266" i="3"/>
  <c r="I251" i="3"/>
  <c r="J295" i="3"/>
  <c r="L295" i="3" s="1"/>
  <c r="M295" i="3" s="1"/>
  <c r="J464" i="3"/>
  <c r="I295" i="3"/>
  <c r="K421" i="3"/>
  <c r="J315" i="3"/>
  <c r="L315" i="3" s="1"/>
  <c r="M315" i="3" s="1"/>
  <c r="J323" i="3"/>
  <c r="L323" i="3" s="1"/>
  <c r="M323" i="3" s="1"/>
  <c r="K452" i="3"/>
  <c r="D305" i="3"/>
  <c r="D306" i="3" s="1"/>
  <c r="J205" i="3"/>
  <c r="L205" i="3" s="1"/>
  <c r="M205" i="3" s="1"/>
  <c r="L350" i="3"/>
  <c r="K471" i="3"/>
  <c r="J356" i="3"/>
  <c r="L356" i="3" s="1"/>
  <c r="J382" i="3"/>
  <c r="J383" i="3" s="1"/>
  <c r="F269" i="3"/>
  <c r="H269" i="3" s="1"/>
  <c r="K308" i="3"/>
  <c r="F517" i="3"/>
  <c r="D517" i="3" s="1"/>
  <c r="F233" i="3"/>
  <c r="H233" i="3" s="1"/>
  <c r="F225" i="3"/>
  <c r="D225" i="3" s="1"/>
  <c r="H304" i="3"/>
  <c r="H306" i="3" s="1"/>
  <c r="F208" i="3"/>
  <c r="H208" i="3" s="1"/>
  <c r="F310" i="3"/>
  <c r="H310" i="3" s="1"/>
  <c r="F467" i="3"/>
  <c r="D467" i="3" s="1"/>
  <c r="F349" i="3"/>
  <c r="L424" i="3"/>
  <c r="K313" i="3"/>
  <c r="F313" i="3"/>
  <c r="H313" i="3" s="1"/>
  <c r="J313" i="3"/>
  <c r="F420" i="3"/>
  <c r="D420" i="3" s="1"/>
  <c r="K420" i="3"/>
  <c r="H373" i="3"/>
  <c r="H467" i="3"/>
  <c r="N264" i="17"/>
  <c r="K472" i="3"/>
  <c r="L222" i="3"/>
  <c r="M222" i="3" s="1"/>
  <c r="K256" i="3"/>
  <c r="L256" i="3" s="1"/>
  <c r="M256" i="3" s="1"/>
  <c r="I408" i="3"/>
  <c r="D179" i="3"/>
  <c r="F393" i="3"/>
  <c r="H393" i="3" s="1"/>
  <c r="N111" i="17"/>
  <c r="K223" i="3"/>
  <c r="L223" i="3" s="1"/>
  <c r="M223" i="3" s="1"/>
  <c r="J351" i="3"/>
  <c r="L351" i="3" s="1"/>
  <c r="N124" i="17"/>
  <c r="F423" i="3"/>
  <c r="D423" i="3" s="1"/>
  <c r="F464" i="3"/>
  <c r="J450" i="3"/>
  <c r="F296" i="3"/>
  <c r="H296" i="3" s="1"/>
  <c r="K337" i="3"/>
  <c r="L337" i="3" s="1"/>
  <c r="F360" i="3"/>
  <c r="D360" i="3" s="1"/>
  <c r="F351" i="3"/>
  <c r="H351" i="3" s="1"/>
  <c r="F337" i="3"/>
  <c r="D337" i="3" s="1"/>
  <c r="N248" i="17"/>
  <c r="F424" i="3"/>
  <c r="D424" i="3" s="1"/>
  <c r="N73" i="17"/>
  <c r="F170" i="3"/>
  <c r="D185" i="3"/>
  <c r="F504" i="3"/>
  <c r="D504" i="3" s="1"/>
  <c r="N209" i="17"/>
  <c r="H179" i="3"/>
  <c r="F171" i="3"/>
  <c r="D171" i="3" s="1"/>
  <c r="J309" i="3"/>
  <c r="L309" i="3" s="1"/>
  <c r="M309" i="3" s="1"/>
  <c r="J469" i="3"/>
  <c r="L469" i="3" s="1"/>
  <c r="H272" i="3"/>
  <c r="D323" i="3"/>
  <c r="N304" i="17"/>
  <c r="D226" i="3"/>
  <c r="H372" i="3"/>
  <c r="F278" i="3"/>
  <c r="D278" i="3" s="1"/>
  <c r="J170" i="3"/>
  <c r="L170" i="3" s="1"/>
  <c r="K504" i="3"/>
  <c r="I337" i="3"/>
  <c r="D466" i="4"/>
  <c r="H466" i="4"/>
  <c r="H255" i="4"/>
  <c r="D255" i="4"/>
  <c r="H234" i="4"/>
  <c r="D234" i="4"/>
  <c r="D189" i="4"/>
  <c r="M189" i="4"/>
  <c r="H189" i="4"/>
  <c r="J453" i="4"/>
  <c r="F311" i="4"/>
  <c r="H311" i="4" s="1"/>
  <c r="K320" i="4"/>
  <c r="L320" i="4" s="1"/>
  <c r="M320" i="4" s="1"/>
  <c r="B439" i="4"/>
  <c r="J374" i="4"/>
  <c r="H340" i="4"/>
  <c r="D518" i="4"/>
  <c r="D350" i="4"/>
  <c r="H390" i="4"/>
  <c r="F416" i="4"/>
  <c r="D416" i="4" s="1"/>
  <c r="D417" i="4" s="1"/>
  <c r="F230" i="4"/>
  <c r="D230" i="4" s="1"/>
  <c r="K226" i="4"/>
  <c r="J507" i="4"/>
  <c r="F338" i="4"/>
  <c r="H470" i="4"/>
  <c r="K208" i="4"/>
  <c r="L469" i="4"/>
  <c r="J255" i="4"/>
  <c r="L255" i="4" s="1"/>
  <c r="M255" i="4" s="1"/>
  <c r="F533" i="4"/>
  <c r="D533" i="4" s="1"/>
  <c r="H321" i="4"/>
  <c r="D351" i="4"/>
  <c r="D318" i="4"/>
  <c r="D169" i="4"/>
  <c r="J416" i="4"/>
  <c r="J417" i="4" s="1"/>
  <c r="D451" i="4"/>
  <c r="K466" i="4"/>
  <c r="L466" i="4" s="1"/>
  <c r="D477" i="4"/>
  <c r="K234" i="4"/>
  <c r="L234" i="4" s="1"/>
  <c r="F271" i="4"/>
  <c r="K549" i="4"/>
  <c r="L549" i="4" s="1"/>
  <c r="M549" i="4" s="1"/>
  <c r="J452" i="4"/>
  <c r="I208" i="4"/>
  <c r="K255" i="4"/>
  <c r="F467" i="4"/>
  <c r="M467" i="4" s="1"/>
  <c r="F259" i="4"/>
  <c r="J320" i="4"/>
  <c r="K424" i="4"/>
  <c r="K102" i="4"/>
  <c r="L102" i="4" s="1"/>
  <c r="M102" i="4" s="1"/>
  <c r="K96" i="4"/>
  <c r="D173" i="4"/>
  <c r="D214" i="4"/>
  <c r="B515" i="4"/>
  <c r="F421" i="4"/>
  <c r="J470" i="4"/>
  <c r="J493" i="4"/>
  <c r="B500" i="4"/>
  <c r="F493" i="4"/>
  <c r="K493" i="4"/>
  <c r="J423" i="4"/>
  <c r="F423" i="4"/>
  <c r="D423" i="4" s="1"/>
  <c r="K423" i="4"/>
  <c r="J298" i="4"/>
  <c r="K298" i="4"/>
  <c r="I298" i="4"/>
  <c r="I305" i="4" s="1"/>
  <c r="F298" i="4"/>
  <c r="D298" i="4" s="1"/>
  <c r="H184" i="4"/>
  <c r="M184" i="4"/>
  <c r="D182" i="4"/>
  <c r="M182" i="4"/>
  <c r="H182" i="4"/>
  <c r="F89" i="4"/>
  <c r="J89" i="4"/>
  <c r="L416" i="4"/>
  <c r="L417" i="4" s="1"/>
  <c r="J434" i="4"/>
  <c r="H468" i="4"/>
  <c r="B417" i="4"/>
  <c r="B363" i="4"/>
  <c r="D186" i="4"/>
  <c r="M186" i="4"/>
  <c r="H187" i="4"/>
  <c r="J173" i="4"/>
  <c r="L173" i="4" s="1"/>
  <c r="M173" i="4" s="1"/>
  <c r="D280" i="4"/>
  <c r="N209" i="15"/>
  <c r="N321" i="15"/>
  <c r="K451" i="4"/>
  <c r="D472" i="4"/>
  <c r="N140" i="15"/>
  <c r="K410" i="4"/>
  <c r="L410" i="4" s="1"/>
  <c r="K231" i="4"/>
  <c r="M229" i="4"/>
  <c r="K421" i="4"/>
  <c r="L421" i="4" s="1"/>
  <c r="F227" i="4"/>
  <c r="K314" i="4"/>
  <c r="L314" i="4" s="1"/>
  <c r="D323" i="4"/>
  <c r="F353" i="4"/>
  <c r="J194" i="4"/>
  <c r="L194" i="4" s="1"/>
  <c r="H502" i="4"/>
  <c r="H503" i="4" s="1"/>
  <c r="L169" i="4"/>
  <c r="M214" i="4"/>
  <c r="D420" i="4"/>
  <c r="H181" i="4"/>
  <c r="H185" i="4"/>
  <c r="I209" i="4"/>
  <c r="N111" i="15"/>
  <c r="F510" i="4"/>
  <c r="N124" i="15"/>
  <c r="J422" i="4"/>
  <c r="K435" i="4"/>
  <c r="L435" i="4" s="1"/>
  <c r="F519" i="4"/>
  <c r="I452" i="4"/>
  <c r="H464" i="4"/>
  <c r="F410" i="4"/>
  <c r="F511" i="4"/>
  <c r="D511" i="4" s="1"/>
  <c r="J506" i="4"/>
  <c r="J231" i="4"/>
  <c r="B348" i="4"/>
  <c r="K429" i="4"/>
  <c r="D429" i="4"/>
  <c r="N172" i="15"/>
  <c r="H497" i="4"/>
  <c r="F314" i="4"/>
  <c r="H314" i="4" s="1"/>
  <c r="D109" i="4"/>
  <c r="L374" i="4"/>
  <c r="M321" i="4"/>
  <c r="M273" i="4"/>
  <c r="J510" i="4"/>
  <c r="L510" i="4" s="1"/>
  <c r="K422" i="4"/>
  <c r="L422" i="4" s="1"/>
  <c r="M422" i="4" s="1"/>
  <c r="F435" i="4"/>
  <c r="H435" i="4" s="1"/>
  <c r="K519" i="4"/>
  <c r="L519" i="4" s="1"/>
  <c r="N73" i="15"/>
  <c r="K506" i="4"/>
  <c r="J429" i="4"/>
  <c r="L429" i="4" s="1"/>
  <c r="H278" i="4"/>
  <c r="K478" i="4"/>
  <c r="K223" i="5"/>
  <c r="F372" i="5"/>
  <c r="D372" i="5" s="1"/>
  <c r="K178" i="5"/>
  <c r="K425" i="5"/>
  <c r="H539" i="5"/>
  <c r="L422" i="5"/>
  <c r="M422" i="5" s="1"/>
  <c r="J174" i="5"/>
  <c r="B215" i="5"/>
  <c r="F463" i="5"/>
  <c r="H463" i="5" s="1"/>
  <c r="F536" i="5"/>
  <c r="H536" i="5" s="1"/>
  <c r="H537" i="5" s="1"/>
  <c r="K345" i="5"/>
  <c r="H409" i="5"/>
  <c r="F387" i="5"/>
  <c r="D387" i="5" s="1"/>
  <c r="F306" i="5"/>
  <c r="H306" i="5" s="1"/>
  <c r="H307" i="5" s="1"/>
  <c r="F222" i="5"/>
  <c r="D222" i="5" s="1"/>
  <c r="J422" i="5"/>
  <c r="H336" i="5"/>
  <c r="K417" i="5"/>
  <c r="H341" i="5"/>
  <c r="H53" i="5"/>
  <c r="F305" i="5"/>
  <c r="D305" i="5" s="1"/>
  <c r="D459" i="5"/>
  <c r="D516" i="5"/>
  <c r="F168" i="5"/>
  <c r="H168" i="5" s="1"/>
  <c r="L193" i="5"/>
  <c r="L194" i="5" s="1"/>
  <c r="K461" i="5"/>
  <c r="H191" i="5"/>
  <c r="J208" i="5"/>
  <c r="L208" i="5" s="1"/>
  <c r="K536" i="5"/>
  <c r="K537" i="5" s="1"/>
  <c r="H231" i="5"/>
  <c r="I345" i="5"/>
  <c r="D350" i="5"/>
  <c r="J336" i="5"/>
  <c r="K435" i="5"/>
  <c r="L435" i="5" s="1"/>
  <c r="J387" i="5"/>
  <c r="L387" i="5" s="1"/>
  <c r="I306" i="5"/>
  <c r="I307" i="5" s="1"/>
  <c r="J432" i="5"/>
  <c r="L432" i="5" s="1"/>
  <c r="H354" i="5"/>
  <c r="I491" i="5"/>
  <c r="F309" i="5"/>
  <c r="D309" i="5" s="1"/>
  <c r="L339" i="5"/>
  <c r="F128" i="5"/>
  <c r="M128" i="5" s="1"/>
  <c r="H171" i="5"/>
  <c r="D171" i="5"/>
  <c r="H425" i="5"/>
  <c r="D425" i="5"/>
  <c r="F312" i="5"/>
  <c r="J312" i="5"/>
  <c r="K312" i="5"/>
  <c r="M193" i="5"/>
  <c r="J449" i="5"/>
  <c r="H462" i="5"/>
  <c r="L210" i="5"/>
  <c r="M210" i="5" s="1"/>
  <c r="D468" i="5"/>
  <c r="B178" i="5"/>
  <c r="F223" i="5"/>
  <c r="H223" i="5" s="1"/>
  <c r="J350" i="5"/>
  <c r="J464" i="5"/>
  <c r="L464" i="5" s="1"/>
  <c r="F431" i="5"/>
  <c r="I337" i="5"/>
  <c r="I343" i="5" s="1"/>
  <c r="J425" i="5"/>
  <c r="J372" i="5"/>
  <c r="L372" i="5" s="1"/>
  <c r="M372" i="5" s="1"/>
  <c r="D188" i="5"/>
  <c r="B379" i="5"/>
  <c r="F339" i="5"/>
  <c r="H387" i="5"/>
  <c r="I449" i="5"/>
  <c r="J461" i="5"/>
  <c r="J349" i="5"/>
  <c r="D232" i="5"/>
  <c r="H490" i="5"/>
  <c r="I414" i="5"/>
  <c r="I415" i="5" s="1"/>
  <c r="H309" i="5"/>
  <c r="H355" i="5"/>
  <c r="D226" i="5"/>
  <c r="H230" i="5"/>
  <c r="B307" i="5"/>
  <c r="M231" i="5"/>
  <c r="J426" i="5"/>
  <c r="J409" i="5"/>
  <c r="K464" i="5"/>
  <c r="K459" i="5"/>
  <c r="N13" i="14"/>
  <c r="H464" i="5"/>
  <c r="F470" i="5"/>
  <c r="J306" i="5"/>
  <c r="L306" i="5" s="1"/>
  <c r="M306" i="5" s="1"/>
  <c r="I207" i="5"/>
  <c r="F432" i="5"/>
  <c r="D432" i="5" s="1"/>
  <c r="J491" i="5"/>
  <c r="K336" i="5"/>
  <c r="L336" i="5" s="1"/>
  <c r="D321" i="5"/>
  <c r="K491" i="5"/>
  <c r="L491" i="5" s="1"/>
  <c r="M491" i="5" s="1"/>
  <c r="F476" i="5"/>
  <c r="M321" i="5"/>
  <c r="J406" i="5"/>
  <c r="M354" i="5"/>
  <c r="K207" i="5"/>
  <c r="N124" i="14"/>
  <c r="N103" i="14"/>
  <c r="J171" i="5"/>
  <c r="L171" i="5" s="1"/>
  <c r="K227" i="5"/>
  <c r="L227" i="5" s="1"/>
  <c r="J417" i="5"/>
  <c r="K373" i="5"/>
  <c r="L373" i="5" s="1"/>
  <c r="M373" i="5" s="1"/>
  <c r="J309" i="5"/>
  <c r="L309" i="5" s="1"/>
  <c r="M309" i="5" s="1"/>
  <c r="J510" i="5"/>
  <c r="K230" i="5"/>
  <c r="L230" i="5" s="1"/>
  <c r="M230" i="5" s="1"/>
  <c r="M191" i="5"/>
  <c r="B347" i="5"/>
  <c r="B255" i="1"/>
  <c r="F255" i="1" s="1"/>
  <c r="D255" i="1" s="1"/>
  <c r="J110" i="5"/>
  <c r="L110" i="5" s="1"/>
  <c r="M110" i="5" s="1"/>
  <c r="D463" i="5"/>
  <c r="K349" i="5"/>
  <c r="I168" i="5"/>
  <c r="L168" i="5" s="1"/>
  <c r="M168" i="5" s="1"/>
  <c r="J463" i="5"/>
  <c r="L463" i="5" s="1"/>
  <c r="K426" i="5"/>
  <c r="K409" i="5"/>
  <c r="J311" i="5"/>
  <c r="B343" i="5"/>
  <c r="F435" i="5"/>
  <c r="J470" i="5"/>
  <c r="N304" i="14"/>
  <c r="F207" i="5"/>
  <c r="H207" i="5" s="1"/>
  <c r="J222" i="5"/>
  <c r="L222" i="5" s="1"/>
  <c r="M222" i="5" s="1"/>
  <c r="N172" i="14"/>
  <c r="K406" i="5"/>
  <c r="N153" i="14"/>
  <c r="K476" i="5"/>
  <c r="F227" i="5"/>
  <c r="H227" i="5" s="1"/>
  <c r="J431" i="5"/>
  <c r="K305" i="5"/>
  <c r="L305" i="5" s="1"/>
  <c r="J305" i="5"/>
  <c r="M341" i="5"/>
  <c r="I88" i="5"/>
  <c r="D323" i="6"/>
  <c r="H323" i="6"/>
  <c r="M323" i="6"/>
  <c r="D207" i="6"/>
  <c r="H207" i="6"/>
  <c r="H193" i="6"/>
  <c r="D193" i="6"/>
  <c r="D255" i="6"/>
  <c r="H255" i="6"/>
  <c r="D251" i="6"/>
  <c r="F222" i="6"/>
  <c r="H222" i="6" s="1"/>
  <c r="K278" i="6"/>
  <c r="L278" i="6" s="1"/>
  <c r="M278" i="6" s="1"/>
  <c r="D257" i="6"/>
  <c r="J254" i="6"/>
  <c r="K435" i="6"/>
  <c r="F375" i="6"/>
  <c r="J233" i="6"/>
  <c r="J255" i="6"/>
  <c r="D352" i="6"/>
  <c r="H181" i="6"/>
  <c r="F205" i="6"/>
  <c r="D508" i="6"/>
  <c r="K255" i="6"/>
  <c r="K207" i="6"/>
  <c r="L207" i="6" s="1"/>
  <c r="M207" i="6" s="1"/>
  <c r="D182" i="6"/>
  <c r="L279" i="6"/>
  <c r="M279" i="6" s="1"/>
  <c r="J518" i="6"/>
  <c r="L518" i="6" s="1"/>
  <c r="I541" i="6"/>
  <c r="I542" i="6" s="1"/>
  <c r="I553" i="6" s="1"/>
  <c r="F376" i="6"/>
  <c r="K311" i="6"/>
  <c r="H263" i="6"/>
  <c r="L193" i="6"/>
  <c r="M193" i="6" s="1"/>
  <c r="H374" i="6"/>
  <c r="M185" i="6"/>
  <c r="M271" i="6"/>
  <c r="M266" i="6"/>
  <c r="F387" i="6"/>
  <c r="I207" i="6"/>
  <c r="I346" i="6"/>
  <c r="I347" i="6" s="1"/>
  <c r="J346" i="6"/>
  <c r="J347" i="6" s="1"/>
  <c r="F502" i="6"/>
  <c r="F503" i="6" s="1"/>
  <c r="F250" i="6"/>
  <c r="H250" i="6" s="1"/>
  <c r="J222" i="6"/>
  <c r="L222" i="6" s="1"/>
  <c r="H252" i="6"/>
  <c r="B396" i="6"/>
  <c r="F232" i="6"/>
  <c r="M190" i="6"/>
  <c r="D266" i="6"/>
  <c r="J435" i="6"/>
  <c r="J375" i="6"/>
  <c r="F339" i="6"/>
  <c r="D339" i="6" s="1"/>
  <c r="D146" i="6"/>
  <c r="J311" i="6"/>
  <c r="D311" i="6"/>
  <c r="D517" i="6"/>
  <c r="H517" i="6"/>
  <c r="F421" i="6"/>
  <c r="K421" i="6"/>
  <c r="F433" i="6"/>
  <c r="B439" i="6"/>
  <c r="J294" i="6"/>
  <c r="K294" i="6"/>
  <c r="F294" i="6"/>
  <c r="D314" i="6"/>
  <c r="M314" i="6"/>
  <c r="H314" i="6"/>
  <c r="F274" i="6"/>
  <c r="K274" i="6"/>
  <c r="L274" i="6" s="1"/>
  <c r="J282" i="6"/>
  <c r="F282" i="6"/>
  <c r="B206" i="6"/>
  <c r="N262" i="13"/>
  <c r="F228" i="6"/>
  <c r="J228" i="6"/>
  <c r="K228" i="6"/>
  <c r="K238" i="6"/>
  <c r="J238" i="6"/>
  <c r="F238" i="6"/>
  <c r="H188" i="6"/>
  <c r="M188" i="6"/>
  <c r="D168" i="6"/>
  <c r="D151" i="6"/>
  <c r="J232" i="6"/>
  <c r="B303" i="6"/>
  <c r="N302" i="13"/>
  <c r="J274" i="6"/>
  <c r="J393" i="6"/>
  <c r="L393" i="6" s="1"/>
  <c r="F393" i="6"/>
  <c r="H393" i="6" s="1"/>
  <c r="J388" i="6"/>
  <c r="L388" i="6" s="1"/>
  <c r="K388" i="6"/>
  <c r="F385" i="6"/>
  <c r="H385" i="6" s="1"/>
  <c r="K385" i="6"/>
  <c r="L385" i="6" s="1"/>
  <c r="K389" i="6"/>
  <c r="F389" i="6"/>
  <c r="B349" i="6"/>
  <c r="N172" i="13"/>
  <c r="K353" i="6"/>
  <c r="F353" i="6"/>
  <c r="J353" i="6"/>
  <c r="K267" i="6"/>
  <c r="J267" i="6"/>
  <c r="K86" i="6"/>
  <c r="F86" i="6"/>
  <c r="H86" i="6" s="1"/>
  <c r="M143" i="6"/>
  <c r="H143" i="6"/>
  <c r="J469" i="6"/>
  <c r="F469" i="6"/>
  <c r="K469" i="6"/>
  <c r="F519" i="6"/>
  <c r="D519" i="6" s="1"/>
  <c r="K519" i="6"/>
  <c r="B505" i="6"/>
  <c r="F505" i="6" s="1"/>
  <c r="N28" i="13"/>
  <c r="J409" i="6"/>
  <c r="F409" i="6"/>
  <c r="D409" i="6" s="1"/>
  <c r="K409" i="6"/>
  <c r="L409" i="6" s="1"/>
  <c r="M409" i="6" s="1"/>
  <c r="L254" i="6"/>
  <c r="M254" i="6" s="1"/>
  <c r="J410" i="6"/>
  <c r="I410" i="6"/>
  <c r="L410" i="6" s="1"/>
  <c r="F410" i="6"/>
  <c r="F414" i="6" s="1"/>
  <c r="J318" i="6"/>
  <c r="K318" i="6"/>
  <c r="K269" i="6"/>
  <c r="J269" i="6"/>
  <c r="F269" i="6"/>
  <c r="D269" i="6" s="1"/>
  <c r="J210" i="6"/>
  <c r="K210" i="6"/>
  <c r="K174" i="6"/>
  <c r="L174" i="6" s="1"/>
  <c r="M174" i="6" s="1"/>
  <c r="F174" i="6"/>
  <c r="M147" i="6"/>
  <c r="H147" i="6"/>
  <c r="H388" i="6"/>
  <c r="N246" i="13"/>
  <c r="K282" i="6"/>
  <c r="L375" i="6"/>
  <c r="M375" i="6" s="1"/>
  <c r="I409" i="6"/>
  <c r="D188" i="6"/>
  <c r="F318" i="6"/>
  <c r="D318" i="6" s="1"/>
  <c r="K223" i="6"/>
  <c r="F223" i="6"/>
  <c r="H223" i="6" s="1"/>
  <c r="J223" i="6"/>
  <c r="B420" i="6"/>
  <c r="F420" i="6" s="1"/>
  <c r="N103" i="13"/>
  <c r="H354" i="6"/>
  <c r="M354" i="6"/>
  <c r="D354" i="6"/>
  <c r="H281" i="6"/>
  <c r="M281" i="6"/>
  <c r="L255" i="6"/>
  <c r="M255" i="6" s="1"/>
  <c r="H270" i="6"/>
  <c r="F472" i="6"/>
  <c r="H472" i="6" s="1"/>
  <c r="I496" i="6"/>
  <c r="F496" i="6"/>
  <c r="K339" i="6"/>
  <c r="L339" i="6" s="1"/>
  <c r="J358" i="6"/>
  <c r="L358" i="6" s="1"/>
  <c r="F230" i="6"/>
  <c r="K345" i="6"/>
  <c r="J305" i="6"/>
  <c r="J307" i="6" s="1"/>
  <c r="J386" i="6"/>
  <c r="L386" i="6" s="1"/>
  <c r="M386" i="6" s="1"/>
  <c r="J321" i="6"/>
  <c r="L321" i="6" s="1"/>
  <c r="M321" i="6" s="1"/>
  <c r="F345" i="6"/>
  <c r="F347" i="6" s="1"/>
  <c r="K387" i="6"/>
  <c r="L387" i="6" s="1"/>
  <c r="D495" i="6"/>
  <c r="I453" i="6"/>
  <c r="I457" i="6" s="1"/>
  <c r="I483" i="6" s="1"/>
  <c r="K407" i="6"/>
  <c r="F425" i="6"/>
  <c r="B522" i="6"/>
  <c r="B178" i="6"/>
  <c r="B347" i="6"/>
  <c r="J517" i="6"/>
  <c r="L517" i="6" s="1"/>
  <c r="F324" i="6"/>
  <c r="M324" i="6" s="1"/>
  <c r="J429" i="6"/>
  <c r="L429" i="6" s="1"/>
  <c r="D255" i="7"/>
  <c r="J459" i="7"/>
  <c r="J460" i="7" s="1"/>
  <c r="J255" i="7"/>
  <c r="L255" i="7" s="1"/>
  <c r="H277" i="7"/>
  <c r="F275" i="7"/>
  <c r="H275" i="7" s="1"/>
  <c r="F407" i="7"/>
  <c r="H407" i="7" s="1"/>
  <c r="F310" i="7"/>
  <c r="D181" i="7"/>
  <c r="F297" i="7"/>
  <c r="D297" i="7" s="1"/>
  <c r="D300" i="7"/>
  <c r="K268" i="7"/>
  <c r="K351" i="7"/>
  <c r="L351" i="7" s="1"/>
  <c r="B380" i="7"/>
  <c r="H253" i="7"/>
  <c r="K462" i="7"/>
  <c r="B355" i="1"/>
  <c r="K355" i="1" s="1"/>
  <c r="K382" i="7"/>
  <c r="K383" i="7" s="1"/>
  <c r="H392" i="7"/>
  <c r="H276" i="7"/>
  <c r="F393" i="7"/>
  <c r="J309" i="7"/>
  <c r="M300" i="7"/>
  <c r="K411" i="7"/>
  <c r="L411" i="7" s="1"/>
  <c r="D187" i="7"/>
  <c r="F419" i="7"/>
  <c r="H419" i="7" s="1"/>
  <c r="F547" i="7"/>
  <c r="H547" i="7" s="1"/>
  <c r="J324" i="7"/>
  <c r="L324" i="7" s="1"/>
  <c r="K224" i="7"/>
  <c r="L224" i="7" s="1"/>
  <c r="M224" i="7" s="1"/>
  <c r="D394" i="7"/>
  <c r="H394" i="7"/>
  <c r="F433" i="7"/>
  <c r="J433" i="7"/>
  <c r="L433" i="7" s="1"/>
  <c r="K433" i="7"/>
  <c r="K493" i="7"/>
  <c r="J493" i="7"/>
  <c r="F436" i="7"/>
  <c r="H436" i="7" s="1"/>
  <c r="K436" i="7"/>
  <c r="H390" i="7"/>
  <c r="D390" i="7"/>
  <c r="H513" i="7"/>
  <c r="D275" i="7"/>
  <c r="H336" i="7"/>
  <c r="D212" i="7"/>
  <c r="N287" i="12"/>
  <c r="K282" i="7"/>
  <c r="N124" i="12"/>
  <c r="F476" i="7"/>
  <c r="H476" i="7" s="1"/>
  <c r="F435" i="7"/>
  <c r="D435" i="7" s="1"/>
  <c r="K416" i="7"/>
  <c r="K417" i="7" s="1"/>
  <c r="M187" i="7"/>
  <c r="B260" i="7"/>
  <c r="D268" i="7"/>
  <c r="D277" i="7"/>
  <c r="K472" i="7"/>
  <c r="L472" i="7" s="1"/>
  <c r="J274" i="7"/>
  <c r="J387" i="7"/>
  <c r="F168" i="7"/>
  <c r="J268" i="7"/>
  <c r="K387" i="7"/>
  <c r="K468" i="7"/>
  <c r="L468" i="7" s="1"/>
  <c r="J224" i="7"/>
  <c r="F167" i="7"/>
  <c r="H167" i="7" s="1"/>
  <c r="H424" i="7"/>
  <c r="F313" i="7"/>
  <c r="D313" i="7" s="1"/>
  <c r="J171" i="7"/>
  <c r="L171" i="7" s="1"/>
  <c r="M171" i="7" s="1"/>
  <c r="J416" i="7"/>
  <c r="H222" i="7"/>
  <c r="F472" i="7"/>
  <c r="D472" i="7" s="1"/>
  <c r="N264" i="12"/>
  <c r="D319" i="7"/>
  <c r="J409" i="7"/>
  <c r="F416" i="7"/>
  <c r="F417" i="7" s="1"/>
  <c r="D469" i="7"/>
  <c r="N304" i="12"/>
  <c r="N321" i="12"/>
  <c r="K238" i="7"/>
  <c r="L238" i="7" s="1"/>
  <c r="M238" i="7" s="1"/>
  <c r="J275" i="7"/>
  <c r="L275" i="7" s="1"/>
  <c r="J513" i="7"/>
  <c r="K358" i="7"/>
  <c r="L358" i="7" s="1"/>
  <c r="M181" i="7"/>
  <c r="K478" i="7"/>
  <c r="J351" i="7"/>
  <c r="D171" i="7"/>
  <c r="D471" i="8"/>
  <c r="H471" i="8"/>
  <c r="H463" i="8"/>
  <c r="D463" i="8"/>
  <c r="H171" i="8"/>
  <c r="D171" i="8"/>
  <c r="L463" i="8"/>
  <c r="H376" i="8"/>
  <c r="D224" i="8"/>
  <c r="B283" i="8"/>
  <c r="M166" i="8"/>
  <c r="M273" i="8"/>
  <c r="K356" i="8"/>
  <c r="L356" i="8" s="1"/>
  <c r="I338" i="8"/>
  <c r="K224" i="8"/>
  <c r="L224" i="8" s="1"/>
  <c r="M224" i="8" s="1"/>
  <c r="F356" i="8"/>
  <c r="D356" i="8" s="1"/>
  <c r="F514" i="8"/>
  <c r="D514" i="8" s="1"/>
  <c r="D227" i="8"/>
  <c r="I502" i="8"/>
  <c r="I503" i="8" s="1"/>
  <c r="H166" i="8"/>
  <c r="J429" i="8"/>
  <c r="L429" i="8" s="1"/>
  <c r="K463" i="8"/>
  <c r="K310" i="8"/>
  <c r="L310" i="8" s="1"/>
  <c r="H301" i="8"/>
  <c r="J252" i="8"/>
  <c r="J393" i="8"/>
  <c r="L393" i="8" s="1"/>
  <c r="M276" i="8"/>
  <c r="F434" i="8"/>
  <c r="H434" i="8" s="1"/>
  <c r="K296" i="8"/>
  <c r="J352" i="8"/>
  <c r="L352" i="8" s="1"/>
  <c r="J389" i="8"/>
  <c r="L389" i="8" s="1"/>
  <c r="J255" i="8"/>
  <c r="J313" i="8"/>
  <c r="K467" i="8"/>
  <c r="L250" i="8"/>
  <c r="L222" i="8"/>
  <c r="B311" i="1"/>
  <c r="L426" i="8"/>
  <c r="M426" i="8" s="1"/>
  <c r="J338" i="8"/>
  <c r="I252" i="8"/>
  <c r="J450" i="8"/>
  <c r="J434" i="8"/>
  <c r="L434" i="8" s="1"/>
  <c r="F545" i="8"/>
  <c r="D545" i="8" s="1"/>
  <c r="I457" i="8"/>
  <c r="F352" i="8"/>
  <c r="D212" i="8"/>
  <c r="J392" i="8"/>
  <c r="L392" i="8" s="1"/>
  <c r="F453" i="8"/>
  <c r="D453" i="8" s="1"/>
  <c r="J210" i="8"/>
  <c r="D477" i="8"/>
  <c r="F460" i="8"/>
  <c r="J459" i="8"/>
  <c r="J460" i="8" s="1"/>
  <c r="I459" i="8"/>
  <c r="F502" i="8"/>
  <c r="K459" i="8"/>
  <c r="K460" i="8" s="1"/>
  <c r="D279" i="8"/>
  <c r="K392" i="8"/>
  <c r="F429" i="8"/>
  <c r="L305" i="8"/>
  <c r="M305" i="8" s="1"/>
  <c r="F310" i="8"/>
  <c r="H310" i="8" s="1"/>
  <c r="K507" i="8"/>
  <c r="L507" i="8" s="1"/>
  <c r="L376" i="8"/>
  <c r="M376" i="8" s="1"/>
  <c r="F252" i="8"/>
  <c r="H252" i="8" s="1"/>
  <c r="J193" i="8"/>
  <c r="J194" i="8" s="1"/>
  <c r="F353" i="8"/>
  <c r="B631" i="1"/>
  <c r="F420" i="8"/>
  <c r="H420" i="8" s="1"/>
  <c r="J508" i="8"/>
  <c r="K389" i="8"/>
  <c r="J227" i="8"/>
  <c r="L227" i="8" s="1"/>
  <c r="F357" i="8"/>
  <c r="H271" i="8"/>
  <c r="B194" i="8"/>
  <c r="H319" i="8"/>
  <c r="K357" i="8"/>
  <c r="L357" i="8" s="1"/>
  <c r="K312" i="8"/>
  <c r="F312" i="8"/>
  <c r="J312" i="8"/>
  <c r="M188" i="8"/>
  <c r="H188" i="8"/>
  <c r="D268" i="8"/>
  <c r="H268" i="8"/>
  <c r="D498" i="8"/>
  <c r="H498" i="8"/>
  <c r="H351" i="8"/>
  <c r="D351" i="8"/>
  <c r="D321" i="8"/>
  <c r="H321" i="8"/>
  <c r="M321" i="8"/>
  <c r="D509" i="8"/>
  <c r="D182" i="8"/>
  <c r="J268" i="8"/>
  <c r="L268" i="8" s="1"/>
  <c r="M268" i="8" s="1"/>
  <c r="H251" i="8"/>
  <c r="D223" i="8"/>
  <c r="H320" i="8"/>
  <c r="F435" i="8"/>
  <c r="D424" i="8"/>
  <c r="K309" i="8"/>
  <c r="L309" i="8" s="1"/>
  <c r="K263" i="8"/>
  <c r="L263" i="8" s="1"/>
  <c r="M263" i="8" s="1"/>
  <c r="H169" i="8"/>
  <c r="N304" i="11"/>
  <c r="D190" i="8"/>
  <c r="B303" i="1"/>
  <c r="K303" i="1" s="1"/>
  <c r="N248" i="11"/>
  <c r="J424" i="8"/>
  <c r="F496" i="8"/>
  <c r="F387" i="8"/>
  <c r="J295" i="8"/>
  <c r="K337" i="8"/>
  <c r="K374" i="8"/>
  <c r="K345" i="8"/>
  <c r="K450" i="8"/>
  <c r="L450" i="8" s="1"/>
  <c r="J254" i="8"/>
  <c r="L254" i="8" s="1"/>
  <c r="F282" i="8"/>
  <c r="J345" i="8"/>
  <c r="L345" i="8" s="1"/>
  <c r="M345" i="8" s="1"/>
  <c r="M226" i="8"/>
  <c r="J454" i="8"/>
  <c r="H450" i="8"/>
  <c r="F250" i="8"/>
  <c r="D250" i="8" s="1"/>
  <c r="F520" i="8"/>
  <c r="D520" i="8" s="1"/>
  <c r="J351" i="8"/>
  <c r="J274" i="8"/>
  <c r="L274" i="8" s="1"/>
  <c r="K172" i="8"/>
  <c r="L172" i="8" s="1"/>
  <c r="M172" i="8" s="1"/>
  <c r="K230" i="8"/>
  <c r="D426" i="8"/>
  <c r="F315" i="8"/>
  <c r="H506" i="8"/>
  <c r="D272" i="8"/>
  <c r="J315" i="8"/>
  <c r="L315" i="8" s="1"/>
  <c r="H182" i="8"/>
  <c r="D231" i="8"/>
  <c r="D295" i="8"/>
  <c r="J355" i="8"/>
  <c r="L207" i="8"/>
  <c r="M207" i="8" s="1"/>
  <c r="K518" i="8"/>
  <c r="L518" i="8" s="1"/>
  <c r="F454" i="8"/>
  <c r="H454" i="8" s="1"/>
  <c r="N140" i="11"/>
  <c r="D428" i="8"/>
  <c r="J428" i="8"/>
  <c r="K387" i="8"/>
  <c r="D355" i="8"/>
  <c r="F309" i="8"/>
  <c r="H309" i="8" s="1"/>
  <c r="D419" i="8"/>
  <c r="H514" i="8"/>
  <c r="H205" i="8"/>
  <c r="N321" i="11"/>
  <c r="B460" i="8"/>
  <c r="J263" i="8"/>
  <c r="B193" i="1"/>
  <c r="N287" i="11"/>
  <c r="N73" i="11"/>
  <c r="N65" i="11"/>
  <c r="K295" i="8"/>
  <c r="K272" i="8"/>
  <c r="L272" i="8" s="1"/>
  <c r="M272" i="8" s="1"/>
  <c r="J238" i="8"/>
  <c r="L238" i="8" s="1"/>
  <c r="M238" i="8" s="1"/>
  <c r="I374" i="8"/>
  <c r="J174" i="8"/>
  <c r="L174" i="8" s="1"/>
  <c r="M174" i="8" s="1"/>
  <c r="F274" i="8"/>
  <c r="H274" i="8" s="1"/>
  <c r="F518" i="8"/>
  <c r="K508" i="8"/>
  <c r="K420" i="8"/>
  <c r="L420" i="8" s="1"/>
  <c r="K428" i="8"/>
  <c r="N209" i="11"/>
  <c r="K476" i="8"/>
  <c r="L476" i="8" s="1"/>
  <c r="F430" i="8"/>
  <c r="J230" i="8"/>
  <c r="M147" i="8"/>
  <c r="H479" i="9"/>
  <c r="D479" i="9"/>
  <c r="D172" i="9"/>
  <c r="K514" i="9"/>
  <c r="D152" i="9"/>
  <c r="F224" i="9"/>
  <c r="H224" i="9" s="1"/>
  <c r="F317" i="9"/>
  <c r="K480" i="9"/>
  <c r="L480" i="9" s="1"/>
  <c r="M480" i="9" s="1"/>
  <c r="J480" i="9"/>
  <c r="F277" i="9"/>
  <c r="H277" i="9" s="1"/>
  <c r="I306" i="9"/>
  <c r="H408" i="9"/>
  <c r="F341" i="9"/>
  <c r="H341" i="9" s="1"/>
  <c r="H463" i="9"/>
  <c r="B251" i="1"/>
  <c r="F251" i="1" s="1"/>
  <c r="D251" i="1" s="1"/>
  <c r="K224" i="9"/>
  <c r="L224" i="9" s="1"/>
  <c r="F407" i="9"/>
  <c r="D128" i="9"/>
  <c r="D212" i="9"/>
  <c r="H212" i="9"/>
  <c r="H471" i="9"/>
  <c r="J514" i="9"/>
  <c r="F494" i="9"/>
  <c r="H494" i="9" s="1"/>
  <c r="K502" i="9"/>
  <c r="K503" i="9" s="1"/>
  <c r="I502" i="9"/>
  <c r="I503" i="9" s="1"/>
  <c r="F502" i="9"/>
  <c r="F127" i="9"/>
  <c r="J207" i="9"/>
  <c r="J215" i="9" s="1"/>
  <c r="I207" i="9"/>
  <c r="J227" i="9"/>
  <c r="K238" i="9"/>
  <c r="J172" i="9"/>
  <c r="K253" i="9"/>
  <c r="D268" i="9"/>
  <c r="B348" i="1"/>
  <c r="K348" i="1" s="1"/>
  <c r="J317" i="9"/>
  <c r="L317" i="9" s="1"/>
  <c r="M317" i="9" s="1"/>
  <c r="M169" i="9"/>
  <c r="D169" i="9"/>
  <c r="K408" i="9"/>
  <c r="K387" i="9"/>
  <c r="L387" i="9" s="1"/>
  <c r="K306" i="9"/>
  <c r="I139" i="9"/>
  <c r="I156" i="9" s="1"/>
  <c r="D227" i="9"/>
  <c r="K207" i="9"/>
  <c r="K227" i="9"/>
  <c r="F313" i="9"/>
  <c r="K178" i="9"/>
  <c r="F273" i="9"/>
  <c r="H273" i="9" s="1"/>
  <c r="J476" i="9"/>
  <c r="H382" i="9"/>
  <c r="H383" i="9" s="1"/>
  <c r="D382" i="9"/>
  <c r="D383" i="9" s="1"/>
  <c r="F383" i="9"/>
  <c r="F311" i="9"/>
  <c r="B346" i="1"/>
  <c r="F346" i="1" s="1"/>
  <c r="D346" i="1" s="1"/>
  <c r="M146" i="9"/>
  <c r="D146" i="9"/>
  <c r="H146" i="9"/>
  <c r="D180" i="9"/>
  <c r="H180" i="9"/>
  <c r="D430" i="9"/>
  <c r="H430" i="9"/>
  <c r="F295" i="9"/>
  <c r="D295" i="9" s="1"/>
  <c r="B303" i="9"/>
  <c r="J276" i="9"/>
  <c r="L276" i="9" s="1"/>
  <c r="F276" i="9"/>
  <c r="H276" i="9" s="1"/>
  <c r="K276" i="9"/>
  <c r="D282" i="9"/>
  <c r="H282" i="9"/>
  <c r="K382" i="9"/>
  <c r="K383" i="9" s="1"/>
  <c r="H356" i="9"/>
  <c r="H361" i="9"/>
  <c r="H148" i="9"/>
  <c r="D421" i="9"/>
  <c r="J272" i="9"/>
  <c r="J392" i="9"/>
  <c r="F520" i="9"/>
  <c r="N248" i="10"/>
  <c r="J430" i="9"/>
  <c r="J262" i="9"/>
  <c r="H392" i="9"/>
  <c r="K434" i="9"/>
  <c r="K476" i="9"/>
  <c r="F358" i="9"/>
  <c r="F337" i="9"/>
  <c r="H135" i="9"/>
  <c r="D386" i="9"/>
  <c r="B378" i="1"/>
  <c r="K378" i="1" s="1"/>
  <c r="M426" i="9"/>
  <c r="H254" i="9"/>
  <c r="K388" i="9"/>
  <c r="D270" i="9"/>
  <c r="D296" i="9"/>
  <c r="K339" i="9"/>
  <c r="L339" i="9" s="1"/>
  <c r="H451" i="9"/>
  <c r="D349" i="9"/>
  <c r="D148" i="9"/>
  <c r="H226" i="9"/>
  <c r="D323" i="9"/>
  <c r="D341" i="9"/>
  <c r="J210" i="9"/>
  <c r="L210" i="9" s="1"/>
  <c r="M210" i="9" s="1"/>
  <c r="M341" i="9"/>
  <c r="J268" i="9"/>
  <c r="F272" i="9"/>
  <c r="K392" i="9"/>
  <c r="L392" i="9" s="1"/>
  <c r="M392" i="9" s="1"/>
  <c r="K520" i="9"/>
  <c r="L520" i="9" s="1"/>
  <c r="N172" i="10"/>
  <c r="K267" i="9"/>
  <c r="L267" i="9" s="1"/>
  <c r="K281" i="9"/>
  <c r="L281" i="9" s="1"/>
  <c r="M281" i="9" s="1"/>
  <c r="F300" i="9"/>
  <c r="M300" i="9" s="1"/>
  <c r="F262" i="9"/>
  <c r="K430" i="9"/>
  <c r="F420" i="9"/>
  <c r="M420" i="9" s="1"/>
  <c r="N187" i="10"/>
  <c r="J434" i="9"/>
  <c r="L434" i="9" s="1"/>
  <c r="J346" i="9"/>
  <c r="I346" i="9"/>
  <c r="L346" i="9" s="1"/>
  <c r="M346" i="9" s="1"/>
  <c r="J358" i="9"/>
  <c r="L358" i="9" s="1"/>
  <c r="J90" i="9"/>
  <c r="F388" i="9"/>
  <c r="H388" i="9" s="1"/>
  <c r="F437" i="9"/>
  <c r="F339" i="9"/>
  <c r="H339" i="9" s="1"/>
  <c r="B335" i="1"/>
  <c r="F335" i="1" s="1"/>
  <c r="H425" i="9"/>
  <c r="K208" i="9"/>
  <c r="L208" i="9" s="1"/>
  <c r="M208" i="9" s="1"/>
  <c r="D226" i="9"/>
  <c r="F208" i="9"/>
  <c r="D208" i="9" s="1"/>
  <c r="F229" i="9"/>
  <c r="M229" i="9" s="1"/>
  <c r="N287" i="10"/>
  <c r="K268" i="9"/>
  <c r="N140" i="10"/>
  <c r="N111" i="10"/>
  <c r="F352" i="9"/>
  <c r="K346" i="9"/>
  <c r="K349" i="9"/>
  <c r="F95" i="9"/>
  <c r="M95" i="9" s="1"/>
  <c r="L350" i="9"/>
  <c r="M350" i="9" s="1"/>
  <c r="L516" i="5"/>
  <c r="M313" i="5"/>
  <c r="L356" i="9"/>
  <c r="M356" i="9" s="1"/>
  <c r="M228" i="5"/>
  <c r="L470" i="4"/>
  <c r="L464" i="9"/>
  <c r="M464" i="9" s="1"/>
  <c r="L657" i="1"/>
  <c r="D576" i="9"/>
  <c r="H576" i="9"/>
  <c r="H499" i="7"/>
  <c r="D499" i="7"/>
  <c r="B573" i="1"/>
  <c r="F573" i="1" s="1"/>
  <c r="B514" i="6"/>
  <c r="J514" i="6" s="1"/>
  <c r="D641" i="6"/>
  <c r="H641" i="6"/>
  <c r="F350" i="7"/>
  <c r="K350" i="7"/>
  <c r="L350" i="7" s="1"/>
  <c r="B354" i="2"/>
  <c r="F354" i="2" s="1"/>
  <c r="H354" i="2" s="1"/>
  <c r="B355" i="2"/>
  <c r="J355" i="2" s="1"/>
  <c r="J345" i="2"/>
  <c r="I345" i="2"/>
  <c r="L345" i="2" s="1"/>
  <c r="D190" i="2"/>
  <c r="M190" i="2"/>
  <c r="H131" i="8"/>
  <c r="D131" i="8"/>
  <c r="M131" i="8"/>
  <c r="H106" i="4"/>
  <c r="D106" i="4"/>
  <c r="L389" i="4"/>
  <c r="M339" i="6"/>
  <c r="D452" i="5"/>
  <c r="H452" i="5"/>
  <c r="F569" i="3"/>
  <c r="H568" i="3"/>
  <c r="H569" i="3" s="1"/>
  <c r="H455" i="6"/>
  <c r="D455" i="6"/>
  <c r="N127" i="11"/>
  <c r="B382" i="8"/>
  <c r="H632" i="9"/>
  <c r="D632" i="9"/>
  <c r="J513" i="9"/>
  <c r="K513" i="9"/>
  <c r="H641" i="7"/>
  <c r="D641" i="7"/>
  <c r="J312" i="4"/>
  <c r="L312" i="4" s="1"/>
  <c r="F312" i="4"/>
  <c r="F184" i="5"/>
  <c r="H184" i="5" s="1"/>
  <c r="B194" i="5"/>
  <c r="B195" i="5" s="1"/>
  <c r="L227" i="9"/>
  <c r="M227" i="9" s="1"/>
  <c r="K188" i="1"/>
  <c r="L174" i="5"/>
  <c r="M174" i="5" s="1"/>
  <c r="M230" i="4"/>
  <c r="M223" i="8"/>
  <c r="L208" i="6"/>
  <c r="M208" i="6" s="1"/>
  <c r="L493" i="5"/>
  <c r="M493" i="5" s="1"/>
  <c r="L498" i="8"/>
  <c r="L336" i="6"/>
  <c r="M336" i="6" s="1"/>
  <c r="J573" i="5"/>
  <c r="L338" i="8"/>
  <c r="L472" i="3"/>
  <c r="L385" i="4"/>
  <c r="L212" i="4"/>
  <c r="M212" i="4" s="1"/>
  <c r="H583" i="5"/>
  <c r="L229" i="2"/>
  <c r="L306" i="6"/>
  <c r="M306" i="6" s="1"/>
  <c r="L508" i="6"/>
  <c r="M508" i="6" s="1"/>
  <c r="H584" i="9"/>
  <c r="L428" i="6"/>
  <c r="M428" i="6" s="1"/>
  <c r="L464" i="3"/>
  <c r="F510" i="5"/>
  <c r="H510" i="5" s="1"/>
  <c r="L317" i="6"/>
  <c r="M317" i="6" s="1"/>
  <c r="L360" i="3"/>
  <c r="H586" i="7"/>
  <c r="H590" i="5"/>
  <c r="N51" i="16"/>
  <c r="J405" i="5"/>
  <c r="F405" i="5"/>
  <c r="H405" i="5" s="1"/>
  <c r="K405" i="5"/>
  <c r="K296" i="2"/>
  <c r="K303" i="2" s="1"/>
  <c r="J296" i="2"/>
  <c r="M413" i="2"/>
  <c r="M587" i="6"/>
  <c r="K619" i="5"/>
  <c r="M191" i="2"/>
  <c r="J154" i="8"/>
  <c r="J155" i="8" s="1"/>
  <c r="J156" i="8" s="1"/>
  <c r="M151" i="8"/>
  <c r="M140" i="3"/>
  <c r="F87" i="4"/>
  <c r="D87" i="4" s="1"/>
  <c r="D112" i="5"/>
  <c r="K109" i="4"/>
  <c r="J87" i="4"/>
  <c r="K110" i="6"/>
  <c r="L110" i="6" s="1"/>
  <c r="M110" i="6" s="1"/>
  <c r="K97" i="6"/>
  <c r="L97" i="6" s="1"/>
  <c r="M97" i="6" s="1"/>
  <c r="D46" i="5"/>
  <c r="D146" i="4"/>
  <c r="F154" i="8"/>
  <c r="D102" i="4"/>
  <c r="F101" i="8"/>
  <c r="D101" i="8" s="1"/>
  <c r="D108" i="9"/>
  <c r="K106" i="4"/>
  <c r="L106" i="4" s="1"/>
  <c r="M106" i="4" s="1"/>
  <c r="K93" i="6"/>
  <c r="L93" i="6" s="1"/>
  <c r="M93" i="6" s="1"/>
  <c r="K90" i="4"/>
  <c r="L90" i="4" s="1"/>
  <c r="M90" i="4" s="1"/>
  <c r="J112" i="5"/>
  <c r="L112" i="5" s="1"/>
  <c r="M112" i="5" s="1"/>
  <c r="J109" i="4"/>
  <c r="K87" i="4"/>
  <c r="J96" i="4"/>
  <c r="K95" i="8"/>
  <c r="J95" i="8" s="1"/>
  <c r="M309" i="6"/>
  <c r="L453" i="5"/>
  <c r="M453" i="5" s="1"/>
  <c r="J647" i="4"/>
  <c r="M498" i="2"/>
  <c r="M320" i="7"/>
  <c r="M257" i="6"/>
  <c r="M234" i="7"/>
  <c r="M152" i="9"/>
  <c r="M144" i="6"/>
  <c r="F88" i="8"/>
  <c r="J103" i="6"/>
  <c r="J110" i="8"/>
  <c r="L110" i="8" s="1"/>
  <c r="M110" i="8" s="1"/>
  <c r="J108" i="9"/>
  <c r="J102" i="4"/>
  <c r="J88" i="5"/>
  <c r="K89" i="4"/>
  <c r="F98" i="6"/>
  <c r="J464" i="6"/>
  <c r="K464" i="6"/>
  <c r="F464" i="6"/>
  <c r="D464" i="6" s="1"/>
  <c r="K479" i="4"/>
  <c r="F479" i="4"/>
  <c r="J479" i="4"/>
  <c r="K473" i="4"/>
  <c r="F473" i="4"/>
  <c r="H473" i="4" s="1"/>
  <c r="J473" i="4"/>
  <c r="D388" i="3"/>
  <c r="H208" i="9"/>
  <c r="M169" i="4"/>
  <c r="D507" i="4"/>
  <c r="J253" i="4"/>
  <c r="H257" i="4"/>
  <c r="B260" i="6"/>
  <c r="I205" i="2"/>
  <c r="I215" i="2" s="1"/>
  <c r="I240" i="2" s="1"/>
  <c r="B429" i="1"/>
  <c r="K429" i="1" s="1"/>
  <c r="H273" i="4"/>
  <c r="D420" i="8"/>
  <c r="L223" i="5"/>
  <c r="L274" i="9"/>
  <c r="L350" i="5"/>
  <c r="L449" i="5"/>
  <c r="I496" i="8"/>
  <c r="L471" i="9"/>
  <c r="L311" i="5"/>
  <c r="M311" i="5" s="1"/>
  <c r="L408" i="6"/>
  <c r="M408" i="6" s="1"/>
  <c r="K579" i="8"/>
  <c r="M269" i="8"/>
  <c r="L508" i="8"/>
  <c r="M508" i="8" s="1"/>
  <c r="K453" i="8"/>
  <c r="J453" i="8"/>
  <c r="D378" i="2"/>
  <c r="H378" i="2"/>
  <c r="D149" i="8"/>
  <c r="H149" i="8"/>
  <c r="M149" i="8"/>
  <c r="F89" i="2"/>
  <c r="D89" i="2" s="1"/>
  <c r="J89" i="2"/>
  <c r="L272" i="9"/>
  <c r="L277" i="6"/>
  <c r="L435" i="6"/>
  <c r="M435" i="6" s="1"/>
  <c r="I347" i="8"/>
  <c r="H219" i="8"/>
  <c r="F470" i="8"/>
  <c r="J470" i="8"/>
  <c r="K470" i="8"/>
  <c r="L470" i="8" s="1"/>
  <c r="L228" i="6"/>
  <c r="M228" i="6" s="1"/>
  <c r="L426" i="1"/>
  <c r="H388" i="5"/>
  <c r="H208" i="5"/>
  <c r="H166" i="9"/>
  <c r="D309" i="2"/>
  <c r="K250" i="6"/>
  <c r="L250" i="6" s="1"/>
  <c r="K224" i="6"/>
  <c r="D230" i="3"/>
  <c r="K297" i="8"/>
  <c r="K303" i="8" s="1"/>
  <c r="L253" i="9"/>
  <c r="M253" i="9" s="1"/>
  <c r="J472" i="6"/>
  <c r="L472" i="6" s="1"/>
  <c r="M386" i="8"/>
  <c r="L210" i="6"/>
  <c r="M210" i="6" s="1"/>
  <c r="M254" i="2"/>
  <c r="J451" i="6"/>
  <c r="K451" i="6"/>
  <c r="F451" i="6"/>
  <c r="H451" i="6" s="1"/>
  <c r="J313" i="6"/>
  <c r="F313" i="6"/>
  <c r="D313" i="6" s="1"/>
  <c r="K313" i="6"/>
  <c r="D276" i="6"/>
  <c r="H276" i="6"/>
  <c r="F275" i="8"/>
  <c r="F283" i="8" s="1"/>
  <c r="J275" i="8"/>
  <c r="K275" i="8"/>
  <c r="H174" i="5"/>
  <c r="D174" i="5"/>
  <c r="F128" i="6"/>
  <c r="D128" i="6" s="1"/>
  <c r="I128" i="6"/>
  <c r="L128" i="6" s="1"/>
  <c r="M128" i="6" s="1"/>
  <c r="F108" i="4"/>
  <c r="H108" i="4" s="1"/>
  <c r="J108" i="4"/>
  <c r="L425" i="6"/>
  <c r="L427" i="4"/>
  <c r="L437" i="6"/>
  <c r="L268" i="7"/>
  <c r="M268" i="7" s="1"/>
  <c r="L408" i="9"/>
  <c r="M408" i="9" s="1"/>
  <c r="L227" i="4"/>
  <c r="L626" i="8"/>
  <c r="H612" i="9"/>
  <c r="D564" i="9"/>
  <c r="L586" i="9"/>
  <c r="M586" i="9" s="1"/>
  <c r="B601" i="8"/>
  <c r="L682" i="1"/>
  <c r="K600" i="6"/>
  <c r="B579" i="6"/>
  <c r="I579" i="6"/>
  <c r="L546" i="6"/>
  <c r="I573" i="5"/>
  <c r="N28" i="15"/>
  <c r="N13" i="15"/>
  <c r="F616" i="4"/>
  <c r="K589" i="4"/>
  <c r="K601" i="4" s="1"/>
  <c r="L578" i="4"/>
  <c r="I579" i="4"/>
  <c r="L454" i="3"/>
  <c r="M454" i="3" s="1"/>
  <c r="J219" i="2"/>
  <c r="L88" i="5"/>
  <c r="M88" i="5" s="1"/>
  <c r="H99" i="1"/>
  <c r="I215" i="5"/>
  <c r="I240" i="5" s="1"/>
  <c r="J579" i="4"/>
  <c r="M297" i="4"/>
  <c r="L320" i="2"/>
  <c r="M320" i="2" s="1"/>
  <c r="B522" i="2"/>
  <c r="L256" i="4"/>
  <c r="M256" i="4" s="1"/>
  <c r="L310" i="7"/>
  <c r="M232" i="5"/>
  <c r="M434" i="5"/>
  <c r="I601" i="9"/>
  <c r="L585" i="9"/>
  <c r="M585" i="9" s="1"/>
  <c r="K578" i="9"/>
  <c r="B579" i="9"/>
  <c r="L585" i="8"/>
  <c r="K647" i="7"/>
  <c r="L695" i="1"/>
  <c r="M695" i="1" s="1"/>
  <c r="K640" i="5"/>
  <c r="L639" i="5"/>
  <c r="J619" i="5"/>
  <c r="B595" i="5"/>
  <c r="N65" i="17"/>
  <c r="K654" i="1"/>
  <c r="K660" i="1" s="1"/>
  <c r="I579" i="2"/>
  <c r="M187" i="2"/>
  <c r="H127" i="6"/>
  <c r="H146" i="4"/>
  <c r="D136" i="4"/>
  <c r="M136" i="4"/>
  <c r="M313" i="9"/>
  <c r="H476" i="9"/>
  <c r="K626" i="9"/>
  <c r="L569" i="9"/>
  <c r="L570" i="9" s="1"/>
  <c r="M322" i="4"/>
  <c r="M259" i="2"/>
  <c r="L217" i="7"/>
  <c r="M232" i="7"/>
  <c r="M145" i="4"/>
  <c r="K97" i="2"/>
  <c r="L97" i="2" s="1"/>
  <c r="J97" i="2"/>
  <c r="H629" i="5"/>
  <c r="H640" i="5" s="1"/>
  <c r="J579" i="6"/>
  <c r="M181" i="2"/>
  <c r="D349" i="8"/>
  <c r="H349" i="8"/>
  <c r="H263" i="9"/>
  <c r="F264" i="9"/>
  <c r="D392" i="6"/>
  <c r="K207" i="7"/>
  <c r="F207" i="7"/>
  <c r="D207" i="7" s="1"/>
  <c r="I207" i="7"/>
  <c r="H358" i="5"/>
  <c r="D358" i="5"/>
  <c r="J419" i="5"/>
  <c r="F419" i="5"/>
  <c r="J496" i="9"/>
  <c r="K496" i="9"/>
  <c r="L496" i="9" s="1"/>
  <c r="M496" i="9" s="1"/>
  <c r="I496" i="9"/>
  <c r="I647" i="9"/>
  <c r="D452" i="3"/>
  <c r="H374" i="4"/>
  <c r="H324" i="9"/>
  <c r="F503" i="4"/>
  <c r="D393" i="6"/>
  <c r="K452" i="7"/>
  <c r="D270" i="8"/>
  <c r="L437" i="9"/>
  <c r="H423" i="6"/>
  <c r="J439" i="4"/>
  <c r="H174" i="9"/>
  <c r="N319" i="13"/>
  <c r="I452" i="3"/>
  <c r="F449" i="5"/>
  <c r="D305" i="8"/>
  <c r="J224" i="6"/>
  <c r="H230" i="4"/>
  <c r="D306" i="5"/>
  <c r="D307" i="5" s="1"/>
  <c r="D416" i="8"/>
  <c r="D417" i="8" s="1"/>
  <c r="F297" i="8"/>
  <c r="L219" i="9"/>
  <c r="D454" i="8"/>
  <c r="D391" i="3"/>
  <c r="D489" i="5"/>
  <c r="D224" i="2"/>
  <c r="D463" i="4"/>
  <c r="B239" i="6"/>
  <c r="L318" i="5"/>
  <c r="D411" i="8"/>
  <c r="H411" i="8"/>
  <c r="L374" i="8"/>
  <c r="M374" i="8" s="1"/>
  <c r="M316" i="8"/>
  <c r="D338" i="6"/>
  <c r="H338" i="6"/>
  <c r="H262" i="9"/>
  <c r="D262" i="9"/>
  <c r="K451" i="8"/>
  <c r="J451" i="8"/>
  <c r="L451" i="8" s="1"/>
  <c r="M451" i="8" s="1"/>
  <c r="I459" i="9"/>
  <c r="I460" i="9" s="1"/>
  <c r="J459" i="9"/>
  <c r="J460" i="9" s="1"/>
  <c r="K459" i="9"/>
  <c r="D324" i="6"/>
  <c r="H349" i="3"/>
  <c r="D349" i="3"/>
  <c r="J223" i="9"/>
  <c r="K223" i="9"/>
  <c r="F225" i="9"/>
  <c r="K225" i="9"/>
  <c r="J225" i="9"/>
  <c r="L225" i="9" s="1"/>
  <c r="D207" i="9"/>
  <c r="H207" i="9"/>
  <c r="H387" i="2"/>
  <c r="D387" i="2"/>
  <c r="K479" i="9"/>
  <c r="J479" i="9"/>
  <c r="B477" i="9"/>
  <c r="N73" i="10"/>
  <c r="H469" i="9"/>
  <c r="D469" i="9"/>
  <c r="K481" i="7"/>
  <c r="F481" i="7"/>
  <c r="J481" i="7"/>
  <c r="L481" i="7" s="1"/>
  <c r="B477" i="7"/>
  <c r="F477" i="7" s="1"/>
  <c r="D477" i="7" s="1"/>
  <c r="N73" i="12"/>
  <c r="F519" i="7"/>
  <c r="H519" i="7" s="1"/>
  <c r="K519" i="7"/>
  <c r="B508" i="7"/>
  <c r="N28" i="12"/>
  <c r="B502" i="7"/>
  <c r="N16" i="12"/>
  <c r="D643" i="7"/>
  <c r="H643" i="7"/>
  <c r="L619" i="7"/>
  <c r="L679" i="1"/>
  <c r="L680" i="1" s="1"/>
  <c r="H587" i="7"/>
  <c r="D587" i="7"/>
  <c r="L640" i="5"/>
  <c r="D207" i="8"/>
  <c r="H207" i="8"/>
  <c r="D422" i="5"/>
  <c r="H422" i="5"/>
  <c r="H223" i="4"/>
  <c r="M223" i="4"/>
  <c r="D426" i="1"/>
  <c r="D427" i="1" s="1"/>
  <c r="D502" i="5"/>
  <c r="H502" i="6"/>
  <c r="H503" i="6" s="1"/>
  <c r="L456" i="5"/>
  <c r="L457" i="5" s="1"/>
  <c r="H223" i="9"/>
  <c r="D426" i="9"/>
  <c r="L339" i="8"/>
  <c r="M339" i="8" s="1"/>
  <c r="B262" i="4"/>
  <c r="D166" i="9"/>
  <c r="D254" i="6"/>
  <c r="D375" i="5"/>
  <c r="D188" i="8"/>
  <c r="H316" i="8"/>
  <c r="K419" i="5"/>
  <c r="F377" i="5"/>
  <c r="D377" i="5" s="1"/>
  <c r="D223" i="4"/>
  <c r="H390" i="8"/>
  <c r="D390" i="8"/>
  <c r="H269" i="8"/>
  <c r="D167" i="6"/>
  <c r="H167" i="6"/>
  <c r="I382" i="4"/>
  <c r="F382" i="4"/>
  <c r="F383" i="4" s="1"/>
  <c r="B383" i="4"/>
  <c r="J382" i="4"/>
  <c r="J383" i="4" s="1"/>
  <c r="D616" i="4"/>
  <c r="K502" i="4"/>
  <c r="K503" i="4" s="1"/>
  <c r="J502" i="4"/>
  <c r="J503" i="4" s="1"/>
  <c r="B503" i="4"/>
  <c r="J450" i="4"/>
  <c r="J457" i="4" s="1"/>
  <c r="F450" i="4"/>
  <c r="H312" i="3"/>
  <c r="D312" i="3"/>
  <c r="J343" i="6"/>
  <c r="L338" i="6"/>
  <c r="M338" i="6" s="1"/>
  <c r="F393" i="4"/>
  <c r="J393" i="4"/>
  <c r="H409" i="6"/>
  <c r="H504" i="3"/>
  <c r="L255" i="8"/>
  <c r="M255" i="8" s="1"/>
  <c r="F337" i="6"/>
  <c r="K337" i="6"/>
  <c r="J419" i="6"/>
  <c r="K419" i="6"/>
  <c r="H345" i="5"/>
  <c r="D345" i="5"/>
  <c r="H269" i="6"/>
  <c r="L313" i="8"/>
  <c r="M313" i="8" s="1"/>
  <c r="M437" i="6"/>
  <c r="L495" i="6"/>
  <c r="M495" i="6" s="1"/>
  <c r="H267" i="8"/>
  <c r="D267" i="8"/>
  <c r="H467" i="4"/>
  <c r="F636" i="9"/>
  <c r="F493" i="8"/>
  <c r="J493" i="8"/>
  <c r="K493" i="8"/>
  <c r="H561" i="5"/>
  <c r="F496" i="9"/>
  <c r="H567" i="8"/>
  <c r="H296" i="8"/>
  <c r="D296" i="8"/>
  <c r="L167" i="5"/>
  <c r="I178" i="5"/>
  <c r="I195" i="5" s="1"/>
  <c r="D206" i="5"/>
  <c r="H206" i="5"/>
  <c r="L233" i="6"/>
  <c r="M233" i="6" s="1"/>
  <c r="B303" i="5"/>
  <c r="F294" i="5"/>
  <c r="H452" i="6"/>
  <c r="D452" i="6"/>
  <c r="J382" i="9"/>
  <c r="J383" i="9" s="1"/>
  <c r="I382" i="9"/>
  <c r="I383" i="9" s="1"/>
  <c r="B383" i="9"/>
  <c r="H421" i="4"/>
  <c r="D421" i="4"/>
  <c r="J374" i="9"/>
  <c r="F374" i="9"/>
  <c r="K374" i="9"/>
  <c r="D353" i="3"/>
  <c r="D510" i="5"/>
  <c r="D259" i="4"/>
  <c r="M259" i="4"/>
  <c r="H259" i="4"/>
  <c r="L225" i="4"/>
  <c r="M225" i="4" s="1"/>
  <c r="D642" i="9"/>
  <c r="D646" i="9" s="1"/>
  <c r="H642" i="9"/>
  <c r="D638" i="9"/>
  <c r="D639" i="9" s="1"/>
  <c r="H638" i="9"/>
  <c r="H639" i="9" s="1"/>
  <c r="H591" i="9"/>
  <c r="H592" i="9" s="1"/>
  <c r="F592" i="9"/>
  <c r="J545" i="9"/>
  <c r="F545" i="9"/>
  <c r="D545" i="9" s="1"/>
  <c r="H613" i="7"/>
  <c r="D613" i="7"/>
  <c r="D641" i="4"/>
  <c r="D646" i="4" s="1"/>
  <c r="H641" i="4"/>
  <c r="H646" i="4" s="1"/>
  <c r="B498" i="5"/>
  <c r="J498" i="5" s="1"/>
  <c r="N16" i="14"/>
  <c r="D614" i="2"/>
  <c r="H614" i="2"/>
  <c r="H612" i="2"/>
  <c r="D612" i="2"/>
  <c r="K385" i="9"/>
  <c r="F385" i="9"/>
  <c r="J385" i="9"/>
  <c r="F384" i="5"/>
  <c r="J384" i="5"/>
  <c r="K384" i="5"/>
  <c r="J296" i="5"/>
  <c r="F296" i="5"/>
  <c r="H152" i="2"/>
  <c r="D152" i="2"/>
  <c r="M411" i="8"/>
  <c r="D172" i="4"/>
  <c r="F178" i="8"/>
  <c r="D264" i="5"/>
  <c r="M208" i="5"/>
  <c r="M274" i="9"/>
  <c r="L252" i="6"/>
  <c r="M252" i="6" s="1"/>
  <c r="D221" i="4"/>
  <c r="L507" i="3"/>
  <c r="L626" i="4"/>
  <c r="F583" i="5"/>
  <c r="L509" i="8"/>
  <c r="L447" i="5"/>
  <c r="L477" i="5"/>
  <c r="D616" i="7"/>
  <c r="D578" i="8"/>
  <c r="I500" i="6"/>
  <c r="L506" i="6"/>
  <c r="J520" i="8"/>
  <c r="L520" i="8" s="1"/>
  <c r="N13" i="13"/>
  <c r="N48" i="10"/>
  <c r="M275" i="4"/>
  <c r="L266" i="3"/>
  <c r="M266" i="3" s="1"/>
  <c r="H585" i="5"/>
  <c r="H586" i="5" s="1"/>
  <c r="K567" i="6"/>
  <c r="K579" i="6" s="1"/>
  <c r="M411" i="7"/>
  <c r="L569" i="6"/>
  <c r="I414" i="6"/>
  <c r="L210" i="4"/>
  <c r="M210" i="4" s="1"/>
  <c r="L352" i="6"/>
  <c r="D643" i="8"/>
  <c r="L232" i="9"/>
  <c r="M232" i="9" s="1"/>
  <c r="L267" i="3"/>
  <c r="M267" i="3" s="1"/>
  <c r="L407" i="2"/>
  <c r="H612" i="8"/>
  <c r="F578" i="6"/>
  <c r="K549" i="9"/>
  <c r="L549" i="9" s="1"/>
  <c r="D557" i="5"/>
  <c r="L591" i="2"/>
  <c r="L592" i="2" s="1"/>
  <c r="M591" i="9"/>
  <c r="M599" i="2"/>
  <c r="F518" i="6"/>
  <c r="D518" i="6" s="1"/>
  <c r="M171" i="5"/>
  <c r="L586" i="4"/>
  <c r="M586" i="4" s="1"/>
  <c r="K497" i="4"/>
  <c r="L417" i="5"/>
  <c r="H612" i="4"/>
  <c r="H616" i="4" s="1"/>
  <c r="L249" i="3"/>
  <c r="J376" i="6"/>
  <c r="L376" i="6" s="1"/>
  <c r="H586" i="6"/>
  <c r="D580" i="5"/>
  <c r="D583" i="5" s="1"/>
  <c r="J477" i="4"/>
  <c r="L477" i="4" s="1"/>
  <c r="H625" i="2"/>
  <c r="L476" i="9"/>
  <c r="H586" i="2"/>
  <c r="F636" i="6"/>
  <c r="F647" i="6" s="1"/>
  <c r="J470" i="3"/>
  <c r="L470" i="3" s="1"/>
  <c r="F450" i="3"/>
  <c r="D450" i="3" s="1"/>
  <c r="D591" i="9"/>
  <c r="D592" i="9" s="1"/>
  <c r="D621" i="9"/>
  <c r="N35" i="15"/>
  <c r="H309" i="6"/>
  <c r="D309" i="6"/>
  <c r="D597" i="8"/>
  <c r="H597" i="8"/>
  <c r="L456" i="8"/>
  <c r="M456" i="8" s="1"/>
  <c r="K376" i="9"/>
  <c r="J376" i="9"/>
  <c r="B396" i="4"/>
  <c r="M267" i="8"/>
  <c r="H464" i="9"/>
  <c r="L282" i="7"/>
  <c r="M282" i="7" s="1"/>
  <c r="L210" i="8"/>
  <c r="M210" i="8" s="1"/>
  <c r="K215" i="5"/>
  <c r="L251" i="9"/>
  <c r="L519" i="2"/>
  <c r="F466" i="3"/>
  <c r="D600" i="4"/>
  <c r="H589" i="9"/>
  <c r="D589" i="8"/>
  <c r="L373" i="3"/>
  <c r="L481" i="2"/>
  <c r="N48" i="17"/>
  <c r="L229" i="8"/>
  <c r="M229" i="8" s="1"/>
  <c r="L451" i="2"/>
  <c r="M451" i="2" s="1"/>
  <c r="L406" i="3"/>
  <c r="K583" i="5"/>
  <c r="K595" i="5" s="1"/>
  <c r="F640" i="5"/>
  <c r="K521" i="6"/>
  <c r="L521" i="6" s="1"/>
  <c r="N65" i="12"/>
  <c r="F504" i="5"/>
  <c r="D504" i="5" s="1"/>
  <c r="K496" i="8"/>
  <c r="L496" i="8" s="1"/>
  <c r="M496" i="8" s="1"/>
  <c r="H634" i="6"/>
  <c r="H636" i="6" s="1"/>
  <c r="H646" i="6" s="1"/>
  <c r="H647" i="6" s="1"/>
  <c r="J497" i="4"/>
  <c r="D640" i="3"/>
  <c r="D645" i="3" s="1"/>
  <c r="K600" i="2"/>
  <c r="D560" i="5"/>
  <c r="K545" i="9"/>
  <c r="F513" i="9"/>
  <c r="D586" i="3"/>
  <c r="K462" i="4"/>
  <c r="J633" i="1"/>
  <c r="F639" i="9"/>
  <c r="D596" i="9"/>
  <c r="D600" i="9" s="1"/>
  <c r="D601" i="9" s="1"/>
  <c r="D184" i="4"/>
  <c r="D611" i="9"/>
  <c r="H600" i="9"/>
  <c r="H573" i="9"/>
  <c r="D573" i="9"/>
  <c r="H481" i="9"/>
  <c r="K535" i="8"/>
  <c r="L535" i="8" s="1"/>
  <c r="F535" i="8"/>
  <c r="D535" i="8" s="1"/>
  <c r="D598" i="7"/>
  <c r="D600" i="7" s="1"/>
  <c r="H598" i="7"/>
  <c r="H600" i="7" s="1"/>
  <c r="D572" i="7"/>
  <c r="H572" i="7"/>
  <c r="H578" i="7" s="1"/>
  <c r="H456" i="2"/>
  <c r="D456" i="2"/>
  <c r="F376" i="7"/>
  <c r="J376" i="7"/>
  <c r="N86" i="14"/>
  <c r="L427" i="6"/>
  <c r="F153" i="3"/>
  <c r="J153" i="3"/>
  <c r="J154" i="3" s="1"/>
  <c r="F127" i="2"/>
  <c r="I127" i="2"/>
  <c r="L127" i="2" s="1"/>
  <c r="M127" i="2" s="1"/>
  <c r="B130" i="2"/>
  <c r="N338" i="16"/>
  <c r="K91" i="9"/>
  <c r="L91" i="9" s="1"/>
  <c r="F91" i="9"/>
  <c r="D91" i="9" s="1"/>
  <c r="F102" i="8"/>
  <c r="H102" i="8" s="1"/>
  <c r="J102" i="8"/>
  <c r="J109" i="8"/>
  <c r="F109" i="8"/>
  <c r="K109" i="8"/>
  <c r="J102" i="5"/>
  <c r="K102" i="5"/>
  <c r="J106" i="5"/>
  <c r="F106" i="5"/>
  <c r="D106" i="5" s="1"/>
  <c r="K106" i="5"/>
  <c r="K114" i="5"/>
  <c r="J114" i="5" s="1"/>
  <c r="F114" i="5"/>
  <c r="D114" i="5" s="1"/>
  <c r="F112" i="4"/>
  <c r="K112" i="4"/>
  <c r="L112" i="4" s="1"/>
  <c r="K95" i="2"/>
  <c r="J95" i="2" s="1"/>
  <c r="F95" i="2"/>
  <c r="H95" i="2" s="1"/>
  <c r="K114" i="2"/>
  <c r="J114" i="2" s="1"/>
  <c r="F114" i="2"/>
  <c r="D114" i="2" s="1"/>
  <c r="D97" i="7"/>
  <c r="H97" i="7"/>
  <c r="B601" i="7"/>
  <c r="K589" i="7"/>
  <c r="K601" i="7" s="1"/>
  <c r="L456" i="7"/>
  <c r="B626" i="4"/>
  <c r="L600" i="2"/>
  <c r="K589" i="2"/>
  <c r="L584" i="2"/>
  <c r="H154" i="5"/>
  <c r="D154" i="5"/>
  <c r="D144" i="8"/>
  <c r="D145" i="4"/>
  <c r="H145" i="4"/>
  <c r="D128" i="3"/>
  <c r="H128" i="3"/>
  <c r="M152" i="8"/>
  <c r="D152" i="8"/>
  <c r="K102" i="8"/>
  <c r="L102" i="8" s="1"/>
  <c r="K92" i="9"/>
  <c r="J92" i="9"/>
  <c r="L92" i="9" s="1"/>
  <c r="M92" i="9" s="1"/>
  <c r="J97" i="8"/>
  <c r="K97" i="8"/>
  <c r="F102" i="7"/>
  <c r="D102" i="7" s="1"/>
  <c r="J102" i="7"/>
  <c r="J110" i="7"/>
  <c r="K110" i="7"/>
  <c r="K111" i="2"/>
  <c r="L111" i="2" s="1"/>
  <c r="J111" i="2"/>
  <c r="F111" i="2"/>
  <c r="D111" i="2" s="1"/>
  <c r="L294" i="7"/>
  <c r="K647" i="8"/>
  <c r="L647" i="8"/>
  <c r="L498" i="7"/>
  <c r="M498" i="7" s="1"/>
  <c r="L625" i="7"/>
  <c r="I626" i="7"/>
  <c r="K626" i="7"/>
  <c r="L587" i="7"/>
  <c r="M587" i="7" s="1"/>
  <c r="L586" i="7"/>
  <c r="L585" i="7"/>
  <c r="L455" i="7"/>
  <c r="M455" i="7" s="1"/>
  <c r="L494" i="5"/>
  <c r="M494" i="5" s="1"/>
  <c r="L452" i="5"/>
  <c r="M452" i="5" s="1"/>
  <c r="L498" i="4"/>
  <c r="M498" i="4" s="1"/>
  <c r="I625" i="3"/>
  <c r="L615" i="3"/>
  <c r="I600" i="3"/>
  <c r="I578" i="3"/>
  <c r="K626" i="2"/>
  <c r="I626" i="2"/>
  <c r="M586" i="2"/>
  <c r="L565" i="2"/>
  <c r="L499" i="2"/>
  <c r="M499" i="2" s="1"/>
  <c r="L456" i="2"/>
  <c r="M456" i="2" s="1"/>
  <c r="N86" i="15"/>
  <c r="H129" i="6"/>
  <c r="N337" i="13"/>
  <c r="D129" i="5"/>
  <c r="H129" i="5"/>
  <c r="B141" i="5"/>
  <c r="F141" i="5" s="1"/>
  <c r="M141" i="5" s="1"/>
  <c r="N356" i="14"/>
  <c r="D145" i="5"/>
  <c r="H145" i="5"/>
  <c r="B129" i="4"/>
  <c r="B142" i="1" s="1"/>
  <c r="N339" i="15"/>
  <c r="B125" i="3"/>
  <c r="F125" i="3" s="1"/>
  <c r="M125" i="3" s="1"/>
  <c r="N339" i="17"/>
  <c r="K86" i="9"/>
  <c r="J86" i="9"/>
  <c r="J112" i="9"/>
  <c r="F112" i="9"/>
  <c r="K112" i="9"/>
  <c r="K90" i="8"/>
  <c r="J90" i="8"/>
  <c r="J93" i="8"/>
  <c r="F93" i="8"/>
  <c r="K93" i="8"/>
  <c r="K107" i="6"/>
  <c r="F107" i="6"/>
  <c r="D107" i="6" s="1"/>
  <c r="J86" i="5"/>
  <c r="F86" i="5"/>
  <c r="J90" i="5"/>
  <c r="K90" i="5"/>
  <c r="K98" i="5"/>
  <c r="J98" i="5"/>
  <c r="F93" i="4"/>
  <c r="D93" i="4" s="1"/>
  <c r="K93" i="4"/>
  <c r="J93" i="4"/>
  <c r="K98" i="4"/>
  <c r="J98" i="4"/>
  <c r="F98" i="4"/>
  <c r="J110" i="4"/>
  <c r="K110" i="4"/>
  <c r="K106" i="2"/>
  <c r="L106" i="2" s="1"/>
  <c r="J106" i="2"/>
  <c r="K109" i="2"/>
  <c r="J109" i="2"/>
  <c r="H97" i="9"/>
  <c r="D97" i="9"/>
  <c r="F74" i="3"/>
  <c r="K74" i="3"/>
  <c r="J74" i="3" s="1"/>
  <c r="L420" i="5"/>
  <c r="M420" i="5" s="1"/>
  <c r="M481" i="9"/>
  <c r="B647" i="7"/>
  <c r="J647" i="7"/>
  <c r="B626" i="7"/>
  <c r="L600" i="7"/>
  <c r="K579" i="7"/>
  <c r="M566" i="7"/>
  <c r="L453" i="7"/>
  <c r="M453" i="7" s="1"/>
  <c r="B573" i="5"/>
  <c r="J647" i="2"/>
  <c r="B647" i="2"/>
  <c r="L462" i="1"/>
  <c r="M462" i="1" s="1"/>
  <c r="L476" i="1"/>
  <c r="H259" i="2"/>
  <c r="M143" i="5"/>
  <c r="H143" i="5"/>
  <c r="D152" i="7"/>
  <c r="M152" i="7"/>
  <c r="F128" i="8"/>
  <c r="I128" i="8"/>
  <c r="L128" i="8" s="1"/>
  <c r="F127" i="8"/>
  <c r="H127" i="8" s="1"/>
  <c r="I127" i="8"/>
  <c r="D86" i="9"/>
  <c r="H86" i="9"/>
  <c r="J109" i="9"/>
  <c r="K109" i="9"/>
  <c r="F109" i="9"/>
  <c r="F87" i="6"/>
  <c r="J87" i="6"/>
  <c r="I87" i="6"/>
  <c r="K112" i="2"/>
  <c r="F112" i="2"/>
  <c r="M187" i="4"/>
  <c r="M127" i="6"/>
  <c r="D146" i="1"/>
  <c r="L316" i="7"/>
  <c r="M316" i="7" s="1"/>
  <c r="M166" i="6"/>
  <c r="H151" i="1"/>
  <c r="L103" i="6"/>
  <c r="H119" i="1"/>
  <c r="H105" i="1"/>
  <c r="B284" i="5"/>
  <c r="B115" i="5"/>
  <c r="D105" i="1"/>
  <c r="H97" i="8"/>
  <c r="H538" i="9"/>
  <c r="D538" i="9"/>
  <c r="H535" i="8"/>
  <c r="F540" i="3"/>
  <c r="D540" i="3" s="1"/>
  <c r="D541" i="3" s="1"/>
  <c r="F549" i="9"/>
  <c r="H549" i="9" s="1"/>
  <c r="K545" i="6"/>
  <c r="L545" i="6" s="1"/>
  <c r="M545" i="6" s="1"/>
  <c r="F547" i="6"/>
  <c r="J539" i="5"/>
  <c r="F537" i="3"/>
  <c r="F530" i="5"/>
  <c r="F533" i="7"/>
  <c r="D533" i="7" s="1"/>
  <c r="K550" i="8"/>
  <c r="L550" i="8" s="1"/>
  <c r="H545" i="8"/>
  <c r="B541" i="3"/>
  <c r="K546" i="2"/>
  <c r="F534" i="4"/>
  <c r="H534" i="4" s="1"/>
  <c r="J537" i="7"/>
  <c r="J539" i="7" s="1"/>
  <c r="K539" i="5"/>
  <c r="L539" i="5" s="1"/>
  <c r="D550" i="8"/>
  <c r="B55" i="8"/>
  <c r="I55" i="8" s="1"/>
  <c r="B52" i="8"/>
  <c r="J52" i="8" s="1"/>
  <c r="B53" i="8"/>
  <c r="B58" i="1" s="1"/>
  <c r="B46" i="8"/>
  <c r="F46" i="8" s="1"/>
  <c r="H375" i="2"/>
  <c r="D375" i="2"/>
  <c r="D315" i="2"/>
  <c r="H315" i="2"/>
  <c r="I503" i="2"/>
  <c r="H310" i="2"/>
  <c r="D310" i="2"/>
  <c r="J538" i="2"/>
  <c r="J598" i="1" s="1"/>
  <c r="J427" i="2"/>
  <c r="H427" i="2"/>
  <c r="J351" i="2"/>
  <c r="L351" i="2" s="1"/>
  <c r="K207" i="2"/>
  <c r="L207" i="2" s="1"/>
  <c r="K276" i="2"/>
  <c r="L276" i="2" s="1"/>
  <c r="J502" i="2"/>
  <c r="J503" i="2" s="1"/>
  <c r="J508" i="2"/>
  <c r="L508" i="2" s="1"/>
  <c r="K538" i="2"/>
  <c r="K534" i="2"/>
  <c r="F108" i="2"/>
  <c r="J110" i="2"/>
  <c r="L110" i="2" s="1"/>
  <c r="M110" i="2" s="1"/>
  <c r="K108" i="2"/>
  <c r="L108" i="2" s="1"/>
  <c r="F476" i="2"/>
  <c r="D476" i="2" s="1"/>
  <c r="H212" i="2"/>
  <c r="L279" i="2"/>
  <c r="M279" i="2" s="1"/>
  <c r="K493" i="2"/>
  <c r="D349" i="2"/>
  <c r="J270" i="2"/>
  <c r="L270" i="2" s="1"/>
  <c r="M270" i="2" s="1"/>
  <c r="H193" i="2"/>
  <c r="H428" i="2"/>
  <c r="D274" i="2"/>
  <c r="F300" i="2"/>
  <c r="H300" i="2" s="1"/>
  <c r="J476" i="2"/>
  <c r="L476" i="2" s="1"/>
  <c r="H451" i="2"/>
  <c r="D167" i="2"/>
  <c r="H467" i="2"/>
  <c r="D318" i="2"/>
  <c r="M238" i="2"/>
  <c r="J267" i="2"/>
  <c r="L255" i="2"/>
  <c r="M255" i="2" s="1"/>
  <c r="B345" i="1"/>
  <c r="J345" i="1" s="1"/>
  <c r="F497" i="2"/>
  <c r="L352" i="2"/>
  <c r="J493" i="2"/>
  <c r="L493" i="2" s="1"/>
  <c r="F502" i="2"/>
  <c r="H502" i="2" s="1"/>
  <c r="H503" i="2" s="1"/>
  <c r="J297" i="2"/>
  <c r="L297" i="2" s="1"/>
  <c r="D520" i="2"/>
  <c r="F250" i="2"/>
  <c r="F538" i="2"/>
  <c r="L295" i="2"/>
  <c r="F207" i="2"/>
  <c r="D207" i="2" s="1"/>
  <c r="F276" i="2"/>
  <c r="F351" i="2"/>
  <c r="H351" i="2" s="1"/>
  <c r="K427" i="2"/>
  <c r="K267" i="2"/>
  <c r="J310" i="2"/>
  <c r="K502" i="2"/>
  <c r="K503" i="2" s="1"/>
  <c r="F223" i="2"/>
  <c r="D223" i="2" s="1"/>
  <c r="F360" i="2"/>
  <c r="D360" i="2" s="1"/>
  <c r="M361" i="2"/>
  <c r="F106" i="2"/>
  <c r="D106" i="2" s="1"/>
  <c r="J112" i="2"/>
  <c r="F355" i="2"/>
  <c r="M274" i="2"/>
  <c r="J430" i="2"/>
  <c r="L430" i="2" s="1"/>
  <c r="J497" i="2"/>
  <c r="L497" i="2" s="1"/>
  <c r="I250" i="2"/>
  <c r="L250" i="2" s="1"/>
  <c r="F270" i="2"/>
  <c r="H545" i="2"/>
  <c r="H453" i="2"/>
  <c r="J223" i="2"/>
  <c r="L223" i="2" s="1"/>
  <c r="F430" i="2"/>
  <c r="B503" i="2"/>
  <c r="F297" i="2"/>
  <c r="K310" i="2"/>
  <c r="L206" i="2"/>
  <c r="M206" i="2" s="1"/>
  <c r="F321" i="2"/>
  <c r="H321" i="2" s="1"/>
  <c r="H105" i="2"/>
  <c r="H111" i="2"/>
  <c r="K93" i="2"/>
  <c r="L589" i="2"/>
  <c r="M588" i="2"/>
  <c r="H588" i="2"/>
  <c r="F589" i="2"/>
  <c r="M575" i="2"/>
  <c r="L636" i="1"/>
  <c r="M636" i="1" s="1"/>
  <c r="H394" i="2"/>
  <c r="D394" i="2"/>
  <c r="H273" i="2"/>
  <c r="D273" i="2"/>
  <c r="H518" i="2"/>
  <c r="D518" i="2"/>
  <c r="D589" i="2"/>
  <c r="D481" i="2"/>
  <c r="B303" i="2"/>
  <c r="L656" i="1"/>
  <c r="M656" i="1" s="1"/>
  <c r="H509" i="2"/>
  <c r="H320" i="2"/>
  <c r="M591" i="2"/>
  <c r="F209" i="1"/>
  <c r="H191" i="2"/>
  <c r="H210" i="1" s="1"/>
  <c r="I251" i="2"/>
  <c r="H632" i="2"/>
  <c r="H636" i="2" s="1"/>
  <c r="K579" i="2"/>
  <c r="D573" i="2"/>
  <c r="D578" i="2" s="1"/>
  <c r="J589" i="2"/>
  <c r="J601" i="2" s="1"/>
  <c r="F317" i="2"/>
  <c r="J509" i="2"/>
  <c r="L509" i="2" s="1"/>
  <c r="M509" i="2" s="1"/>
  <c r="K536" i="2"/>
  <c r="F422" i="2"/>
  <c r="L263" i="2"/>
  <c r="M263" i="2" s="1"/>
  <c r="K520" i="2"/>
  <c r="F505" i="2"/>
  <c r="D181" i="2"/>
  <c r="J425" i="2"/>
  <c r="F275" i="2"/>
  <c r="M275" i="2" s="1"/>
  <c r="I410" i="2"/>
  <c r="I414" i="2" s="1"/>
  <c r="F452" i="2"/>
  <c r="F457" i="2" s="1"/>
  <c r="F356" i="2"/>
  <c r="L208" i="2"/>
  <c r="M208" i="2" s="1"/>
  <c r="K394" i="2"/>
  <c r="J373" i="2"/>
  <c r="L373" i="2" s="1"/>
  <c r="M373" i="2" s="1"/>
  <c r="J266" i="2"/>
  <c r="L266" i="2" s="1"/>
  <c r="M266" i="2" s="1"/>
  <c r="D564" i="2"/>
  <c r="L569" i="2"/>
  <c r="M302" i="2"/>
  <c r="I296" i="2"/>
  <c r="L296" i="2" s="1"/>
  <c r="M296" i="2" s="1"/>
  <c r="H638" i="2"/>
  <c r="H639" i="2" s="1"/>
  <c r="M390" i="2"/>
  <c r="F544" i="2"/>
  <c r="L201" i="1"/>
  <c r="I219" i="2"/>
  <c r="D149" i="2"/>
  <c r="K89" i="2"/>
  <c r="L356" i="2"/>
  <c r="H231" i="2"/>
  <c r="I495" i="2"/>
  <c r="L358" i="2"/>
  <c r="F251" i="2"/>
  <c r="K646" i="1"/>
  <c r="D361" i="2"/>
  <c r="J520" i="2"/>
  <c r="K434" i="2"/>
  <c r="L434" i="2" s="1"/>
  <c r="M186" i="2"/>
  <c r="J536" i="2"/>
  <c r="J596" i="1" s="1"/>
  <c r="H390" i="2"/>
  <c r="K425" i="2"/>
  <c r="D638" i="2"/>
  <c r="D639" i="2" s="1"/>
  <c r="K311" i="2"/>
  <c r="F410" i="2"/>
  <c r="K338" i="2"/>
  <c r="L338" i="2" s="1"/>
  <c r="F338" i="2"/>
  <c r="L210" i="2"/>
  <c r="M210" i="2" s="1"/>
  <c r="J394" i="2"/>
  <c r="D373" i="2"/>
  <c r="J567" i="2"/>
  <c r="J579" i="2" s="1"/>
  <c r="H311" i="2"/>
  <c r="D600" i="2"/>
  <c r="D601" i="2" s="1"/>
  <c r="H642" i="2"/>
  <c r="D302" i="2"/>
  <c r="F345" i="2"/>
  <c r="D624" i="2"/>
  <c r="D625" i="2" s="1"/>
  <c r="L704" i="1"/>
  <c r="M704" i="1" s="1"/>
  <c r="B354" i="1"/>
  <c r="F354" i="1" s="1"/>
  <c r="H354" i="1" s="1"/>
  <c r="H145" i="2"/>
  <c r="J156" i="2"/>
  <c r="L422" i="2"/>
  <c r="B439" i="2"/>
  <c r="H278" i="2"/>
  <c r="B482" i="2"/>
  <c r="M278" i="2"/>
  <c r="H536" i="2"/>
  <c r="D511" i="2"/>
  <c r="F495" i="2"/>
  <c r="H269" i="2"/>
  <c r="I168" i="2"/>
  <c r="L168" i="2" s="1"/>
  <c r="M168" i="2" s="1"/>
  <c r="J251" i="2"/>
  <c r="F512" i="2"/>
  <c r="D682" i="1"/>
  <c r="M676" i="1"/>
  <c r="D171" i="2"/>
  <c r="K319" i="2"/>
  <c r="L319" i="2" s="1"/>
  <c r="J311" i="2"/>
  <c r="F296" i="2"/>
  <c r="D296" i="2" s="1"/>
  <c r="H575" i="2"/>
  <c r="K410" i="2"/>
  <c r="B347" i="2"/>
  <c r="K345" i="2"/>
  <c r="B601" i="2"/>
  <c r="L206" i="1"/>
  <c r="D119" i="1"/>
  <c r="H469" i="2"/>
  <c r="D469" i="2"/>
  <c r="H208" i="2"/>
  <c r="D208" i="2"/>
  <c r="I542" i="2"/>
  <c r="L541" i="2"/>
  <c r="L542" i="2" s="1"/>
  <c r="H298" i="2"/>
  <c r="D298" i="2"/>
  <c r="D226" i="2"/>
  <c r="M226" i="2"/>
  <c r="M184" i="2"/>
  <c r="D184" i="2"/>
  <c r="M182" i="2"/>
  <c r="D182" i="2"/>
  <c r="H182" i="2"/>
  <c r="K87" i="2"/>
  <c r="F87" i="2"/>
  <c r="I87" i="2"/>
  <c r="B99" i="2"/>
  <c r="F101" i="2"/>
  <c r="H101" i="2" s="1"/>
  <c r="B115" i="2"/>
  <c r="K101" i="2"/>
  <c r="L101" i="2" s="1"/>
  <c r="M101" i="2" s="1"/>
  <c r="J104" i="2"/>
  <c r="F104" i="2"/>
  <c r="D416" i="2"/>
  <c r="D417" i="2" s="1"/>
  <c r="I305" i="2"/>
  <c r="K450" i="2"/>
  <c r="M273" i="2"/>
  <c r="M232" i="2"/>
  <c r="B500" i="2"/>
  <c r="B178" i="2"/>
  <c r="B195" i="2" s="1"/>
  <c r="H187" i="2"/>
  <c r="H184" i="2"/>
  <c r="M169" i="2"/>
  <c r="K416" i="2"/>
  <c r="K417" i="2" s="1"/>
  <c r="I416" i="2"/>
  <c r="I417" i="2" s="1"/>
  <c r="B417" i="2"/>
  <c r="K453" i="2"/>
  <c r="I453" i="2"/>
  <c r="F521" i="2"/>
  <c r="K521" i="2"/>
  <c r="L521" i="2" s="1"/>
  <c r="J513" i="2"/>
  <c r="L513" i="2" s="1"/>
  <c r="F513" i="2"/>
  <c r="H513" i="2" s="1"/>
  <c r="J537" i="2"/>
  <c r="I537" i="2"/>
  <c r="I597" i="1" s="1"/>
  <c r="F221" i="2"/>
  <c r="D221" i="2" s="1"/>
  <c r="K221" i="2"/>
  <c r="J221" i="2"/>
  <c r="F230" i="2"/>
  <c r="J230" i="2"/>
  <c r="L230" i="2" s="1"/>
  <c r="D228" i="2"/>
  <c r="M228" i="2"/>
  <c r="H228" i="2"/>
  <c r="H148" i="2"/>
  <c r="D148" i="2"/>
  <c r="L91" i="2"/>
  <c r="J472" i="2"/>
  <c r="K472" i="2"/>
  <c r="J469" i="2"/>
  <c r="K469" i="2"/>
  <c r="F466" i="2"/>
  <c r="K466" i="2"/>
  <c r="J466" i="2"/>
  <c r="I253" i="2"/>
  <c r="F253" i="2"/>
  <c r="H253" i="2" s="1"/>
  <c r="J253" i="2"/>
  <c r="L253" i="2" s="1"/>
  <c r="H271" i="2"/>
  <c r="D271" i="2"/>
  <c r="F277" i="2"/>
  <c r="H277" i="2" s="1"/>
  <c r="J277" i="2"/>
  <c r="K277" i="2"/>
  <c r="D313" i="2"/>
  <c r="H313" i="2"/>
  <c r="J514" i="2"/>
  <c r="F514" i="2"/>
  <c r="K514" i="2"/>
  <c r="D305" i="2"/>
  <c r="K305" i="2"/>
  <c r="K307" i="2" s="1"/>
  <c r="J495" i="2"/>
  <c r="M298" i="2"/>
  <c r="H392" i="2"/>
  <c r="K517" i="2"/>
  <c r="J517" i="2"/>
  <c r="F517" i="2"/>
  <c r="H169" i="2"/>
  <c r="B307" i="2"/>
  <c r="L349" i="2"/>
  <c r="H232" i="2"/>
  <c r="D506" i="2"/>
  <c r="B194" i="2"/>
  <c r="J478" i="2"/>
  <c r="L478" i="2" s="1"/>
  <c r="M478" i="2" s="1"/>
  <c r="D478" i="2"/>
  <c r="D434" i="2"/>
  <c r="H434" i="2"/>
  <c r="F472" i="2"/>
  <c r="D254" i="2"/>
  <c r="H254" i="2"/>
  <c r="D229" i="2"/>
  <c r="M229" i="2"/>
  <c r="H226" i="2"/>
  <c r="J423" i="2"/>
  <c r="L423" i="2" s="1"/>
  <c r="F423" i="2"/>
  <c r="H423" i="2" s="1"/>
  <c r="H426" i="2"/>
  <c r="D426" i="2"/>
  <c r="L429" i="2"/>
  <c r="K435" i="2"/>
  <c r="L435" i="2" s="1"/>
  <c r="F435" i="2"/>
  <c r="J438" i="2"/>
  <c r="L438" i="2" s="1"/>
  <c r="F438" i="2"/>
  <c r="F374" i="2"/>
  <c r="H374" i="2" s="1"/>
  <c r="K374" i="2"/>
  <c r="K380" i="2" s="1"/>
  <c r="B380" i="2"/>
  <c r="J391" i="2"/>
  <c r="F391" i="2"/>
  <c r="H391" i="2" s="1"/>
  <c r="D339" i="2"/>
  <c r="H339" i="2"/>
  <c r="D354" i="2"/>
  <c r="M354" i="2"/>
  <c r="I346" i="2"/>
  <c r="J346" i="2"/>
  <c r="F346" i="2"/>
  <c r="H346" i="2" s="1"/>
  <c r="K346" i="2"/>
  <c r="J309" i="2"/>
  <c r="K309" i="2"/>
  <c r="K324" i="2"/>
  <c r="L324" i="2" s="1"/>
  <c r="F324" i="2"/>
  <c r="K313" i="2"/>
  <c r="J313" i="2"/>
  <c r="J101" i="2"/>
  <c r="B215" i="2"/>
  <c r="L480" i="2"/>
  <c r="M480" i="2" s="1"/>
  <c r="L193" i="2"/>
  <c r="F459" i="2"/>
  <c r="F477" i="2"/>
  <c r="K459" i="2"/>
  <c r="K460" i="2" s="1"/>
  <c r="K452" i="2"/>
  <c r="L452" i="2" s="1"/>
  <c r="L269" i="2"/>
  <c r="M269" i="2" s="1"/>
  <c r="L227" i="2"/>
  <c r="M227" i="2" s="1"/>
  <c r="B460" i="2"/>
  <c r="F494" i="2"/>
  <c r="M341" i="2"/>
  <c r="F107" i="2"/>
  <c r="J107" i="2"/>
  <c r="L107" i="2" s="1"/>
  <c r="F102" i="2"/>
  <c r="H102" i="2" s="1"/>
  <c r="J459" i="2"/>
  <c r="J460" i="2" s="1"/>
  <c r="F91" i="2"/>
  <c r="D91" i="2" s="1"/>
  <c r="F109" i="2"/>
  <c r="K102" i="2"/>
  <c r="L102" i="2" s="1"/>
  <c r="D509" i="3"/>
  <c r="H509" i="3"/>
  <c r="H165" i="3"/>
  <c r="M165" i="3"/>
  <c r="H229" i="3"/>
  <c r="F252" i="3"/>
  <c r="F432" i="3"/>
  <c r="D432" i="3" s="1"/>
  <c r="H225" i="3"/>
  <c r="D309" i="3"/>
  <c r="H184" i="3"/>
  <c r="I205" i="3"/>
  <c r="I214" i="3" s="1"/>
  <c r="H175" i="3"/>
  <c r="H195" i="1" s="1"/>
  <c r="J509" i="3"/>
  <c r="F462" i="3"/>
  <c r="D462" i="3" s="1"/>
  <c r="I382" i="3"/>
  <c r="L308" i="3"/>
  <c r="M308" i="3" s="1"/>
  <c r="F510" i="3"/>
  <c r="J228" i="3"/>
  <c r="J465" i="3"/>
  <c r="F468" i="3"/>
  <c r="D468" i="3" s="1"/>
  <c r="D426" i="3"/>
  <c r="F535" i="3"/>
  <c r="D535" i="3" s="1"/>
  <c r="J317" i="3"/>
  <c r="L317" i="3" s="1"/>
  <c r="H130" i="3"/>
  <c r="J252" i="3"/>
  <c r="L252" i="3" s="1"/>
  <c r="H505" i="3"/>
  <c r="K432" i="3"/>
  <c r="L432" i="3" s="1"/>
  <c r="D269" i="3"/>
  <c r="M211" i="3"/>
  <c r="D313" i="3"/>
  <c r="M184" i="3"/>
  <c r="K205" i="3"/>
  <c r="K278" i="3"/>
  <c r="L278" i="3" s="1"/>
  <c r="K509" i="3"/>
  <c r="F277" i="3"/>
  <c r="H277" i="3" s="1"/>
  <c r="J519" i="3"/>
  <c r="L519" i="3" s="1"/>
  <c r="K382" i="3"/>
  <c r="K383" i="3" s="1"/>
  <c r="J429" i="3"/>
  <c r="L429" i="3" s="1"/>
  <c r="J408" i="3"/>
  <c r="K228" i="3"/>
  <c r="L273" i="3"/>
  <c r="M273" i="3" s="1"/>
  <c r="K171" i="3"/>
  <c r="J468" i="3"/>
  <c r="L468" i="3" s="1"/>
  <c r="F386" i="3"/>
  <c r="D386" i="3" s="1"/>
  <c r="J386" i="3"/>
  <c r="L386" i="3" s="1"/>
  <c r="J389" i="3"/>
  <c r="L389" i="3" s="1"/>
  <c r="F549" i="3"/>
  <c r="I540" i="3"/>
  <c r="I541" i="3" s="1"/>
  <c r="I552" i="3" s="1"/>
  <c r="K540" i="3"/>
  <c r="K541" i="3" s="1"/>
  <c r="B479" i="1"/>
  <c r="F479" i="1" s="1"/>
  <c r="H479" i="1" s="1"/>
  <c r="H472" i="3"/>
  <c r="B383" i="3"/>
  <c r="F429" i="3"/>
  <c r="F314" i="3"/>
  <c r="D314" i="3" s="1"/>
  <c r="F408" i="3"/>
  <c r="H408" i="3" s="1"/>
  <c r="J545" i="3"/>
  <c r="J420" i="3"/>
  <c r="K338" i="3"/>
  <c r="L338" i="3" s="1"/>
  <c r="M338" i="3" s="1"/>
  <c r="K461" i="3"/>
  <c r="L461" i="3" s="1"/>
  <c r="F317" i="3"/>
  <c r="K426" i="3"/>
  <c r="F195" i="1"/>
  <c r="H141" i="3"/>
  <c r="I262" i="4"/>
  <c r="H279" i="4"/>
  <c r="D279" i="4"/>
  <c r="D478" i="4"/>
  <c r="H478" i="4"/>
  <c r="L434" i="4"/>
  <c r="H277" i="4"/>
  <c r="D506" i="4"/>
  <c r="I500" i="4"/>
  <c r="H376" i="4"/>
  <c r="D376" i="4"/>
  <c r="H256" i="4"/>
  <c r="D256" i="4"/>
  <c r="L496" i="4"/>
  <c r="H229" i="4"/>
  <c r="D229" i="4"/>
  <c r="D209" i="4"/>
  <c r="H209" i="4"/>
  <c r="D188" i="4"/>
  <c r="H188" i="4"/>
  <c r="K495" i="4"/>
  <c r="J495" i="4"/>
  <c r="J537" i="4"/>
  <c r="J539" i="4" s="1"/>
  <c r="K537" i="4"/>
  <c r="F514" i="4"/>
  <c r="D514" i="4" s="1"/>
  <c r="J514" i="4"/>
  <c r="L514" i="4" s="1"/>
  <c r="F408" i="4"/>
  <c r="D408" i="4" s="1"/>
  <c r="J408" i="4"/>
  <c r="L408" i="4" s="1"/>
  <c r="J411" i="4"/>
  <c r="L411" i="4" s="1"/>
  <c r="F411" i="4"/>
  <c r="D411" i="4" s="1"/>
  <c r="F419" i="4"/>
  <c r="D419" i="4" s="1"/>
  <c r="J419" i="4"/>
  <c r="K433" i="4"/>
  <c r="L433" i="4" s="1"/>
  <c r="F433" i="4"/>
  <c r="F394" i="4"/>
  <c r="J394" i="4"/>
  <c r="K394" i="4"/>
  <c r="K352" i="4"/>
  <c r="J352" i="4"/>
  <c r="F347" i="4"/>
  <c r="J347" i="4"/>
  <c r="J348" i="4" s="1"/>
  <c r="I347" i="4"/>
  <c r="J296" i="4"/>
  <c r="K296" i="4"/>
  <c r="B305" i="4"/>
  <c r="J300" i="4"/>
  <c r="L300" i="4" s="1"/>
  <c r="M300" i="4" s="1"/>
  <c r="B333" i="1"/>
  <c r="F300" i="4"/>
  <c r="K302" i="4"/>
  <c r="K305" i="4" s="1"/>
  <c r="F302" i="4"/>
  <c r="B285" i="4"/>
  <c r="J271" i="4"/>
  <c r="L271" i="4" s="1"/>
  <c r="M271" i="4" s="1"/>
  <c r="J274" i="4"/>
  <c r="L274" i="4" s="1"/>
  <c r="F274" i="4"/>
  <c r="F285" i="4" s="1"/>
  <c r="B301" i="1"/>
  <c r="F301" i="1" s="1"/>
  <c r="H301" i="1" s="1"/>
  <c r="K276" i="4"/>
  <c r="K285" i="4" s="1"/>
  <c r="J276" i="4"/>
  <c r="L276" i="4" s="1"/>
  <c r="M276" i="4" s="1"/>
  <c r="J209" i="4"/>
  <c r="K209" i="4"/>
  <c r="B231" i="1"/>
  <c r="I231" i="1" s="1"/>
  <c r="F224" i="4"/>
  <c r="K224" i="4"/>
  <c r="K241" i="4" s="1"/>
  <c r="F91" i="4"/>
  <c r="J91" i="4"/>
  <c r="L91" i="4" s="1"/>
  <c r="J104" i="4"/>
  <c r="L104" i="4" s="1"/>
  <c r="F104" i="4"/>
  <c r="K114" i="4"/>
  <c r="J114" i="4" s="1"/>
  <c r="F114" i="4"/>
  <c r="H114" i="4" s="1"/>
  <c r="H427" i="4"/>
  <c r="D427" i="4"/>
  <c r="D537" i="4"/>
  <c r="H537" i="4"/>
  <c r="M311" i="4"/>
  <c r="K481" i="4"/>
  <c r="L481" i="4" s="1"/>
  <c r="F481" i="4"/>
  <c r="D46" i="4"/>
  <c r="H46" i="4"/>
  <c r="D232" i="4"/>
  <c r="M279" i="4"/>
  <c r="L437" i="4"/>
  <c r="M437" i="4" s="1"/>
  <c r="F183" i="4"/>
  <c r="B195" i="4"/>
  <c r="D435" i="4"/>
  <c r="D208" i="4"/>
  <c r="H208" i="4"/>
  <c r="F471" i="4"/>
  <c r="D471" i="4" s="1"/>
  <c r="I453" i="4"/>
  <c r="I457" i="4" s="1"/>
  <c r="J476" i="4"/>
  <c r="K476" i="4"/>
  <c r="B530" i="1"/>
  <c r="F530" i="1" s="1"/>
  <c r="D530" i="1" s="1"/>
  <c r="K471" i="4"/>
  <c r="L471" i="4" s="1"/>
  <c r="J462" i="4"/>
  <c r="L462" i="4" s="1"/>
  <c r="L454" i="4"/>
  <c r="K518" i="4"/>
  <c r="J518" i="4"/>
  <c r="K513" i="4"/>
  <c r="L513" i="4" s="1"/>
  <c r="F513" i="4"/>
  <c r="J509" i="4"/>
  <c r="L509" i="4" s="1"/>
  <c r="F509" i="4"/>
  <c r="F541" i="4"/>
  <c r="H541" i="4" s="1"/>
  <c r="H542" i="4" s="1"/>
  <c r="I541" i="4"/>
  <c r="I542" i="4" s="1"/>
  <c r="I553" i="4" s="1"/>
  <c r="F536" i="4"/>
  <c r="H536" i="4" s="1"/>
  <c r="K536" i="4"/>
  <c r="L536" i="4" s="1"/>
  <c r="D143" i="4"/>
  <c r="M143" i="4"/>
  <c r="H143" i="4"/>
  <c r="H89" i="4"/>
  <c r="D89" i="4"/>
  <c r="J241" i="4"/>
  <c r="H533" i="4"/>
  <c r="D311" i="4"/>
  <c r="F253" i="4"/>
  <c r="K253" i="4"/>
  <c r="L253" i="4" s="1"/>
  <c r="L257" i="4"/>
  <c r="M257" i="4" s="1"/>
  <c r="H271" i="4"/>
  <c r="D271" i="4"/>
  <c r="B327" i="4"/>
  <c r="K313" i="4"/>
  <c r="L313" i="4" s="1"/>
  <c r="M313" i="4" s="1"/>
  <c r="B457" i="4"/>
  <c r="K450" i="4"/>
  <c r="F348" i="4"/>
  <c r="H346" i="4"/>
  <c r="F359" i="4"/>
  <c r="K359" i="4"/>
  <c r="J359" i="4"/>
  <c r="M314" i="4"/>
  <c r="D462" i="4"/>
  <c r="H462" i="4"/>
  <c r="D453" i="4"/>
  <c r="H453" i="4"/>
  <c r="K512" i="4"/>
  <c r="F512" i="4"/>
  <c r="J512" i="4"/>
  <c r="J508" i="4"/>
  <c r="L508" i="4" s="1"/>
  <c r="F508" i="4"/>
  <c r="K196" i="4"/>
  <c r="I339" i="4"/>
  <c r="I344" i="4" s="1"/>
  <c r="K108" i="4"/>
  <c r="L270" i="4"/>
  <c r="M270" i="4" s="1"/>
  <c r="L436" i="4"/>
  <c r="L277" i="4"/>
  <c r="M277" i="4" s="1"/>
  <c r="L254" i="4"/>
  <c r="M254" i="4" s="1"/>
  <c r="H147" i="5"/>
  <c r="D147" i="5"/>
  <c r="J96" i="5"/>
  <c r="K96" i="5"/>
  <c r="F104" i="5"/>
  <c r="K104" i="5"/>
  <c r="L104" i="5" s="1"/>
  <c r="H323" i="5"/>
  <c r="M323" i="5"/>
  <c r="D180" i="5"/>
  <c r="M180" i="5"/>
  <c r="L296" i="5"/>
  <c r="M296" i="5" s="1"/>
  <c r="J421" i="5"/>
  <c r="L421" i="5" s="1"/>
  <c r="F421" i="5"/>
  <c r="D353" i="5"/>
  <c r="H432" i="5"/>
  <c r="J460" i="5"/>
  <c r="F460" i="5"/>
  <c r="H460" i="5" s="1"/>
  <c r="K460" i="5"/>
  <c r="L460" i="5" s="1"/>
  <c r="J517" i="5"/>
  <c r="K517" i="5"/>
  <c r="F517" i="5"/>
  <c r="D517" i="5" s="1"/>
  <c r="K508" i="5"/>
  <c r="J508" i="5"/>
  <c r="J505" i="5"/>
  <c r="F505" i="5"/>
  <c r="H374" i="5"/>
  <c r="B518" i="5"/>
  <c r="F513" i="5"/>
  <c r="K514" i="5"/>
  <c r="K518" i="5" s="1"/>
  <c r="F473" i="5"/>
  <c r="K473" i="5"/>
  <c r="J473" i="5"/>
  <c r="L473" i="5" s="1"/>
  <c r="F469" i="5"/>
  <c r="K469" i="5"/>
  <c r="J469" i="5"/>
  <c r="I96" i="5"/>
  <c r="D88" i="5"/>
  <c r="H88" i="5"/>
  <c r="H181" i="5"/>
  <c r="M181" i="5"/>
  <c r="D181" i="5"/>
  <c r="H461" i="5"/>
  <c r="F407" i="5"/>
  <c r="J407" i="5"/>
  <c r="F418" i="5"/>
  <c r="D418" i="5" s="1"/>
  <c r="J418" i="5"/>
  <c r="H447" i="5"/>
  <c r="B496" i="5"/>
  <c r="D491" i="5"/>
  <c r="I407" i="5"/>
  <c r="L513" i="5"/>
  <c r="D323" i="5"/>
  <c r="H318" i="5"/>
  <c r="D515" i="5"/>
  <c r="H450" i="5"/>
  <c r="H180" i="5"/>
  <c r="H222" i="5"/>
  <c r="D501" i="5"/>
  <c r="H514" i="5"/>
  <c r="D228" i="5"/>
  <c r="B412" i="5"/>
  <c r="K418" i="5"/>
  <c r="H337" i="5"/>
  <c r="K466" i="5"/>
  <c r="L466" i="5" s="1"/>
  <c r="D493" i="5"/>
  <c r="F508" i="5"/>
  <c r="L489" i="5"/>
  <c r="M489" i="5" s="1"/>
  <c r="J514" i="5"/>
  <c r="F414" i="5"/>
  <c r="B415" i="5"/>
  <c r="L476" i="5"/>
  <c r="M476" i="5" s="1"/>
  <c r="K544" i="5"/>
  <c r="J544" i="5"/>
  <c r="F529" i="5"/>
  <c r="H529" i="5" s="1"/>
  <c r="K529" i="5"/>
  <c r="L529" i="5" s="1"/>
  <c r="I374" i="5"/>
  <c r="I379" i="5" s="1"/>
  <c r="J374" i="5"/>
  <c r="J392" i="5"/>
  <c r="F392" i="5"/>
  <c r="J338" i="5"/>
  <c r="J343" i="5" s="1"/>
  <c r="F338" i="5"/>
  <c r="I295" i="5"/>
  <c r="I303" i="5" s="1"/>
  <c r="K295" i="5"/>
  <c r="F295" i="5"/>
  <c r="J297" i="5"/>
  <c r="L297" i="5" s="1"/>
  <c r="M297" i="5" s="1"/>
  <c r="B332" i="1"/>
  <c r="J332" i="1" s="1"/>
  <c r="J205" i="5"/>
  <c r="F205" i="5"/>
  <c r="M221" i="5"/>
  <c r="D221" i="5"/>
  <c r="F225" i="5"/>
  <c r="J225" i="5"/>
  <c r="L225" i="5" s="1"/>
  <c r="F187" i="5"/>
  <c r="B206" i="1"/>
  <c r="H186" i="5"/>
  <c r="M186" i="5"/>
  <c r="D186" i="5"/>
  <c r="L92" i="5"/>
  <c r="M92" i="5" s="1"/>
  <c r="H310" i="5"/>
  <c r="F412" i="5"/>
  <c r="H305" i="5"/>
  <c r="D405" i="5"/>
  <c r="B454" i="5"/>
  <c r="L353" i="5"/>
  <c r="K509" i="5"/>
  <c r="F541" i="5"/>
  <c r="D541" i="5" s="1"/>
  <c r="B558" i="1"/>
  <c r="H420" i="5"/>
  <c r="I347" i="5"/>
  <c r="L425" i="5"/>
  <c r="B577" i="1"/>
  <c r="J577" i="1" s="1"/>
  <c r="F509" i="5"/>
  <c r="D141" i="5"/>
  <c r="J108" i="5"/>
  <c r="L108" i="5" s="1"/>
  <c r="M108" i="5" s="1"/>
  <c r="F102" i="5"/>
  <c r="H102" i="5" s="1"/>
  <c r="K86" i="5"/>
  <c r="L86" i="5" s="1"/>
  <c r="I417" i="6"/>
  <c r="M135" i="6"/>
  <c r="D135" i="6"/>
  <c r="H135" i="6"/>
  <c r="J468" i="6"/>
  <c r="K468" i="6"/>
  <c r="K420" i="6"/>
  <c r="J423" i="6"/>
  <c r="K423" i="6"/>
  <c r="M378" i="6"/>
  <c r="H378" i="6"/>
  <c r="D300" i="6"/>
  <c r="M300" i="6"/>
  <c r="J251" i="6"/>
  <c r="K251" i="6"/>
  <c r="K260" i="6" s="1"/>
  <c r="B280" i="1"/>
  <c r="F253" i="6"/>
  <c r="F260" i="6" s="1"/>
  <c r="J253" i="6"/>
  <c r="L253" i="6" s="1"/>
  <c r="F262" i="6"/>
  <c r="D262" i="6" s="1"/>
  <c r="D264" i="6" s="1"/>
  <c r="K262" i="6"/>
  <c r="K264" i="6" s="1"/>
  <c r="F268" i="6"/>
  <c r="J268" i="6"/>
  <c r="K273" i="6"/>
  <c r="L273" i="6" s="1"/>
  <c r="F273" i="6"/>
  <c r="B236" i="1"/>
  <c r="K236" i="1" s="1"/>
  <c r="L236" i="1" s="1"/>
  <c r="F212" i="6"/>
  <c r="K92" i="6"/>
  <c r="L92" i="6" s="1"/>
  <c r="M92" i="6" s="1"/>
  <c r="J462" i="6"/>
  <c r="L462" i="6" s="1"/>
  <c r="F462" i="6"/>
  <c r="J351" i="6"/>
  <c r="K351" i="6"/>
  <c r="D142" i="6"/>
  <c r="H142" i="6"/>
  <c r="M142" i="6"/>
  <c r="M145" i="6"/>
  <c r="H145" i="6"/>
  <c r="M149" i="6"/>
  <c r="D149" i="6"/>
  <c r="K89" i="6"/>
  <c r="J89" i="6"/>
  <c r="K108" i="6"/>
  <c r="B117" i="1"/>
  <c r="F351" i="6"/>
  <c r="H351" i="6" s="1"/>
  <c r="D386" i="6"/>
  <c r="H386" i="6"/>
  <c r="F229" i="6"/>
  <c r="J229" i="6"/>
  <c r="J497" i="6"/>
  <c r="K497" i="6"/>
  <c r="K455" i="6"/>
  <c r="L455" i="6" s="1"/>
  <c r="M455" i="6" s="1"/>
  <c r="B509" i="1"/>
  <c r="K509" i="1" s="1"/>
  <c r="L509" i="1" s="1"/>
  <c r="M509" i="1" s="1"/>
  <c r="L194" i="6"/>
  <c r="D502" i="6"/>
  <c r="D503" i="6" s="1"/>
  <c r="D154" i="6"/>
  <c r="F155" i="6"/>
  <c r="K155" i="6"/>
  <c r="K156" i="6" s="1"/>
  <c r="D222" i="6"/>
  <c r="H473" i="6"/>
  <c r="I502" i="6"/>
  <c r="I503" i="6" s="1"/>
  <c r="I523" i="6" s="1"/>
  <c r="D435" i="6"/>
  <c r="K229" i="6"/>
  <c r="L232" i="6"/>
  <c r="M232" i="6" s="1"/>
  <c r="M277" i="6"/>
  <c r="D277" i="6"/>
  <c r="D378" i="6"/>
  <c r="J465" i="6"/>
  <c r="J407" i="6"/>
  <c r="J478" i="6"/>
  <c r="L478" i="6" s="1"/>
  <c r="F478" i="6"/>
  <c r="J473" i="6"/>
  <c r="K473" i="6"/>
  <c r="J467" i="6"/>
  <c r="L467" i="6" s="1"/>
  <c r="F467" i="6"/>
  <c r="K454" i="6"/>
  <c r="L454" i="6" s="1"/>
  <c r="F454" i="6"/>
  <c r="K360" i="6"/>
  <c r="L360" i="6" s="1"/>
  <c r="M360" i="6" s="1"/>
  <c r="F360" i="6"/>
  <c r="K312" i="6"/>
  <c r="J312" i="6"/>
  <c r="F312" i="6"/>
  <c r="J86" i="6"/>
  <c r="L86" i="6" s="1"/>
  <c r="K514" i="6"/>
  <c r="F514" i="6"/>
  <c r="M154" i="6"/>
  <c r="J105" i="6"/>
  <c r="K105" i="6"/>
  <c r="K502" i="6"/>
  <c r="K503" i="6" s="1"/>
  <c r="D145" i="6"/>
  <c r="H306" i="6"/>
  <c r="F307" i="6"/>
  <c r="D306" i="6"/>
  <c r="F468" i="6"/>
  <c r="K416" i="6"/>
  <c r="K417" i="6" s="1"/>
  <c r="B417" i="6"/>
  <c r="J416" i="6"/>
  <c r="J417" i="6" s="1"/>
  <c r="F416" i="6"/>
  <c r="D221" i="6"/>
  <c r="M221" i="6"/>
  <c r="F494" i="6"/>
  <c r="H494" i="6" s="1"/>
  <c r="J494" i="6"/>
  <c r="B500" i="6"/>
  <c r="J537" i="6"/>
  <c r="J539" i="6" s="1"/>
  <c r="F537" i="6"/>
  <c r="D537" i="6" s="1"/>
  <c r="J502" i="6"/>
  <c r="J503" i="6" s="1"/>
  <c r="D465" i="6"/>
  <c r="B155" i="6"/>
  <c r="K494" i="6"/>
  <c r="J355" i="1"/>
  <c r="L355" i="1" s="1"/>
  <c r="K465" i="6"/>
  <c r="H336" i="6"/>
  <c r="D336" i="6"/>
  <c r="K550" i="6"/>
  <c r="L550" i="6" s="1"/>
  <c r="M550" i="6" s="1"/>
  <c r="H376" i="6"/>
  <c r="M376" i="6"/>
  <c r="D376" i="6"/>
  <c r="F225" i="6"/>
  <c r="K225" i="6"/>
  <c r="J225" i="6"/>
  <c r="J453" i="6"/>
  <c r="H703" i="1"/>
  <c r="M167" i="6"/>
  <c r="B343" i="6"/>
  <c r="F429" i="6"/>
  <c r="F103" i="6"/>
  <c r="M103" i="6" s="1"/>
  <c r="F95" i="6"/>
  <c r="J519" i="6"/>
  <c r="K347" i="6"/>
  <c r="B194" i="1"/>
  <c r="D129" i="6"/>
  <c r="K98" i="6"/>
  <c r="L98" i="6" s="1"/>
  <c r="M98" i="6" s="1"/>
  <c r="H295" i="7"/>
  <c r="D295" i="7"/>
  <c r="H172" i="7"/>
  <c r="D172" i="7"/>
  <c r="H386" i="7"/>
  <c r="H459" i="7"/>
  <c r="H460" i="7" s="1"/>
  <c r="B460" i="7"/>
  <c r="B178" i="7"/>
  <c r="J252" i="7"/>
  <c r="K430" i="7"/>
  <c r="D271" i="7"/>
  <c r="I260" i="7"/>
  <c r="H430" i="7"/>
  <c r="H672" i="1"/>
  <c r="D463" i="7"/>
  <c r="K518" i="7"/>
  <c r="J207" i="7"/>
  <c r="B439" i="7"/>
  <c r="F460" i="7"/>
  <c r="D419" i="7"/>
  <c r="D167" i="7"/>
  <c r="K459" i="7"/>
  <c r="K460" i="7" s="1"/>
  <c r="B215" i="7"/>
  <c r="K172" i="7"/>
  <c r="K178" i="7" s="1"/>
  <c r="J230" i="7"/>
  <c r="L230" i="7" s="1"/>
  <c r="M271" i="7"/>
  <c r="K252" i="7"/>
  <c r="D281" i="7"/>
  <c r="B283" i="7"/>
  <c r="K511" i="7"/>
  <c r="J353" i="7"/>
  <c r="L353" i="7" s="1"/>
  <c r="J430" i="7"/>
  <c r="K513" i="7"/>
  <c r="L513" i="7" s="1"/>
  <c r="B400" i="1"/>
  <c r="F400" i="1" s="1"/>
  <c r="M400" i="1" s="1"/>
  <c r="M233" i="7"/>
  <c r="D232" i="7"/>
  <c r="J272" i="7"/>
  <c r="L272" i="7" s="1"/>
  <c r="M272" i="7" s="1"/>
  <c r="J338" i="7"/>
  <c r="F338" i="7"/>
  <c r="B468" i="1"/>
  <c r="F468" i="1" s="1"/>
  <c r="H468" i="1" s="1"/>
  <c r="F360" i="7"/>
  <c r="J297" i="7"/>
  <c r="L297" i="7" s="1"/>
  <c r="J436" i="7"/>
  <c r="L436" i="7" s="1"/>
  <c r="K548" i="7"/>
  <c r="L548" i="7" s="1"/>
  <c r="F221" i="7"/>
  <c r="D221" i="7" s="1"/>
  <c r="H233" i="7"/>
  <c r="F263" i="7"/>
  <c r="F324" i="7"/>
  <c r="M324" i="7" s="1"/>
  <c r="F537" i="7"/>
  <c r="J424" i="7"/>
  <c r="H127" i="7"/>
  <c r="K88" i="7"/>
  <c r="L88" i="7" s="1"/>
  <c r="K107" i="7"/>
  <c r="K108" i="7"/>
  <c r="L108" i="7" s="1"/>
  <c r="L221" i="7"/>
  <c r="F373" i="7"/>
  <c r="H227" i="7"/>
  <c r="K463" i="7"/>
  <c r="L463" i="7" s="1"/>
  <c r="K263" i="7"/>
  <c r="L263" i="7" s="1"/>
  <c r="M263" i="7" s="1"/>
  <c r="B482" i="1"/>
  <c r="K482" i="1" s="1"/>
  <c r="H472" i="7"/>
  <c r="D254" i="7"/>
  <c r="H353" i="7"/>
  <c r="B194" i="7"/>
  <c r="H309" i="7"/>
  <c r="K435" i="7"/>
  <c r="H480" i="7"/>
  <c r="H411" i="7"/>
  <c r="D188" i="7"/>
  <c r="H183" i="7"/>
  <c r="F230" i="7"/>
  <c r="F269" i="7"/>
  <c r="D269" i="7" s="1"/>
  <c r="J511" i="7"/>
  <c r="J339" i="7"/>
  <c r="L339" i="7" s="1"/>
  <c r="B414" i="7"/>
  <c r="B388" i="1"/>
  <c r="J388" i="1" s="1"/>
  <c r="K338" i="7"/>
  <c r="K407" i="7"/>
  <c r="J360" i="7"/>
  <c r="L360" i="7" s="1"/>
  <c r="J225" i="7"/>
  <c r="K225" i="7"/>
  <c r="F438" i="7"/>
  <c r="H438" i="7" s="1"/>
  <c r="K424" i="7"/>
  <c r="F252" i="7"/>
  <c r="M135" i="7"/>
  <c r="F86" i="7"/>
  <c r="F88" i="7"/>
  <c r="H88" i="7" s="1"/>
  <c r="F107" i="7"/>
  <c r="H107" i="7" s="1"/>
  <c r="J86" i="7"/>
  <c r="K105" i="7"/>
  <c r="M180" i="7"/>
  <c r="H180" i="7"/>
  <c r="H494" i="7"/>
  <c r="D494" i="7"/>
  <c r="M253" i="7"/>
  <c r="I483" i="7"/>
  <c r="F496" i="7"/>
  <c r="I496" i="7"/>
  <c r="I500" i="7" s="1"/>
  <c r="J496" i="7"/>
  <c r="L636" i="7"/>
  <c r="D279" i="7"/>
  <c r="M279" i="7"/>
  <c r="J250" i="7"/>
  <c r="L476" i="7"/>
  <c r="M473" i="7"/>
  <c r="M275" i="7"/>
  <c r="J589" i="7"/>
  <c r="D453" i="7"/>
  <c r="F471" i="7"/>
  <c r="K471" i="7"/>
  <c r="L578" i="7"/>
  <c r="I579" i="7"/>
  <c r="J267" i="7"/>
  <c r="K267" i="7"/>
  <c r="F270" i="7"/>
  <c r="K270" i="7"/>
  <c r="L270" i="7" s="1"/>
  <c r="D272" i="7"/>
  <c r="H272" i="7"/>
  <c r="H278" i="7"/>
  <c r="D278" i="7"/>
  <c r="M276" i="7"/>
  <c r="H473" i="7"/>
  <c r="L462" i="7"/>
  <c r="L510" i="7"/>
  <c r="F616" i="7"/>
  <c r="H612" i="7"/>
  <c r="L588" i="7"/>
  <c r="M588" i="7" s="1"/>
  <c r="J648" i="1"/>
  <c r="M585" i="7"/>
  <c r="J579" i="7"/>
  <c r="K551" i="7"/>
  <c r="L551" i="7" s="1"/>
  <c r="F551" i="7"/>
  <c r="H170" i="7"/>
  <c r="F189" i="1"/>
  <c r="M189" i="1" s="1"/>
  <c r="M170" i="7"/>
  <c r="D170" i="7"/>
  <c r="L509" i="7"/>
  <c r="F509" i="7"/>
  <c r="H509" i="7" s="1"/>
  <c r="B568" i="1"/>
  <c r="J568" i="1" s="1"/>
  <c r="K494" i="7"/>
  <c r="J494" i="7"/>
  <c r="D623" i="7"/>
  <c r="F625" i="7"/>
  <c r="L616" i="7"/>
  <c r="L672" i="1"/>
  <c r="M672" i="1" s="1"/>
  <c r="D591" i="7"/>
  <c r="D592" i="7" s="1"/>
  <c r="H591" i="7"/>
  <c r="H592" i="7" s="1"/>
  <c r="D585" i="7"/>
  <c r="D589" i="7" s="1"/>
  <c r="H585" i="7"/>
  <c r="H589" i="7" s="1"/>
  <c r="H564" i="7"/>
  <c r="H567" i="7" s="1"/>
  <c r="H579" i="7" s="1"/>
  <c r="D564" i="7"/>
  <c r="D567" i="7" s="1"/>
  <c r="H684" i="1"/>
  <c r="D684" i="1"/>
  <c r="F423" i="7"/>
  <c r="K423" i="7"/>
  <c r="L413" i="7"/>
  <c r="M413" i="7" s="1"/>
  <c r="J227" i="7"/>
  <c r="K227" i="7"/>
  <c r="D234" i="7"/>
  <c r="H234" i="7"/>
  <c r="L86" i="7"/>
  <c r="F358" i="7"/>
  <c r="H358" i="7" s="1"/>
  <c r="K506" i="7"/>
  <c r="L506" i="7" s="1"/>
  <c r="H316" i="7"/>
  <c r="I263" i="7"/>
  <c r="F339" i="7"/>
  <c r="M339" i="7" s="1"/>
  <c r="F428" i="7"/>
  <c r="D428" i="7" s="1"/>
  <c r="B572" i="1"/>
  <c r="L205" i="1"/>
  <c r="K102" i="7"/>
  <c r="F108" i="7"/>
  <c r="J92" i="7"/>
  <c r="L92" i="7" s="1"/>
  <c r="M92" i="7" s="1"/>
  <c r="J105" i="7"/>
  <c r="H46" i="7"/>
  <c r="L205" i="7"/>
  <c r="M205" i="7" s="1"/>
  <c r="L469" i="7"/>
  <c r="H413" i="7"/>
  <c r="I127" i="7"/>
  <c r="L127" i="7" s="1"/>
  <c r="M127" i="7" s="1"/>
  <c r="D105" i="7"/>
  <c r="K87" i="7"/>
  <c r="K479" i="7"/>
  <c r="F479" i="7"/>
  <c r="F517" i="7"/>
  <c r="K517" i="7"/>
  <c r="K507" i="7"/>
  <c r="F507" i="7"/>
  <c r="K534" i="7"/>
  <c r="L534" i="7" s="1"/>
  <c r="F534" i="7"/>
  <c r="H534" i="7" s="1"/>
  <c r="F410" i="7"/>
  <c r="I410" i="7"/>
  <c r="K421" i="7"/>
  <c r="F421" i="7"/>
  <c r="K388" i="7"/>
  <c r="F388" i="7"/>
  <c r="D388" i="7" s="1"/>
  <c r="L97" i="7"/>
  <c r="M97" i="7" s="1"/>
  <c r="J452" i="7"/>
  <c r="H342" i="7"/>
  <c r="B515" i="7"/>
  <c r="H389" i="7"/>
  <c r="H266" i="7"/>
  <c r="I347" i="7"/>
  <c r="J373" i="7"/>
  <c r="F382" i="7"/>
  <c r="H382" i="7" s="1"/>
  <c r="H383" i="7" s="1"/>
  <c r="J410" i="7"/>
  <c r="F538" i="7"/>
  <c r="H538" i="7" s="1"/>
  <c r="J421" i="7"/>
  <c r="J479" i="7"/>
  <c r="J545" i="7"/>
  <c r="J517" i="7"/>
  <c r="K545" i="7"/>
  <c r="D478" i="7"/>
  <c r="H478" i="7"/>
  <c r="K450" i="7"/>
  <c r="F450" i="7"/>
  <c r="J386" i="7"/>
  <c r="K386" i="7"/>
  <c r="D186" i="7"/>
  <c r="H186" i="7"/>
  <c r="H184" i="7"/>
  <c r="D184" i="7"/>
  <c r="K95" i="7"/>
  <c r="J95" i="7" s="1"/>
  <c r="F95" i="7"/>
  <c r="H95" i="7" s="1"/>
  <c r="K103" i="7"/>
  <c r="L103" i="7" s="1"/>
  <c r="J103" i="7"/>
  <c r="B457" i="7"/>
  <c r="F452" i="7"/>
  <c r="F250" i="7"/>
  <c r="D250" i="7" s="1"/>
  <c r="F510" i="7"/>
  <c r="H477" i="7"/>
  <c r="H251" i="7"/>
  <c r="H356" i="7"/>
  <c r="K373" i="7"/>
  <c r="K380" i="7" s="1"/>
  <c r="J382" i="7"/>
  <c r="D358" i="7"/>
  <c r="H297" i="7"/>
  <c r="M297" i="7"/>
  <c r="F518" i="7"/>
  <c r="D518" i="7" s="1"/>
  <c r="F493" i="7"/>
  <c r="H493" i="7" s="1"/>
  <c r="B430" i="1"/>
  <c r="F430" i="1" s="1"/>
  <c r="D430" i="1" s="1"/>
  <c r="L251" i="7"/>
  <c r="M251" i="7" s="1"/>
  <c r="F512" i="7"/>
  <c r="H694" i="1"/>
  <c r="B482" i="7"/>
  <c r="K514" i="7"/>
  <c r="F514" i="7"/>
  <c r="J471" i="7"/>
  <c r="F468" i="7"/>
  <c r="K465" i="7"/>
  <c r="L465" i="7" s="1"/>
  <c r="M655" i="1"/>
  <c r="K477" i="7"/>
  <c r="J477" i="7"/>
  <c r="F425" i="7"/>
  <c r="J425" i="7"/>
  <c r="L425" i="7" s="1"/>
  <c r="J375" i="7"/>
  <c r="L375" i="7" s="1"/>
  <c r="F375" i="7"/>
  <c r="F349" i="7"/>
  <c r="J349" i="7"/>
  <c r="L349" i="7" s="1"/>
  <c r="J295" i="7"/>
  <c r="I295" i="7"/>
  <c r="K295" i="7"/>
  <c r="J266" i="7"/>
  <c r="K266" i="7"/>
  <c r="F273" i="7"/>
  <c r="J273" i="7"/>
  <c r="L273" i="7" s="1"/>
  <c r="J229" i="7"/>
  <c r="K229" i="7"/>
  <c r="M166" i="7"/>
  <c r="D166" i="7"/>
  <c r="H185" i="7"/>
  <c r="M185" i="7"/>
  <c r="M182" i="7"/>
  <c r="H182" i="7"/>
  <c r="K193" i="7"/>
  <c r="F193" i="7"/>
  <c r="D142" i="7"/>
  <c r="D144" i="7"/>
  <c r="M144" i="7"/>
  <c r="H144" i="7"/>
  <c r="D88" i="7"/>
  <c r="B506" i="1"/>
  <c r="J506" i="1" s="1"/>
  <c r="K250" i="7"/>
  <c r="K260" i="7" s="1"/>
  <c r="D422" i="7"/>
  <c r="B432" i="1"/>
  <c r="J432" i="1" s="1"/>
  <c r="B383" i="7"/>
  <c r="J518" i="7"/>
  <c r="D547" i="7"/>
  <c r="D438" i="7"/>
  <c r="L254" i="7"/>
  <c r="M254" i="7" s="1"/>
  <c r="J507" i="7"/>
  <c r="L507" i="7" s="1"/>
  <c r="J512" i="7"/>
  <c r="L512" i="7" s="1"/>
  <c r="F495" i="7"/>
  <c r="J345" i="7"/>
  <c r="J347" i="7" s="1"/>
  <c r="J388" i="7"/>
  <c r="J519" i="7"/>
  <c r="J450" i="7"/>
  <c r="H695" i="1"/>
  <c r="D695" i="1"/>
  <c r="H693" i="1"/>
  <c r="D693" i="1"/>
  <c r="F679" i="1"/>
  <c r="B680" i="1"/>
  <c r="H676" i="1"/>
  <c r="D676" i="1"/>
  <c r="K391" i="7"/>
  <c r="L391" i="7" s="1"/>
  <c r="F391" i="7"/>
  <c r="H391" i="7" s="1"/>
  <c r="J394" i="7"/>
  <c r="K394" i="7"/>
  <c r="K336" i="7"/>
  <c r="J336" i="7"/>
  <c r="F345" i="7"/>
  <c r="J306" i="7"/>
  <c r="F306" i="7"/>
  <c r="D306" i="7" s="1"/>
  <c r="K306" i="7"/>
  <c r="I306" i="7"/>
  <c r="B341" i="1"/>
  <c r="J341" i="1" s="1"/>
  <c r="H321" i="7"/>
  <c r="D321" i="7"/>
  <c r="K312" i="7"/>
  <c r="J312" i="7"/>
  <c r="I206" i="7"/>
  <c r="I215" i="7" s="1"/>
  <c r="I240" i="7" s="1"/>
  <c r="F206" i="7"/>
  <c r="K222" i="7"/>
  <c r="J222" i="7"/>
  <c r="F228" i="7"/>
  <c r="D228" i="7" s="1"/>
  <c r="K228" i="7"/>
  <c r="L228" i="7" s="1"/>
  <c r="H102" i="7"/>
  <c r="J91" i="7"/>
  <c r="L91" i="7" s="1"/>
  <c r="M91" i="7" s="1"/>
  <c r="L356" i="7"/>
  <c r="L274" i="7"/>
  <c r="M274" i="7" s="1"/>
  <c r="K520" i="7"/>
  <c r="L520" i="7" s="1"/>
  <c r="K496" i="7"/>
  <c r="F520" i="7"/>
  <c r="L376" i="7"/>
  <c r="M376" i="7" s="1"/>
  <c r="J478" i="7"/>
  <c r="L478" i="7" s="1"/>
  <c r="B107" i="1"/>
  <c r="M318" i="7"/>
  <c r="L107" i="7"/>
  <c r="D350" i="8"/>
  <c r="H350" i="8"/>
  <c r="J511" i="8"/>
  <c r="K511" i="8"/>
  <c r="F511" i="8"/>
  <c r="F494" i="8"/>
  <c r="B553" i="1"/>
  <c r="F553" i="1" s="1"/>
  <c r="D553" i="1" s="1"/>
  <c r="F547" i="8"/>
  <c r="K547" i="8"/>
  <c r="L547" i="8" s="1"/>
  <c r="K536" i="8"/>
  <c r="L536" i="8" s="1"/>
  <c r="F536" i="8"/>
  <c r="F539" i="8" s="1"/>
  <c r="F409" i="8"/>
  <c r="I409" i="8"/>
  <c r="F422" i="8"/>
  <c r="K422" i="8"/>
  <c r="L422" i="8" s="1"/>
  <c r="F425" i="8"/>
  <c r="J425" i="8"/>
  <c r="L425" i="8" s="1"/>
  <c r="F433" i="8"/>
  <c r="J433" i="8"/>
  <c r="J436" i="8"/>
  <c r="K436" i="8"/>
  <c r="H392" i="8"/>
  <c r="D392" i="8"/>
  <c r="M187" i="8"/>
  <c r="D187" i="8"/>
  <c r="H185" i="8"/>
  <c r="D185" i="8"/>
  <c r="D183" i="8"/>
  <c r="H183" i="8"/>
  <c r="H148" i="8"/>
  <c r="D148" i="8"/>
  <c r="K360" i="8"/>
  <c r="J360" i="8"/>
  <c r="D254" i="8"/>
  <c r="H254" i="8"/>
  <c r="F360" i="8"/>
  <c r="F180" i="8"/>
  <c r="D180" i="8" s="1"/>
  <c r="K167" i="8"/>
  <c r="H378" i="8"/>
  <c r="D497" i="8"/>
  <c r="D174" i="8"/>
  <c r="D423" i="8"/>
  <c r="K494" i="8"/>
  <c r="L494" i="8" s="1"/>
  <c r="F507" i="8"/>
  <c r="K346" i="8"/>
  <c r="M254" i="8"/>
  <c r="M341" i="8"/>
  <c r="H341" i="8"/>
  <c r="L351" i="8"/>
  <c r="L205" i="8"/>
  <c r="M205" i="8" s="1"/>
  <c r="H393" i="8"/>
  <c r="D393" i="8"/>
  <c r="K251" i="8"/>
  <c r="K260" i="8" s="1"/>
  <c r="I251" i="8"/>
  <c r="J251" i="8"/>
  <c r="D191" i="8"/>
  <c r="H191" i="8"/>
  <c r="M191" i="8"/>
  <c r="D141" i="8"/>
  <c r="H141" i="8"/>
  <c r="K91" i="8"/>
  <c r="J91" i="8"/>
  <c r="K114" i="8"/>
  <c r="J114" i="8" s="1"/>
  <c r="F114" i="8"/>
  <c r="M114" i="8" s="1"/>
  <c r="J394" i="8"/>
  <c r="K394" i="8"/>
  <c r="K354" i="8"/>
  <c r="F354" i="8"/>
  <c r="J354" i="8"/>
  <c r="B393" i="1"/>
  <c r="F393" i="1" s="1"/>
  <c r="H393" i="1" s="1"/>
  <c r="H135" i="8"/>
  <c r="D135" i="8"/>
  <c r="D112" i="8"/>
  <c r="H112" i="8"/>
  <c r="D451" i="8"/>
  <c r="D338" i="8"/>
  <c r="D320" i="8"/>
  <c r="L346" i="8"/>
  <c r="M378" i="8"/>
  <c r="F394" i="8"/>
  <c r="K194" i="8"/>
  <c r="F346" i="8"/>
  <c r="D253" i="8"/>
  <c r="H253" i="8"/>
  <c r="H353" i="8"/>
  <c r="D353" i="8"/>
  <c r="D434" i="8"/>
  <c r="L454" i="8"/>
  <c r="M454" i="8" s="1"/>
  <c r="H222" i="8"/>
  <c r="D222" i="8"/>
  <c r="B347" i="8"/>
  <c r="H315" i="8"/>
  <c r="D315" i="8"/>
  <c r="B482" i="8"/>
  <c r="B531" i="1"/>
  <c r="F531" i="1" s="1"/>
  <c r="D531" i="1" s="1"/>
  <c r="J296" i="8"/>
  <c r="I296" i="8"/>
  <c r="I303" i="8" s="1"/>
  <c r="J306" i="8"/>
  <c r="J307" i="8" s="1"/>
  <c r="I306" i="8"/>
  <c r="I307" i="8" s="1"/>
  <c r="F306" i="8"/>
  <c r="B307" i="8"/>
  <c r="F324" i="8"/>
  <c r="K324" i="8"/>
  <c r="L324" i="8" s="1"/>
  <c r="F317" i="8"/>
  <c r="J317" i="8"/>
  <c r="F314" i="8"/>
  <c r="J314" i="8"/>
  <c r="L314" i="8" s="1"/>
  <c r="B349" i="1"/>
  <c r="F349" i="1" s="1"/>
  <c r="D349" i="1" s="1"/>
  <c r="F311" i="8"/>
  <c r="J311" i="8"/>
  <c r="L311" i="8" s="1"/>
  <c r="B325" i="8"/>
  <c r="K262" i="8"/>
  <c r="F262" i="8"/>
  <c r="B264" i="8"/>
  <c r="B284" i="8" s="1"/>
  <c r="I262" i="8"/>
  <c r="I264" i="8" s="1"/>
  <c r="M278" i="8"/>
  <c r="D278" i="8"/>
  <c r="D281" i="8"/>
  <c r="M281" i="8"/>
  <c r="F208" i="8"/>
  <c r="J208" i="8"/>
  <c r="L208" i="8" s="1"/>
  <c r="K221" i="8"/>
  <c r="L221" i="8" s="1"/>
  <c r="F221" i="8"/>
  <c r="D221" i="8" s="1"/>
  <c r="M232" i="8"/>
  <c r="H232" i="8"/>
  <c r="B359" i="1"/>
  <c r="K359" i="1" s="1"/>
  <c r="L359" i="1" s="1"/>
  <c r="L355" i="8"/>
  <c r="L282" i="8"/>
  <c r="M282" i="8" s="1"/>
  <c r="F512" i="8"/>
  <c r="H512" i="8" s="1"/>
  <c r="F468" i="8"/>
  <c r="J468" i="8"/>
  <c r="L468" i="8" s="1"/>
  <c r="B567" i="1"/>
  <c r="J567" i="1" s="1"/>
  <c r="B237" i="1"/>
  <c r="B527" i="1"/>
  <c r="J527" i="1" s="1"/>
  <c r="I708" i="1"/>
  <c r="I628" i="1"/>
  <c r="M250" i="8"/>
  <c r="M222" i="8"/>
  <c r="J264" i="8"/>
  <c r="L171" i="8"/>
  <c r="M171" i="8" s="1"/>
  <c r="B518" i="1"/>
  <c r="K518" i="1" s="1"/>
  <c r="J512" i="8"/>
  <c r="L512" i="8" s="1"/>
  <c r="M315" i="8"/>
  <c r="B508" i="1"/>
  <c r="J508" i="1" s="1"/>
  <c r="K88" i="8"/>
  <c r="L88" i="8" s="1"/>
  <c r="M88" i="8" s="1"/>
  <c r="B152" i="1"/>
  <c r="J101" i="8"/>
  <c r="L101" i="8" s="1"/>
  <c r="J107" i="8"/>
  <c r="L107" i="8" s="1"/>
  <c r="M107" i="8" s="1"/>
  <c r="F104" i="8"/>
  <c r="H46" i="9"/>
  <c r="D53" i="9"/>
  <c r="D300" i="9"/>
  <c r="D376" i="9"/>
  <c r="H376" i="9"/>
  <c r="J511" i="9"/>
  <c r="F511" i="9"/>
  <c r="D511" i="9" s="1"/>
  <c r="K511" i="9"/>
  <c r="K544" i="9"/>
  <c r="F544" i="9"/>
  <c r="D544" i="9" s="1"/>
  <c r="J544" i="9"/>
  <c r="D696" i="1"/>
  <c r="H696" i="1"/>
  <c r="H634" i="1"/>
  <c r="D634" i="1"/>
  <c r="D224" i="9"/>
  <c r="M133" i="9"/>
  <c r="H168" i="9"/>
  <c r="H510" i="9"/>
  <c r="D510" i="9"/>
  <c r="F206" i="9"/>
  <c r="K206" i="9"/>
  <c r="K215" i="9" s="1"/>
  <c r="B215" i="9"/>
  <c r="J206" i="9"/>
  <c r="J97" i="9"/>
  <c r="K97" i="9"/>
  <c r="K103" i="9"/>
  <c r="F103" i="9"/>
  <c r="F106" i="9"/>
  <c r="K106" i="9"/>
  <c r="L106" i="9" s="1"/>
  <c r="J110" i="9"/>
  <c r="B119" i="1"/>
  <c r="K110" i="9"/>
  <c r="H295" i="9"/>
  <c r="I206" i="9"/>
  <c r="F459" i="9"/>
  <c r="B460" i="9"/>
  <c r="D167" i="9"/>
  <c r="H167" i="9"/>
  <c r="H91" i="9"/>
  <c r="F508" i="9"/>
  <c r="J508" i="9"/>
  <c r="F699" i="1"/>
  <c r="B700" i="1"/>
  <c r="H647" i="1"/>
  <c r="D647" i="1"/>
  <c r="H624" i="1"/>
  <c r="D624" i="1"/>
  <c r="I305" i="9"/>
  <c r="I307" i="9" s="1"/>
  <c r="F305" i="9"/>
  <c r="B307" i="9"/>
  <c r="K305" i="9"/>
  <c r="K307" i="9" s="1"/>
  <c r="H300" i="9"/>
  <c r="B344" i="1"/>
  <c r="M168" i="9"/>
  <c r="D350" i="9"/>
  <c r="D133" i="9"/>
  <c r="H154" i="9"/>
  <c r="K324" i="9"/>
  <c r="L324" i="9" s="1"/>
  <c r="M324" i="9" s="1"/>
  <c r="M180" i="9"/>
  <c r="H142" i="9"/>
  <c r="L154" i="9"/>
  <c r="M142" i="9"/>
  <c r="D274" i="9"/>
  <c r="D253" i="9"/>
  <c r="J305" i="9"/>
  <c r="J307" i="9" s="1"/>
  <c r="J231" i="9"/>
  <c r="L231" i="9" s="1"/>
  <c r="F231" i="9"/>
  <c r="H231" i="9" s="1"/>
  <c r="J233" i="9"/>
  <c r="L233" i="9" s="1"/>
  <c r="F233" i="9"/>
  <c r="M143" i="9"/>
  <c r="H143" i="9"/>
  <c r="J462" i="9"/>
  <c r="F462" i="9"/>
  <c r="H462" i="9" s="1"/>
  <c r="B516" i="1"/>
  <c r="F516" i="1" s="1"/>
  <c r="D516" i="1" s="1"/>
  <c r="J453" i="9"/>
  <c r="I453" i="9"/>
  <c r="F453" i="9"/>
  <c r="K453" i="9"/>
  <c r="B507" i="1"/>
  <c r="K507" i="1" s="1"/>
  <c r="I495" i="9"/>
  <c r="I500" i="9" s="1"/>
  <c r="I523" i="9" s="1"/>
  <c r="K495" i="9"/>
  <c r="F495" i="9"/>
  <c r="J422" i="9"/>
  <c r="F422" i="9"/>
  <c r="B471" i="1"/>
  <c r="K422" i="9"/>
  <c r="J428" i="9"/>
  <c r="K428" i="9"/>
  <c r="F428" i="9"/>
  <c r="K433" i="9"/>
  <c r="J433" i="9"/>
  <c r="K409" i="9"/>
  <c r="K414" i="9" s="1"/>
  <c r="B414" i="9"/>
  <c r="F409" i="9"/>
  <c r="I409" i="9"/>
  <c r="K375" i="9"/>
  <c r="I375" i="9"/>
  <c r="F375" i="9"/>
  <c r="J375" i="9"/>
  <c r="F390" i="9"/>
  <c r="J390" i="9"/>
  <c r="L390" i="9" s="1"/>
  <c r="M390" i="9" s="1"/>
  <c r="K393" i="9"/>
  <c r="L393" i="9" s="1"/>
  <c r="B437" i="1"/>
  <c r="J437" i="1" s="1"/>
  <c r="K351" i="9"/>
  <c r="B390" i="1"/>
  <c r="K390" i="1" s="1"/>
  <c r="F257" i="9"/>
  <c r="K257" i="9"/>
  <c r="L257" i="9" s="1"/>
  <c r="J269" i="9"/>
  <c r="B298" i="1"/>
  <c r="F298" i="1" s="1"/>
  <c r="D298" i="1" s="1"/>
  <c r="F269" i="9"/>
  <c r="K269" i="9"/>
  <c r="B283" i="9"/>
  <c r="F275" i="9"/>
  <c r="D275" i="9" s="1"/>
  <c r="B304" i="1"/>
  <c r="K275" i="9"/>
  <c r="J275" i="9"/>
  <c r="F278" i="9"/>
  <c r="K278" i="9"/>
  <c r="J278" i="9"/>
  <c r="K255" i="9"/>
  <c r="F255" i="9"/>
  <c r="J255" i="9"/>
  <c r="F230" i="9"/>
  <c r="B254" i="1"/>
  <c r="F254" i="1" s="1"/>
  <c r="K230" i="9"/>
  <c r="K239" i="9" s="1"/>
  <c r="J230" i="9"/>
  <c r="F222" i="9"/>
  <c r="J222" i="9"/>
  <c r="L222" i="9" s="1"/>
  <c r="F171" i="9"/>
  <c r="F190" i="1" s="1"/>
  <c r="J171" i="9"/>
  <c r="L167" i="9"/>
  <c r="I178" i="9"/>
  <c r="I195" i="9" s="1"/>
  <c r="H188" i="9"/>
  <c r="D188" i="9"/>
  <c r="F207" i="1"/>
  <c r="M207" i="1" s="1"/>
  <c r="M188" i="9"/>
  <c r="F186" i="9"/>
  <c r="F205" i="1" s="1"/>
  <c r="B205" i="1"/>
  <c r="D184" i="9"/>
  <c r="M184" i="9"/>
  <c r="H184" i="9"/>
  <c r="F181" i="9"/>
  <c r="B200" i="1"/>
  <c r="M147" i="9"/>
  <c r="D147" i="9"/>
  <c r="M151" i="9"/>
  <c r="D151" i="9"/>
  <c r="H88" i="9"/>
  <c r="H264" i="9"/>
  <c r="M272" i="9"/>
  <c r="M128" i="9"/>
  <c r="L238" i="9"/>
  <c r="F466" i="9"/>
  <c r="J466" i="9"/>
  <c r="J463" i="9"/>
  <c r="K463" i="9"/>
  <c r="F519" i="9"/>
  <c r="D519" i="9" s="1"/>
  <c r="K519" i="9"/>
  <c r="L519" i="9" s="1"/>
  <c r="F423" i="9"/>
  <c r="K423" i="9"/>
  <c r="L423" i="9" s="1"/>
  <c r="H434" i="9"/>
  <c r="D434" i="9"/>
  <c r="J411" i="9"/>
  <c r="F411" i="9"/>
  <c r="J355" i="9"/>
  <c r="L355" i="9" s="1"/>
  <c r="F355" i="9"/>
  <c r="J319" i="9"/>
  <c r="L319" i="9" s="1"/>
  <c r="F319" i="9"/>
  <c r="F251" i="9"/>
  <c r="B260" i="9"/>
  <c r="D271" i="9"/>
  <c r="M271" i="9"/>
  <c r="J282" i="9"/>
  <c r="K282" i="9"/>
  <c r="B312" i="1"/>
  <c r="B307" i="1"/>
  <c r="F279" i="9"/>
  <c r="F283" i="9" s="1"/>
  <c r="B308" i="1"/>
  <c r="J308" i="1" s="1"/>
  <c r="K279" i="9"/>
  <c r="L279" i="9" s="1"/>
  <c r="M191" i="9"/>
  <c r="D191" i="9"/>
  <c r="B204" i="1"/>
  <c r="F185" i="9"/>
  <c r="H185" i="9" s="1"/>
  <c r="M129" i="9"/>
  <c r="D129" i="9"/>
  <c r="J88" i="9"/>
  <c r="K88" i="9"/>
  <c r="L108" i="9"/>
  <c r="M108" i="9" s="1"/>
  <c r="F111" i="9"/>
  <c r="D111" i="9" s="1"/>
  <c r="K111" i="9"/>
  <c r="L111" i="9" s="1"/>
  <c r="J518" i="9"/>
  <c r="L518" i="9" s="1"/>
  <c r="F518" i="9"/>
  <c r="D518" i="9" s="1"/>
  <c r="F493" i="9"/>
  <c r="J493" i="9"/>
  <c r="B417" i="9"/>
  <c r="I416" i="9"/>
  <c r="I417" i="9" s="1"/>
  <c r="K416" i="9"/>
  <c r="K417" i="9" s="1"/>
  <c r="F416" i="9"/>
  <c r="K295" i="9"/>
  <c r="I295" i="9"/>
  <c r="J295" i="9"/>
  <c r="J311" i="9"/>
  <c r="K311" i="9"/>
  <c r="F314" i="9"/>
  <c r="K314" i="9"/>
  <c r="J318" i="9"/>
  <c r="F318" i="9"/>
  <c r="B353" i="1"/>
  <c r="K318" i="9"/>
  <c r="K297" i="9"/>
  <c r="F297" i="9"/>
  <c r="D297" i="9" s="1"/>
  <c r="J297" i="9"/>
  <c r="I88" i="9"/>
  <c r="H109" i="9"/>
  <c r="D109" i="9"/>
  <c r="B186" i="1"/>
  <c r="L270" i="9"/>
  <c r="M270" i="9" s="1"/>
  <c r="M471" i="9"/>
  <c r="B336" i="1"/>
  <c r="B194" i="9"/>
  <c r="B196" i="1"/>
  <c r="L112" i="9"/>
  <c r="M112" i="9" s="1"/>
  <c r="L386" i="9"/>
  <c r="M386" i="9" s="1"/>
  <c r="L323" i="9"/>
  <c r="M323" i="9" s="1"/>
  <c r="L349" i="9"/>
  <c r="M349" i="9" s="1"/>
  <c r="H434" i="4"/>
  <c r="H467" i="9"/>
  <c r="H426" i="1"/>
  <c r="H427" i="1" s="1"/>
  <c r="L467" i="9"/>
  <c r="M467" i="9" s="1"/>
  <c r="H277" i="6"/>
  <c r="F466" i="6"/>
  <c r="J385" i="2"/>
  <c r="K252" i="2"/>
  <c r="K260" i="2" s="1"/>
  <c r="F252" i="2"/>
  <c r="D519" i="3"/>
  <c r="H519" i="3"/>
  <c r="H281" i="9"/>
  <c r="H251" i="3"/>
  <c r="D251" i="3"/>
  <c r="M569" i="2"/>
  <c r="L570" i="2"/>
  <c r="L345" i="6"/>
  <c r="H471" i="4"/>
  <c r="H233" i="2"/>
  <c r="M233" i="2"/>
  <c r="D233" i="2"/>
  <c r="F473" i="9"/>
  <c r="J473" i="9"/>
  <c r="K479" i="8"/>
  <c r="F479" i="8"/>
  <c r="D479" i="8" s="1"/>
  <c r="K466" i="8"/>
  <c r="F466" i="8"/>
  <c r="J466" i="8"/>
  <c r="B474" i="8"/>
  <c r="K521" i="8"/>
  <c r="L521" i="8" s="1"/>
  <c r="F521" i="8"/>
  <c r="J505" i="8"/>
  <c r="F505" i="8"/>
  <c r="K505" i="8"/>
  <c r="F471" i="6"/>
  <c r="K471" i="6"/>
  <c r="J459" i="4"/>
  <c r="J460" i="4" s="1"/>
  <c r="F459" i="4"/>
  <c r="K459" i="4"/>
  <c r="K460" i="4" s="1"/>
  <c r="B460" i="4"/>
  <c r="I459" i="4"/>
  <c r="D263" i="9"/>
  <c r="D264" i="9" s="1"/>
  <c r="D180" i="7"/>
  <c r="D388" i="9"/>
  <c r="I427" i="1"/>
  <c r="K385" i="2"/>
  <c r="L167" i="2"/>
  <c r="M167" i="2" s="1"/>
  <c r="H208" i="6"/>
  <c r="D208" i="6"/>
  <c r="M278" i="3"/>
  <c r="D267" i="7"/>
  <c r="H267" i="7"/>
  <c r="M353" i="9"/>
  <c r="H353" i="9"/>
  <c r="D298" i="9"/>
  <c r="M298" i="9"/>
  <c r="M169" i="7"/>
  <c r="H169" i="7"/>
  <c r="B178" i="9"/>
  <c r="B189" i="1"/>
  <c r="B241" i="4"/>
  <c r="B261" i="1"/>
  <c r="M569" i="8"/>
  <c r="L570" i="8"/>
  <c r="L479" i="8"/>
  <c r="H166" i="2"/>
  <c r="D166" i="2"/>
  <c r="D479" i="2"/>
  <c r="H479" i="2"/>
  <c r="D167" i="5"/>
  <c r="H167" i="5"/>
  <c r="M263" i="5"/>
  <c r="L264" i="5"/>
  <c r="D172" i="5"/>
  <c r="M172" i="5"/>
  <c r="H476" i="8"/>
  <c r="D476" i="8"/>
  <c r="H437" i="6"/>
  <c r="D437" i="6"/>
  <c r="D229" i="7"/>
  <c r="H229" i="7"/>
  <c r="D551" i="7"/>
  <c r="H551" i="7"/>
  <c r="K264" i="4"/>
  <c r="I264" i="4"/>
  <c r="J264" i="4"/>
  <c r="F264" i="4"/>
  <c r="F266" i="4" s="1"/>
  <c r="F415" i="3"/>
  <c r="H415" i="3" s="1"/>
  <c r="H416" i="3" s="1"/>
  <c r="B416" i="3"/>
  <c r="D294" i="7"/>
  <c r="H294" i="7"/>
  <c r="D514" i="9"/>
  <c r="L392" i="6"/>
  <c r="D169" i="7"/>
  <c r="J349" i="8"/>
  <c r="B396" i="2"/>
  <c r="D536" i="5"/>
  <c r="D537" i="5" s="1"/>
  <c r="D312" i="2"/>
  <c r="M166" i="2"/>
  <c r="J172" i="6"/>
  <c r="J178" i="6" s="1"/>
  <c r="J195" i="6" s="1"/>
  <c r="D195" i="1"/>
  <c r="H578" i="8"/>
  <c r="H579" i="8" s="1"/>
  <c r="H433" i="3"/>
  <c r="D433" i="3"/>
  <c r="H172" i="8"/>
  <c r="D172" i="8"/>
  <c r="L299" i="4"/>
  <c r="L416" i="7"/>
  <c r="L417" i="7" s="1"/>
  <c r="L174" i="7"/>
  <c r="M174" i="7" s="1"/>
  <c r="L166" i="3"/>
  <c r="M166" i="3" s="1"/>
  <c r="J178" i="7"/>
  <c r="J195" i="7" s="1"/>
  <c r="M275" i="6"/>
  <c r="L507" i="4"/>
  <c r="L466" i="9"/>
  <c r="F470" i="7"/>
  <c r="J470" i="7"/>
  <c r="L470" i="7" s="1"/>
  <c r="J505" i="7"/>
  <c r="F505" i="7"/>
  <c r="K512" i="6"/>
  <c r="J512" i="6"/>
  <c r="J450" i="5"/>
  <c r="K450" i="5"/>
  <c r="K454" i="5" s="1"/>
  <c r="I450" i="5"/>
  <c r="I454" i="5" s="1"/>
  <c r="I480" i="5" s="1"/>
  <c r="L514" i="9"/>
  <c r="M167" i="5"/>
  <c r="M222" i="6"/>
  <c r="L353" i="2"/>
  <c r="I178" i="6"/>
  <c r="I195" i="6" s="1"/>
  <c r="M174" i="9"/>
  <c r="M238" i="9"/>
  <c r="L231" i="2"/>
  <c r="M231" i="2" s="1"/>
  <c r="L232" i="4"/>
  <c r="M232" i="4" s="1"/>
  <c r="L270" i="6"/>
  <c r="M270" i="6" s="1"/>
  <c r="M428" i="2"/>
  <c r="D600" i="8"/>
  <c r="D601" i="8" s="1"/>
  <c r="F601" i="9"/>
  <c r="L270" i="8"/>
  <c r="M270" i="8" s="1"/>
  <c r="L282" i="6"/>
  <c r="M282" i="6" s="1"/>
  <c r="F573" i="5"/>
  <c r="F601" i="7"/>
  <c r="L306" i="9"/>
  <c r="M306" i="9" s="1"/>
  <c r="K468" i="9"/>
  <c r="F468" i="9"/>
  <c r="J468" i="9"/>
  <c r="J521" i="9"/>
  <c r="F521" i="9"/>
  <c r="K521" i="9"/>
  <c r="J512" i="9"/>
  <c r="L512" i="9" s="1"/>
  <c r="F512" i="9"/>
  <c r="K510" i="9"/>
  <c r="J510" i="9"/>
  <c r="F506" i="9"/>
  <c r="K506" i="9"/>
  <c r="L506" i="9" s="1"/>
  <c r="K467" i="7"/>
  <c r="J467" i="7"/>
  <c r="F467" i="7"/>
  <c r="F464" i="7"/>
  <c r="H464" i="7" s="1"/>
  <c r="J464" i="7"/>
  <c r="L464" i="7" s="1"/>
  <c r="J508" i="7"/>
  <c r="F508" i="7"/>
  <c r="K508" i="7"/>
  <c r="K463" i="6"/>
  <c r="F463" i="6"/>
  <c r="J463" i="6"/>
  <c r="K468" i="5"/>
  <c r="J468" i="5"/>
  <c r="L388" i="9"/>
  <c r="L493" i="4"/>
  <c r="F169" i="5"/>
  <c r="D169" i="5" s="1"/>
  <c r="D380" i="4"/>
  <c r="H208" i="1"/>
  <c r="K195" i="5"/>
  <c r="D283" i="5"/>
  <c r="L205" i="9"/>
  <c r="L226" i="4"/>
  <c r="M226" i="4" s="1"/>
  <c r="L625" i="1"/>
  <c r="L269" i="4"/>
  <c r="M269" i="4" s="1"/>
  <c r="L318" i="4"/>
  <c r="M318" i="4" s="1"/>
  <c r="F579" i="8"/>
  <c r="L496" i="6"/>
  <c r="M496" i="6" s="1"/>
  <c r="H609" i="5"/>
  <c r="M408" i="7"/>
  <c r="I452" i="9"/>
  <c r="J452" i="9"/>
  <c r="F452" i="9"/>
  <c r="H452" i="9" s="1"/>
  <c r="K452" i="9"/>
  <c r="K519" i="8"/>
  <c r="L519" i="8" s="1"/>
  <c r="F519" i="8"/>
  <c r="B522" i="8"/>
  <c r="K477" i="6"/>
  <c r="J477" i="6"/>
  <c r="F477" i="6"/>
  <c r="F450" i="6"/>
  <c r="J450" i="6"/>
  <c r="L450" i="6" s="1"/>
  <c r="J507" i="6"/>
  <c r="K507" i="6"/>
  <c r="F507" i="6"/>
  <c r="F480" i="4"/>
  <c r="B482" i="4"/>
  <c r="L295" i="8"/>
  <c r="M295" i="8" s="1"/>
  <c r="D260" i="5"/>
  <c r="L206" i="5"/>
  <c r="D578" i="7"/>
  <c r="H589" i="4"/>
  <c r="H601" i="4" s="1"/>
  <c r="L506" i="4"/>
  <c r="L208" i="4"/>
  <c r="M208" i="4" s="1"/>
  <c r="F626" i="7"/>
  <c r="L224" i="2"/>
  <c r="M224" i="2" s="1"/>
  <c r="L462" i="5"/>
  <c r="F601" i="2"/>
  <c r="L436" i="2"/>
  <c r="L314" i="9"/>
  <c r="K647" i="9"/>
  <c r="B601" i="9"/>
  <c r="M499" i="9"/>
  <c r="M585" i="8"/>
  <c r="L646" i="6"/>
  <c r="L647" i="6" s="1"/>
  <c r="F437" i="8"/>
  <c r="J437" i="8"/>
  <c r="L389" i="6"/>
  <c r="D625" i="8"/>
  <c r="J284" i="5"/>
  <c r="H221" i="4"/>
  <c r="L589" i="6"/>
  <c r="L601" i="6" s="1"/>
  <c r="L293" i="3"/>
  <c r="M293" i="3" s="1"/>
  <c r="L452" i="4"/>
  <c r="H260" i="5"/>
  <c r="K393" i="4"/>
  <c r="L393" i="4" s="1"/>
  <c r="L393" i="2"/>
  <c r="L435" i="7"/>
  <c r="D618" i="5"/>
  <c r="D619" i="5" s="1"/>
  <c r="M227" i="8"/>
  <c r="L317" i="8"/>
  <c r="M317" i="8" s="1"/>
  <c r="L406" i="5"/>
  <c r="M406" i="5" s="1"/>
  <c r="D629" i="5"/>
  <c r="L268" i="6"/>
  <c r="L297" i="6"/>
  <c r="M297" i="6" s="1"/>
  <c r="M249" i="3"/>
  <c r="F626" i="4"/>
  <c r="H625" i="6"/>
  <c r="M212" i="7"/>
  <c r="B647" i="9"/>
  <c r="D572" i="9"/>
  <c r="K570" i="9"/>
  <c r="I579" i="9"/>
  <c r="L565" i="8"/>
  <c r="M565" i="8" s="1"/>
  <c r="L499" i="8"/>
  <c r="M499" i="8" s="1"/>
  <c r="L499" i="7"/>
  <c r="L469" i="6"/>
  <c r="J435" i="9"/>
  <c r="F435" i="9"/>
  <c r="H422" i="4"/>
  <c r="D422" i="4"/>
  <c r="B471" i="5"/>
  <c r="D639" i="5"/>
  <c r="D640" i="5" s="1"/>
  <c r="L626" i="7"/>
  <c r="L225" i="8"/>
  <c r="M225" i="8" s="1"/>
  <c r="K601" i="6"/>
  <c r="L346" i="5"/>
  <c r="M346" i="5" s="1"/>
  <c r="D589" i="6"/>
  <c r="N65" i="10"/>
  <c r="I626" i="9"/>
  <c r="F646" i="8"/>
  <c r="J647" i="8"/>
  <c r="J626" i="8"/>
  <c r="J567" i="8"/>
  <c r="L579" i="7"/>
  <c r="N65" i="13"/>
  <c r="L474" i="5"/>
  <c r="F521" i="4"/>
  <c r="J521" i="4"/>
  <c r="L521" i="4" s="1"/>
  <c r="B576" i="1"/>
  <c r="F576" i="1" s="1"/>
  <c r="J375" i="3"/>
  <c r="K375" i="3"/>
  <c r="H578" i="6"/>
  <c r="B482" i="9"/>
  <c r="L455" i="9"/>
  <c r="M455" i="9" s="1"/>
  <c r="L499" i="6"/>
  <c r="L495" i="5"/>
  <c r="M495" i="5" s="1"/>
  <c r="J644" i="1"/>
  <c r="L618" i="5"/>
  <c r="L619" i="5" s="1"/>
  <c r="I595" i="5"/>
  <c r="M559" i="5"/>
  <c r="I646" i="3"/>
  <c r="L586" i="3"/>
  <c r="M586" i="3" s="1"/>
  <c r="L577" i="3"/>
  <c r="L512" i="2"/>
  <c r="J626" i="2"/>
  <c r="B626" i="2"/>
  <c r="L616" i="2"/>
  <c r="L626" i="2" s="1"/>
  <c r="B579" i="2"/>
  <c r="J707" i="1"/>
  <c r="J697" i="1"/>
  <c r="J686" i="1"/>
  <c r="J677" i="1"/>
  <c r="B414" i="2"/>
  <c r="M387" i="2"/>
  <c r="M422" i="1"/>
  <c r="K344" i="4"/>
  <c r="L360" i="2"/>
  <c r="B288" i="1"/>
  <c r="L478" i="5"/>
  <c r="I626" i="4"/>
  <c r="L569" i="4"/>
  <c r="L646" i="2"/>
  <c r="K647" i="2"/>
  <c r="K407" i="5"/>
  <c r="L412" i="6"/>
  <c r="L413" i="6"/>
  <c r="M378" i="2"/>
  <c r="I647" i="4"/>
  <c r="L705" i="1"/>
  <c r="M705" i="1" s="1"/>
  <c r="L645" i="3"/>
  <c r="D635" i="3"/>
  <c r="K627" i="1"/>
  <c r="J626" i="1"/>
  <c r="J628" i="1" s="1"/>
  <c r="L455" i="3"/>
  <c r="M455" i="3" s="1"/>
  <c r="L578" i="2"/>
  <c r="B439" i="9"/>
  <c r="L636" i="4"/>
  <c r="L647" i="4" s="1"/>
  <c r="L587" i="4"/>
  <c r="F589" i="4"/>
  <c r="F601" i="4" s="1"/>
  <c r="L456" i="4"/>
  <c r="M456" i="4" s="1"/>
  <c r="L693" i="1"/>
  <c r="M693" i="1" s="1"/>
  <c r="L683" i="1"/>
  <c r="K647" i="1"/>
  <c r="L585" i="3"/>
  <c r="K686" i="1"/>
  <c r="B305" i="1"/>
  <c r="F305" i="1" s="1"/>
  <c r="M305" i="1" s="1"/>
  <c r="B238" i="1"/>
  <c r="H133" i="7"/>
  <c r="D133" i="7"/>
  <c r="D149" i="7"/>
  <c r="M149" i="7"/>
  <c r="H149" i="7"/>
  <c r="F142" i="5"/>
  <c r="F155" i="5" s="1"/>
  <c r="B155" i="5"/>
  <c r="H130" i="4"/>
  <c r="D130" i="4"/>
  <c r="M148" i="4"/>
  <c r="H148" i="4"/>
  <c r="D148" i="4"/>
  <c r="D131" i="5"/>
  <c r="H131" i="5"/>
  <c r="M131" i="5"/>
  <c r="H127" i="4"/>
  <c r="M127" i="4"/>
  <c r="K342" i="3"/>
  <c r="B357" i="2"/>
  <c r="K357" i="2" s="1"/>
  <c r="L377" i="3"/>
  <c r="L350" i="1"/>
  <c r="B306" i="1"/>
  <c r="K306" i="1" s="1"/>
  <c r="F218" i="3"/>
  <c r="I218" i="3"/>
  <c r="H133" i="5"/>
  <c r="D133" i="5"/>
  <c r="M133" i="5"/>
  <c r="D152" i="5"/>
  <c r="H152" i="5"/>
  <c r="M152" i="5"/>
  <c r="I128" i="4"/>
  <c r="L128" i="4" s="1"/>
  <c r="F128" i="4"/>
  <c r="H132" i="4"/>
  <c r="D132" i="4"/>
  <c r="M132" i="4"/>
  <c r="F135" i="2"/>
  <c r="B139" i="2"/>
  <c r="K315" i="4"/>
  <c r="L315" i="4" s="1"/>
  <c r="L216" i="3"/>
  <c r="L230" i="6"/>
  <c r="H144" i="2"/>
  <c r="D144" i="2"/>
  <c r="I128" i="7"/>
  <c r="F128" i="7"/>
  <c r="H128" i="7" s="1"/>
  <c r="M135" i="5"/>
  <c r="H135" i="5"/>
  <c r="D135" i="5"/>
  <c r="M149" i="5"/>
  <c r="H149" i="5"/>
  <c r="D149" i="5"/>
  <c r="M134" i="4"/>
  <c r="D134" i="4"/>
  <c r="B262" i="1"/>
  <c r="F262" i="1" s="1"/>
  <c r="M262" i="1" s="1"/>
  <c r="L203" i="1"/>
  <c r="B167" i="4"/>
  <c r="N304" i="15"/>
  <c r="B195" i="1"/>
  <c r="L217" i="2"/>
  <c r="M152" i="2"/>
  <c r="L155" i="1"/>
  <c r="L96" i="4"/>
  <c r="M96" i="4" s="1"/>
  <c r="J219" i="9"/>
  <c r="M183" i="2"/>
  <c r="M176" i="5"/>
  <c r="D218" i="2"/>
  <c r="J646" i="3"/>
  <c r="L512" i="3"/>
  <c r="M512" i="3" s="1"/>
  <c r="D144" i="4"/>
  <c r="M141" i="8"/>
  <c r="K72" i="9"/>
  <c r="J72" i="9"/>
  <c r="F72" i="9"/>
  <c r="K187" i="1"/>
  <c r="M175" i="4"/>
  <c r="B208" i="1"/>
  <c r="M177" i="4"/>
  <c r="F158" i="1"/>
  <c r="D152" i="1"/>
  <c r="L107" i="6"/>
  <c r="M107" i="6" s="1"/>
  <c r="F74" i="2"/>
  <c r="K74" i="2"/>
  <c r="J74" i="2" s="1"/>
  <c r="F74" i="6"/>
  <c r="K74" i="6"/>
  <c r="J74" i="6" s="1"/>
  <c r="B234" i="1"/>
  <c r="K234" i="1" s="1"/>
  <c r="L234" i="1" s="1"/>
  <c r="M234" i="1" s="1"/>
  <c r="B245" i="1"/>
  <c r="J245" i="1" s="1"/>
  <c r="H128" i="6"/>
  <c r="M142" i="7"/>
  <c r="B164" i="1"/>
  <c r="N354" i="13"/>
  <c r="M141" i="9"/>
  <c r="M144" i="9"/>
  <c r="M148" i="8"/>
  <c r="M144" i="8"/>
  <c r="M130" i="4"/>
  <c r="L89" i="4"/>
  <c r="M89" i="4" s="1"/>
  <c r="F98" i="7"/>
  <c r="J98" i="7"/>
  <c r="L98" i="7" s="1"/>
  <c r="F87" i="3"/>
  <c r="K87" i="3"/>
  <c r="I87" i="3"/>
  <c r="J87" i="3"/>
  <c r="J91" i="3"/>
  <c r="K91" i="3"/>
  <c r="J96" i="3"/>
  <c r="K96" i="3"/>
  <c r="J102" i="3"/>
  <c r="F102" i="3"/>
  <c r="K102" i="3"/>
  <c r="F106" i="3"/>
  <c r="K106" i="3"/>
  <c r="J106" i="3"/>
  <c r="F110" i="3"/>
  <c r="D110" i="3" s="1"/>
  <c r="J110" i="3"/>
  <c r="K110" i="3"/>
  <c r="D97" i="4"/>
  <c r="J46" i="2"/>
  <c r="K46" i="2"/>
  <c r="F46" i="2"/>
  <c r="J61" i="2"/>
  <c r="F61" i="2"/>
  <c r="D61" i="2" s="1"/>
  <c r="J68" i="2"/>
  <c r="F68" i="2"/>
  <c r="H68" i="2" s="1"/>
  <c r="J72" i="2"/>
  <c r="F72" i="2"/>
  <c r="H72" i="2" s="1"/>
  <c r="F61" i="3"/>
  <c r="K61" i="3"/>
  <c r="J61" i="3"/>
  <c r="F69" i="3"/>
  <c r="K69" i="3"/>
  <c r="J69" i="3"/>
  <c r="J49" i="4"/>
  <c r="F49" i="4"/>
  <c r="K53" i="4"/>
  <c r="F53" i="4"/>
  <c r="K58" i="4"/>
  <c r="J58" i="4"/>
  <c r="F58" i="4"/>
  <c r="K64" i="4"/>
  <c r="J64" i="4"/>
  <c r="F64" i="4"/>
  <c r="K68" i="4"/>
  <c r="J68" i="4"/>
  <c r="L68" i="4" s="1"/>
  <c r="F68" i="4"/>
  <c r="K72" i="4"/>
  <c r="J72" i="4"/>
  <c r="F72" i="4"/>
  <c r="K57" i="5"/>
  <c r="J57" i="5"/>
  <c r="K63" i="5"/>
  <c r="J63" i="5"/>
  <c r="F63" i="5"/>
  <c r="K67" i="5"/>
  <c r="J67" i="5"/>
  <c r="F67" i="5"/>
  <c r="K71" i="5"/>
  <c r="J71" i="5"/>
  <c r="F71" i="5"/>
  <c r="I47" i="6"/>
  <c r="K47" i="6"/>
  <c r="F47" i="6"/>
  <c r="J47" i="6"/>
  <c r="J56" i="6"/>
  <c r="K56" i="6"/>
  <c r="I56" i="6"/>
  <c r="K62" i="6"/>
  <c r="J62" i="6"/>
  <c r="F62" i="6"/>
  <c r="K66" i="6"/>
  <c r="J66" i="6"/>
  <c r="F66" i="6"/>
  <c r="F49" i="7"/>
  <c r="J49" i="7"/>
  <c r="J53" i="7"/>
  <c r="L53" i="7" s="1"/>
  <c r="F53" i="7"/>
  <c r="K58" i="7"/>
  <c r="J58" i="7"/>
  <c r="F58" i="7"/>
  <c r="K64" i="7"/>
  <c r="J64" i="7"/>
  <c r="F64" i="7"/>
  <c r="K68" i="7"/>
  <c r="J68" i="7"/>
  <c r="F68" i="7"/>
  <c r="K72" i="7"/>
  <c r="J72" i="7"/>
  <c r="F72" i="7"/>
  <c r="J57" i="8"/>
  <c r="K57" i="8"/>
  <c r="K63" i="8"/>
  <c r="J63" i="8"/>
  <c r="F63" i="8"/>
  <c r="K71" i="8"/>
  <c r="J71" i="8"/>
  <c r="F71" i="8"/>
  <c r="K61" i="9"/>
  <c r="J61" i="9"/>
  <c r="F61" i="9"/>
  <c r="K66" i="9"/>
  <c r="J66" i="9"/>
  <c r="F66" i="9"/>
  <c r="K71" i="9"/>
  <c r="J71" i="9"/>
  <c r="F71" i="9"/>
  <c r="J49" i="9"/>
  <c r="F49" i="9"/>
  <c r="K68" i="9"/>
  <c r="J68" i="9"/>
  <c r="F68" i="9"/>
  <c r="F88" i="3"/>
  <c r="J88" i="3"/>
  <c r="K88" i="3"/>
  <c r="F92" i="3"/>
  <c r="J92" i="3"/>
  <c r="K92" i="3"/>
  <c r="K97" i="3"/>
  <c r="F97" i="3"/>
  <c r="J97" i="3"/>
  <c r="F103" i="3"/>
  <c r="J103" i="3"/>
  <c r="K103" i="3"/>
  <c r="K107" i="3"/>
  <c r="F107" i="3"/>
  <c r="J107" i="3"/>
  <c r="F111" i="3"/>
  <c r="D111" i="3" s="1"/>
  <c r="K111" i="3"/>
  <c r="J111" i="3"/>
  <c r="J47" i="2"/>
  <c r="F47" i="2"/>
  <c r="F51" i="2"/>
  <c r="H51" i="2" s="1"/>
  <c r="J51" i="2"/>
  <c r="K56" i="2"/>
  <c r="J56" i="2"/>
  <c r="I56" i="2"/>
  <c r="J66" i="2"/>
  <c r="F66" i="2"/>
  <c r="H66" i="2" s="1"/>
  <c r="F47" i="3"/>
  <c r="D47" i="3" s="1"/>
  <c r="K47" i="3"/>
  <c r="J47" i="3"/>
  <c r="K56" i="3"/>
  <c r="J56" i="3"/>
  <c r="I56" i="3"/>
  <c r="F62" i="3"/>
  <c r="K62" i="3"/>
  <c r="J62" i="3"/>
  <c r="F66" i="3"/>
  <c r="K66" i="3"/>
  <c r="J66" i="3"/>
  <c r="K61" i="4"/>
  <c r="J61" i="4"/>
  <c r="F61" i="4"/>
  <c r="K69" i="4"/>
  <c r="J69" i="4"/>
  <c r="F69" i="4"/>
  <c r="J49" i="5"/>
  <c r="F49" i="5"/>
  <c r="K58" i="5"/>
  <c r="J58" i="5"/>
  <c r="F58" i="5"/>
  <c r="K64" i="5"/>
  <c r="J64" i="5"/>
  <c r="F64" i="5"/>
  <c r="K68" i="5"/>
  <c r="J68" i="5"/>
  <c r="J57" i="6"/>
  <c r="K57" i="6"/>
  <c r="K63" i="6"/>
  <c r="J63" i="6"/>
  <c r="F63" i="6"/>
  <c r="K67" i="6"/>
  <c r="J67" i="6"/>
  <c r="F67" i="6"/>
  <c r="K71" i="6"/>
  <c r="J71" i="6"/>
  <c r="F71" i="6"/>
  <c r="K61" i="7"/>
  <c r="J61" i="7"/>
  <c r="F61" i="7"/>
  <c r="K69" i="7"/>
  <c r="J69" i="7"/>
  <c r="L69" i="7" s="1"/>
  <c r="F69" i="7"/>
  <c r="F49" i="8"/>
  <c r="J49" i="8"/>
  <c r="K58" i="8"/>
  <c r="J58" i="8"/>
  <c r="F58" i="8"/>
  <c r="K64" i="8"/>
  <c r="J64" i="8"/>
  <c r="F64" i="8"/>
  <c r="K66" i="8"/>
  <c r="J66" i="8"/>
  <c r="F66" i="8"/>
  <c r="K68" i="8"/>
  <c r="J68" i="8"/>
  <c r="F68" i="8"/>
  <c r="K72" i="8"/>
  <c r="J72" i="8"/>
  <c r="F72" i="8"/>
  <c r="K62" i="9"/>
  <c r="J62" i="9"/>
  <c r="F62" i="9"/>
  <c r="K67" i="9"/>
  <c r="J67" i="9"/>
  <c r="F67" i="9"/>
  <c r="I56" i="9"/>
  <c r="J56" i="9"/>
  <c r="K56" i="9"/>
  <c r="K64" i="9"/>
  <c r="J64" i="9"/>
  <c r="F64" i="9"/>
  <c r="B118" i="1"/>
  <c r="F85" i="3"/>
  <c r="J85" i="3"/>
  <c r="K85" i="3"/>
  <c r="K95" i="1" s="1"/>
  <c r="B98" i="3"/>
  <c r="K89" i="3"/>
  <c r="J89" i="3"/>
  <c r="F94" i="3"/>
  <c r="K94" i="3"/>
  <c r="J94" i="3" s="1"/>
  <c r="F100" i="3"/>
  <c r="J100" i="3"/>
  <c r="K100" i="3"/>
  <c r="B114" i="3"/>
  <c r="K104" i="3"/>
  <c r="F104" i="3"/>
  <c r="J104" i="3"/>
  <c r="J108" i="3"/>
  <c r="K108" i="3"/>
  <c r="F108" i="3"/>
  <c r="F113" i="3"/>
  <c r="K113" i="3"/>
  <c r="J113" i="3" s="1"/>
  <c r="J98" i="2"/>
  <c r="L98" i="2" s="1"/>
  <c r="F98" i="2"/>
  <c r="H98" i="2" s="1"/>
  <c r="D97" i="2"/>
  <c r="K52" i="2"/>
  <c r="J52" i="2"/>
  <c r="K57" i="2"/>
  <c r="J57" i="2"/>
  <c r="K63" i="2"/>
  <c r="J63" i="2"/>
  <c r="F63" i="2"/>
  <c r="D63" i="2" s="1"/>
  <c r="J57" i="3"/>
  <c r="K57" i="3"/>
  <c r="F63" i="3"/>
  <c r="D63" i="3" s="1"/>
  <c r="J63" i="3"/>
  <c r="K63" i="3"/>
  <c r="F67" i="3"/>
  <c r="K67" i="3"/>
  <c r="J67" i="3"/>
  <c r="F71" i="3"/>
  <c r="D71" i="3" s="1"/>
  <c r="K71" i="3"/>
  <c r="J71" i="3"/>
  <c r="F47" i="4"/>
  <c r="K47" i="4"/>
  <c r="J47" i="4"/>
  <c r="J51" i="4"/>
  <c r="F51" i="4"/>
  <c r="J56" i="4"/>
  <c r="I56" i="4"/>
  <c r="K56" i="4"/>
  <c r="K62" i="4"/>
  <c r="J62" i="4"/>
  <c r="F62" i="4"/>
  <c r="J66" i="4"/>
  <c r="K66" i="4"/>
  <c r="F66" i="4"/>
  <c r="K61" i="5"/>
  <c r="J61" i="5"/>
  <c r="F61" i="5"/>
  <c r="K69" i="5"/>
  <c r="J69" i="5"/>
  <c r="F69" i="5"/>
  <c r="F49" i="6"/>
  <c r="J49" i="6"/>
  <c r="K58" i="6"/>
  <c r="J58" i="6"/>
  <c r="F58" i="6"/>
  <c r="K64" i="6"/>
  <c r="J64" i="6"/>
  <c r="F64" i="6"/>
  <c r="K68" i="6"/>
  <c r="J68" i="6"/>
  <c r="F68" i="6"/>
  <c r="K72" i="6"/>
  <c r="J72" i="6"/>
  <c r="F72" i="6"/>
  <c r="K47" i="7"/>
  <c r="J47" i="7"/>
  <c r="F47" i="7"/>
  <c r="K56" i="7"/>
  <c r="J56" i="7"/>
  <c r="I56" i="7"/>
  <c r="K62" i="7"/>
  <c r="J62" i="7"/>
  <c r="F62" i="7"/>
  <c r="K66" i="7"/>
  <c r="J66" i="7"/>
  <c r="F66" i="7"/>
  <c r="K61" i="8"/>
  <c r="J61" i="8"/>
  <c r="F61" i="8"/>
  <c r="K67" i="8"/>
  <c r="J67" i="8"/>
  <c r="F67" i="8"/>
  <c r="K69" i="8"/>
  <c r="J69" i="8"/>
  <c r="F69" i="8"/>
  <c r="K63" i="9"/>
  <c r="J63" i="9"/>
  <c r="F63" i="9"/>
  <c r="K69" i="9"/>
  <c r="J69" i="9"/>
  <c r="F69" i="9"/>
  <c r="K86" i="3"/>
  <c r="J86" i="3"/>
  <c r="I86" i="3"/>
  <c r="F86" i="3"/>
  <c r="F90" i="3"/>
  <c r="J90" i="3"/>
  <c r="K90" i="3"/>
  <c r="J95" i="3"/>
  <c r="I95" i="3"/>
  <c r="K95" i="3"/>
  <c r="K101" i="3"/>
  <c r="F101" i="3"/>
  <c r="J101" i="3"/>
  <c r="J105" i="3"/>
  <c r="F105" i="3"/>
  <c r="K105" i="3"/>
  <c r="J109" i="3"/>
  <c r="K109" i="3"/>
  <c r="J86" i="2"/>
  <c r="L86" i="2" s="1"/>
  <c r="F86" i="2"/>
  <c r="H86" i="2" s="1"/>
  <c r="D101" i="1"/>
  <c r="D57" i="1"/>
  <c r="F49" i="2"/>
  <c r="D49" i="2" s="1"/>
  <c r="J49" i="2"/>
  <c r="K53" i="2"/>
  <c r="L53" i="2" s="1"/>
  <c r="F53" i="2"/>
  <c r="K58" i="2"/>
  <c r="J58" i="2"/>
  <c r="J64" i="2"/>
  <c r="K64" i="2"/>
  <c r="F64" i="2"/>
  <c r="J67" i="2"/>
  <c r="K67" i="2"/>
  <c r="F67" i="2"/>
  <c r="K71" i="2"/>
  <c r="J71" i="2"/>
  <c r="F71" i="2"/>
  <c r="F49" i="3"/>
  <c r="J49" i="3"/>
  <c r="K58" i="3"/>
  <c r="J58" i="3"/>
  <c r="F64" i="3"/>
  <c r="K64" i="3"/>
  <c r="J64" i="3"/>
  <c r="F68" i="3"/>
  <c r="K68" i="3"/>
  <c r="J68" i="3"/>
  <c r="F72" i="3"/>
  <c r="K72" i="3"/>
  <c r="J72" i="3"/>
  <c r="J57" i="4"/>
  <c r="K57" i="4"/>
  <c r="K63" i="4"/>
  <c r="J63" i="4"/>
  <c r="F63" i="4"/>
  <c r="K67" i="4"/>
  <c r="J67" i="4"/>
  <c r="F67" i="4"/>
  <c r="K71" i="4"/>
  <c r="J71" i="4"/>
  <c r="F71" i="4"/>
  <c r="K47" i="5"/>
  <c r="J47" i="5"/>
  <c r="F47" i="5"/>
  <c r="I56" i="5"/>
  <c r="J56" i="5"/>
  <c r="K56" i="5"/>
  <c r="K62" i="5"/>
  <c r="J62" i="5"/>
  <c r="F62" i="5"/>
  <c r="K66" i="5"/>
  <c r="J66" i="5"/>
  <c r="F66" i="5"/>
  <c r="J46" i="6"/>
  <c r="F46" i="6"/>
  <c r="K61" i="6"/>
  <c r="J61" i="6"/>
  <c r="F61" i="6"/>
  <c r="K69" i="6"/>
  <c r="J69" i="6"/>
  <c r="F69" i="6"/>
  <c r="K57" i="7"/>
  <c r="J57" i="7"/>
  <c r="K63" i="7"/>
  <c r="J63" i="7"/>
  <c r="F63" i="7"/>
  <c r="K67" i="7"/>
  <c r="J67" i="7"/>
  <c r="F67" i="7"/>
  <c r="K71" i="7"/>
  <c r="J71" i="7"/>
  <c r="F47" i="8"/>
  <c r="K47" i="8"/>
  <c r="J47" i="8"/>
  <c r="J51" i="8"/>
  <c r="F51" i="8"/>
  <c r="J56" i="8"/>
  <c r="I56" i="8"/>
  <c r="K56" i="8"/>
  <c r="K62" i="8"/>
  <c r="J62" i="8"/>
  <c r="F62" i="8"/>
  <c r="K58" i="9"/>
  <c r="J58" i="9"/>
  <c r="F58" i="9"/>
  <c r="K47" i="9"/>
  <c r="J47" i="9"/>
  <c r="F47" i="9"/>
  <c r="M533" i="4"/>
  <c r="B70" i="1"/>
  <c r="B75" i="9"/>
  <c r="H48" i="4"/>
  <c r="K544" i="6"/>
  <c r="J548" i="3"/>
  <c r="B542" i="8"/>
  <c r="K548" i="3"/>
  <c r="F544" i="7"/>
  <c r="F541" i="9"/>
  <c r="D541" i="9" s="1"/>
  <c r="D542" i="9" s="1"/>
  <c r="K533" i="5"/>
  <c r="L533" i="5" s="1"/>
  <c r="M533" i="5" s="1"/>
  <c r="J546" i="4"/>
  <c r="L546" i="4" s="1"/>
  <c r="J544" i="6"/>
  <c r="L544" i="6" s="1"/>
  <c r="K534" i="8"/>
  <c r="L534" i="8" s="1"/>
  <c r="F541" i="8"/>
  <c r="F542" i="8" s="1"/>
  <c r="J541" i="8"/>
  <c r="J542" i="8" s="1"/>
  <c r="K541" i="8"/>
  <c r="K542" i="8" s="1"/>
  <c r="J544" i="7"/>
  <c r="L544" i="7" s="1"/>
  <c r="F546" i="4"/>
  <c r="J534" i="2"/>
  <c r="J594" i="1" s="1"/>
  <c r="K550" i="2"/>
  <c r="L550" i="2" s="1"/>
  <c r="K533" i="3"/>
  <c r="L533" i="3" s="1"/>
  <c r="D546" i="5"/>
  <c r="H546" i="5"/>
  <c r="H551" i="9"/>
  <c r="D551" i="9"/>
  <c r="B539" i="2"/>
  <c r="B597" i="1"/>
  <c r="F597" i="1" s="1"/>
  <c r="D597" i="1" s="1"/>
  <c r="M535" i="2"/>
  <c r="H544" i="9"/>
  <c r="H535" i="2"/>
  <c r="F533" i="2"/>
  <c r="D533" i="2" s="1"/>
  <c r="F544" i="4"/>
  <c r="H544" i="4" s="1"/>
  <c r="J544" i="4"/>
  <c r="L544" i="4" s="1"/>
  <c r="F541" i="7"/>
  <c r="K538" i="8"/>
  <c r="L538" i="8" s="1"/>
  <c r="M538" i="8" s="1"/>
  <c r="K537" i="9"/>
  <c r="L537" i="9" s="1"/>
  <c r="H532" i="5"/>
  <c r="F532" i="3"/>
  <c r="M532" i="3" s="1"/>
  <c r="J541" i="7"/>
  <c r="J542" i="7" s="1"/>
  <c r="B596" i="1"/>
  <c r="K596" i="1" s="1"/>
  <c r="K541" i="6"/>
  <c r="K542" i="6" s="1"/>
  <c r="K536" i="9"/>
  <c r="L536" i="9" s="1"/>
  <c r="J532" i="5"/>
  <c r="J534" i="5" s="1"/>
  <c r="F541" i="6"/>
  <c r="K547" i="3"/>
  <c r="L547" i="3" s="1"/>
  <c r="K531" i="5"/>
  <c r="L531" i="5" s="1"/>
  <c r="K541" i="7"/>
  <c r="K542" i="7" s="1"/>
  <c r="F538" i="6"/>
  <c r="D538" i="6" s="1"/>
  <c r="K532" i="5"/>
  <c r="B538" i="3"/>
  <c r="B542" i="6"/>
  <c r="F537" i="9"/>
  <c r="F550" i="9"/>
  <c r="K551" i="8"/>
  <c r="L551" i="8" s="1"/>
  <c r="M551" i="8" s="1"/>
  <c r="H547" i="3"/>
  <c r="K546" i="5"/>
  <c r="L546" i="5" s="1"/>
  <c r="K537" i="8"/>
  <c r="K551" i="9"/>
  <c r="L551" i="9" s="1"/>
  <c r="M551" i="9" s="1"/>
  <c r="D534" i="4"/>
  <c r="J537" i="8"/>
  <c r="J539" i="8" s="1"/>
  <c r="B601" i="1"/>
  <c r="F601" i="1" s="1"/>
  <c r="F602" i="1" s="1"/>
  <c r="K533" i="2"/>
  <c r="L533" i="2" s="1"/>
  <c r="I541" i="7"/>
  <c r="B57" i="9"/>
  <c r="B59" i="9" s="1"/>
  <c r="H548" i="2"/>
  <c r="D548" i="2"/>
  <c r="H547" i="2"/>
  <c r="D547" i="2"/>
  <c r="D534" i="8"/>
  <c r="H534" i="8"/>
  <c r="D533" i="8"/>
  <c r="H533" i="8"/>
  <c r="H535" i="6"/>
  <c r="D535" i="6"/>
  <c r="D547" i="4"/>
  <c r="H547" i="4"/>
  <c r="B534" i="5"/>
  <c r="K548" i="8"/>
  <c r="L548" i="8" s="1"/>
  <c r="K536" i="7"/>
  <c r="L536" i="7" s="1"/>
  <c r="B542" i="4"/>
  <c r="K548" i="6"/>
  <c r="L548" i="6" s="1"/>
  <c r="K533" i="9"/>
  <c r="L533" i="9" s="1"/>
  <c r="M533" i="9" s="1"/>
  <c r="B552" i="9"/>
  <c r="F536" i="7"/>
  <c r="K528" i="5"/>
  <c r="L528" i="5" s="1"/>
  <c r="M528" i="5" s="1"/>
  <c r="K548" i="2"/>
  <c r="L548" i="2" s="1"/>
  <c r="K547" i="2"/>
  <c r="L547" i="2" s="1"/>
  <c r="M547" i="2" s="1"/>
  <c r="K548" i="9"/>
  <c r="L548" i="9" s="1"/>
  <c r="M548" i="9" s="1"/>
  <c r="F547" i="9"/>
  <c r="H548" i="6"/>
  <c r="J549" i="8"/>
  <c r="B539" i="6"/>
  <c r="K549" i="8"/>
  <c r="B593" i="1"/>
  <c r="F542" i="5"/>
  <c r="K535" i="6"/>
  <c r="L535" i="6" s="1"/>
  <c r="M535" i="6" s="1"/>
  <c r="F536" i="6"/>
  <c r="D536" i="6" s="1"/>
  <c r="B609" i="1"/>
  <c r="F609" i="1" s="1"/>
  <c r="H609" i="1" s="1"/>
  <c r="M547" i="4"/>
  <c r="D543" i="5"/>
  <c r="D550" i="2"/>
  <c r="K533" i="8"/>
  <c r="L533" i="8" s="1"/>
  <c r="M533" i="8" s="1"/>
  <c r="F535" i="7"/>
  <c r="B539" i="8"/>
  <c r="K72" i="5"/>
  <c r="J72" i="5"/>
  <c r="L72" i="5" s="1"/>
  <c r="F72" i="5"/>
  <c r="D540" i="5"/>
  <c r="H540" i="5"/>
  <c r="H546" i="7"/>
  <c r="D546" i="7"/>
  <c r="I598" i="1"/>
  <c r="D534" i="2"/>
  <c r="H534" i="2"/>
  <c r="H548" i="3"/>
  <c r="B542" i="9"/>
  <c r="F550" i="4"/>
  <c r="B598" i="1"/>
  <c r="F598" i="1" s="1"/>
  <c r="H538" i="4"/>
  <c r="F544" i="8"/>
  <c r="J546" i="7"/>
  <c r="D534" i="9"/>
  <c r="B552" i="8"/>
  <c r="K546" i="7"/>
  <c r="B552" i="2"/>
  <c r="D546" i="2"/>
  <c r="J540" i="5"/>
  <c r="J547" i="5" s="1"/>
  <c r="I541" i="9"/>
  <c r="I542" i="9" s="1"/>
  <c r="I553" i="9" s="1"/>
  <c r="B552" i="7"/>
  <c r="B553" i="7" s="1"/>
  <c r="L537" i="7"/>
  <c r="H545" i="6"/>
  <c r="B610" i="1"/>
  <c r="F610" i="1" s="1"/>
  <c r="H610" i="1" s="1"/>
  <c r="H548" i="9"/>
  <c r="B539" i="4"/>
  <c r="K540" i="5"/>
  <c r="K538" i="4"/>
  <c r="L538" i="4" s="1"/>
  <c r="M538" i="4" s="1"/>
  <c r="J541" i="9"/>
  <c r="J542" i="9" s="1"/>
  <c r="J546" i="2"/>
  <c r="K542" i="9"/>
  <c r="L536" i="5"/>
  <c r="I537" i="5"/>
  <c r="I548" i="5" s="1"/>
  <c r="D538" i="8"/>
  <c r="H538" i="8"/>
  <c r="H537" i="8"/>
  <c r="D537" i="8"/>
  <c r="H533" i="5"/>
  <c r="D533" i="5"/>
  <c r="H535" i="4"/>
  <c r="D535" i="4"/>
  <c r="M534" i="4"/>
  <c r="H531" i="5"/>
  <c r="D531" i="5"/>
  <c r="H533" i="9"/>
  <c r="D533" i="9"/>
  <c r="D549" i="8"/>
  <c r="H549" i="8"/>
  <c r="D550" i="6"/>
  <c r="H550" i="6"/>
  <c r="D548" i="8"/>
  <c r="H548" i="8"/>
  <c r="D548" i="7"/>
  <c r="H548" i="7"/>
  <c r="L533" i="7"/>
  <c r="M533" i="7" s="1"/>
  <c r="J593" i="1"/>
  <c r="H544" i="5"/>
  <c r="M535" i="4"/>
  <c r="M548" i="8"/>
  <c r="H152" i="1"/>
  <c r="M180" i="3"/>
  <c r="H180" i="3"/>
  <c r="H420" i="3"/>
  <c r="D657" i="1"/>
  <c r="H657" i="1"/>
  <c r="K463" i="3"/>
  <c r="L463" i="3" s="1"/>
  <c r="D351" i="3"/>
  <c r="H232" i="3"/>
  <c r="J427" i="3"/>
  <c r="L427" i="3" s="1"/>
  <c r="J520" i="3"/>
  <c r="L520" i="3" s="1"/>
  <c r="K387" i="3"/>
  <c r="D249" i="3"/>
  <c r="F419" i="3"/>
  <c r="H419" i="3" s="1"/>
  <c r="D655" i="1"/>
  <c r="M185" i="3"/>
  <c r="F520" i="3"/>
  <c r="F511" i="3"/>
  <c r="H511" i="3" s="1"/>
  <c r="F453" i="3"/>
  <c r="D453" i="3" s="1"/>
  <c r="L692" i="1"/>
  <c r="M692" i="1" s="1"/>
  <c r="I697" i="1"/>
  <c r="L349" i="3"/>
  <c r="I124" i="1"/>
  <c r="M170" i="3"/>
  <c r="F635" i="3"/>
  <c r="H337" i="3"/>
  <c r="K707" i="1"/>
  <c r="H423" i="3"/>
  <c r="K232" i="3"/>
  <c r="L232" i="3" s="1"/>
  <c r="M232" i="3" s="1"/>
  <c r="F479" i="3"/>
  <c r="L699" i="1"/>
  <c r="K437" i="3"/>
  <c r="B606" i="1"/>
  <c r="F606" i="1" s="1"/>
  <c r="H606" i="1" s="1"/>
  <c r="H571" i="3"/>
  <c r="F276" i="3"/>
  <c r="H378" i="3"/>
  <c r="K453" i="3"/>
  <c r="L453" i="3" s="1"/>
  <c r="K319" i="3"/>
  <c r="L319" i="3" s="1"/>
  <c r="M319" i="3" s="1"/>
  <c r="I495" i="3"/>
  <c r="H631" i="3"/>
  <c r="H635" i="3" s="1"/>
  <c r="B257" i="1"/>
  <c r="B600" i="3"/>
  <c r="B649" i="1"/>
  <c r="L153" i="3"/>
  <c r="L154" i="3" s="1"/>
  <c r="B459" i="3"/>
  <c r="J479" i="3"/>
  <c r="L479" i="3" s="1"/>
  <c r="B295" i="1"/>
  <c r="F295" i="1" s="1"/>
  <c r="D295" i="1" s="1"/>
  <c r="B677" i="1"/>
  <c r="H216" i="3"/>
  <c r="H218" i="3" s="1"/>
  <c r="J335" i="3"/>
  <c r="L335" i="3" s="1"/>
  <c r="J276" i="3"/>
  <c r="J387" i="3"/>
  <c r="K462" i="3"/>
  <c r="I294" i="3"/>
  <c r="I302" i="3" s="1"/>
  <c r="I325" i="3" s="1"/>
  <c r="H495" i="3"/>
  <c r="K588" i="3"/>
  <c r="K600" i="3" s="1"/>
  <c r="F502" i="3"/>
  <c r="F458" i="3"/>
  <c r="D458" i="3" s="1"/>
  <c r="D459" i="3" s="1"/>
  <c r="D507" i="3"/>
  <c r="F207" i="3"/>
  <c r="D207" i="3" s="1"/>
  <c r="F425" i="3"/>
  <c r="L675" i="1"/>
  <c r="M675" i="1" s="1"/>
  <c r="F265" i="3"/>
  <c r="D636" i="1"/>
  <c r="D637" i="1"/>
  <c r="D216" i="3"/>
  <c r="D218" i="3" s="1"/>
  <c r="B380" i="3"/>
  <c r="K276" i="3"/>
  <c r="H501" i="3"/>
  <c r="H502" i="3" s="1"/>
  <c r="H475" i="3"/>
  <c r="B465" i="1"/>
  <c r="K207" i="3"/>
  <c r="L207" i="3" s="1"/>
  <c r="M207" i="3" s="1"/>
  <c r="K425" i="3"/>
  <c r="L425" i="3" s="1"/>
  <c r="B571" i="1"/>
  <c r="K265" i="3"/>
  <c r="L265" i="3" s="1"/>
  <c r="M265" i="3" s="1"/>
  <c r="D174" i="3"/>
  <c r="D194" i="1" s="1"/>
  <c r="J495" i="3"/>
  <c r="M378" i="3"/>
  <c r="H598" i="3"/>
  <c r="B190" i="1"/>
  <c r="M144" i="3"/>
  <c r="I415" i="3"/>
  <c r="J501" i="3"/>
  <c r="J502" i="3" s="1"/>
  <c r="F227" i="3"/>
  <c r="J647" i="1"/>
  <c r="K513" i="3"/>
  <c r="L513" i="3" s="1"/>
  <c r="H643" i="3"/>
  <c r="H645" i="3" s="1"/>
  <c r="J646" i="1"/>
  <c r="H174" i="3"/>
  <c r="H194" i="1" s="1"/>
  <c r="K495" i="3"/>
  <c r="D350" i="3"/>
  <c r="I375" i="3"/>
  <c r="I380" i="3" s="1"/>
  <c r="F375" i="3"/>
  <c r="H540" i="3"/>
  <c r="H541" i="3" s="1"/>
  <c r="K415" i="3"/>
  <c r="K416" i="3" s="1"/>
  <c r="D296" i="3"/>
  <c r="I501" i="3"/>
  <c r="I502" i="3" s="1"/>
  <c r="K227" i="3"/>
  <c r="L227" i="3" s="1"/>
  <c r="F513" i="3"/>
  <c r="B517" i="1"/>
  <c r="L418" i="3"/>
  <c r="D621" i="3"/>
  <c r="M174" i="3"/>
  <c r="L471" i="3"/>
  <c r="K625" i="3"/>
  <c r="I660" i="1"/>
  <c r="I661" i="1" s="1"/>
  <c r="I649" i="1"/>
  <c r="B302" i="3"/>
  <c r="L217" i="3"/>
  <c r="M217" i="3" s="1"/>
  <c r="B185" i="1"/>
  <c r="F463" i="3"/>
  <c r="F541" i="3"/>
  <c r="J415" i="3"/>
  <c r="J416" i="3" s="1"/>
  <c r="M674" i="1"/>
  <c r="K545" i="3"/>
  <c r="L545" i="3" s="1"/>
  <c r="F469" i="3"/>
  <c r="B646" i="3"/>
  <c r="H638" i="1"/>
  <c r="D638" i="1"/>
  <c r="D659" i="1"/>
  <c r="H659" i="1"/>
  <c r="H387" i="3"/>
  <c r="D387" i="3"/>
  <c r="D319" i="3"/>
  <c r="H319" i="3"/>
  <c r="D685" i="1"/>
  <c r="H685" i="1"/>
  <c r="D338" i="3"/>
  <c r="D342" i="3" s="1"/>
  <c r="H338" i="3"/>
  <c r="H342" i="3" s="1"/>
  <c r="H517" i="3"/>
  <c r="J422" i="3"/>
  <c r="J492" i="3"/>
  <c r="F471" i="3"/>
  <c r="B356" i="1"/>
  <c r="L277" i="3"/>
  <c r="M277" i="3" s="1"/>
  <c r="B282" i="1"/>
  <c r="J282" i="1" s="1"/>
  <c r="K345" i="3"/>
  <c r="D180" i="3"/>
  <c r="L251" i="3"/>
  <c r="M251" i="3" s="1"/>
  <c r="J516" i="3"/>
  <c r="J237" i="3"/>
  <c r="L237" i="3" s="1"/>
  <c r="F428" i="3"/>
  <c r="I686" i="1"/>
  <c r="I612" i="1"/>
  <c r="H144" i="3"/>
  <c r="D393" i="3"/>
  <c r="K422" i="3"/>
  <c r="K492" i="3"/>
  <c r="B385" i="1"/>
  <c r="B660" i="1"/>
  <c r="B337" i="1"/>
  <c r="K516" i="3"/>
  <c r="J639" i="1"/>
  <c r="F275" i="3"/>
  <c r="F345" i="3"/>
  <c r="J316" i="3"/>
  <c r="L316" i="3" s="1"/>
  <c r="F316" i="3"/>
  <c r="L599" i="3"/>
  <c r="F677" i="1"/>
  <c r="L433" i="3"/>
  <c r="F204" i="3"/>
  <c r="F320" i="3"/>
  <c r="H320" i="3" s="1"/>
  <c r="J275" i="3"/>
  <c r="I345" i="3"/>
  <c r="L345" i="3" s="1"/>
  <c r="J588" i="3"/>
  <c r="L225" i="3"/>
  <c r="M225" i="3" s="1"/>
  <c r="F242" i="1"/>
  <c r="H242" i="1" s="1"/>
  <c r="J320" i="3"/>
  <c r="L320" i="3" s="1"/>
  <c r="K275" i="3"/>
  <c r="D576" i="3"/>
  <c r="H656" i="1"/>
  <c r="H597" i="3"/>
  <c r="H599" i="3" s="1"/>
  <c r="L624" i="3"/>
  <c r="L625" i="3" s="1"/>
  <c r="D144" i="3"/>
  <c r="L159" i="1"/>
  <c r="H360" i="3"/>
  <c r="H615" i="3"/>
  <c r="F355" i="3"/>
  <c r="D355" i="3" s="1"/>
  <c r="M412" i="3"/>
  <c r="L510" i="3"/>
  <c r="L393" i="3"/>
  <c r="M128" i="3"/>
  <c r="D208" i="3"/>
  <c r="K261" i="3"/>
  <c r="B552" i="1"/>
  <c r="L465" i="3"/>
  <c r="B346" i="3"/>
  <c r="L206" i="3"/>
  <c r="M206" i="3" s="1"/>
  <c r="L200" i="1"/>
  <c r="D374" i="3"/>
  <c r="J269" i="3"/>
  <c r="L269" i="3" s="1"/>
  <c r="H228" i="3"/>
  <c r="H377" i="3"/>
  <c r="J153" i="1"/>
  <c r="I213" i="1"/>
  <c r="B283" i="1"/>
  <c r="J283" i="1" s="1"/>
  <c r="D612" i="3"/>
  <c r="D615" i="3" s="1"/>
  <c r="J660" i="1"/>
  <c r="M183" i="3"/>
  <c r="L423" i="3"/>
  <c r="F253" i="3"/>
  <c r="H253" i="3" s="1"/>
  <c r="L466" i="3"/>
  <c r="K253" i="3"/>
  <c r="L253" i="3" s="1"/>
  <c r="M296" i="3"/>
  <c r="H412" i="3"/>
  <c r="J625" i="3"/>
  <c r="F237" i="3"/>
  <c r="F389" i="3"/>
  <c r="L450" i="3"/>
  <c r="J355" i="3"/>
  <c r="L355" i="3" s="1"/>
  <c r="K677" i="1"/>
  <c r="J541" i="3"/>
  <c r="D182" i="3"/>
  <c r="H182" i="3"/>
  <c r="M182" i="3"/>
  <c r="D422" i="3"/>
  <c r="H422" i="3"/>
  <c r="H625" i="1"/>
  <c r="D625" i="1"/>
  <c r="D132" i="3"/>
  <c r="H132" i="3"/>
  <c r="F147" i="1"/>
  <c r="M132" i="3"/>
  <c r="H382" i="3"/>
  <c r="H383" i="3" s="1"/>
  <c r="F383" i="3"/>
  <c r="D382" i="3"/>
  <c r="D383" i="3" s="1"/>
  <c r="M216" i="3"/>
  <c r="L218" i="3"/>
  <c r="D654" i="1"/>
  <c r="H654" i="1"/>
  <c r="F660" i="1"/>
  <c r="M148" i="3"/>
  <c r="D74" i="3"/>
  <c r="M74" i="3"/>
  <c r="H74" i="3"/>
  <c r="H173" i="3"/>
  <c r="D173" i="3"/>
  <c r="M173" i="3"/>
  <c r="H153" i="3"/>
  <c r="D153" i="3"/>
  <c r="D545" i="3"/>
  <c r="H545" i="3"/>
  <c r="H658" i="1"/>
  <c r="D658" i="1"/>
  <c r="M658" i="1"/>
  <c r="H627" i="1"/>
  <c r="D627" i="1"/>
  <c r="H308" i="3"/>
  <c r="D308" i="3"/>
  <c r="D635" i="1"/>
  <c r="H635" i="1"/>
  <c r="L230" i="3"/>
  <c r="M230" i="3" s="1"/>
  <c r="I262" i="3"/>
  <c r="L437" i="3"/>
  <c r="L493" i="3"/>
  <c r="M493" i="3" s="1"/>
  <c r="F644" i="1"/>
  <c r="F639" i="1"/>
  <c r="B263" i="3"/>
  <c r="M585" i="3"/>
  <c r="F588" i="3"/>
  <c r="K497" i="3"/>
  <c r="L497" i="3" s="1"/>
  <c r="K218" i="3"/>
  <c r="B143" i="1"/>
  <c r="D164" i="1"/>
  <c r="B259" i="3"/>
  <c r="J209" i="3"/>
  <c r="H692" i="1"/>
  <c r="L208" i="3"/>
  <c r="M208" i="3" s="1"/>
  <c r="F645" i="3"/>
  <c r="M142" i="3"/>
  <c r="L166" i="1"/>
  <c r="H267" i="3"/>
  <c r="H493" i="3"/>
  <c r="K209" i="3"/>
  <c r="D633" i="1"/>
  <c r="H622" i="3"/>
  <c r="L568" i="3"/>
  <c r="K220" i="3"/>
  <c r="D705" i="1"/>
  <c r="L233" i="3"/>
  <c r="L185" i="1"/>
  <c r="H274" i="3"/>
  <c r="B473" i="3"/>
  <c r="J630" i="1"/>
  <c r="J631" i="1" s="1"/>
  <c r="J220" i="3"/>
  <c r="M654" i="1"/>
  <c r="D543" i="3"/>
  <c r="L467" i="3"/>
  <c r="D455" i="3"/>
  <c r="B187" i="1"/>
  <c r="L637" i="1"/>
  <c r="B510" i="1"/>
  <c r="B287" i="1"/>
  <c r="L208" i="1"/>
  <c r="M208" i="1" s="1"/>
  <c r="I167" i="3"/>
  <c r="I177" i="3" s="1"/>
  <c r="I194" i="3" s="1"/>
  <c r="F434" i="3"/>
  <c r="F220" i="3"/>
  <c r="L204" i="1"/>
  <c r="B284" i="1"/>
  <c r="K284" i="1" s="1"/>
  <c r="L284" i="1" s="1"/>
  <c r="M284" i="1" s="1"/>
  <c r="B639" i="1"/>
  <c r="B697" i="1"/>
  <c r="F167" i="3"/>
  <c r="F187" i="1" s="1"/>
  <c r="K434" i="3"/>
  <c r="L434" i="3" s="1"/>
  <c r="M534" i="3"/>
  <c r="B604" i="1"/>
  <c r="F604" i="1" s="1"/>
  <c r="D604" i="1" s="1"/>
  <c r="K153" i="1"/>
  <c r="F342" i="3"/>
  <c r="F254" i="3"/>
  <c r="B380" i="1"/>
  <c r="F380" i="1" s="1"/>
  <c r="D380" i="1" s="1"/>
  <c r="F697" i="1"/>
  <c r="F651" i="1"/>
  <c r="H651" i="1" s="1"/>
  <c r="H652" i="1" s="1"/>
  <c r="J167" i="3"/>
  <c r="J187" i="1" s="1"/>
  <c r="H585" i="3"/>
  <c r="J314" i="3"/>
  <c r="D596" i="3"/>
  <c r="D599" i="3" s="1"/>
  <c r="L209" i="1"/>
  <c r="L163" i="1"/>
  <c r="H61" i="1"/>
  <c r="K254" i="3"/>
  <c r="F615" i="3"/>
  <c r="J306" i="3"/>
  <c r="K566" i="3"/>
  <c r="K578" i="3" s="1"/>
  <c r="H142" i="3"/>
  <c r="J346" i="3"/>
  <c r="L452" i="3"/>
  <c r="H461" i="3"/>
  <c r="J218" i="3"/>
  <c r="B282" i="3"/>
  <c r="K543" i="3"/>
  <c r="F599" i="3"/>
  <c r="D421" i="3"/>
  <c r="B625" i="3"/>
  <c r="I677" i="1"/>
  <c r="D53" i="3"/>
  <c r="K50" i="3"/>
  <c r="B55" i="1"/>
  <c r="H314" i="3"/>
  <c r="D183" i="3"/>
  <c r="J543" i="3"/>
  <c r="K380" i="3"/>
  <c r="B324" i="3"/>
  <c r="L274" i="3"/>
  <c r="B207" i="1"/>
  <c r="B628" i="1"/>
  <c r="D534" i="3"/>
  <c r="D75" i="1"/>
  <c r="H55" i="1"/>
  <c r="I80" i="1"/>
  <c r="B60" i="1"/>
  <c r="K72" i="2"/>
  <c r="B52" i="1"/>
  <c r="J46" i="9"/>
  <c r="J53" i="4"/>
  <c r="L53" i="4" s="1"/>
  <c r="K49" i="4"/>
  <c r="K46" i="6"/>
  <c r="L50" i="7"/>
  <c r="M50" i="7" s="1"/>
  <c r="I47" i="7"/>
  <c r="L65" i="8"/>
  <c r="M65" i="8" s="1"/>
  <c r="D224" i="3"/>
  <c r="H224" i="3"/>
  <c r="D227" i="2"/>
  <c r="D238" i="5"/>
  <c r="H238" i="5"/>
  <c r="L427" i="1"/>
  <c r="M426" i="1"/>
  <c r="H435" i="7"/>
  <c r="L502" i="8"/>
  <c r="F194" i="2"/>
  <c r="M180" i="2"/>
  <c r="D180" i="2"/>
  <c r="F194" i="8"/>
  <c r="F195" i="8" s="1"/>
  <c r="D224" i="6"/>
  <c r="H224" i="6"/>
  <c r="H357" i="4"/>
  <c r="D357" i="4"/>
  <c r="D579" i="6"/>
  <c r="I460" i="8"/>
  <c r="I483" i="8" s="1"/>
  <c r="B296" i="1"/>
  <c r="F267" i="6"/>
  <c r="B283" i="6"/>
  <c r="D546" i="9"/>
  <c r="H546" i="9"/>
  <c r="L567" i="2"/>
  <c r="M565" i="2"/>
  <c r="M572" i="9"/>
  <c r="L633" i="1"/>
  <c r="L578" i="9"/>
  <c r="L600" i="9"/>
  <c r="M599" i="9"/>
  <c r="L659" i="1"/>
  <c r="L589" i="8"/>
  <c r="L644" i="1"/>
  <c r="D626" i="8"/>
  <c r="L567" i="8"/>
  <c r="L579" i="8" s="1"/>
  <c r="M566" i="8"/>
  <c r="H427" i="3"/>
  <c r="D427" i="3"/>
  <c r="H436" i="8"/>
  <c r="D436" i="8"/>
  <c r="D409" i="7"/>
  <c r="H409" i="7"/>
  <c r="M227" i="5"/>
  <c r="K262" i="7"/>
  <c r="J262" i="7"/>
  <c r="J264" i="7" s="1"/>
  <c r="B264" i="7"/>
  <c r="I262" i="7"/>
  <c r="D180" i="6"/>
  <c r="H180" i="6"/>
  <c r="J283" i="6"/>
  <c r="I343" i="6"/>
  <c r="I363" i="6" s="1"/>
  <c r="L337" i="6"/>
  <c r="H171" i="6"/>
  <c r="M171" i="6"/>
  <c r="D171" i="6"/>
  <c r="I343" i="8"/>
  <c r="I363" i="8" s="1"/>
  <c r="L337" i="8"/>
  <c r="M337" i="8" s="1"/>
  <c r="D407" i="8"/>
  <c r="H407" i="8"/>
  <c r="D312" i="7"/>
  <c r="H312" i="7"/>
  <c r="D452" i="9"/>
  <c r="L374" i="3"/>
  <c r="H409" i="4"/>
  <c r="D409" i="4"/>
  <c r="L155" i="6"/>
  <c r="M180" i="6"/>
  <c r="H315" i="7"/>
  <c r="I503" i="4"/>
  <c r="M222" i="9"/>
  <c r="L139" i="9"/>
  <c r="M127" i="9"/>
  <c r="H450" i="2"/>
  <c r="D462" i="2"/>
  <c r="H207" i="7"/>
  <c r="H377" i="4"/>
  <c r="F503" i="9"/>
  <c r="H502" i="9"/>
  <c r="H503" i="9" s="1"/>
  <c r="D502" i="9"/>
  <c r="D503" i="9" s="1"/>
  <c r="H276" i="4"/>
  <c r="H429" i="8"/>
  <c r="D429" i="8"/>
  <c r="J388" i="3"/>
  <c r="K388" i="3"/>
  <c r="M217" i="7"/>
  <c r="L219" i="7"/>
  <c r="D189" i="1"/>
  <c r="D223" i="7"/>
  <c r="H223" i="7"/>
  <c r="D272" i="4"/>
  <c r="H272" i="4"/>
  <c r="M272" i="4"/>
  <c r="D517" i="4"/>
  <c r="F450" i="9"/>
  <c r="J450" i="9"/>
  <c r="K450" i="9"/>
  <c r="B504" i="1"/>
  <c r="B457" i="9"/>
  <c r="B264" i="6"/>
  <c r="I263" i="6"/>
  <c r="J263" i="6"/>
  <c r="J264" i="6" s="1"/>
  <c r="F302" i="3"/>
  <c r="D295" i="3"/>
  <c r="H295" i="3"/>
  <c r="D516" i="3"/>
  <c r="H516" i="3"/>
  <c r="H386" i="4"/>
  <c r="J417" i="9"/>
  <c r="D313" i="8"/>
  <c r="H313" i="8"/>
  <c r="D267" i="2"/>
  <c r="H267" i="2"/>
  <c r="M684" i="1"/>
  <c r="D391" i="4"/>
  <c r="H391" i="4"/>
  <c r="J195" i="4"/>
  <c r="L310" i="3"/>
  <c r="H537" i="3"/>
  <c r="D537" i="3"/>
  <c r="M537" i="3"/>
  <c r="M374" i="4"/>
  <c r="M250" i="6"/>
  <c r="H475" i="5"/>
  <c r="D167" i="8"/>
  <c r="H167" i="8"/>
  <c r="L312" i="5"/>
  <c r="D250" i="6"/>
  <c r="L297" i="8"/>
  <c r="M297" i="8" s="1"/>
  <c r="D476" i="7"/>
  <c r="D494" i="9"/>
  <c r="J417" i="7"/>
  <c r="M238" i="5"/>
  <c r="F262" i="7"/>
  <c r="K178" i="2"/>
  <c r="K195" i="2" s="1"/>
  <c r="L174" i="2"/>
  <c r="K222" i="2"/>
  <c r="F222" i="2"/>
  <c r="B239" i="2"/>
  <c r="K263" i="9"/>
  <c r="K264" i="9" s="1"/>
  <c r="I263" i="9"/>
  <c r="B264" i="9"/>
  <c r="B284" i="9" s="1"/>
  <c r="J263" i="9"/>
  <c r="J264" i="9" s="1"/>
  <c r="L266" i="8"/>
  <c r="H269" i="4"/>
  <c r="D269" i="4"/>
  <c r="L536" i="2"/>
  <c r="I539" i="2"/>
  <c r="I596" i="1"/>
  <c r="L504" i="3"/>
  <c r="H274" i="7"/>
  <c r="D274" i="7"/>
  <c r="I260" i="6"/>
  <c r="L251" i="6"/>
  <c r="M251" i="6" s="1"/>
  <c r="D282" i="2"/>
  <c r="H282" i="2"/>
  <c r="D296" i="4"/>
  <c r="F305" i="4"/>
  <c r="I342" i="3"/>
  <c r="H205" i="2"/>
  <c r="M336" i="5"/>
  <c r="L349" i="5"/>
  <c r="H261" i="3"/>
  <c r="L493" i="8"/>
  <c r="M294" i="7"/>
  <c r="H255" i="1"/>
  <c r="D264" i="4"/>
  <c r="D165" i="3"/>
  <c r="M233" i="8"/>
  <c r="D233" i="8"/>
  <c r="H233" i="8"/>
  <c r="D284" i="5"/>
  <c r="D268" i="4"/>
  <c r="H268" i="4"/>
  <c r="F264" i="6"/>
  <c r="H423" i="5"/>
  <c r="D423" i="5"/>
  <c r="D408" i="7"/>
  <c r="H408" i="7"/>
  <c r="L477" i="8"/>
  <c r="B344" i="4"/>
  <c r="F307" i="2"/>
  <c r="F648" i="1"/>
  <c r="H588" i="6"/>
  <c r="H589" i="6" s="1"/>
  <c r="F589" i="6"/>
  <c r="M588" i="6"/>
  <c r="L497" i="8"/>
  <c r="K502" i="5"/>
  <c r="L502" i="5" s="1"/>
  <c r="M502" i="5" s="1"/>
  <c r="B479" i="5"/>
  <c r="B532" i="1"/>
  <c r="K475" i="5"/>
  <c r="K479" i="5" s="1"/>
  <c r="J475" i="5"/>
  <c r="D464" i="7"/>
  <c r="H385" i="8"/>
  <c r="D385" i="8"/>
  <c r="L419" i="4"/>
  <c r="K362" i="9"/>
  <c r="D407" i="7"/>
  <c r="F414" i="7"/>
  <c r="D310" i="7"/>
  <c r="H310" i="7"/>
  <c r="M310" i="7"/>
  <c r="L193" i="9"/>
  <c r="K194" i="9"/>
  <c r="K195" i="9" s="1"/>
  <c r="D232" i="9"/>
  <c r="H232" i="9"/>
  <c r="M168" i="4"/>
  <c r="L349" i="8"/>
  <c r="M340" i="4"/>
  <c r="D419" i="6"/>
  <c r="H382" i="4"/>
  <c r="H383" i="4" s="1"/>
  <c r="D349" i="5"/>
  <c r="K460" i="9"/>
  <c r="M268" i="4"/>
  <c r="B199" i="1"/>
  <c r="B194" i="6"/>
  <c r="F181" i="3"/>
  <c r="B201" i="1"/>
  <c r="D168" i="5"/>
  <c r="D354" i="4"/>
  <c r="H354" i="4"/>
  <c r="L345" i="5"/>
  <c r="K347" i="5"/>
  <c r="L309" i="7"/>
  <c r="D630" i="1"/>
  <c r="D631" i="1" s="1"/>
  <c r="H630" i="1"/>
  <c r="H631" i="1" s="1"/>
  <c r="I237" i="8"/>
  <c r="H283" i="5"/>
  <c r="H284" i="5" s="1"/>
  <c r="M267" i="9"/>
  <c r="D267" i="9"/>
  <c r="H267" i="9"/>
  <c r="D354" i="9"/>
  <c r="M354" i="9"/>
  <c r="H354" i="9"/>
  <c r="H168" i="7"/>
  <c r="D168" i="7"/>
  <c r="F178" i="7"/>
  <c r="L419" i="8"/>
  <c r="D297" i="5"/>
  <c r="H297" i="5"/>
  <c r="L512" i="4"/>
  <c r="F315" i="5"/>
  <c r="J315" i="5"/>
  <c r="B350" i="1"/>
  <c r="F350" i="1" s="1"/>
  <c r="K315" i="5"/>
  <c r="K316" i="6"/>
  <c r="J316" i="6"/>
  <c r="F316" i="6"/>
  <c r="B325" i="6"/>
  <c r="B351" i="1"/>
  <c r="B323" i="7"/>
  <c r="B325" i="7" s="1"/>
  <c r="N209" i="12"/>
  <c r="N229" i="15"/>
  <c r="B265" i="4"/>
  <c r="B292" i="1" s="1"/>
  <c r="F228" i="8"/>
  <c r="B239" i="8"/>
  <c r="H228" i="7"/>
  <c r="F226" i="7"/>
  <c r="B250" i="1"/>
  <c r="J223" i="7"/>
  <c r="K223" i="7"/>
  <c r="B239" i="7"/>
  <c r="B240" i="7" s="1"/>
  <c r="B247" i="1"/>
  <c r="H221" i="5"/>
  <c r="F229" i="5"/>
  <c r="K229" i="5"/>
  <c r="B253" i="1"/>
  <c r="J229" i="5"/>
  <c r="B224" i="5"/>
  <c r="N287" i="14"/>
  <c r="J231" i="3"/>
  <c r="K231" i="3"/>
  <c r="B256" i="1"/>
  <c r="F231" i="3"/>
  <c r="K224" i="3"/>
  <c r="B249" i="1"/>
  <c r="J224" i="3"/>
  <c r="B221" i="3"/>
  <c r="N287" i="17"/>
  <c r="I414" i="4"/>
  <c r="I440" i="4" s="1"/>
  <c r="L448" i="5"/>
  <c r="M448" i="5" s="1"/>
  <c r="H358" i="9"/>
  <c r="D358" i="9"/>
  <c r="D221" i="9"/>
  <c r="M221" i="9"/>
  <c r="H221" i="9"/>
  <c r="I307" i="6"/>
  <c r="H375" i="4"/>
  <c r="F380" i="4"/>
  <c r="D321" i="2"/>
  <c r="F459" i="6"/>
  <c r="J459" i="6"/>
  <c r="B460" i="6"/>
  <c r="B513" i="1"/>
  <c r="K459" i="6"/>
  <c r="K460" i="6" s="1"/>
  <c r="D387" i="9"/>
  <c r="H387" i="9"/>
  <c r="J388" i="8"/>
  <c r="K388" i="8"/>
  <c r="K396" i="8" s="1"/>
  <c r="F388" i="8"/>
  <c r="B396" i="8"/>
  <c r="F510" i="8"/>
  <c r="J510" i="8"/>
  <c r="K510" i="8"/>
  <c r="B569" i="1"/>
  <c r="B515" i="8"/>
  <c r="N13" i="11"/>
  <c r="B495" i="8"/>
  <c r="D644" i="8"/>
  <c r="D646" i="8" s="1"/>
  <c r="H644" i="8"/>
  <c r="H646" i="8" s="1"/>
  <c r="H633" i="8"/>
  <c r="F636" i="8"/>
  <c r="F647" i="8" s="1"/>
  <c r="D633" i="8"/>
  <c r="J579" i="8"/>
  <c r="B521" i="7"/>
  <c r="N35" i="12"/>
  <c r="D511" i="7"/>
  <c r="D634" i="7"/>
  <c r="H634" i="7"/>
  <c r="F636" i="7"/>
  <c r="F479" i="6"/>
  <c r="J479" i="6"/>
  <c r="K479" i="6"/>
  <c r="B533" i="1"/>
  <c r="J505" i="6"/>
  <c r="D544" i="6"/>
  <c r="H544" i="6"/>
  <c r="L459" i="5"/>
  <c r="F492" i="5"/>
  <c r="I492" i="5"/>
  <c r="K492" i="5"/>
  <c r="J492" i="5"/>
  <c r="H594" i="5"/>
  <c r="H595" i="5" s="1"/>
  <c r="K635" i="1"/>
  <c r="K639" i="1" s="1"/>
  <c r="L568" i="5"/>
  <c r="K572" i="5"/>
  <c r="J468" i="4"/>
  <c r="B522" i="1"/>
  <c r="K468" i="4"/>
  <c r="B465" i="4"/>
  <c r="N65" i="15"/>
  <c r="J517" i="4"/>
  <c r="K517" i="4"/>
  <c r="B522" i="4"/>
  <c r="F636" i="4"/>
  <c r="H631" i="4"/>
  <c r="H636" i="4" s="1"/>
  <c r="H647" i="4" s="1"/>
  <c r="D631" i="4"/>
  <c r="D636" i="4" s="1"/>
  <c r="F548" i="4"/>
  <c r="K548" i="4"/>
  <c r="L548" i="4" s="1"/>
  <c r="B608" i="1"/>
  <c r="F608" i="1" s="1"/>
  <c r="B552" i="4"/>
  <c r="K545" i="4"/>
  <c r="L545" i="4" s="1"/>
  <c r="F545" i="4"/>
  <c r="B605" i="1"/>
  <c r="J478" i="3"/>
  <c r="K478" i="3"/>
  <c r="F478" i="3"/>
  <c r="B518" i="3"/>
  <c r="N35" i="17"/>
  <c r="B494" i="3"/>
  <c r="N13" i="17"/>
  <c r="H563" i="3"/>
  <c r="H566" i="3" s="1"/>
  <c r="F566" i="3"/>
  <c r="D563" i="3"/>
  <c r="D566" i="3" s="1"/>
  <c r="K550" i="3"/>
  <c r="L550" i="3" s="1"/>
  <c r="B611" i="1"/>
  <c r="F611" i="1" s="1"/>
  <c r="F550" i="3"/>
  <c r="B551" i="3"/>
  <c r="F546" i="3"/>
  <c r="B607" i="1"/>
  <c r="F607" i="1" s="1"/>
  <c r="F465" i="2"/>
  <c r="J465" i="2"/>
  <c r="K465" i="2"/>
  <c r="B507" i="2"/>
  <c r="N28" i="16"/>
  <c r="H618" i="2"/>
  <c r="H619" i="2" s="1"/>
  <c r="F619" i="2"/>
  <c r="F626" i="2" s="1"/>
  <c r="D618" i="2"/>
  <c r="D619" i="2" s="1"/>
  <c r="F616" i="2"/>
  <c r="D611" i="2"/>
  <c r="D616" i="2" s="1"/>
  <c r="H611" i="2"/>
  <c r="H578" i="2"/>
  <c r="K697" i="1"/>
  <c r="D646" i="1"/>
  <c r="H646" i="1"/>
  <c r="H626" i="1"/>
  <c r="D626" i="1"/>
  <c r="F628" i="1"/>
  <c r="K424" i="9"/>
  <c r="L424" i="9" s="1"/>
  <c r="F424" i="9"/>
  <c r="H427" i="9"/>
  <c r="D427" i="9"/>
  <c r="B429" i="9"/>
  <c r="N103" i="10"/>
  <c r="I410" i="8"/>
  <c r="K410" i="8"/>
  <c r="J410" i="8"/>
  <c r="F410" i="8"/>
  <c r="B459" i="1"/>
  <c r="B476" i="1"/>
  <c r="K427" i="8"/>
  <c r="F427" i="8"/>
  <c r="J427" i="8"/>
  <c r="J427" i="7"/>
  <c r="K427" i="7"/>
  <c r="F427" i="7"/>
  <c r="F434" i="7"/>
  <c r="K434" i="7"/>
  <c r="K439" i="7" s="1"/>
  <c r="J434" i="7"/>
  <c r="B483" i="1"/>
  <c r="F424" i="6"/>
  <c r="K424" i="6"/>
  <c r="B431" i="6"/>
  <c r="J424" i="6"/>
  <c r="K436" i="6"/>
  <c r="J436" i="6"/>
  <c r="F436" i="6"/>
  <c r="B485" i="1"/>
  <c r="F424" i="5"/>
  <c r="B429" i="5"/>
  <c r="B475" i="1"/>
  <c r="F475" i="1" s="1"/>
  <c r="J427" i="5"/>
  <c r="F427" i="5"/>
  <c r="K436" i="5"/>
  <c r="F436" i="5"/>
  <c r="J436" i="5"/>
  <c r="K409" i="4"/>
  <c r="J409" i="4"/>
  <c r="B458" i="1"/>
  <c r="B425" i="4"/>
  <c r="N103" i="15"/>
  <c r="K428" i="4"/>
  <c r="F428" i="4"/>
  <c r="J428" i="4"/>
  <c r="B477" i="1"/>
  <c r="I409" i="3"/>
  <c r="J409" i="3"/>
  <c r="K409" i="3"/>
  <c r="F409" i="3"/>
  <c r="F408" i="2"/>
  <c r="J408" i="2"/>
  <c r="K408" i="2"/>
  <c r="J411" i="2"/>
  <c r="L411" i="2" s="1"/>
  <c r="B460" i="1"/>
  <c r="F411" i="2"/>
  <c r="B373" i="9"/>
  <c r="N124" i="10"/>
  <c r="F394" i="9"/>
  <c r="J394" i="9"/>
  <c r="K394" i="9"/>
  <c r="B438" i="1"/>
  <c r="B396" i="9"/>
  <c r="K391" i="8"/>
  <c r="J391" i="8"/>
  <c r="F391" i="8"/>
  <c r="B435" i="1"/>
  <c r="H387" i="7"/>
  <c r="D387" i="7"/>
  <c r="J373" i="6"/>
  <c r="K373" i="6"/>
  <c r="F373" i="6"/>
  <c r="B381" i="5"/>
  <c r="N127" i="14"/>
  <c r="J386" i="5"/>
  <c r="F386" i="5"/>
  <c r="K386" i="5"/>
  <c r="B431" i="1"/>
  <c r="J377" i="4"/>
  <c r="K377" i="4"/>
  <c r="K388" i="4"/>
  <c r="J388" i="4"/>
  <c r="F388" i="4"/>
  <c r="B392" i="3"/>
  <c r="B395" i="3" s="1"/>
  <c r="N140" i="17"/>
  <c r="F388" i="2"/>
  <c r="J388" i="2"/>
  <c r="K388" i="2"/>
  <c r="N124" i="13"/>
  <c r="B379" i="6"/>
  <c r="B380" i="6" s="1"/>
  <c r="B397" i="6" s="1"/>
  <c r="D377" i="2"/>
  <c r="H377" i="2"/>
  <c r="B338" i="9"/>
  <c r="N153" i="10"/>
  <c r="F357" i="9"/>
  <c r="J357" i="9"/>
  <c r="L357" i="9" s="1"/>
  <c r="B362" i="9"/>
  <c r="H342" i="8"/>
  <c r="D342" i="8"/>
  <c r="B352" i="7"/>
  <c r="N172" i="12"/>
  <c r="F357" i="7"/>
  <c r="K357" i="7"/>
  <c r="L357" i="7" s="1"/>
  <c r="K350" i="6"/>
  <c r="J350" i="6"/>
  <c r="F350" i="6"/>
  <c r="B362" i="6"/>
  <c r="B363" i="6" s="1"/>
  <c r="F357" i="5"/>
  <c r="J357" i="5"/>
  <c r="K357" i="5"/>
  <c r="F341" i="4"/>
  <c r="J341" i="4"/>
  <c r="L341" i="4" s="1"/>
  <c r="I345" i="9"/>
  <c r="B347" i="9"/>
  <c r="F345" i="9"/>
  <c r="B384" i="1"/>
  <c r="J345" i="9"/>
  <c r="J347" i="9" s="1"/>
  <c r="K345" i="9"/>
  <c r="K347" i="9" s="1"/>
  <c r="H355" i="6"/>
  <c r="D355" i="6"/>
  <c r="B358" i="8"/>
  <c r="N172" i="11"/>
  <c r="H362" i="4"/>
  <c r="D362" i="4"/>
  <c r="F315" i="9"/>
  <c r="K315" i="9"/>
  <c r="L315" i="9" s="1"/>
  <c r="B325" i="9"/>
  <c r="B305" i="7"/>
  <c r="N191" i="12"/>
  <c r="B177" i="3"/>
  <c r="J168" i="3"/>
  <c r="H187" i="9"/>
  <c r="H625" i="8"/>
  <c r="K477" i="3"/>
  <c r="B481" i="3"/>
  <c r="L647" i="7"/>
  <c r="J295" i="6"/>
  <c r="I295" i="6"/>
  <c r="F295" i="6"/>
  <c r="M694" i="1"/>
  <c r="M253" i="5"/>
  <c r="L260" i="5"/>
  <c r="H619" i="5"/>
  <c r="D275" i="4"/>
  <c r="H275" i="4"/>
  <c r="L647" i="1"/>
  <c r="M647" i="1" s="1"/>
  <c r="D316" i="5"/>
  <c r="M316" i="5"/>
  <c r="L376" i="4"/>
  <c r="L407" i="7"/>
  <c r="D577" i="3"/>
  <c r="D476" i="5"/>
  <c r="H476" i="5"/>
  <c r="L167" i="7"/>
  <c r="I178" i="7"/>
  <c r="I195" i="7" s="1"/>
  <c r="D454" i="2"/>
  <c r="H454" i="2"/>
  <c r="H464" i="6"/>
  <c r="D321" i="9"/>
  <c r="H321" i="9"/>
  <c r="L336" i="3"/>
  <c r="M336" i="3" s="1"/>
  <c r="M166" i="5"/>
  <c r="H166" i="5"/>
  <c r="D166" i="5"/>
  <c r="D625" i="9"/>
  <c r="J228" i="9"/>
  <c r="F228" i="9"/>
  <c r="B252" i="1"/>
  <c r="H189" i="1"/>
  <c r="J472" i="9"/>
  <c r="K472" i="9"/>
  <c r="K507" i="9"/>
  <c r="J507" i="9"/>
  <c r="F507" i="9"/>
  <c r="B505" i="9"/>
  <c r="N28" i="10"/>
  <c r="B497" i="9"/>
  <c r="N13" i="10"/>
  <c r="L493" i="9"/>
  <c r="J647" i="9"/>
  <c r="H618" i="9"/>
  <c r="H619" i="9" s="1"/>
  <c r="F619" i="9"/>
  <c r="D618" i="9"/>
  <c r="D619" i="9" s="1"/>
  <c r="L673" i="1"/>
  <c r="D574" i="9"/>
  <c r="D578" i="9" s="1"/>
  <c r="H574" i="9"/>
  <c r="H578" i="9" s="1"/>
  <c r="F578" i="9"/>
  <c r="D567" i="9"/>
  <c r="K546" i="9"/>
  <c r="J546" i="9"/>
  <c r="D231" i="9"/>
  <c r="J193" i="1"/>
  <c r="B299" i="1"/>
  <c r="J477" i="3"/>
  <c r="K433" i="6"/>
  <c r="J315" i="7"/>
  <c r="L315" i="7" s="1"/>
  <c r="M315" i="7" s="1"/>
  <c r="H453" i="8"/>
  <c r="H495" i="4"/>
  <c r="M231" i="8"/>
  <c r="B178" i="8"/>
  <c r="B195" i="8" s="1"/>
  <c r="L433" i="8"/>
  <c r="K295" i="6"/>
  <c r="H462" i="3"/>
  <c r="J215" i="2"/>
  <c r="M185" i="9"/>
  <c r="H186" i="2"/>
  <c r="M318" i="5"/>
  <c r="I261" i="3"/>
  <c r="K494" i="9"/>
  <c r="H229" i="2"/>
  <c r="D223" i="3"/>
  <c r="L262" i="9"/>
  <c r="B395" i="1"/>
  <c r="K357" i="4"/>
  <c r="L357" i="4" s="1"/>
  <c r="H316" i="5"/>
  <c r="L646" i="1"/>
  <c r="M646" i="1" s="1"/>
  <c r="D460" i="5"/>
  <c r="L172" i="4"/>
  <c r="H357" i="3"/>
  <c r="D493" i="7"/>
  <c r="B239" i="9"/>
  <c r="B240" i="9" s="1"/>
  <c r="D346" i="6"/>
  <c r="H298" i="4"/>
  <c r="B188" i="1"/>
  <c r="M224" i="9"/>
  <c r="D208" i="1"/>
  <c r="B214" i="3"/>
  <c r="J204" i="3"/>
  <c r="J260" i="8"/>
  <c r="L268" i="9"/>
  <c r="L424" i="8"/>
  <c r="M565" i="9"/>
  <c r="H644" i="9"/>
  <c r="H646" i="9" s="1"/>
  <c r="B457" i="2"/>
  <c r="K573" i="5"/>
  <c r="B526" i="1"/>
  <c r="L312" i="8"/>
  <c r="L416" i="8"/>
  <c r="L417" i="8" s="1"/>
  <c r="B535" i="1"/>
  <c r="H589" i="8"/>
  <c r="D355" i="4"/>
  <c r="H355" i="4"/>
  <c r="H538" i="2"/>
  <c r="D538" i="2"/>
  <c r="K469" i="9"/>
  <c r="L407" i="9"/>
  <c r="H193" i="5"/>
  <c r="D193" i="5"/>
  <c r="I217" i="4"/>
  <c r="I242" i="4" s="1"/>
  <c r="M168" i="7"/>
  <c r="H616" i="8"/>
  <c r="M377" i="2"/>
  <c r="H389" i="6"/>
  <c r="D389" i="6"/>
  <c r="H386" i="3"/>
  <c r="H551" i="6"/>
  <c r="D551" i="6"/>
  <c r="D305" i="6"/>
  <c r="H305" i="6"/>
  <c r="H307" i="6" s="1"/>
  <c r="L431" i="5"/>
  <c r="D411" i="6"/>
  <c r="H411" i="6"/>
  <c r="H294" i="3"/>
  <c r="D294" i="3"/>
  <c r="K385" i="5"/>
  <c r="J385" i="5"/>
  <c r="F385" i="5"/>
  <c r="D467" i="8"/>
  <c r="H467" i="8"/>
  <c r="F517" i="8"/>
  <c r="K517" i="8"/>
  <c r="J506" i="8"/>
  <c r="K506" i="8"/>
  <c r="B565" i="1"/>
  <c r="H551" i="8"/>
  <c r="D551" i="8"/>
  <c r="F546" i="8"/>
  <c r="J546" i="8"/>
  <c r="L546" i="8" s="1"/>
  <c r="F466" i="7"/>
  <c r="K466" i="7"/>
  <c r="J466" i="7"/>
  <c r="B520" i="1"/>
  <c r="J454" i="7"/>
  <c r="K454" i="7"/>
  <c r="F454" i="7"/>
  <c r="B497" i="7"/>
  <c r="N13" i="12"/>
  <c r="H644" i="7"/>
  <c r="H646" i="7" s="1"/>
  <c r="F646" i="7"/>
  <c r="D644" i="7"/>
  <c r="D646" i="7" s="1"/>
  <c r="F549" i="7"/>
  <c r="J549" i="7"/>
  <c r="H471" i="6"/>
  <c r="D471" i="6"/>
  <c r="K452" i="6"/>
  <c r="L452" i="6" s="1"/>
  <c r="B457" i="6"/>
  <c r="K549" i="6"/>
  <c r="F549" i="6"/>
  <c r="J549" i="6"/>
  <c r="B552" i="6"/>
  <c r="F477" i="5"/>
  <c r="B534" i="1"/>
  <c r="B507" i="5"/>
  <c r="N28" i="14"/>
  <c r="L501" i="5"/>
  <c r="D528" i="5"/>
  <c r="H528" i="5"/>
  <c r="J520" i="4"/>
  <c r="F520" i="4"/>
  <c r="B579" i="1"/>
  <c r="K520" i="4"/>
  <c r="K494" i="4"/>
  <c r="F494" i="4"/>
  <c r="J494" i="4"/>
  <c r="F639" i="4"/>
  <c r="D638" i="4"/>
  <c r="D639" i="4" s="1"/>
  <c r="H564" i="4"/>
  <c r="H567" i="4" s="1"/>
  <c r="F567" i="4"/>
  <c r="F579" i="4" s="1"/>
  <c r="D564" i="4"/>
  <c r="D567" i="4" s="1"/>
  <c r="F480" i="3"/>
  <c r="K480" i="3"/>
  <c r="L480" i="3" s="1"/>
  <c r="K451" i="3"/>
  <c r="I451" i="3"/>
  <c r="F451" i="3"/>
  <c r="F449" i="3"/>
  <c r="J449" i="3"/>
  <c r="B456" i="3"/>
  <c r="F496" i="3"/>
  <c r="K496" i="3"/>
  <c r="L496" i="3" s="1"/>
  <c r="F624" i="3"/>
  <c r="D620" i="3"/>
  <c r="H620" i="3"/>
  <c r="D590" i="3"/>
  <c r="D591" i="3" s="1"/>
  <c r="H590" i="3"/>
  <c r="H591" i="3" s="1"/>
  <c r="D583" i="3"/>
  <c r="D588" i="3" s="1"/>
  <c r="H583" i="3"/>
  <c r="H572" i="3"/>
  <c r="H577" i="3" s="1"/>
  <c r="F577" i="3"/>
  <c r="L564" i="3"/>
  <c r="J566" i="3"/>
  <c r="J578" i="3" s="1"/>
  <c r="J479" i="2"/>
  <c r="K479" i="2"/>
  <c r="N73" i="16"/>
  <c r="F471" i="2"/>
  <c r="K471" i="2"/>
  <c r="L471" i="2" s="1"/>
  <c r="H644" i="2"/>
  <c r="D644" i="2"/>
  <c r="D641" i="2"/>
  <c r="F646" i="2"/>
  <c r="F647" i="2" s="1"/>
  <c r="H641" i="2"/>
  <c r="H646" i="2" s="1"/>
  <c r="H647" i="2" s="1"/>
  <c r="L636" i="2"/>
  <c r="L647" i="2" s="1"/>
  <c r="K549" i="2"/>
  <c r="F549" i="2"/>
  <c r="F702" i="1"/>
  <c r="B707" i="1"/>
  <c r="F683" i="1"/>
  <c r="B686" i="1"/>
  <c r="H675" i="1"/>
  <c r="D675" i="1"/>
  <c r="H674" i="1"/>
  <c r="D674" i="1"/>
  <c r="H673" i="1"/>
  <c r="D673" i="1"/>
  <c r="J421" i="9"/>
  <c r="K421" i="9"/>
  <c r="D423" i="9"/>
  <c r="H423" i="9"/>
  <c r="K408" i="8"/>
  <c r="F408" i="8"/>
  <c r="J408" i="8"/>
  <c r="B414" i="8"/>
  <c r="B457" i="1"/>
  <c r="N103" i="11"/>
  <c r="B421" i="8"/>
  <c r="J423" i="7"/>
  <c r="B472" i="1"/>
  <c r="B431" i="7"/>
  <c r="H426" i="7"/>
  <c r="M426" i="7"/>
  <c r="D426" i="7"/>
  <c r="J437" i="7"/>
  <c r="L437" i="7" s="1"/>
  <c r="F437" i="7"/>
  <c r="B486" i="1"/>
  <c r="J411" i="6"/>
  <c r="K411" i="6"/>
  <c r="B414" i="6"/>
  <c r="K434" i="6"/>
  <c r="J434" i="6"/>
  <c r="H417" i="5"/>
  <c r="D417" i="5"/>
  <c r="F407" i="4"/>
  <c r="B456" i="1"/>
  <c r="B414" i="4"/>
  <c r="J407" i="4"/>
  <c r="D424" i="4"/>
  <c r="H424" i="4"/>
  <c r="F407" i="3"/>
  <c r="J407" i="3"/>
  <c r="K407" i="3"/>
  <c r="B413" i="3"/>
  <c r="F437" i="3"/>
  <c r="B438" i="3"/>
  <c r="D436" i="2"/>
  <c r="H436" i="2"/>
  <c r="D411" i="5"/>
  <c r="H411" i="5"/>
  <c r="B373" i="8"/>
  <c r="N124" i="11"/>
  <c r="F375" i="8"/>
  <c r="J375" i="8"/>
  <c r="I375" i="8"/>
  <c r="B419" i="1"/>
  <c r="K375" i="8"/>
  <c r="F374" i="7"/>
  <c r="B418" i="1"/>
  <c r="I374" i="7"/>
  <c r="J389" i="7"/>
  <c r="B396" i="7"/>
  <c r="B397" i="7" s="1"/>
  <c r="K389" i="7"/>
  <c r="B434" i="1"/>
  <c r="F434" i="1" s="1"/>
  <c r="F390" i="6"/>
  <c r="B420" i="1"/>
  <c r="J375" i="5"/>
  <c r="F390" i="5"/>
  <c r="J390" i="5"/>
  <c r="K390" i="5"/>
  <c r="K375" i="4"/>
  <c r="I375" i="4"/>
  <c r="B380" i="4"/>
  <c r="B397" i="4" s="1"/>
  <c r="F385" i="3"/>
  <c r="K385" i="3"/>
  <c r="L385" i="3" s="1"/>
  <c r="K390" i="3"/>
  <c r="F390" i="3"/>
  <c r="J386" i="2"/>
  <c r="F386" i="2"/>
  <c r="D378" i="7"/>
  <c r="H378" i="7"/>
  <c r="M378" i="7"/>
  <c r="L337" i="9"/>
  <c r="B336" i="8"/>
  <c r="N153" i="11"/>
  <c r="B337" i="7"/>
  <c r="N153" i="12"/>
  <c r="H351" i="7"/>
  <c r="D351" i="7"/>
  <c r="J355" i="7"/>
  <c r="K355" i="7"/>
  <c r="F355" i="7"/>
  <c r="F356" i="6"/>
  <c r="J356" i="6"/>
  <c r="K356" i="6"/>
  <c r="N172" i="17"/>
  <c r="B352" i="3"/>
  <c r="K357" i="3"/>
  <c r="J357" i="3"/>
  <c r="B350" i="2"/>
  <c r="B389" i="1" s="1"/>
  <c r="N172" i="16"/>
  <c r="H346" i="5"/>
  <c r="H347" i="5" s="1"/>
  <c r="D346" i="5"/>
  <c r="J348" i="3"/>
  <c r="F348" i="3"/>
  <c r="J359" i="3"/>
  <c r="F359" i="3"/>
  <c r="K359" i="3"/>
  <c r="B399" i="1"/>
  <c r="F309" i="9"/>
  <c r="K309" i="9"/>
  <c r="J312" i="9"/>
  <c r="K312" i="9"/>
  <c r="F312" i="9"/>
  <c r="F298" i="8"/>
  <c r="B303" i="8"/>
  <c r="K296" i="6"/>
  <c r="J296" i="6"/>
  <c r="I296" i="6"/>
  <c r="F296" i="6"/>
  <c r="B296" i="7"/>
  <c r="N187" i="12"/>
  <c r="F307" i="4"/>
  <c r="K307" i="4"/>
  <c r="K309" i="4" s="1"/>
  <c r="I307" i="4"/>
  <c r="J307" i="4"/>
  <c r="J309" i="4" s="1"/>
  <c r="K318" i="8"/>
  <c r="F318" i="8"/>
  <c r="J318" i="8"/>
  <c r="J317" i="2"/>
  <c r="L317" i="2" s="1"/>
  <c r="J312" i="2"/>
  <c r="K312" i="2"/>
  <c r="B325" i="2"/>
  <c r="B326" i="2" s="1"/>
  <c r="B347" i="1"/>
  <c r="J318" i="3"/>
  <c r="F318" i="3"/>
  <c r="K318" i="3"/>
  <c r="K324" i="3" s="1"/>
  <c r="F311" i="3"/>
  <c r="J311" i="3"/>
  <c r="L311" i="3" s="1"/>
  <c r="K317" i="4"/>
  <c r="J317" i="4"/>
  <c r="J324" i="5"/>
  <c r="L324" i="5" s="1"/>
  <c r="F324" i="5"/>
  <c r="B317" i="5"/>
  <c r="B352" i="1" s="1"/>
  <c r="N209" i="14"/>
  <c r="K310" i="6"/>
  <c r="F310" i="6"/>
  <c r="J310" i="6"/>
  <c r="B257" i="2"/>
  <c r="N225" i="16"/>
  <c r="B262" i="2"/>
  <c r="N229" i="16"/>
  <c r="F268" i="2"/>
  <c r="J268" i="2"/>
  <c r="B283" i="2"/>
  <c r="K268" i="2"/>
  <c r="B297" i="1"/>
  <c r="F272" i="2"/>
  <c r="J272" i="2"/>
  <c r="L272" i="2" s="1"/>
  <c r="J281" i="2"/>
  <c r="K281" i="2"/>
  <c r="I250" i="3"/>
  <c r="J250" i="3"/>
  <c r="F250" i="3"/>
  <c r="F262" i="3"/>
  <c r="K262" i="3"/>
  <c r="J268" i="3"/>
  <c r="F268" i="3"/>
  <c r="J270" i="3"/>
  <c r="L270" i="3" s="1"/>
  <c r="B300" i="1"/>
  <c r="F300" i="1" s="1"/>
  <c r="F270" i="3"/>
  <c r="J272" i="3"/>
  <c r="L272" i="3" s="1"/>
  <c r="M272" i="3" s="1"/>
  <c r="B302" i="1"/>
  <c r="F302" i="1" s="1"/>
  <c r="J281" i="3"/>
  <c r="K281" i="3"/>
  <c r="F252" i="4"/>
  <c r="K252" i="4"/>
  <c r="B279" i="1"/>
  <c r="B206" i="8"/>
  <c r="N264" i="11"/>
  <c r="J208" i="7"/>
  <c r="F208" i="7"/>
  <c r="K208" i="7"/>
  <c r="B232" i="1"/>
  <c r="F477" i="3"/>
  <c r="J305" i="2"/>
  <c r="M187" i="9"/>
  <c r="I167" i="8"/>
  <c r="B330" i="1"/>
  <c r="L168" i="6"/>
  <c r="F168" i="3"/>
  <c r="M253" i="8"/>
  <c r="D186" i="2"/>
  <c r="L589" i="9"/>
  <c r="J261" i="3"/>
  <c r="J263" i="3" s="1"/>
  <c r="D254" i="4"/>
  <c r="D465" i="7"/>
  <c r="H393" i="9"/>
  <c r="D347" i="5"/>
  <c r="H429" i="7"/>
  <c r="L219" i="5"/>
  <c r="M282" i="2"/>
  <c r="J178" i="8"/>
  <c r="J195" i="8" s="1"/>
  <c r="M277" i="9"/>
  <c r="D277" i="9"/>
  <c r="H317" i="4"/>
  <c r="F239" i="6"/>
  <c r="H306" i="7"/>
  <c r="D223" i="6"/>
  <c r="M234" i="4"/>
  <c r="M254" i="9"/>
  <c r="L269" i="7"/>
  <c r="B474" i="6"/>
  <c r="K466" i="6"/>
  <c r="D567" i="8"/>
  <c r="D579" i="8" s="1"/>
  <c r="F626" i="9"/>
  <c r="J458" i="3"/>
  <c r="J459" i="3" s="1"/>
  <c r="I458" i="3"/>
  <c r="F567" i="9"/>
  <c r="F472" i="9"/>
  <c r="B523" i="1"/>
  <c r="L350" i="4"/>
  <c r="I552" i="8"/>
  <c r="I553" i="8" s="1"/>
  <c r="F186" i="1"/>
  <c r="F178" i="2"/>
  <c r="H411" i="4"/>
  <c r="B539" i="9"/>
  <c r="D625" i="6"/>
  <c r="F646" i="9"/>
  <c r="F647" i="9" s="1"/>
  <c r="J469" i="9"/>
  <c r="H512" i="6"/>
  <c r="D512" i="6"/>
  <c r="L205" i="6"/>
  <c r="K294" i="5"/>
  <c r="K303" i="5" s="1"/>
  <c r="J294" i="5"/>
  <c r="B474" i="2"/>
  <c r="B474" i="7"/>
  <c r="F462" i="7"/>
  <c r="D473" i="2"/>
  <c r="H210" i="4"/>
  <c r="D210" i="4"/>
  <c r="K172" i="6"/>
  <c r="B191" i="1"/>
  <c r="F172" i="6"/>
  <c r="H418" i="3"/>
  <c r="M219" i="4"/>
  <c r="L221" i="4"/>
  <c r="K505" i="4"/>
  <c r="K515" i="4" s="1"/>
  <c r="J505" i="4"/>
  <c r="F505" i="4"/>
  <c r="M549" i="9"/>
  <c r="D549" i="9"/>
  <c r="M586" i="7"/>
  <c r="L589" i="7"/>
  <c r="D346" i="2"/>
  <c r="H346" i="6"/>
  <c r="I542" i="7"/>
  <c r="L424" i="4"/>
  <c r="M424" i="4" s="1"/>
  <c r="D318" i="7"/>
  <c r="H318" i="7"/>
  <c r="D578" i="4"/>
  <c r="D579" i="4" s="1"/>
  <c r="D266" i="8"/>
  <c r="H266" i="8"/>
  <c r="F457" i="5"/>
  <c r="D456" i="5"/>
  <c r="D457" i="5" s="1"/>
  <c r="L416" i="2"/>
  <c r="L584" i="3"/>
  <c r="K394" i="6"/>
  <c r="F394" i="6"/>
  <c r="L544" i="2"/>
  <c r="J552" i="2"/>
  <c r="K538" i="9"/>
  <c r="H191" i="4"/>
  <c r="H209" i="1" s="1"/>
  <c r="D191" i="4"/>
  <c r="D209" i="1" s="1"/>
  <c r="J470" i="9"/>
  <c r="K470" i="9"/>
  <c r="B465" i="9"/>
  <c r="K454" i="9"/>
  <c r="L454" i="9" s="1"/>
  <c r="F454" i="9"/>
  <c r="F517" i="9"/>
  <c r="J517" i="9"/>
  <c r="B522" i="9"/>
  <c r="K517" i="9"/>
  <c r="B557" i="1"/>
  <c r="K557" i="1" s="1"/>
  <c r="L557" i="1" s="1"/>
  <c r="M557" i="1" s="1"/>
  <c r="K498" i="9"/>
  <c r="L498" i="9" s="1"/>
  <c r="M498" i="9" s="1"/>
  <c r="L646" i="9"/>
  <c r="L703" i="1"/>
  <c r="L696" i="1"/>
  <c r="M696" i="1" s="1"/>
  <c r="L636" i="9"/>
  <c r="D613" i="9"/>
  <c r="D616" i="9" s="1"/>
  <c r="H613" i="9"/>
  <c r="H616" i="9" s="1"/>
  <c r="F570" i="9"/>
  <c r="D569" i="9"/>
  <c r="D570" i="9" s="1"/>
  <c r="M569" i="9"/>
  <c r="H569" i="9"/>
  <c r="H570" i="9" s="1"/>
  <c r="L566" i="9"/>
  <c r="J567" i="9"/>
  <c r="J579" i="9" s="1"/>
  <c r="H565" i="9"/>
  <c r="H567" i="9" s="1"/>
  <c r="L563" i="9"/>
  <c r="K624" i="1"/>
  <c r="K567" i="9"/>
  <c r="K579" i="9" s="1"/>
  <c r="D536" i="9"/>
  <c r="K534" i="9"/>
  <c r="B594" i="1"/>
  <c r="K472" i="8"/>
  <c r="F472" i="8"/>
  <c r="J472" i="8"/>
  <c r="K469" i="8"/>
  <c r="F469" i="8"/>
  <c r="J469" i="8"/>
  <c r="J467" i="8"/>
  <c r="L467" i="8" s="1"/>
  <c r="M467" i="8" s="1"/>
  <c r="B521" i="1"/>
  <c r="K464" i="8"/>
  <c r="F464" i="8"/>
  <c r="J462" i="8"/>
  <c r="F462" i="8"/>
  <c r="K452" i="8"/>
  <c r="J452" i="8"/>
  <c r="F452" i="8"/>
  <c r="B457" i="8"/>
  <c r="F478" i="9"/>
  <c r="K478" i="9"/>
  <c r="J478" i="9"/>
  <c r="K451" i="9"/>
  <c r="B505" i="1"/>
  <c r="J451" i="9"/>
  <c r="F509" i="9"/>
  <c r="K509" i="9"/>
  <c r="L509" i="9" s="1"/>
  <c r="L545" i="9"/>
  <c r="J480" i="8"/>
  <c r="F480" i="8"/>
  <c r="K480" i="8"/>
  <c r="J478" i="8"/>
  <c r="F478" i="8"/>
  <c r="F473" i="8"/>
  <c r="M473" i="8" s="1"/>
  <c r="J471" i="8"/>
  <c r="K471" i="8"/>
  <c r="B525" i="1"/>
  <c r="D622" i="7"/>
  <c r="D625" i="7" s="1"/>
  <c r="D626" i="7" s="1"/>
  <c r="H622" i="7"/>
  <c r="H625" i="7" s="1"/>
  <c r="J592" i="7"/>
  <c r="J601" i="7" s="1"/>
  <c r="L591" i="7"/>
  <c r="K509" i="6"/>
  <c r="F509" i="6"/>
  <c r="J509" i="6"/>
  <c r="B555" i="1"/>
  <c r="F600" i="6"/>
  <c r="F601" i="6" s="1"/>
  <c r="M499" i="6"/>
  <c r="F465" i="5"/>
  <c r="J465" i="5"/>
  <c r="L465" i="5" s="1"/>
  <c r="L509" i="5"/>
  <c r="K498" i="5"/>
  <c r="K499" i="5" s="1"/>
  <c r="J601" i="4"/>
  <c r="L591" i="4"/>
  <c r="K651" i="1"/>
  <c r="K652" i="1" s="1"/>
  <c r="L462" i="3"/>
  <c r="N28" i="17"/>
  <c r="B506" i="3"/>
  <c r="L635" i="3"/>
  <c r="L646" i="3" s="1"/>
  <c r="I496" i="2"/>
  <c r="J496" i="2"/>
  <c r="K419" i="9"/>
  <c r="F419" i="9"/>
  <c r="J425" i="9"/>
  <c r="K425" i="9"/>
  <c r="K436" i="9"/>
  <c r="F436" i="9"/>
  <c r="K409" i="7"/>
  <c r="K414" i="7" s="1"/>
  <c r="I409" i="7"/>
  <c r="F420" i="7"/>
  <c r="K420" i="7"/>
  <c r="J430" i="6"/>
  <c r="L430" i="6" s="1"/>
  <c r="F430" i="6"/>
  <c r="I408" i="5"/>
  <c r="K408" i="5"/>
  <c r="F438" i="4"/>
  <c r="K438" i="4"/>
  <c r="L438" i="4" s="1"/>
  <c r="K410" i="3"/>
  <c r="F410" i="3"/>
  <c r="J410" i="3"/>
  <c r="N103" i="16"/>
  <c r="B424" i="2"/>
  <c r="K391" i="9"/>
  <c r="L391" i="9" s="1"/>
  <c r="F391" i="9"/>
  <c r="I374" i="6"/>
  <c r="K374" i="6"/>
  <c r="B391" i="5"/>
  <c r="B395" i="5" s="1"/>
  <c r="N140" i="14"/>
  <c r="J376" i="3"/>
  <c r="F376" i="3"/>
  <c r="J382" i="2"/>
  <c r="K382" i="2"/>
  <c r="K383" i="2" s="1"/>
  <c r="F382" i="2"/>
  <c r="B383" i="2"/>
  <c r="D378" i="9"/>
  <c r="H378" i="9"/>
  <c r="M378" i="9"/>
  <c r="F357" i="6"/>
  <c r="K357" i="6"/>
  <c r="L357" i="6" s="1"/>
  <c r="K351" i="5"/>
  <c r="F351" i="5"/>
  <c r="J351" i="5"/>
  <c r="D342" i="4"/>
  <c r="H342" i="4"/>
  <c r="K358" i="4"/>
  <c r="L358" i="4" s="1"/>
  <c r="F358" i="4"/>
  <c r="B339" i="3"/>
  <c r="B379" i="1" s="1"/>
  <c r="N153" i="17"/>
  <c r="I344" i="3"/>
  <c r="F344" i="3"/>
  <c r="K344" i="3"/>
  <c r="B336" i="2"/>
  <c r="N153" i="16"/>
  <c r="H342" i="2"/>
  <c r="D342" i="2"/>
  <c r="H341" i="2"/>
  <c r="D341" i="2"/>
  <c r="J358" i="5"/>
  <c r="K358" i="5"/>
  <c r="D361" i="5"/>
  <c r="H361" i="5"/>
  <c r="K310" i="9"/>
  <c r="J310" i="9"/>
  <c r="K296" i="9"/>
  <c r="J296" i="9"/>
  <c r="D323" i="8"/>
  <c r="H323" i="8"/>
  <c r="M300" i="8"/>
  <c r="D300" i="8"/>
  <c r="K252" i="9"/>
  <c r="K260" i="9" s="1"/>
  <c r="I252" i="9"/>
  <c r="F252" i="9"/>
  <c r="M235" i="4"/>
  <c r="D217" i="5"/>
  <c r="D219" i="5" s="1"/>
  <c r="H217" i="5"/>
  <c r="H219" i="5" s="1"/>
  <c r="K190" i="1"/>
  <c r="D190" i="3"/>
  <c r="F191" i="7"/>
  <c r="B210" i="1"/>
  <c r="M186" i="3"/>
  <c r="H186" i="3"/>
  <c r="F184" i="6"/>
  <c r="B203" i="1"/>
  <c r="F183" i="6"/>
  <c r="B202" i="1"/>
  <c r="B362" i="5"/>
  <c r="J600" i="3"/>
  <c r="B329" i="1"/>
  <c r="F535" i="9"/>
  <c r="B595" i="1"/>
  <c r="K480" i="7"/>
  <c r="K482" i="7" s="1"/>
  <c r="J480" i="7"/>
  <c r="D631" i="7"/>
  <c r="H631" i="7"/>
  <c r="H545" i="7"/>
  <c r="D545" i="7"/>
  <c r="F480" i="6"/>
  <c r="K480" i="6"/>
  <c r="L480" i="6" s="1"/>
  <c r="K511" i="6"/>
  <c r="J511" i="6"/>
  <c r="F511" i="6"/>
  <c r="K493" i="6"/>
  <c r="F493" i="6"/>
  <c r="D611" i="6"/>
  <c r="D616" i="6" s="1"/>
  <c r="F616" i="6"/>
  <c r="F626" i="6" s="1"/>
  <c r="H611" i="6"/>
  <c r="H616" i="6" s="1"/>
  <c r="H626" i="6" s="1"/>
  <c r="D598" i="6"/>
  <c r="D600" i="6" s="1"/>
  <c r="D601" i="6" s="1"/>
  <c r="H598" i="6"/>
  <c r="H600" i="6" s="1"/>
  <c r="J467" i="5"/>
  <c r="K467" i="5"/>
  <c r="F467" i="5"/>
  <c r="J451" i="5"/>
  <c r="L451" i="5" s="1"/>
  <c r="F451" i="5"/>
  <c r="L505" i="5"/>
  <c r="J503" i="5"/>
  <c r="L503" i="5" s="1"/>
  <c r="F503" i="5"/>
  <c r="J490" i="5"/>
  <c r="K490" i="5"/>
  <c r="H469" i="4"/>
  <c r="D469" i="4"/>
  <c r="J463" i="4"/>
  <c r="K463" i="4"/>
  <c r="H622" i="4"/>
  <c r="H625" i="4" s="1"/>
  <c r="H626" i="4" s="1"/>
  <c r="D622" i="4"/>
  <c r="D625" i="4" s="1"/>
  <c r="D626" i="4" s="1"/>
  <c r="K476" i="3"/>
  <c r="F476" i="3"/>
  <c r="J508" i="3"/>
  <c r="K508" i="3"/>
  <c r="F508" i="3"/>
  <c r="D492" i="3"/>
  <c r="H492" i="3"/>
  <c r="D637" i="3"/>
  <c r="D638" i="3" s="1"/>
  <c r="F638" i="3"/>
  <c r="F544" i="3"/>
  <c r="J544" i="3"/>
  <c r="K544" i="3"/>
  <c r="F536" i="3"/>
  <c r="K536" i="3"/>
  <c r="K463" i="2"/>
  <c r="J463" i="2"/>
  <c r="F463" i="2"/>
  <c r="J454" i="2"/>
  <c r="K454" i="2"/>
  <c r="D704" i="1"/>
  <c r="H704" i="1"/>
  <c r="I639" i="1"/>
  <c r="F410" i="9"/>
  <c r="I410" i="9"/>
  <c r="K409" i="8"/>
  <c r="J409" i="8"/>
  <c r="B438" i="8"/>
  <c r="B487" i="1" s="1"/>
  <c r="N111" i="11"/>
  <c r="K429" i="7"/>
  <c r="J429" i="7"/>
  <c r="D426" i="6"/>
  <c r="H426" i="6"/>
  <c r="B433" i="5"/>
  <c r="N111" i="14"/>
  <c r="F430" i="4"/>
  <c r="J430" i="4"/>
  <c r="L430" i="4" s="1"/>
  <c r="B430" i="3"/>
  <c r="J419" i="3"/>
  <c r="J421" i="2"/>
  <c r="F421" i="2"/>
  <c r="L387" i="8"/>
  <c r="F392" i="4"/>
  <c r="J392" i="4"/>
  <c r="K392" i="4"/>
  <c r="J375" i="2"/>
  <c r="I375" i="2"/>
  <c r="H435" i="1"/>
  <c r="D435" i="1"/>
  <c r="K350" i="8"/>
  <c r="J350" i="8"/>
  <c r="H354" i="7"/>
  <c r="D354" i="7"/>
  <c r="K346" i="4"/>
  <c r="K348" i="4" s="1"/>
  <c r="I346" i="4"/>
  <c r="K321" i="9"/>
  <c r="J321" i="9"/>
  <c r="I306" i="2"/>
  <c r="J306" i="2"/>
  <c r="H235" i="4"/>
  <c r="D235" i="4"/>
  <c r="D259" i="9"/>
  <c r="H259" i="9"/>
  <c r="M259" i="9"/>
  <c r="L139" i="6"/>
  <c r="H141" i="6"/>
  <c r="D141" i="6"/>
  <c r="H129" i="7"/>
  <c r="D129" i="7"/>
  <c r="B126" i="9"/>
  <c r="N339" i="10"/>
  <c r="D131" i="9"/>
  <c r="H131" i="9"/>
  <c r="B145" i="9"/>
  <c r="N355" i="10"/>
  <c r="B163" i="1"/>
  <c r="F149" i="9"/>
  <c r="D145" i="8"/>
  <c r="M145" i="8"/>
  <c r="H145" i="8"/>
  <c r="H135" i="7"/>
  <c r="D135" i="7"/>
  <c r="B141" i="7"/>
  <c r="N356" i="12"/>
  <c r="F145" i="7"/>
  <c r="B159" i="1"/>
  <c r="F126" i="6"/>
  <c r="B139" i="6"/>
  <c r="M153" i="4"/>
  <c r="D153" i="4"/>
  <c r="H153" i="4"/>
  <c r="B151" i="3"/>
  <c r="N355" i="17"/>
  <c r="H569" i="5"/>
  <c r="H572" i="5" s="1"/>
  <c r="H573" i="5" s="1"/>
  <c r="D569" i="5"/>
  <c r="D572" i="5" s="1"/>
  <c r="H498" i="4"/>
  <c r="D498" i="4"/>
  <c r="F389" i="9"/>
  <c r="J389" i="9"/>
  <c r="D186" i="6"/>
  <c r="H186" i="6"/>
  <c r="D128" i="5"/>
  <c r="H152" i="4"/>
  <c r="D152" i="4"/>
  <c r="M152" i="4"/>
  <c r="F128" i="2"/>
  <c r="I128" i="2"/>
  <c r="B157" i="1"/>
  <c r="F143" i="2"/>
  <c r="B74" i="7"/>
  <c r="B75" i="7" s="1"/>
  <c r="B147" i="2"/>
  <c r="B155" i="2" s="1"/>
  <c r="F151" i="2"/>
  <c r="B165" i="1"/>
  <c r="H133" i="8"/>
  <c r="D133" i="8"/>
  <c r="F497" i="6"/>
  <c r="B482" i="6"/>
  <c r="M456" i="7"/>
  <c r="B547" i="5"/>
  <c r="D584" i="4"/>
  <c r="D589" i="4" s="1"/>
  <c r="D601" i="4" s="1"/>
  <c r="K551" i="4"/>
  <c r="H563" i="2"/>
  <c r="K511" i="3"/>
  <c r="L511" i="3" s="1"/>
  <c r="K472" i="4"/>
  <c r="K494" i="2"/>
  <c r="K427" i="9"/>
  <c r="F550" i="7"/>
  <c r="F476" i="4"/>
  <c r="M572" i="2"/>
  <c r="L616" i="6"/>
  <c r="L626" i="6" s="1"/>
  <c r="F506" i="5"/>
  <c r="J506" i="5"/>
  <c r="L506" i="5" s="1"/>
  <c r="J467" i="2"/>
  <c r="K467" i="2"/>
  <c r="L455" i="2"/>
  <c r="M455" i="2" s="1"/>
  <c r="L437" i="8"/>
  <c r="K422" i="6"/>
  <c r="F422" i="6"/>
  <c r="L405" i="5"/>
  <c r="F426" i="4"/>
  <c r="K426" i="4"/>
  <c r="L426" i="4" s="1"/>
  <c r="D390" i="9"/>
  <c r="H390" i="9"/>
  <c r="K385" i="7"/>
  <c r="F385" i="7"/>
  <c r="J385" i="7"/>
  <c r="J391" i="4"/>
  <c r="K391" i="4"/>
  <c r="K392" i="2"/>
  <c r="J392" i="2"/>
  <c r="F346" i="7"/>
  <c r="K346" i="7"/>
  <c r="L318" i="9"/>
  <c r="J294" i="3"/>
  <c r="K294" i="3"/>
  <c r="K302" i="3" s="1"/>
  <c r="K323" i="2"/>
  <c r="J323" i="2"/>
  <c r="F319" i="4"/>
  <c r="K319" i="4"/>
  <c r="L319" i="4" s="1"/>
  <c r="M314" i="2"/>
  <c r="I260" i="5"/>
  <c r="I284" i="5" s="1"/>
  <c r="L195" i="1"/>
  <c r="M176" i="2"/>
  <c r="I241" i="1"/>
  <c r="F241" i="1"/>
  <c r="K241" i="1"/>
  <c r="M146" i="7"/>
  <c r="H146" i="7"/>
  <c r="D146" i="7"/>
  <c r="J495" i="7"/>
  <c r="N28" i="11"/>
  <c r="N48" i="15"/>
  <c r="N35" i="13"/>
  <c r="N73" i="13"/>
  <c r="J511" i="4"/>
  <c r="L511" i="4" s="1"/>
  <c r="F521" i="6"/>
  <c r="M569" i="7"/>
  <c r="K480" i="4"/>
  <c r="N48" i="13"/>
  <c r="H519" i="6"/>
  <c r="F452" i="4"/>
  <c r="F496" i="4"/>
  <c r="F594" i="5"/>
  <c r="F595" i="5" s="1"/>
  <c r="D456" i="7"/>
  <c r="D645" i="1"/>
  <c r="L591" i="8"/>
  <c r="J471" i="6"/>
  <c r="L471" i="6" s="1"/>
  <c r="J436" i="3"/>
  <c r="L436" i="3" s="1"/>
  <c r="F433" i="9"/>
  <c r="D566" i="2"/>
  <c r="D567" i="2" s="1"/>
  <c r="F567" i="2"/>
  <c r="F579" i="2" s="1"/>
  <c r="J472" i="4"/>
  <c r="L472" i="4" s="1"/>
  <c r="M472" i="4" s="1"/>
  <c r="D634" i="2"/>
  <c r="D636" i="2" s="1"/>
  <c r="K473" i="9"/>
  <c r="J478" i="4"/>
  <c r="F497" i="3"/>
  <c r="H613" i="2"/>
  <c r="H576" i="4"/>
  <c r="H578" i="4" s="1"/>
  <c r="K544" i="8"/>
  <c r="L544" i="8" s="1"/>
  <c r="F478" i="5"/>
  <c r="H462" i="1"/>
  <c r="K462" i="9"/>
  <c r="K374" i="5"/>
  <c r="K428" i="3"/>
  <c r="H565" i="2"/>
  <c r="K537" i="2"/>
  <c r="J421" i="6"/>
  <c r="L421" i="6" s="1"/>
  <c r="K508" i="9"/>
  <c r="L508" i="9" s="1"/>
  <c r="F339" i="4"/>
  <c r="J495" i="9"/>
  <c r="J427" i="9"/>
  <c r="D592" i="5"/>
  <c r="D594" i="5" s="1"/>
  <c r="F537" i="2"/>
  <c r="J351" i="9"/>
  <c r="K543" i="5"/>
  <c r="J355" i="5"/>
  <c r="L355" i="5" s="1"/>
  <c r="D513" i="8"/>
  <c r="D643" i="6"/>
  <c r="D646" i="6" s="1"/>
  <c r="D647" i="6" s="1"/>
  <c r="D481" i="6"/>
  <c r="D634" i="9"/>
  <c r="D636" i="9" s="1"/>
  <c r="D647" i="9" s="1"/>
  <c r="H634" i="9"/>
  <c r="H636" i="9" s="1"/>
  <c r="L616" i="9"/>
  <c r="L626" i="9" s="1"/>
  <c r="M574" i="9"/>
  <c r="H632" i="8"/>
  <c r="D632" i="8"/>
  <c r="D636" i="8" s="1"/>
  <c r="H599" i="8"/>
  <c r="H600" i="8" s="1"/>
  <c r="M499" i="7"/>
  <c r="F570" i="6"/>
  <c r="F579" i="6" s="1"/>
  <c r="H569" i="6"/>
  <c r="H570" i="6" s="1"/>
  <c r="K537" i="6"/>
  <c r="F545" i="5"/>
  <c r="D558" i="1"/>
  <c r="H558" i="1"/>
  <c r="L438" i="7"/>
  <c r="L411" i="5"/>
  <c r="M411" i="5" s="1"/>
  <c r="K389" i="9"/>
  <c r="K391" i="2"/>
  <c r="F351" i="9"/>
  <c r="F352" i="5"/>
  <c r="J352" i="5"/>
  <c r="K352" i="5"/>
  <c r="H394" i="1"/>
  <c r="J294" i="9"/>
  <c r="K294" i="9"/>
  <c r="F294" i="9"/>
  <c r="N187" i="17"/>
  <c r="H296" i="5"/>
  <c r="D296" i="5"/>
  <c r="F317" i="7"/>
  <c r="J317" i="7"/>
  <c r="K317" i="7"/>
  <c r="J313" i="7"/>
  <c r="L313" i="7" s="1"/>
  <c r="M313" i="7" s="1"/>
  <c r="K311" i="7"/>
  <c r="J311" i="7"/>
  <c r="K264" i="5"/>
  <c r="K284" i="5" s="1"/>
  <c r="D238" i="8"/>
  <c r="H238" i="8"/>
  <c r="M191" i="4"/>
  <c r="B192" i="3"/>
  <c r="B193" i="3" s="1"/>
  <c r="J241" i="1"/>
  <c r="D129" i="8"/>
  <c r="H129" i="8"/>
  <c r="M217" i="2"/>
  <c r="L498" i="3"/>
  <c r="M498" i="3" s="1"/>
  <c r="D144" i="5"/>
  <c r="H144" i="5"/>
  <c r="D147" i="4"/>
  <c r="M147" i="4"/>
  <c r="D143" i="8"/>
  <c r="H143" i="8"/>
  <c r="M143" i="8"/>
  <c r="M131" i="2"/>
  <c r="D131" i="2"/>
  <c r="H131" i="2"/>
  <c r="F145" i="1"/>
  <c r="F126" i="8"/>
  <c r="B139" i="8"/>
  <c r="L89" i="2"/>
  <c r="H109" i="7"/>
  <c r="D109" i="7"/>
  <c r="D114" i="4"/>
  <c r="B209" i="1"/>
  <c r="L196" i="1"/>
  <c r="M196" i="1" s="1"/>
  <c r="D258" i="1"/>
  <c r="H258" i="1"/>
  <c r="D148" i="7"/>
  <c r="D140" i="3"/>
  <c r="H147" i="4"/>
  <c r="L127" i="8"/>
  <c r="L154" i="5"/>
  <c r="M154" i="5" s="1"/>
  <c r="K155" i="5"/>
  <c r="K156" i="5" s="1"/>
  <c r="H147" i="7"/>
  <c r="M147" i="7"/>
  <c r="H146" i="5"/>
  <c r="M146" i="5"/>
  <c r="H146" i="2"/>
  <c r="M146" i="2"/>
  <c r="D146" i="2"/>
  <c r="H131" i="7"/>
  <c r="D131" i="7"/>
  <c r="M131" i="7"/>
  <c r="F129" i="4"/>
  <c r="F149" i="4"/>
  <c r="B162" i="1"/>
  <c r="K155" i="4"/>
  <c r="J155" i="4"/>
  <c r="J156" i="4" s="1"/>
  <c r="J157" i="4" s="1"/>
  <c r="B168" i="1"/>
  <c r="F126" i="3"/>
  <c r="I126" i="3"/>
  <c r="B141" i="1"/>
  <c r="F142" i="8"/>
  <c r="B155" i="8"/>
  <c r="D146" i="8"/>
  <c r="M146" i="8"/>
  <c r="H146" i="8"/>
  <c r="M131" i="9"/>
  <c r="M133" i="8"/>
  <c r="M129" i="8"/>
  <c r="M148" i="7"/>
  <c r="M133" i="7"/>
  <c r="M129" i="7"/>
  <c r="M141" i="6"/>
  <c r="L165" i="1"/>
  <c r="M151" i="5"/>
  <c r="M147" i="5"/>
  <c r="L140" i="1"/>
  <c r="M149" i="4"/>
  <c r="L160" i="1"/>
  <c r="L156" i="1"/>
  <c r="M141" i="3"/>
  <c r="M135" i="3"/>
  <c r="L150" i="1"/>
  <c r="M150" i="1" s="1"/>
  <c r="L145" i="1"/>
  <c r="M130" i="3"/>
  <c r="L162" i="1"/>
  <c r="M148" i="2"/>
  <c r="L158" i="1"/>
  <c r="M144" i="2"/>
  <c r="L152" i="1"/>
  <c r="M152" i="1" s="1"/>
  <c r="M138" i="2"/>
  <c r="L147" i="1"/>
  <c r="M133" i="2"/>
  <c r="L143" i="1"/>
  <c r="M129" i="2"/>
  <c r="H217" i="2"/>
  <c r="H219" i="2" s="1"/>
  <c r="D217" i="2"/>
  <c r="D219" i="2" s="1"/>
  <c r="F219" i="2"/>
  <c r="M258" i="1"/>
  <c r="M176" i="9"/>
  <c r="H140" i="3"/>
  <c r="D147" i="7"/>
  <c r="H154" i="2"/>
  <c r="M154" i="2"/>
  <c r="D144" i="1"/>
  <c r="F141" i="2"/>
  <c r="M143" i="7"/>
  <c r="D143" i="7"/>
  <c r="H143" i="7"/>
  <c r="D143" i="5"/>
  <c r="F155" i="4"/>
  <c r="M143" i="3"/>
  <c r="D143" i="3"/>
  <c r="H143" i="3"/>
  <c r="H146" i="3"/>
  <c r="M146" i="3"/>
  <c r="F142" i="2"/>
  <c r="B156" i="1"/>
  <c r="F154" i="7"/>
  <c r="K154" i="7"/>
  <c r="D131" i="6"/>
  <c r="H131" i="6"/>
  <c r="D148" i="6"/>
  <c r="M148" i="6"/>
  <c r="H87" i="4"/>
  <c r="D111" i="4"/>
  <c r="H111" i="4"/>
  <c r="N264" i="15"/>
  <c r="B207" i="4"/>
  <c r="K242" i="1"/>
  <c r="I242" i="1"/>
  <c r="L218" i="2"/>
  <c r="M218" i="2" s="1"/>
  <c r="K219" i="2"/>
  <c r="M144" i="4"/>
  <c r="H164" i="1"/>
  <c r="M145" i="5"/>
  <c r="M147" i="3"/>
  <c r="H147" i="3"/>
  <c r="M145" i="2"/>
  <c r="B142" i="4"/>
  <c r="N356" i="15"/>
  <c r="B135" i="3"/>
  <c r="B150" i="1" s="1"/>
  <c r="B145" i="3"/>
  <c r="H127" i="2"/>
  <c r="D127" i="2"/>
  <c r="B136" i="3"/>
  <c r="B151" i="1" s="1"/>
  <c r="H93" i="5"/>
  <c r="D93" i="5"/>
  <c r="H86" i="5"/>
  <c r="D86" i="5"/>
  <c r="L194" i="1"/>
  <c r="M194" i="1" s="1"/>
  <c r="N355" i="16"/>
  <c r="B126" i="7"/>
  <c r="N339" i="12"/>
  <c r="F127" i="3"/>
  <c r="I127" i="3"/>
  <c r="L127" i="3" s="1"/>
  <c r="B144" i="1"/>
  <c r="B131" i="3"/>
  <c r="B146" i="1" s="1"/>
  <c r="J155" i="3"/>
  <c r="D107" i="4"/>
  <c r="H107" i="4"/>
  <c r="I96" i="9"/>
  <c r="K96" i="9"/>
  <c r="J96" i="9"/>
  <c r="J102" i="9"/>
  <c r="F102" i="9"/>
  <c r="K102" i="9"/>
  <c r="K105" i="9"/>
  <c r="J105" i="9"/>
  <c r="B114" i="1"/>
  <c r="H148" i="3"/>
  <c r="D148" i="3"/>
  <c r="B158" i="1"/>
  <c r="D127" i="4"/>
  <c r="B134" i="3"/>
  <c r="B147" i="1"/>
  <c r="D150" i="1"/>
  <c r="M95" i="7"/>
  <c r="D61" i="1"/>
  <c r="D152" i="6"/>
  <c r="H152" i="6"/>
  <c r="F127" i="5"/>
  <c r="I127" i="5"/>
  <c r="H150" i="4"/>
  <c r="M150" i="4"/>
  <c r="B145" i="1"/>
  <c r="D151" i="1"/>
  <c r="I169" i="1"/>
  <c r="H147" i="8"/>
  <c r="D147" i="8"/>
  <c r="B116" i="2"/>
  <c r="D101" i="2"/>
  <c r="K90" i="7"/>
  <c r="J90" i="7"/>
  <c r="B99" i="7"/>
  <c r="J93" i="7"/>
  <c r="K93" i="7"/>
  <c r="F93" i="7"/>
  <c r="B115" i="7"/>
  <c r="J101" i="7"/>
  <c r="F101" i="7"/>
  <c r="K101" i="7"/>
  <c r="J104" i="7"/>
  <c r="F104" i="7"/>
  <c r="K104" i="7"/>
  <c r="J109" i="7"/>
  <c r="K109" i="7"/>
  <c r="K112" i="7"/>
  <c r="F112" i="7"/>
  <c r="B121" i="1"/>
  <c r="J112" i="7"/>
  <c r="K114" i="6"/>
  <c r="J114" i="6" s="1"/>
  <c r="B123" i="1"/>
  <c r="F114" i="6"/>
  <c r="K87" i="5"/>
  <c r="J87" i="5"/>
  <c r="F87" i="5"/>
  <c r="B96" i="1"/>
  <c r="B99" i="5"/>
  <c r="I87" i="5"/>
  <c r="F89" i="5"/>
  <c r="K89" i="5"/>
  <c r="J89" i="5"/>
  <c r="F91" i="5"/>
  <c r="J91" i="5"/>
  <c r="B100" i="1"/>
  <c r="K91" i="5"/>
  <c r="K93" i="5"/>
  <c r="B102" i="1"/>
  <c r="J93" i="5"/>
  <c r="K101" i="5"/>
  <c r="F101" i="5"/>
  <c r="J101" i="5"/>
  <c r="F109" i="5"/>
  <c r="K109" i="5"/>
  <c r="J109" i="5"/>
  <c r="J88" i="4"/>
  <c r="F88" i="4"/>
  <c r="B97" i="1"/>
  <c r="K88" i="4"/>
  <c r="B99" i="4"/>
  <c r="I88" i="4"/>
  <c r="I99" i="4" s="1"/>
  <c r="I116" i="4" s="1"/>
  <c r="J97" i="4"/>
  <c r="K97" i="4"/>
  <c r="B106" i="1"/>
  <c r="J107" i="4"/>
  <c r="K107" i="4"/>
  <c r="B104" i="1"/>
  <c r="K92" i="2"/>
  <c r="B101" i="1"/>
  <c r="J92" i="2"/>
  <c r="H86" i="7"/>
  <c r="D86" i="7"/>
  <c r="L103" i="9"/>
  <c r="M103" i="9" s="1"/>
  <c r="D105" i="5"/>
  <c r="H105" i="5"/>
  <c r="D98" i="5"/>
  <c r="H98" i="5"/>
  <c r="D98" i="4"/>
  <c r="H98" i="4"/>
  <c r="F87" i="9"/>
  <c r="I87" i="9"/>
  <c r="J87" i="9"/>
  <c r="L90" i="9"/>
  <c r="M90" i="9" s="1"/>
  <c r="K93" i="9"/>
  <c r="J93" i="9"/>
  <c r="F93" i="9"/>
  <c r="B115" i="4"/>
  <c r="H57" i="3"/>
  <c r="H62" i="1" s="1"/>
  <c r="D57" i="3"/>
  <c r="D62" i="1" s="1"/>
  <c r="F58" i="3"/>
  <c r="H58" i="3" s="1"/>
  <c r="F74" i="4"/>
  <c r="K74" i="4"/>
  <c r="J74" i="4" s="1"/>
  <c r="F74" i="5"/>
  <c r="K74" i="5"/>
  <c r="J74" i="5" s="1"/>
  <c r="K74" i="9"/>
  <c r="B61" i="1"/>
  <c r="J51" i="7"/>
  <c r="K51" i="7"/>
  <c r="B126" i="5"/>
  <c r="N339" i="14"/>
  <c r="H129" i="2"/>
  <c r="F143" i="1"/>
  <c r="H144" i="1"/>
  <c r="J156" i="7"/>
  <c r="K156" i="2"/>
  <c r="K155" i="3"/>
  <c r="M146" i="6"/>
  <c r="M131" i="6"/>
  <c r="M144" i="5"/>
  <c r="M150" i="3"/>
  <c r="L161" i="1"/>
  <c r="L157" i="1"/>
  <c r="L151" i="1"/>
  <c r="M151" i="1" s="1"/>
  <c r="M126" i="2"/>
  <c r="L155" i="2"/>
  <c r="L149" i="1"/>
  <c r="H106" i="2"/>
  <c r="J96" i="2"/>
  <c r="K96" i="2"/>
  <c r="B105" i="1"/>
  <c r="I96" i="2"/>
  <c r="L112" i="2"/>
  <c r="K87" i="9"/>
  <c r="K107" i="9"/>
  <c r="J107" i="9"/>
  <c r="F107" i="9"/>
  <c r="K87" i="8"/>
  <c r="J87" i="8"/>
  <c r="F87" i="8"/>
  <c r="K92" i="8"/>
  <c r="J92" i="8"/>
  <c r="K96" i="8"/>
  <c r="I96" i="8"/>
  <c r="I99" i="8" s="1"/>
  <c r="I116" i="8" s="1"/>
  <c r="J96" i="8"/>
  <c r="F103" i="8"/>
  <c r="J103" i="8"/>
  <c r="B115" i="8"/>
  <c r="K103" i="8"/>
  <c r="K106" i="8"/>
  <c r="L106" i="8" s="1"/>
  <c r="F106" i="8"/>
  <c r="F111" i="8"/>
  <c r="D111" i="8" s="1"/>
  <c r="J111" i="8"/>
  <c r="L111" i="8" s="1"/>
  <c r="J108" i="6"/>
  <c r="L108" i="6" s="1"/>
  <c r="F108" i="6"/>
  <c r="J111" i="6"/>
  <c r="K111" i="6"/>
  <c r="F111" i="6"/>
  <c r="D111" i="6" s="1"/>
  <c r="J97" i="5"/>
  <c r="K97" i="5"/>
  <c r="F107" i="5"/>
  <c r="K107" i="5"/>
  <c r="J107" i="5"/>
  <c r="F86" i="4"/>
  <c r="J86" i="4"/>
  <c r="L86" i="4" s="1"/>
  <c r="K95" i="4"/>
  <c r="J95" i="4" s="1"/>
  <c r="F95" i="4"/>
  <c r="K105" i="4"/>
  <c r="F105" i="4"/>
  <c r="J105" i="4"/>
  <c r="B120" i="1"/>
  <c r="J90" i="2"/>
  <c r="B99" i="1"/>
  <c r="K90" i="2"/>
  <c r="H97" i="6"/>
  <c r="H106" i="1" s="1"/>
  <c r="F106" i="1"/>
  <c r="D97" i="6"/>
  <c r="L144" i="1"/>
  <c r="M144" i="1" s="1"/>
  <c r="L146" i="1"/>
  <c r="M146" i="1" s="1"/>
  <c r="M86" i="5"/>
  <c r="H91" i="8"/>
  <c r="L164" i="1"/>
  <c r="M164" i="1" s="1"/>
  <c r="H89" i="2"/>
  <c r="L93" i="2"/>
  <c r="F103" i="7"/>
  <c r="K114" i="7"/>
  <c r="J114" i="7" s="1"/>
  <c r="F114" i="7"/>
  <c r="J90" i="6"/>
  <c r="K90" i="6"/>
  <c r="K101" i="6"/>
  <c r="J101" i="6"/>
  <c r="B115" i="6"/>
  <c r="F101" i="6"/>
  <c r="F104" i="6"/>
  <c r="K104" i="6"/>
  <c r="L104" i="6" s="1"/>
  <c r="F106" i="6"/>
  <c r="K106" i="6"/>
  <c r="B115" i="1"/>
  <c r="F109" i="6"/>
  <c r="J109" i="6"/>
  <c r="L109" i="6" s="1"/>
  <c r="K95" i="5"/>
  <c r="J95" i="5" s="1"/>
  <c r="F95" i="5"/>
  <c r="J105" i="5"/>
  <c r="K105" i="5"/>
  <c r="K92" i="4"/>
  <c r="J92" i="4"/>
  <c r="K103" i="4"/>
  <c r="L103" i="4" s="1"/>
  <c r="F103" i="4"/>
  <c r="K111" i="4"/>
  <c r="J111" i="4"/>
  <c r="I88" i="2"/>
  <c r="J88" i="2"/>
  <c r="K88" i="2"/>
  <c r="J103" i="2"/>
  <c r="K103" i="2"/>
  <c r="B112" i="1"/>
  <c r="F103" i="2"/>
  <c r="D114" i="9"/>
  <c r="H114" i="9"/>
  <c r="M114" i="9"/>
  <c r="H88" i="2"/>
  <c r="H107" i="6"/>
  <c r="L109" i="4"/>
  <c r="M109" i="4" s="1"/>
  <c r="D102" i="2"/>
  <c r="B89" i="9"/>
  <c r="B99" i="9" s="1"/>
  <c r="N373" i="10"/>
  <c r="B101" i="9"/>
  <c r="B110" i="1" s="1"/>
  <c r="N389" i="10"/>
  <c r="K104" i="9"/>
  <c r="L104" i="9" s="1"/>
  <c r="F104" i="9"/>
  <c r="F86" i="8"/>
  <c r="B99" i="8"/>
  <c r="J86" i="8"/>
  <c r="F89" i="8"/>
  <c r="J89" i="8"/>
  <c r="K89" i="8"/>
  <c r="H95" i="8"/>
  <c r="M95" i="8"/>
  <c r="J98" i="8"/>
  <c r="F98" i="8"/>
  <c r="K105" i="8"/>
  <c r="L105" i="8" s="1"/>
  <c r="F105" i="8"/>
  <c r="J108" i="8"/>
  <c r="K108" i="8"/>
  <c r="F108" i="8"/>
  <c r="F87" i="7"/>
  <c r="I87" i="7"/>
  <c r="I99" i="7" s="1"/>
  <c r="I116" i="7" s="1"/>
  <c r="J96" i="7"/>
  <c r="K96" i="7"/>
  <c r="K106" i="7"/>
  <c r="F106" i="7"/>
  <c r="J106" i="7"/>
  <c r="J111" i="7"/>
  <c r="K111" i="7"/>
  <c r="J88" i="6"/>
  <c r="F88" i="6"/>
  <c r="B99" i="6"/>
  <c r="I88" i="6"/>
  <c r="K88" i="6"/>
  <c r="K91" i="6"/>
  <c r="J91" i="6"/>
  <c r="K102" i="6"/>
  <c r="F102" i="6"/>
  <c r="J102" i="6"/>
  <c r="B111" i="1"/>
  <c r="F103" i="5"/>
  <c r="K103" i="5"/>
  <c r="J103" i="5"/>
  <c r="F111" i="5"/>
  <c r="H111" i="5" s="1"/>
  <c r="K111" i="5"/>
  <c r="L111" i="5" s="1"/>
  <c r="F101" i="4"/>
  <c r="J101" i="4"/>
  <c r="L101" i="4" s="1"/>
  <c r="B116" i="1"/>
  <c r="B95" i="1"/>
  <c r="K104" i="2"/>
  <c r="B113" i="1"/>
  <c r="J98" i="9"/>
  <c r="L98" i="9" s="1"/>
  <c r="M98" i="9" s="1"/>
  <c r="L104" i="8"/>
  <c r="K112" i="8"/>
  <c r="J112" i="8"/>
  <c r="F105" i="6"/>
  <c r="J112" i="6"/>
  <c r="K112" i="6"/>
  <c r="K105" i="2"/>
  <c r="J105" i="2"/>
  <c r="H75" i="1"/>
  <c r="J52" i="5"/>
  <c r="K52" i="5"/>
  <c r="K74" i="8"/>
  <c r="J74" i="8" s="1"/>
  <c r="F74" i="8"/>
  <c r="K62" i="2"/>
  <c r="H62" i="2"/>
  <c r="J62" i="2"/>
  <c r="F89" i="7"/>
  <c r="K89" i="7"/>
  <c r="L89" i="7" s="1"/>
  <c r="K96" i="6"/>
  <c r="I96" i="6"/>
  <c r="N287" i="15"/>
  <c r="I47" i="5"/>
  <c r="D55" i="1"/>
  <c r="K61" i="2"/>
  <c r="J46" i="8"/>
  <c r="K52" i="3"/>
  <c r="J52" i="3"/>
  <c r="J69" i="2"/>
  <c r="K69" i="2"/>
  <c r="K68" i="2"/>
  <c r="L68" i="2" s="1"/>
  <c r="K66" i="2"/>
  <c r="L65" i="2"/>
  <c r="M65" i="2" s="1"/>
  <c r="D62" i="2"/>
  <c r="B75" i="2"/>
  <c r="D65" i="3"/>
  <c r="B75" i="3"/>
  <c r="L62" i="4"/>
  <c r="B75" i="4"/>
  <c r="B77" i="1"/>
  <c r="B75" i="6"/>
  <c r="N407" i="10"/>
  <c r="B63" i="1"/>
  <c r="F58" i="2"/>
  <c r="L67" i="8"/>
  <c r="B75" i="8"/>
  <c r="B76" i="1"/>
  <c r="B75" i="1"/>
  <c r="B73" i="1"/>
  <c r="B72" i="1"/>
  <c r="B71" i="1"/>
  <c r="B74" i="1"/>
  <c r="B69" i="1"/>
  <c r="B68" i="1"/>
  <c r="B67" i="1"/>
  <c r="B75" i="5"/>
  <c r="B66" i="1"/>
  <c r="K51" i="2"/>
  <c r="K49" i="2"/>
  <c r="I47" i="2"/>
  <c r="K47" i="2"/>
  <c r="B59" i="2"/>
  <c r="J53" i="3"/>
  <c r="K53" i="3"/>
  <c r="J51" i="3"/>
  <c r="K51" i="3"/>
  <c r="J50" i="3"/>
  <c r="K49" i="3"/>
  <c r="H47" i="3"/>
  <c r="I47" i="3"/>
  <c r="J46" i="3"/>
  <c r="B59" i="3"/>
  <c r="K46" i="3"/>
  <c r="K52" i="4"/>
  <c r="J52" i="4"/>
  <c r="K51" i="4"/>
  <c r="I47" i="4"/>
  <c r="K46" i="4"/>
  <c r="J46" i="4"/>
  <c r="B59" i="4"/>
  <c r="K53" i="5"/>
  <c r="J53" i="5"/>
  <c r="K51" i="5"/>
  <c r="J51" i="5"/>
  <c r="K49" i="5"/>
  <c r="B59" i="5"/>
  <c r="K46" i="5"/>
  <c r="J46" i="5"/>
  <c r="K53" i="6"/>
  <c r="L53" i="6" s="1"/>
  <c r="M53" i="6" s="1"/>
  <c r="J52" i="6"/>
  <c r="L52" i="6" s="1"/>
  <c r="M52" i="6" s="1"/>
  <c r="J51" i="6"/>
  <c r="L51" i="6" s="1"/>
  <c r="M51" i="6" s="1"/>
  <c r="K49" i="6"/>
  <c r="B59" i="6"/>
  <c r="J52" i="7"/>
  <c r="K52" i="7"/>
  <c r="K49" i="7"/>
  <c r="B53" i="1"/>
  <c r="J46" i="7"/>
  <c r="B59" i="7"/>
  <c r="K46" i="7"/>
  <c r="K52" i="8"/>
  <c r="K51" i="8"/>
  <c r="L50" i="8"/>
  <c r="M50" i="8" s="1"/>
  <c r="K49" i="8"/>
  <c r="B54" i="1"/>
  <c r="I47" i="8"/>
  <c r="K53" i="9"/>
  <c r="J53" i="9"/>
  <c r="B57" i="1"/>
  <c r="J52" i="9"/>
  <c r="J51" i="9"/>
  <c r="K51" i="9"/>
  <c r="B56" i="1"/>
  <c r="K46" i="9"/>
  <c r="K49" i="9"/>
  <c r="I47" i="9"/>
  <c r="F303" i="2" l="1"/>
  <c r="D66" i="2"/>
  <c r="K500" i="2"/>
  <c r="F357" i="2"/>
  <c r="D357" i="2" s="1"/>
  <c r="H352" i="2"/>
  <c r="M250" i="2"/>
  <c r="L337" i="2"/>
  <c r="M337" i="2" s="1"/>
  <c r="H409" i="2"/>
  <c r="D409" i="2"/>
  <c r="J357" i="2"/>
  <c r="D513" i="2"/>
  <c r="H508" i="2"/>
  <c r="H266" i="2"/>
  <c r="L470" i="2"/>
  <c r="M321" i="2"/>
  <c r="L315" i="2"/>
  <c r="M315" i="2" s="1"/>
  <c r="B396" i="1"/>
  <c r="M508" i="2"/>
  <c r="M409" i="2"/>
  <c r="L518" i="2"/>
  <c r="L510" i="2"/>
  <c r="D72" i="2"/>
  <c r="D95" i="2"/>
  <c r="D407" i="2"/>
  <c r="B240" i="2"/>
  <c r="I303" i="2"/>
  <c r="D393" i="2"/>
  <c r="L391" i="2"/>
  <c r="K239" i="2"/>
  <c r="D437" i="2"/>
  <c r="L205" i="2"/>
  <c r="M205" i="2" s="1"/>
  <c r="M319" i="2"/>
  <c r="D319" i="2"/>
  <c r="H114" i="2"/>
  <c r="J260" i="2"/>
  <c r="D358" i="2"/>
  <c r="D420" i="2"/>
  <c r="M295" i="2"/>
  <c r="J347" i="2"/>
  <c r="D307" i="2"/>
  <c r="D468" i="2"/>
  <c r="H468" i="2"/>
  <c r="M420" i="2"/>
  <c r="I347" i="2"/>
  <c r="H476" i="2"/>
  <c r="F347" i="2"/>
  <c r="M207" i="2"/>
  <c r="M106" i="2"/>
  <c r="M114" i="2"/>
  <c r="L305" i="2"/>
  <c r="M305" i="2" s="1"/>
  <c r="F195" i="2"/>
  <c r="F215" i="2"/>
  <c r="F325" i="2"/>
  <c r="F326" i="2" s="1"/>
  <c r="K347" i="2"/>
  <c r="D275" i="2"/>
  <c r="L311" i="2"/>
  <c r="M311" i="2" s="1"/>
  <c r="L109" i="2"/>
  <c r="M109" i="2" s="1"/>
  <c r="H389" i="2"/>
  <c r="D389" i="2"/>
  <c r="M452" i="2"/>
  <c r="M429" i="2"/>
  <c r="L495" i="2"/>
  <c r="M495" i="2" s="1"/>
  <c r="K215" i="2"/>
  <c r="K240" i="2" s="1"/>
  <c r="M95" i="2"/>
  <c r="H306" i="2"/>
  <c r="H307" i="2" s="1"/>
  <c r="D300" i="2"/>
  <c r="F193" i="1"/>
  <c r="M512" i="2"/>
  <c r="I343" i="2"/>
  <c r="J439" i="2"/>
  <c r="I457" i="2"/>
  <c r="I483" i="2" s="1"/>
  <c r="K355" i="2"/>
  <c r="L355" i="2" s="1"/>
  <c r="M355" i="2" s="1"/>
  <c r="H174" i="2"/>
  <c r="H193" i="1" s="1"/>
  <c r="H207" i="2"/>
  <c r="M376" i="2"/>
  <c r="L437" i="2"/>
  <c r="L439" i="2" s="1"/>
  <c r="H376" i="2"/>
  <c r="H380" i="2" s="1"/>
  <c r="D376" i="2"/>
  <c r="D294" i="2"/>
  <c r="H294" i="2"/>
  <c r="B397" i="2"/>
  <c r="K482" i="2"/>
  <c r="H215" i="2"/>
  <c r="M300" i="2"/>
  <c r="L450" i="2"/>
  <c r="M450" i="2" s="1"/>
  <c r="L251" i="2"/>
  <c r="M251" i="2" s="1"/>
  <c r="D429" i="2"/>
  <c r="H295" i="2"/>
  <c r="D295" i="2"/>
  <c r="M310" i="3"/>
  <c r="K177" i="3"/>
  <c r="D310" i="3"/>
  <c r="M233" i="3"/>
  <c r="L304" i="3"/>
  <c r="M320" i="3"/>
  <c r="H468" i="3"/>
  <c r="L420" i="3"/>
  <c r="D233" i="3"/>
  <c r="L313" i="3"/>
  <c r="M313" i="3" s="1"/>
  <c r="D266" i="3"/>
  <c r="H266" i="3"/>
  <c r="J302" i="3"/>
  <c r="H435" i="3"/>
  <c r="M252" i="3"/>
  <c r="L509" i="3"/>
  <c r="D125" i="3"/>
  <c r="M255" i="1"/>
  <c r="H450" i="3"/>
  <c r="L171" i="3"/>
  <c r="M171" i="3" s="1"/>
  <c r="H278" i="3"/>
  <c r="H424" i="3"/>
  <c r="D170" i="3"/>
  <c r="H170" i="3"/>
  <c r="H190" i="1" s="1"/>
  <c r="H464" i="3"/>
  <c r="D464" i="3"/>
  <c r="M450" i="3"/>
  <c r="H125" i="3"/>
  <c r="L50" i="3"/>
  <c r="M50" i="3" s="1"/>
  <c r="D167" i="3"/>
  <c r="D320" i="3"/>
  <c r="M253" i="3"/>
  <c r="H171" i="3"/>
  <c r="L408" i="3"/>
  <c r="I129" i="4"/>
  <c r="D536" i="4"/>
  <c r="L64" i="4"/>
  <c r="L93" i="4"/>
  <c r="M93" i="4" s="1"/>
  <c r="M227" i="4"/>
  <c r="L51" i="4"/>
  <c r="M51" i="4" s="1"/>
  <c r="K414" i="4"/>
  <c r="B523" i="4"/>
  <c r="H380" i="4"/>
  <c r="J262" i="4"/>
  <c r="F417" i="4"/>
  <c r="F539" i="4"/>
  <c r="L61" i="4"/>
  <c r="M61" i="4" s="1"/>
  <c r="D108" i="4"/>
  <c r="L298" i="4"/>
  <c r="L450" i="4"/>
  <c r="F241" i="4"/>
  <c r="D338" i="4"/>
  <c r="H338" i="4"/>
  <c r="H416" i="4"/>
  <c r="H417" i="4" s="1"/>
  <c r="H530" i="1"/>
  <c r="L264" i="4"/>
  <c r="D473" i="4"/>
  <c r="M91" i="4"/>
  <c r="D467" i="4"/>
  <c r="L87" i="4"/>
  <c r="M87" i="4" s="1"/>
  <c r="M312" i="4"/>
  <c r="K457" i="4"/>
  <c r="L423" i="4"/>
  <c r="M338" i="4"/>
  <c r="L179" i="4"/>
  <c r="M416" i="4"/>
  <c r="L224" i="4"/>
  <c r="M224" i="4" s="1"/>
  <c r="L502" i="4"/>
  <c r="M502" i="4" s="1"/>
  <c r="L108" i="4"/>
  <c r="M108" i="4" s="1"/>
  <c r="H423" i="4"/>
  <c r="L110" i="4"/>
  <c r="M110" i="4" s="1"/>
  <c r="M510" i="4"/>
  <c r="D493" i="4"/>
  <c r="H493" i="4"/>
  <c r="J179" i="4"/>
  <c r="J196" i="4" s="1"/>
  <c r="D314" i="4"/>
  <c r="M298" i="4"/>
  <c r="M274" i="4"/>
  <c r="L495" i="4"/>
  <c r="M495" i="4" s="1"/>
  <c r="H511" i="4"/>
  <c r="H410" i="4"/>
  <c r="D410" i="4"/>
  <c r="H227" i="4"/>
  <c r="D227" i="4"/>
  <c r="H519" i="4"/>
  <c r="D519" i="4"/>
  <c r="H510" i="4"/>
  <c r="D510" i="4"/>
  <c r="B140" i="4"/>
  <c r="J113" i="1"/>
  <c r="F439" i="4"/>
  <c r="B364" i="4"/>
  <c r="L451" i="4"/>
  <c r="M451" i="4" s="1"/>
  <c r="D382" i="4"/>
  <c r="D383" i="4" s="1"/>
  <c r="L453" i="4"/>
  <c r="M453" i="4" s="1"/>
  <c r="M493" i="4"/>
  <c r="L497" i="4"/>
  <c r="M497" i="4" s="1"/>
  <c r="L231" i="4"/>
  <c r="M231" i="4" s="1"/>
  <c r="D353" i="4"/>
  <c r="H353" i="4"/>
  <c r="I326" i="5"/>
  <c r="H128" i="5"/>
  <c r="M456" i="5"/>
  <c r="K307" i="5"/>
  <c r="J307" i="5"/>
  <c r="H141" i="5"/>
  <c r="F307" i="5"/>
  <c r="F194" i="5"/>
  <c r="K429" i="5"/>
  <c r="H372" i="5"/>
  <c r="D207" i="5"/>
  <c r="F537" i="5"/>
  <c r="M184" i="5"/>
  <c r="K343" i="5"/>
  <c r="L178" i="5"/>
  <c r="L195" i="5" s="1"/>
  <c r="L409" i="5"/>
  <c r="L461" i="5"/>
  <c r="M461" i="5" s="1"/>
  <c r="B116" i="5"/>
  <c r="F534" i="5"/>
  <c r="L686" i="1"/>
  <c r="D184" i="5"/>
  <c r="H504" i="5"/>
  <c r="L207" i="5"/>
  <c r="M207" i="5" s="1"/>
  <c r="L337" i="5"/>
  <c r="M337" i="5" s="1"/>
  <c r="B561" i="1"/>
  <c r="B562" i="1" s="1"/>
  <c r="L414" i="5"/>
  <c r="L415" i="5" s="1"/>
  <c r="D435" i="5"/>
  <c r="H435" i="5"/>
  <c r="D431" i="5"/>
  <c r="H431" i="5"/>
  <c r="D227" i="5"/>
  <c r="M72" i="5"/>
  <c r="I99" i="5"/>
  <c r="I116" i="5" s="1"/>
  <c r="H517" i="5"/>
  <c r="F206" i="1"/>
  <c r="M206" i="1" s="1"/>
  <c r="H169" i="5"/>
  <c r="H178" i="5" s="1"/>
  <c r="J178" i="5"/>
  <c r="J195" i="5" s="1"/>
  <c r="H377" i="5"/>
  <c r="H379" i="5" s="1"/>
  <c r="D223" i="5"/>
  <c r="M223" i="5"/>
  <c r="H312" i="5"/>
  <c r="D312" i="5"/>
  <c r="J412" i="5"/>
  <c r="F118" i="1"/>
  <c r="B363" i="5"/>
  <c r="F379" i="5"/>
  <c r="H106" i="5"/>
  <c r="D470" i="5"/>
  <c r="H470" i="5"/>
  <c r="D339" i="5"/>
  <c r="H339" i="5"/>
  <c r="M339" i="5"/>
  <c r="D410" i="6"/>
  <c r="J396" i="6"/>
  <c r="D472" i="6"/>
  <c r="L473" i="6"/>
  <c r="M473" i="6" s="1"/>
  <c r="K283" i="6"/>
  <c r="K522" i="6"/>
  <c r="H375" i="6"/>
  <c r="D375" i="6"/>
  <c r="H537" i="6"/>
  <c r="H518" i="6"/>
  <c r="K414" i="6"/>
  <c r="D307" i="6"/>
  <c r="D494" i="6"/>
  <c r="H410" i="6"/>
  <c r="K505" i="6"/>
  <c r="B326" i="6"/>
  <c r="K193" i="1"/>
  <c r="K479" i="1"/>
  <c r="L87" i="6"/>
  <c r="M87" i="6" s="1"/>
  <c r="I440" i="6"/>
  <c r="L346" i="6"/>
  <c r="M346" i="6" s="1"/>
  <c r="L451" i="6"/>
  <c r="M451" i="6" s="1"/>
  <c r="L224" i="6"/>
  <c r="M224" i="6" s="1"/>
  <c r="L223" i="6"/>
  <c r="H232" i="6"/>
  <c r="D232" i="6"/>
  <c r="L311" i="6"/>
  <c r="M311" i="6" s="1"/>
  <c r="K396" i="6"/>
  <c r="J500" i="6"/>
  <c r="L497" i="6"/>
  <c r="H324" i="6"/>
  <c r="H339" i="6"/>
  <c r="L267" i="6"/>
  <c r="L238" i="6"/>
  <c r="M238" i="6" s="1"/>
  <c r="H387" i="6"/>
  <c r="D387" i="6"/>
  <c r="H205" i="6"/>
  <c r="D205" i="6"/>
  <c r="H313" i="6"/>
  <c r="H230" i="6"/>
  <c r="D230" i="6"/>
  <c r="D174" i="6"/>
  <c r="D193" i="1" s="1"/>
  <c r="H174" i="6"/>
  <c r="H228" i="6"/>
  <c r="D228" i="6"/>
  <c r="H421" i="6"/>
  <c r="D421" i="6"/>
  <c r="L49" i="6"/>
  <c r="M49" i="6" s="1"/>
  <c r="B156" i="6"/>
  <c r="B515" i="6"/>
  <c r="B523" i="6" s="1"/>
  <c r="H262" i="6"/>
  <c r="H264" i="6" s="1"/>
  <c r="M337" i="6"/>
  <c r="L453" i="6"/>
  <c r="M453" i="6" s="1"/>
  <c r="M230" i="6"/>
  <c r="L477" i="6"/>
  <c r="K343" i="6"/>
  <c r="J429" i="1"/>
  <c r="L429" i="1" s="1"/>
  <c r="J303" i="1"/>
  <c r="L303" i="1" s="1"/>
  <c r="H318" i="6"/>
  <c r="L407" i="6"/>
  <c r="L89" i="6"/>
  <c r="M89" i="6" s="1"/>
  <c r="L351" i="6"/>
  <c r="L423" i="6"/>
  <c r="L468" i="6"/>
  <c r="B469" i="1"/>
  <c r="J469" i="1" s="1"/>
  <c r="D86" i="6"/>
  <c r="L269" i="6"/>
  <c r="M269" i="6" s="1"/>
  <c r="H469" i="6"/>
  <c r="D469" i="6"/>
  <c r="J191" i="1"/>
  <c r="D425" i="6"/>
  <c r="H425" i="6"/>
  <c r="H420" i="6"/>
  <c r="D420" i="6"/>
  <c r="L353" i="6"/>
  <c r="K349" i="6"/>
  <c r="K362" i="6" s="1"/>
  <c r="K363" i="6" s="1"/>
  <c r="F349" i="6"/>
  <c r="J349" i="6"/>
  <c r="J206" i="6"/>
  <c r="J215" i="6" s="1"/>
  <c r="I206" i="6"/>
  <c r="F206" i="6"/>
  <c r="K206" i="6"/>
  <c r="K215" i="6" s="1"/>
  <c r="H274" i="6"/>
  <c r="D274" i="6"/>
  <c r="H294" i="6"/>
  <c r="D294" i="6"/>
  <c r="D433" i="6"/>
  <c r="H433" i="6"/>
  <c r="F522" i="6"/>
  <c r="M274" i="6"/>
  <c r="J482" i="6"/>
  <c r="L305" i="6"/>
  <c r="B195" i="6"/>
  <c r="H346" i="1"/>
  <c r="I139" i="6"/>
  <c r="I156" i="6" s="1"/>
  <c r="M268" i="6"/>
  <c r="F332" i="1"/>
  <c r="H332" i="1" s="1"/>
  <c r="D385" i="6"/>
  <c r="D451" i="6"/>
  <c r="M86" i="6"/>
  <c r="B215" i="6"/>
  <c r="B240" i="6" s="1"/>
  <c r="J420" i="6"/>
  <c r="L420" i="6" s="1"/>
  <c r="H345" i="6"/>
  <c r="H347" i="6" s="1"/>
  <c r="D345" i="6"/>
  <c r="D347" i="6" s="1"/>
  <c r="D496" i="6"/>
  <c r="H496" i="6"/>
  <c r="M223" i="6"/>
  <c r="L318" i="6"/>
  <c r="M318" i="6" s="1"/>
  <c r="D353" i="6"/>
  <c r="H353" i="6"/>
  <c r="H238" i="6"/>
  <c r="D238" i="6"/>
  <c r="H282" i="6"/>
  <c r="D282" i="6"/>
  <c r="L294" i="6"/>
  <c r="M294" i="6" s="1"/>
  <c r="D393" i="7"/>
  <c r="H393" i="7"/>
  <c r="D242" i="1"/>
  <c r="K335" i="1"/>
  <c r="L335" i="1" s="1"/>
  <c r="M335" i="1" s="1"/>
  <c r="D534" i="7"/>
  <c r="L519" i="7"/>
  <c r="D436" i="7"/>
  <c r="H313" i="7"/>
  <c r="L225" i="7"/>
  <c r="M225" i="7" s="1"/>
  <c r="L452" i="7"/>
  <c r="M452" i="7" s="1"/>
  <c r="J414" i="7"/>
  <c r="L493" i="7"/>
  <c r="M493" i="7" s="1"/>
  <c r="K346" i="1"/>
  <c r="M679" i="1"/>
  <c r="L517" i="7"/>
  <c r="L373" i="7"/>
  <c r="M373" i="7" s="1"/>
  <c r="L102" i="7"/>
  <c r="J346" i="1"/>
  <c r="D207" i="1"/>
  <c r="F355" i="1"/>
  <c r="D355" i="1" s="1"/>
  <c r="D128" i="7"/>
  <c r="K215" i="7"/>
  <c r="L518" i="7"/>
  <c r="B483" i="7"/>
  <c r="K264" i="7"/>
  <c r="M107" i="7"/>
  <c r="D416" i="7"/>
  <c r="D417" i="7" s="1"/>
  <c r="H416" i="7"/>
  <c r="H417" i="7" s="1"/>
  <c r="L387" i="7"/>
  <c r="M387" i="7" s="1"/>
  <c r="H433" i="7"/>
  <c r="D433" i="7"/>
  <c r="F383" i="7"/>
  <c r="M102" i="7"/>
  <c r="B440" i="7"/>
  <c r="F429" i="1"/>
  <c r="D429" i="1" s="1"/>
  <c r="M519" i="7"/>
  <c r="D519" i="7"/>
  <c r="D127" i="8"/>
  <c r="H356" i="8"/>
  <c r="L230" i="8"/>
  <c r="M230" i="8" s="1"/>
  <c r="L428" i="8"/>
  <c r="H357" i="8"/>
  <c r="D357" i="8"/>
  <c r="D102" i="8"/>
  <c r="H178" i="8"/>
  <c r="F199" i="1"/>
  <c r="M199" i="1" s="1"/>
  <c r="K577" i="1"/>
  <c r="L577" i="1" s="1"/>
  <c r="F236" i="1"/>
  <c r="M236" i="1" s="1"/>
  <c r="H207" i="1"/>
  <c r="D252" i="8"/>
  <c r="L93" i="8"/>
  <c r="M93" i="8" s="1"/>
  <c r="M102" i="8"/>
  <c r="D310" i="8"/>
  <c r="F503" i="8"/>
  <c r="H502" i="8"/>
  <c r="H503" i="8" s="1"/>
  <c r="D502" i="8"/>
  <c r="D503" i="8" s="1"/>
  <c r="M310" i="8"/>
  <c r="K53" i="8"/>
  <c r="M104" i="8"/>
  <c r="D512" i="8"/>
  <c r="F239" i="8"/>
  <c r="L459" i="8"/>
  <c r="M209" i="1"/>
  <c r="J303" i="8"/>
  <c r="L193" i="8"/>
  <c r="M193" i="8" s="1"/>
  <c r="H520" i="8"/>
  <c r="K178" i="8"/>
  <c r="J439" i="8"/>
  <c r="I139" i="8"/>
  <c r="I156" i="8" s="1"/>
  <c r="H101" i="8"/>
  <c r="L275" i="8"/>
  <c r="M275" i="8" s="1"/>
  <c r="L154" i="8"/>
  <c r="L155" i="8" s="1"/>
  <c r="H352" i="8"/>
  <c r="D352" i="8"/>
  <c r="L252" i="8"/>
  <c r="M252" i="8" s="1"/>
  <c r="K283" i="8"/>
  <c r="M274" i="8"/>
  <c r="J347" i="8"/>
  <c r="H250" i="8"/>
  <c r="H430" i="8"/>
  <c r="D430" i="8"/>
  <c r="H282" i="8"/>
  <c r="D282" i="8"/>
  <c r="H496" i="8"/>
  <c r="D496" i="8"/>
  <c r="H260" i="8"/>
  <c r="D387" i="8"/>
  <c r="H387" i="8"/>
  <c r="K457" i="8"/>
  <c r="B51" i="1"/>
  <c r="K482" i="8"/>
  <c r="H221" i="8"/>
  <c r="K186" i="1"/>
  <c r="K325" i="8"/>
  <c r="K326" i="8" s="1"/>
  <c r="J283" i="8"/>
  <c r="J284" i="8" s="1"/>
  <c r="F378" i="1"/>
  <c r="D378" i="1" s="1"/>
  <c r="M251" i="1"/>
  <c r="J119" i="1"/>
  <c r="J522" i="8"/>
  <c r="F348" i="1"/>
  <c r="D348" i="1" s="1"/>
  <c r="J348" i="1"/>
  <c r="L348" i="1" s="1"/>
  <c r="F260" i="8"/>
  <c r="D309" i="8"/>
  <c r="D274" i="8"/>
  <c r="D312" i="8"/>
  <c r="H312" i="8"/>
  <c r="K46" i="8"/>
  <c r="J378" i="1"/>
  <c r="L378" i="1" s="1"/>
  <c r="M378" i="1" s="1"/>
  <c r="L347" i="8"/>
  <c r="H251" i="1"/>
  <c r="K341" i="1"/>
  <c r="J531" i="1"/>
  <c r="H531" i="1"/>
  <c r="F303" i="1"/>
  <c r="H303" i="1" s="1"/>
  <c r="K264" i="8"/>
  <c r="K284" i="8" s="1"/>
  <c r="K347" i="8"/>
  <c r="L453" i="8"/>
  <c r="M453" i="8" s="1"/>
  <c r="M309" i="8"/>
  <c r="D518" i="8"/>
  <c r="H518" i="8"/>
  <c r="M518" i="8"/>
  <c r="D435" i="8"/>
  <c r="H435" i="8"/>
  <c r="L502" i="9"/>
  <c r="H95" i="9"/>
  <c r="L172" i="9"/>
  <c r="M172" i="9" s="1"/>
  <c r="L207" i="9"/>
  <c r="M207" i="9" s="1"/>
  <c r="D127" i="9"/>
  <c r="H127" i="9"/>
  <c r="H317" i="9"/>
  <c r="D317" i="9"/>
  <c r="D273" i="9"/>
  <c r="D95" i="9"/>
  <c r="L374" i="9"/>
  <c r="M374" i="9" s="1"/>
  <c r="H313" i="9"/>
  <c r="D313" i="9"/>
  <c r="K522" i="9"/>
  <c r="L473" i="9"/>
  <c r="M473" i="9" s="1"/>
  <c r="M273" i="9"/>
  <c r="H545" i="9"/>
  <c r="M339" i="9"/>
  <c r="H407" i="9"/>
  <c r="D407" i="9"/>
  <c r="D311" i="9"/>
  <c r="H311" i="9"/>
  <c r="L459" i="9"/>
  <c r="L460" i="9" s="1"/>
  <c r="D339" i="9"/>
  <c r="K345" i="1"/>
  <c r="L345" i="1" s="1"/>
  <c r="M276" i="9"/>
  <c r="D352" i="9"/>
  <c r="H352" i="9"/>
  <c r="D437" i="9"/>
  <c r="H437" i="9"/>
  <c r="H420" i="9"/>
  <c r="D420" i="9"/>
  <c r="H337" i="9"/>
  <c r="D337" i="9"/>
  <c r="D520" i="9"/>
  <c r="H520" i="9"/>
  <c r="J390" i="1"/>
  <c r="L390" i="1" s="1"/>
  <c r="H518" i="9"/>
  <c r="L495" i="9"/>
  <c r="M495" i="9" s="1"/>
  <c r="D462" i="9"/>
  <c r="H275" i="9"/>
  <c r="K298" i="1"/>
  <c r="K119" i="1"/>
  <c r="H511" i="9"/>
  <c r="L311" i="9"/>
  <c r="M311" i="9" s="1"/>
  <c r="L382" i="9"/>
  <c r="L109" i="9"/>
  <c r="M109" i="9" s="1"/>
  <c r="L86" i="9"/>
  <c r="M86" i="9" s="1"/>
  <c r="D276" i="9"/>
  <c r="D229" i="9"/>
  <c r="H229" i="9"/>
  <c r="D272" i="9"/>
  <c r="H272" i="9"/>
  <c r="M314" i="9"/>
  <c r="L255" i="9"/>
  <c r="M255" i="9" s="1"/>
  <c r="F345" i="1"/>
  <c r="H345" i="1" s="1"/>
  <c r="L430" i="9"/>
  <c r="H98" i="6"/>
  <c r="D98" i="6"/>
  <c r="D312" i="4"/>
  <c r="H312" i="4"/>
  <c r="L513" i="9"/>
  <c r="H350" i="7"/>
  <c r="D350" i="7"/>
  <c r="J573" i="1"/>
  <c r="K573" i="1"/>
  <c r="L67" i="5"/>
  <c r="M67" i="5" s="1"/>
  <c r="L72" i="4"/>
  <c r="M72" i="4" s="1"/>
  <c r="M355" i="9"/>
  <c r="D154" i="8"/>
  <c r="H154" i="8"/>
  <c r="M154" i="8"/>
  <c r="J382" i="8"/>
  <c r="J383" i="8" s="1"/>
  <c r="I382" i="8"/>
  <c r="I383" i="8" s="1"/>
  <c r="F382" i="8"/>
  <c r="B383" i="8"/>
  <c r="K382" i="8"/>
  <c r="H414" i="6"/>
  <c r="J548" i="5"/>
  <c r="H519" i="9"/>
  <c r="L479" i="7"/>
  <c r="M86" i="7"/>
  <c r="M454" i="6"/>
  <c r="M225" i="9"/>
  <c r="L479" i="4"/>
  <c r="L464" i="6"/>
  <c r="M464" i="6" s="1"/>
  <c r="L472" i="8"/>
  <c r="L64" i="6"/>
  <c r="M64" i="6" s="1"/>
  <c r="L545" i="7"/>
  <c r="M88" i="7"/>
  <c r="L430" i="7"/>
  <c r="M230" i="2"/>
  <c r="L376" i="9"/>
  <c r="H88" i="8"/>
  <c r="D88" i="8"/>
  <c r="F515" i="7"/>
  <c r="L354" i="8"/>
  <c r="L407" i="5"/>
  <c r="M407" i="5" s="1"/>
  <c r="D215" i="2"/>
  <c r="L90" i="5"/>
  <c r="M90" i="5" s="1"/>
  <c r="M105" i="8"/>
  <c r="L480" i="8"/>
  <c r="M480" i="8" s="1"/>
  <c r="F438" i="3"/>
  <c r="D414" i="6"/>
  <c r="H453" i="3"/>
  <c r="M345" i="3"/>
  <c r="L57" i="7"/>
  <c r="M57" i="7" s="1"/>
  <c r="L61" i="9"/>
  <c r="L57" i="5"/>
  <c r="L91" i="3"/>
  <c r="M91" i="3" s="1"/>
  <c r="L87" i="3"/>
  <c r="M87" i="3" s="1"/>
  <c r="L230" i="9"/>
  <c r="M230" i="9" s="1"/>
  <c r="L278" i="9"/>
  <c r="M278" i="9" s="1"/>
  <c r="L453" i="9"/>
  <c r="M453" i="9" s="1"/>
  <c r="M231" i="9"/>
  <c r="M106" i="9"/>
  <c r="L97" i="9"/>
  <c r="M97" i="9" s="1"/>
  <c r="M270" i="7"/>
  <c r="L511" i="7"/>
  <c r="J260" i="7"/>
  <c r="L105" i="6"/>
  <c r="M105" i="6" s="1"/>
  <c r="L514" i="6"/>
  <c r="M508" i="4"/>
  <c r="I239" i="3"/>
  <c r="H275" i="2"/>
  <c r="M223" i="2"/>
  <c r="H601" i="7"/>
  <c r="H589" i="2"/>
  <c r="H601" i="2" s="1"/>
  <c r="F459" i="3"/>
  <c r="F600" i="3"/>
  <c r="D541" i="8"/>
  <c r="D542" i="8" s="1"/>
  <c r="L107" i="3"/>
  <c r="F515" i="8"/>
  <c r="K284" i="6"/>
  <c r="L110" i="7"/>
  <c r="M110" i="7" s="1"/>
  <c r="L97" i="8"/>
  <c r="M97" i="8" s="1"/>
  <c r="M112" i="4"/>
  <c r="L102" i="5"/>
  <c r="M102" i="5" s="1"/>
  <c r="M91" i="9"/>
  <c r="D561" i="5"/>
  <c r="H275" i="8"/>
  <c r="H283" i="8" s="1"/>
  <c r="D275" i="8"/>
  <c r="L473" i="4"/>
  <c r="H479" i="4"/>
  <c r="D479" i="4"/>
  <c r="L167" i="3"/>
  <c r="M167" i="3" s="1"/>
  <c r="L51" i="8"/>
  <c r="M64" i="4"/>
  <c r="L647" i="9"/>
  <c r="J344" i="4"/>
  <c r="D624" i="3"/>
  <c r="F647" i="7"/>
  <c r="H355" i="3"/>
  <c r="H458" i="3"/>
  <c r="H459" i="3" s="1"/>
  <c r="B553" i="2"/>
  <c r="F52" i="1"/>
  <c r="L57" i="4"/>
  <c r="L507" i="6"/>
  <c r="M519" i="8"/>
  <c r="M506" i="9"/>
  <c r="L463" i="9"/>
  <c r="L275" i="9"/>
  <c r="M275" i="9" s="1"/>
  <c r="L428" i="9"/>
  <c r="M422" i="8"/>
  <c r="L105" i="7"/>
  <c r="M105" i="7" s="1"/>
  <c r="L459" i="7"/>
  <c r="L460" i="7" s="1"/>
  <c r="M225" i="5"/>
  <c r="J518" i="5"/>
  <c r="L508" i="5"/>
  <c r="M253" i="4"/>
  <c r="L476" i="4"/>
  <c r="L309" i="2"/>
  <c r="M309" i="2" s="1"/>
  <c r="H223" i="2"/>
  <c r="K522" i="2"/>
  <c r="L472" i="2"/>
  <c r="L520" i="2"/>
  <c r="M520" i="2" s="1"/>
  <c r="L313" i="6"/>
  <c r="M313" i="6" s="1"/>
  <c r="H470" i="8"/>
  <c r="D470" i="8"/>
  <c r="D626" i="2"/>
  <c r="H466" i="3"/>
  <c r="D466" i="3"/>
  <c r="M569" i="6"/>
  <c r="L570" i="6"/>
  <c r="L579" i="6" s="1"/>
  <c r="H385" i="9"/>
  <c r="D385" i="9"/>
  <c r="D496" i="9"/>
  <c r="H496" i="9"/>
  <c r="D337" i="6"/>
  <c r="D343" i="6" s="1"/>
  <c r="F343" i="6"/>
  <c r="H337" i="6"/>
  <c r="H393" i="4"/>
  <c r="D393" i="4"/>
  <c r="K502" i="7"/>
  <c r="K503" i="7" s="1"/>
  <c r="J502" i="7"/>
  <c r="J503" i="7" s="1"/>
  <c r="B503" i="7"/>
  <c r="F502" i="7"/>
  <c r="I502" i="7"/>
  <c r="D481" i="7"/>
  <c r="H481" i="7"/>
  <c r="D95" i="7"/>
  <c r="K496" i="5"/>
  <c r="K471" i="5"/>
  <c r="L295" i="5"/>
  <c r="M295" i="5" s="1"/>
  <c r="H514" i="4"/>
  <c r="B326" i="9"/>
  <c r="F414" i="2"/>
  <c r="H518" i="7"/>
  <c r="D382" i="7"/>
  <c r="D383" i="7" s="1"/>
  <c r="L579" i="2"/>
  <c r="L49" i="4"/>
  <c r="M49" i="4" s="1"/>
  <c r="D408" i="3"/>
  <c r="H535" i="3"/>
  <c r="L64" i="2"/>
  <c r="M64" i="2" s="1"/>
  <c r="M53" i="2"/>
  <c r="F100" i="1"/>
  <c r="M107" i="3"/>
  <c r="L262" i="6"/>
  <c r="M262" i="6" s="1"/>
  <c r="L347" i="4"/>
  <c r="M347" i="4" s="1"/>
  <c r="D351" i="6"/>
  <c r="K332" i="1"/>
  <c r="L332" i="1" s="1"/>
  <c r="H296" i="2"/>
  <c r="L502" i="6"/>
  <c r="L503" i="6" s="1"/>
  <c r="I326" i="8"/>
  <c r="D260" i="8"/>
  <c r="L511" i="8"/>
  <c r="L496" i="7"/>
  <c r="L172" i="7"/>
  <c r="M172" i="7" s="1"/>
  <c r="L252" i="7"/>
  <c r="L96" i="5"/>
  <c r="M96" i="5" s="1"/>
  <c r="L339" i="4"/>
  <c r="M339" i="4" s="1"/>
  <c r="M509" i="4"/>
  <c r="J303" i="2"/>
  <c r="D351" i="2"/>
  <c r="L98" i="5"/>
  <c r="M98" i="5" s="1"/>
  <c r="D93" i="8"/>
  <c r="H93" i="8"/>
  <c r="H112" i="4"/>
  <c r="D112" i="4"/>
  <c r="L384" i="5"/>
  <c r="M384" i="5" s="1"/>
  <c r="D294" i="5"/>
  <c r="H294" i="5"/>
  <c r="H493" i="8"/>
  <c r="D493" i="8"/>
  <c r="J477" i="9"/>
  <c r="K477" i="9"/>
  <c r="L477" i="9" s="1"/>
  <c r="F477" i="9"/>
  <c r="D297" i="8"/>
  <c r="H297" i="8"/>
  <c r="L49" i="5"/>
  <c r="M49" i="5" s="1"/>
  <c r="M62" i="4"/>
  <c r="L306" i="2"/>
  <c r="M306" i="2" s="1"/>
  <c r="B326" i="8"/>
  <c r="M68" i="4"/>
  <c r="D102" i="5"/>
  <c r="M114" i="4"/>
  <c r="H579" i="6"/>
  <c r="H579" i="4"/>
  <c r="M430" i="4"/>
  <c r="D646" i="3"/>
  <c r="F239" i="2"/>
  <c r="F240" i="2" s="1"/>
  <c r="H297" i="9"/>
  <c r="L356" i="6"/>
  <c r="H588" i="3"/>
  <c r="H624" i="3"/>
  <c r="H625" i="3" s="1"/>
  <c r="D647" i="4"/>
  <c r="K500" i="4"/>
  <c r="K283" i="9"/>
  <c r="D391" i="7"/>
  <c r="K438" i="3"/>
  <c r="D374" i="2"/>
  <c r="D380" i="2" s="1"/>
  <c r="H432" i="3"/>
  <c r="L459" i="2"/>
  <c r="L460" i="2" s="1"/>
  <c r="H207" i="3"/>
  <c r="M53" i="4"/>
  <c r="L387" i="3"/>
  <c r="D529" i="5"/>
  <c r="H538" i="6"/>
  <c r="L62" i="8"/>
  <c r="L71" i="6"/>
  <c r="M71" i="6" s="1"/>
  <c r="M98" i="7"/>
  <c r="D178" i="2"/>
  <c r="M279" i="9"/>
  <c r="L338" i="7"/>
  <c r="M338" i="7" s="1"/>
  <c r="K239" i="6"/>
  <c r="K240" i="6" s="1"/>
  <c r="L494" i="6"/>
  <c r="M494" i="6" s="1"/>
  <c r="I363" i="5"/>
  <c r="M377" i="5"/>
  <c r="B328" i="4"/>
  <c r="M104" i="4"/>
  <c r="L601" i="2"/>
  <c r="L310" i="2"/>
  <c r="M310" i="2" s="1"/>
  <c r="M276" i="2"/>
  <c r="L427" i="2"/>
  <c r="D112" i="2"/>
  <c r="H112" i="2"/>
  <c r="D87" i="6"/>
  <c r="H87" i="6"/>
  <c r="M128" i="8"/>
  <c r="H112" i="9"/>
  <c r="D112" i="9"/>
  <c r="H114" i="5"/>
  <c r="M114" i="5"/>
  <c r="L109" i="8"/>
  <c r="M109" i="8" s="1"/>
  <c r="H384" i="5"/>
  <c r="D384" i="5"/>
  <c r="L419" i="6"/>
  <c r="D450" i="4"/>
  <c r="H450" i="4"/>
  <c r="L479" i="9"/>
  <c r="D225" i="9"/>
  <c r="H225" i="9"/>
  <c r="H419" i="5"/>
  <c r="D419" i="5"/>
  <c r="D595" i="5"/>
  <c r="M519" i="9"/>
  <c r="D106" i="1"/>
  <c r="L156" i="6"/>
  <c r="F646" i="3"/>
  <c r="H636" i="7"/>
  <c r="H647" i="7" s="1"/>
  <c r="K346" i="3"/>
  <c r="L601" i="9"/>
  <c r="L281" i="2"/>
  <c r="M281" i="2" s="1"/>
  <c r="J115" i="1"/>
  <c r="M104" i="9"/>
  <c r="D107" i="7"/>
  <c r="D114" i="8"/>
  <c r="K303" i="9"/>
  <c r="H636" i="8"/>
  <c r="H647" i="8" s="1"/>
  <c r="M452" i="4"/>
  <c r="L323" i="2"/>
  <c r="M323" i="2" s="1"/>
  <c r="M318" i="9"/>
  <c r="D573" i="5"/>
  <c r="F362" i="5"/>
  <c r="K439" i="4"/>
  <c r="B566" i="1"/>
  <c r="J566" i="1" s="1"/>
  <c r="L187" i="1"/>
  <c r="M187" i="1" s="1"/>
  <c r="B325" i="5"/>
  <c r="B326" i="5" s="1"/>
  <c r="K325" i="6"/>
  <c r="M317" i="2"/>
  <c r="K515" i="8"/>
  <c r="J429" i="5"/>
  <c r="L284" i="5"/>
  <c r="J396" i="8"/>
  <c r="F429" i="5"/>
  <c r="D178" i="8"/>
  <c r="L72" i="2"/>
  <c r="M72" i="2" s="1"/>
  <c r="F214" i="3"/>
  <c r="L90" i="3"/>
  <c r="M90" i="3" s="1"/>
  <c r="L69" i="9"/>
  <c r="L108" i="3"/>
  <c r="M108" i="3" s="1"/>
  <c r="M507" i="6"/>
  <c r="J285" i="4"/>
  <c r="H250" i="7"/>
  <c r="L297" i="9"/>
  <c r="M297" i="9" s="1"/>
  <c r="M111" i="9"/>
  <c r="L282" i="9"/>
  <c r="M282" i="9" s="1"/>
  <c r="M221" i="8"/>
  <c r="M311" i="8"/>
  <c r="M346" i="8"/>
  <c r="L360" i="8"/>
  <c r="M360" i="8" s="1"/>
  <c r="M547" i="8"/>
  <c r="L227" i="7"/>
  <c r="M227" i="7" s="1"/>
  <c r="D601" i="7"/>
  <c r="H616" i="7"/>
  <c r="H626" i="7" s="1"/>
  <c r="M230" i="7"/>
  <c r="L207" i="7"/>
  <c r="M207" i="7" s="1"/>
  <c r="L465" i="6"/>
  <c r="M465" i="6" s="1"/>
  <c r="D379" i="5"/>
  <c r="L517" i="5"/>
  <c r="M104" i="5"/>
  <c r="L209" i="4"/>
  <c r="M209" i="4" s="1"/>
  <c r="I178" i="2"/>
  <c r="I195" i="2" s="1"/>
  <c r="L87" i="2"/>
  <c r="M87" i="2" s="1"/>
  <c r="M422" i="2"/>
  <c r="M497" i="2"/>
  <c r="D128" i="8"/>
  <c r="H128" i="8"/>
  <c r="L98" i="4"/>
  <c r="M98" i="4" s="1"/>
  <c r="L90" i="8"/>
  <c r="M90" i="8" s="1"/>
  <c r="L106" i="5"/>
  <c r="M106" i="5" s="1"/>
  <c r="D109" i="8"/>
  <c r="H109" i="8"/>
  <c r="D376" i="7"/>
  <c r="H376" i="7"/>
  <c r="D513" i="9"/>
  <c r="H513" i="9"/>
  <c r="K601" i="2"/>
  <c r="L385" i="9"/>
  <c r="B499" i="5"/>
  <c r="F498" i="5"/>
  <c r="I498" i="5"/>
  <c r="I499" i="5" s="1"/>
  <c r="D374" i="9"/>
  <c r="H374" i="9"/>
  <c r="I383" i="4"/>
  <c r="L382" i="4"/>
  <c r="L383" i="4" s="1"/>
  <c r="L223" i="9"/>
  <c r="M223" i="9" s="1"/>
  <c r="H449" i="5"/>
  <c r="D449" i="5"/>
  <c r="L419" i="5"/>
  <c r="M419" i="5" s="1"/>
  <c r="M449" i="5"/>
  <c r="L610" i="1"/>
  <c r="M610" i="1" s="1"/>
  <c r="F552" i="9"/>
  <c r="H533" i="7"/>
  <c r="F542" i="4"/>
  <c r="D530" i="5"/>
  <c r="M530" i="5"/>
  <c r="H530" i="5"/>
  <c r="H534" i="5" s="1"/>
  <c r="H547" i="6"/>
  <c r="D547" i="6"/>
  <c r="B548" i="5"/>
  <c r="K610" i="1"/>
  <c r="L540" i="3"/>
  <c r="L541" i="3" s="1"/>
  <c r="L546" i="2"/>
  <c r="D541" i="4"/>
  <c r="D542" i="4" s="1"/>
  <c r="H541" i="9"/>
  <c r="H542" i="9" s="1"/>
  <c r="M67" i="8"/>
  <c r="L61" i="8"/>
  <c r="L55" i="8"/>
  <c r="M55" i="8" s="1"/>
  <c r="I60" i="1"/>
  <c r="D46" i="8"/>
  <c r="H46" i="8"/>
  <c r="J53" i="8"/>
  <c r="L53" i="8" s="1"/>
  <c r="F53" i="8"/>
  <c r="B59" i="8"/>
  <c r="L52" i="8"/>
  <c r="M52" i="8" s="1"/>
  <c r="J551" i="3"/>
  <c r="L607" i="1"/>
  <c r="M607" i="1" s="1"/>
  <c r="L538" i="2"/>
  <c r="M538" i="2" s="1"/>
  <c r="K457" i="2"/>
  <c r="J500" i="2"/>
  <c r="H221" i="2"/>
  <c r="D277" i="2"/>
  <c r="K439" i="2"/>
  <c r="H194" i="2"/>
  <c r="K414" i="2"/>
  <c r="D423" i="2"/>
  <c r="D354" i="1"/>
  <c r="M423" i="2"/>
  <c r="M338" i="2"/>
  <c r="M356" i="2"/>
  <c r="H360" i="2"/>
  <c r="D297" i="2"/>
  <c r="H297" i="2"/>
  <c r="L267" i="2"/>
  <c r="M267" i="2" s="1"/>
  <c r="D355" i="2"/>
  <c r="H355" i="2"/>
  <c r="D276" i="2"/>
  <c r="H276" i="2"/>
  <c r="H400" i="1"/>
  <c r="D253" i="2"/>
  <c r="M354" i="1"/>
  <c r="M541" i="2"/>
  <c r="L252" i="2"/>
  <c r="M252" i="2" s="1"/>
  <c r="D391" i="2"/>
  <c r="M297" i="2"/>
  <c r="D497" i="2"/>
  <c r="H497" i="2"/>
  <c r="H108" i="2"/>
  <c r="D108" i="2"/>
  <c r="L502" i="2"/>
  <c r="H250" i="2"/>
  <c r="D250" i="2"/>
  <c r="H91" i="2"/>
  <c r="J380" i="2"/>
  <c r="D400" i="1"/>
  <c r="F390" i="1"/>
  <c r="H390" i="1" s="1"/>
  <c r="F380" i="2"/>
  <c r="H298" i="1"/>
  <c r="D324" i="2"/>
  <c r="K649" i="1"/>
  <c r="K661" i="1" s="1"/>
  <c r="M360" i="2"/>
  <c r="L346" i="2"/>
  <c r="M346" i="2" s="1"/>
  <c r="M301" i="1"/>
  <c r="H430" i="2"/>
  <c r="D430" i="2"/>
  <c r="H270" i="2"/>
  <c r="D270" i="2"/>
  <c r="D502" i="2"/>
  <c r="D503" i="2" s="1"/>
  <c r="F503" i="2"/>
  <c r="M62" i="8"/>
  <c r="H573" i="1"/>
  <c r="D573" i="1"/>
  <c r="I341" i="1"/>
  <c r="L67" i="2"/>
  <c r="M67" i="2" s="1"/>
  <c r="L277" i="2"/>
  <c r="M277" i="2" s="1"/>
  <c r="H251" i="2"/>
  <c r="D251" i="2"/>
  <c r="L394" i="2"/>
  <c r="D422" i="2"/>
  <c r="H422" i="2"/>
  <c r="D579" i="2"/>
  <c r="M98" i="2"/>
  <c r="H495" i="2"/>
  <c r="D495" i="2"/>
  <c r="H410" i="2"/>
  <c r="D410" i="2"/>
  <c r="L410" i="2"/>
  <c r="M410" i="2" s="1"/>
  <c r="D505" i="2"/>
  <c r="H505" i="2"/>
  <c r="L469" i="2"/>
  <c r="M469" i="2" s="1"/>
  <c r="H345" i="2"/>
  <c r="H347" i="2" s="1"/>
  <c r="D345" i="2"/>
  <c r="D347" i="2" s="1"/>
  <c r="H544" i="2"/>
  <c r="D544" i="2"/>
  <c r="D356" i="2"/>
  <c r="H356" i="2"/>
  <c r="M533" i="2"/>
  <c r="F439" i="2"/>
  <c r="D512" i="2"/>
  <c r="H512" i="2"/>
  <c r="H338" i="2"/>
  <c r="D338" i="2"/>
  <c r="H452" i="2"/>
  <c r="H457" i="2" s="1"/>
  <c r="D452" i="2"/>
  <c r="D457" i="2" s="1"/>
  <c r="L425" i="2"/>
  <c r="D317" i="2"/>
  <c r="H317" i="2"/>
  <c r="J518" i="1"/>
  <c r="L518" i="1" s="1"/>
  <c r="J539" i="2"/>
  <c r="J553" i="2" s="1"/>
  <c r="L57" i="2"/>
  <c r="M57" i="2" s="1"/>
  <c r="L194" i="2"/>
  <c r="M193" i="2"/>
  <c r="D87" i="2"/>
  <c r="H87" i="2"/>
  <c r="M68" i="2"/>
  <c r="H158" i="1"/>
  <c r="L357" i="2"/>
  <c r="K552" i="2"/>
  <c r="M324" i="2"/>
  <c r="K437" i="1"/>
  <c r="L437" i="1" s="1"/>
  <c r="H324" i="2"/>
  <c r="K508" i="1"/>
  <c r="L508" i="1" s="1"/>
  <c r="H494" i="2"/>
  <c r="D494" i="2"/>
  <c r="F500" i="2"/>
  <c r="H438" i="2"/>
  <c r="D438" i="2"/>
  <c r="H472" i="2"/>
  <c r="D472" i="2"/>
  <c r="L514" i="2"/>
  <c r="L466" i="2"/>
  <c r="M466" i="2" s="1"/>
  <c r="H230" i="2"/>
  <c r="D230" i="2"/>
  <c r="D104" i="2"/>
  <c r="H104" i="2"/>
  <c r="L61" i="2"/>
  <c r="M61" i="2" s="1"/>
  <c r="B156" i="2"/>
  <c r="I553" i="2"/>
  <c r="J239" i="2"/>
  <c r="J240" i="2" s="1"/>
  <c r="D109" i="2"/>
  <c r="H109" i="2"/>
  <c r="M107" i="2"/>
  <c r="H477" i="2"/>
  <c r="F482" i="2"/>
  <c r="D477" i="2"/>
  <c r="D482" i="2" s="1"/>
  <c r="L313" i="2"/>
  <c r="M313" i="2" s="1"/>
  <c r="F522" i="2"/>
  <c r="D517" i="2"/>
  <c r="H517" i="2"/>
  <c r="H522" i="2" s="1"/>
  <c r="D514" i="2"/>
  <c r="H514" i="2"/>
  <c r="M253" i="2"/>
  <c r="M91" i="2"/>
  <c r="L221" i="2"/>
  <c r="M221" i="2" s="1"/>
  <c r="H521" i="2"/>
  <c r="D521" i="2"/>
  <c r="I440" i="2"/>
  <c r="M521" i="2"/>
  <c r="L374" i="2"/>
  <c r="M374" i="2" s="1"/>
  <c r="D107" i="2"/>
  <c r="H107" i="2"/>
  <c r="H459" i="2"/>
  <c r="H460" i="2" s="1"/>
  <c r="F460" i="2"/>
  <c r="D459" i="2"/>
  <c r="D460" i="2" s="1"/>
  <c r="H435" i="2"/>
  <c r="D435" i="2"/>
  <c r="D439" i="2" s="1"/>
  <c r="L517" i="2"/>
  <c r="J522" i="2"/>
  <c r="D466" i="2"/>
  <c r="H466" i="2"/>
  <c r="L453" i="2"/>
  <c r="M453" i="2" s="1"/>
  <c r="D252" i="3"/>
  <c r="H252" i="3"/>
  <c r="J111" i="1"/>
  <c r="M195" i="1"/>
  <c r="H147" i="1"/>
  <c r="F430" i="3"/>
  <c r="H167" i="3"/>
  <c r="H187" i="1" s="1"/>
  <c r="D415" i="3"/>
  <c r="D416" i="3" s="1"/>
  <c r="F567" i="1"/>
  <c r="H567" i="1" s="1"/>
  <c r="D532" i="3"/>
  <c r="K473" i="3"/>
  <c r="L501" i="3"/>
  <c r="L502" i="3" s="1"/>
  <c r="L105" i="3"/>
  <c r="M105" i="3" s="1"/>
  <c r="L103" i="3"/>
  <c r="M103" i="3" s="1"/>
  <c r="F76" i="1"/>
  <c r="L110" i="3"/>
  <c r="M110" i="3" s="1"/>
  <c r="K530" i="1"/>
  <c r="L530" i="1" s="1"/>
  <c r="M530" i="1" s="1"/>
  <c r="J231" i="1"/>
  <c r="F231" i="1"/>
  <c r="D231" i="1" s="1"/>
  <c r="H429" i="3"/>
  <c r="D429" i="3"/>
  <c r="D510" i="3"/>
  <c r="H510" i="3"/>
  <c r="F416" i="3"/>
  <c r="H532" i="3"/>
  <c r="K214" i="3"/>
  <c r="D419" i="3"/>
  <c r="L375" i="3"/>
  <c r="L548" i="3"/>
  <c r="L101" i="3"/>
  <c r="I98" i="3"/>
  <c r="I115" i="3" s="1"/>
  <c r="L104" i="3"/>
  <c r="M104" i="3" s="1"/>
  <c r="K231" i="1"/>
  <c r="J479" i="1"/>
  <c r="H317" i="3"/>
  <c r="D317" i="3"/>
  <c r="H71" i="3"/>
  <c r="J552" i="3"/>
  <c r="B552" i="3"/>
  <c r="H516" i="1"/>
  <c r="H553" i="1"/>
  <c r="F482" i="1"/>
  <c r="H482" i="1" s="1"/>
  <c r="J259" i="3"/>
  <c r="K456" i="3"/>
  <c r="J553" i="1"/>
  <c r="J342" i="3"/>
  <c r="J473" i="3"/>
  <c r="D277" i="3"/>
  <c r="M227" i="3"/>
  <c r="L109" i="3"/>
  <c r="L57" i="3"/>
  <c r="M57" i="3" s="1"/>
  <c r="H549" i="3"/>
  <c r="D549" i="3"/>
  <c r="L228" i="3"/>
  <c r="M228" i="3" s="1"/>
  <c r="L382" i="3"/>
  <c r="L383" i="3" s="1"/>
  <c r="I383" i="3"/>
  <c r="I396" i="3" s="1"/>
  <c r="D512" i="4"/>
  <c r="H512" i="4"/>
  <c r="D513" i="4"/>
  <c r="H513" i="4"/>
  <c r="H104" i="4"/>
  <c r="D104" i="4"/>
  <c r="L296" i="4"/>
  <c r="M296" i="4" s="1"/>
  <c r="J305" i="4"/>
  <c r="J363" i="4"/>
  <c r="H394" i="4"/>
  <c r="D394" i="4"/>
  <c r="M158" i="1"/>
  <c r="I601" i="1"/>
  <c r="I602" i="1" s="1"/>
  <c r="L317" i="4"/>
  <c r="M317" i="4" s="1"/>
  <c r="L409" i="4"/>
  <c r="M409" i="4" s="1"/>
  <c r="H264" i="4"/>
  <c r="M546" i="4"/>
  <c r="D508" i="4"/>
  <c r="H508" i="4"/>
  <c r="L359" i="4"/>
  <c r="D253" i="4"/>
  <c r="H253" i="4"/>
  <c r="M183" i="4"/>
  <c r="H183" i="4"/>
  <c r="H195" i="4" s="1"/>
  <c r="D183" i="4"/>
  <c r="F195" i="4"/>
  <c r="H481" i="4"/>
  <c r="D481" i="4"/>
  <c r="H274" i="4"/>
  <c r="D274" i="4"/>
  <c r="D285" i="4" s="1"/>
  <c r="M302" i="4"/>
  <c r="D302" i="4"/>
  <c r="H302" i="4"/>
  <c r="H433" i="4"/>
  <c r="D433" i="4"/>
  <c r="K262" i="4"/>
  <c r="L428" i="4"/>
  <c r="I523" i="4"/>
  <c r="L541" i="4"/>
  <c r="M541" i="4" s="1"/>
  <c r="D301" i="1"/>
  <c r="D359" i="4"/>
  <c r="H359" i="4"/>
  <c r="D509" i="4"/>
  <c r="H509" i="4"/>
  <c r="L518" i="4"/>
  <c r="D224" i="4"/>
  <c r="D241" i="4" s="1"/>
  <c r="H224" i="4"/>
  <c r="K99" i="4"/>
  <c r="H408" i="4"/>
  <c r="L105" i="4"/>
  <c r="M105" i="4" s="1"/>
  <c r="L107" i="4"/>
  <c r="M107" i="4" s="1"/>
  <c r="L391" i="4"/>
  <c r="D147" i="1"/>
  <c r="L439" i="4"/>
  <c r="L352" i="4"/>
  <c r="L363" i="4" s="1"/>
  <c r="K380" i="4"/>
  <c r="J254" i="1"/>
  <c r="H419" i="4"/>
  <c r="M512" i="4"/>
  <c r="L285" i="4"/>
  <c r="H91" i="4"/>
  <c r="D91" i="4"/>
  <c r="H300" i="4"/>
  <c r="D300" i="4"/>
  <c r="D347" i="4"/>
  <c r="D348" i="4" s="1"/>
  <c r="H347" i="4"/>
  <c r="H348" i="4" s="1"/>
  <c r="L394" i="4"/>
  <c r="M408" i="4"/>
  <c r="L537" i="4"/>
  <c r="L539" i="4" s="1"/>
  <c r="H205" i="5"/>
  <c r="H215" i="5" s="1"/>
  <c r="D205" i="5"/>
  <c r="D215" i="5" s="1"/>
  <c r="F215" i="5"/>
  <c r="H295" i="5"/>
  <c r="D295" i="5"/>
  <c r="F178" i="5"/>
  <c r="M169" i="5"/>
  <c r="L514" i="5"/>
  <c r="L518" i="5" s="1"/>
  <c r="H541" i="5"/>
  <c r="D225" i="5"/>
  <c r="H225" i="5"/>
  <c r="L205" i="5"/>
  <c r="M205" i="5" s="1"/>
  <c r="J215" i="5"/>
  <c r="D392" i="5"/>
  <c r="H392" i="5"/>
  <c r="K412" i="5"/>
  <c r="F303" i="5"/>
  <c r="F649" i="1"/>
  <c r="F577" i="1"/>
  <c r="D577" i="1" s="1"/>
  <c r="F518" i="1"/>
  <c r="D518" i="1" s="1"/>
  <c r="L418" i="5"/>
  <c r="D407" i="5"/>
  <c r="D412" i="5" s="1"/>
  <c r="H407" i="5"/>
  <c r="H412" i="5" s="1"/>
  <c r="H505" i="5"/>
  <c r="D505" i="5"/>
  <c r="L338" i="5"/>
  <c r="D421" i="5"/>
  <c r="H421" i="5"/>
  <c r="M421" i="5"/>
  <c r="H509" i="5"/>
  <c r="D509" i="5"/>
  <c r="D469" i="5"/>
  <c r="H469" i="5"/>
  <c r="M503" i="5"/>
  <c r="J100" i="1"/>
  <c r="L109" i="5"/>
  <c r="M109" i="5" s="1"/>
  <c r="K102" i="1"/>
  <c r="M324" i="5"/>
  <c r="I506" i="1"/>
  <c r="K534" i="5"/>
  <c r="B480" i="5"/>
  <c r="H418" i="5"/>
  <c r="B661" i="1"/>
  <c r="K531" i="1"/>
  <c r="M187" i="5"/>
  <c r="D187" i="5"/>
  <c r="D206" i="1" s="1"/>
  <c r="H187" i="5"/>
  <c r="H194" i="5" s="1"/>
  <c r="D338" i="5"/>
  <c r="D343" i="5" s="1"/>
  <c r="H338" i="5"/>
  <c r="L544" i="5"/>
  <c r="M544" i="5" s="1"/>
  <c r="F415" i="5"/>
  <c r="H414" i="5"/>
  <c r="H415" i="5" s="1"/>
  <c r="D414" i="5"/>
  <c r="D415" i="5" s="1"/>
  <c r="M414" i="5"/>
  <c r="H508" i="5"/>
  <c r="D508" i="5"/>
  <c r="F343" i="5"/>
  <c r="F363" i="5" s="1"/>
  <c r="H473" i="5"/>
  <c r="D473" i="5"/>
  <c r="H513" i="5"/>
  <c r="H518" i="5" s="1"/>
  <c r="F518" i="5"/>
  <c r="D513" i="5"/>
  <c r="D518" i="5" s="1"/>
  <c r="H104" i="5"/>
  <c r="D104" i="5"/>
  <c r="L519" i="6"/>
  <c r="J522" i="6"/>
  <c r="D416" i="6"/>
  <c r="D417" i="6" s="1"/>
  <c r="F417" i="6"/>
  <c r="D468" i="6"/>
  <c r="H468" i="6"/>
  <c r="H360" i="6"/>
  <c r="D360" i="6"/>
  <c r="D467" i="6"/>
  <c r="H467" i="6"/>
  <c r="H478" i="6"/>
  <c r="D478" i="6"/>
  <c r="L229" i="6"/>
  <c r="M229" i="6" s="1"/>
  <c r="D273" i="6"/>
  <c r="H273" i="6"/>
  <c r="J280" i="1"/>
  <c r="F280" i="1"/>
  <c r="K58" i="1"/>
  <c r="L112" i="6"/>
  <c r="M112" i="6" s="1"/>
  <c r="L91" i="6"/>
  <c r="M91" i="6" s="1"/>
  <c r="I640" i="1"/>
  <c r="M205" i="1"/>
  <c r="H416" i="6"/>
  <c r="H417" i="6" s="1"/>
  <c r="L436" i="6"/>
  <c r="F506" i="1"/>
  <c r="H506" i="1" s="1"/>
  <c r="K567" i="1"/>
  <c r="L567" i="1" s="1"/>
  <c r="J576" i="1"/>
  <c r="J457" i="6"/>
  <c r="K516" i="1"/>
  <c r="I280" i="1"/>
  <c r="I289" i="1" s="1"/>
  <c r="I314" i="1" s="1"/>
  <c r="I321" i="1" s="1"/>
  <c r="J239" i="6"/>
  <c r="L46" i="6"/>
  <c r="M46" i="6" s="1"/>
  <c r="D468" i="1"/>
  <c r="K568" i="1"/>
  <c r="L568" i="1" s="1"/>
  <c r="J687" i="1"/>
  <c r="K506" i="1"/>
  <c r="M95" i="6"/>
  <c r="H95" i="6"/>
  <c r="D95" i="6"/>
  <c r="H225" i="6"/>
  <c r="D225" i="6"/>
  <c r="D312" i="6"/>
  <c r="H312" i="6"/>
  <c r="M478" i="6"/>
  <c r="M273" i="6"/>
  <c r="H229" i="6"/>
  <c r="D229" i="6"/>
  <c r="D212" i="6"/>
  <c r="M212" i="6"/>
  <c r="H212" i="6"/>
  <c r="L416" i="6"/>
  <c r="B440" i="6"/>
  <c r="K576" i="1"/>
  <c r="K280" i="1"/>
  <c r="J306" i="1"/>
  <c r="L306" i="1" s="1"/>
  <c r="F359" i="1"/>
  <c r="M359" i="1" s="1"/>
  <c r="K468" i="1"/>
  <c r="L512" i="6"/>
  <c r="D103" i="6"/>
  <c r="H103" i="6"/>
  <c r="L312" i="6"/>
  <c r="M312" i="6" s="1"/>
  <c r="H454" i="6"/>
  <c r="D454" i="6"/>
  <c r="H462" i="6"/>
  <c r="D462" i="6"/>
  <c r="M253" i="6"/>
  <c r="J260" i="6"/>
  <c r="J284" i="6" s="1"/>
  <c r="J117" i="1"/>
  <c r="K107" i="1"/>
  <c r="H536" i="6"/>
  <c r="H539" i="6" s="1"/>
  <c r="K432" i="1"/>
  <c r="L432" i="1" s="1"/>
  <c r="J468" i="1"/>
  <c r="F568" i="1"/>
  <c r="D568" i="1" s="1"/>
  <c r="L541" i="6"/>
  <c r="L542" i="6" s="1"/>
  <c r="D429" i="6"/>
  <c r="H429" i="6"/>
  <c r="L225" i="6"/>
  <c r="D514" i="6"/>
  <c r="H514" i="6"/>
  <c r="D268" i="6"/>
  <c r="H268" i="6"/>
  <c r="D253" i="6"/>
  <c r="D260" i="6" s="1"/>
  <c r="H253" i="6"/>
  <c r="H260" i="6" s="1"/>
  <c r="H252" i="7"/>
  <c r="D252" i="7"/>
  <c r="D260" i="7" s="1"/>
  <c r="D373" i="7"/>
  <c r="H373" i="7"/>
  <c r="H537" i="7"/>
  <c r="D537" i="7"/>
  <c r="H360" i="7"/>
  <c r="D360" i="7"/>
  <c r="F116" i="1"/>
  <c r="L109" i="7"/>
  <c r="M109" i="7" s="1"/>
  <c r="H221" i="7"/>
  <c r="K553" i="1"/>
  <c r="K601" i="1"/>
  <c r="K602" i="1" s="1"/>
  <c r="D262" i="1"/>
  <c r="L388" i="7"/>
  <c r="L206" i="7"/>
  <c r="M206" i="7" s="1"/>
  <c r="L410" i="7"/>
  <c r="M410" i="7" s="1"/>
  <c r="L494" i="7"/>
  <c r="M494" i="7" s="1"/>
  <c r="H230" i="7"/>
  <c r="D230" i="7"/>
  <c r="H324" i="7"/>
  <c r="D324" i="7"/>
  <c r="F239" i="7"/>
  <c r="F283" i="7"/>
  <c r="B284" i="7"/>
  <c r="D479" i="1"/>
  <c r="M295" i="1"/>
  <c r="M537" i="7"/>
  <c r="F260" i="7"/>
  <c r="L450" i="7"/>
  <c r="H428" i="7"/>
  <c r="J283" i="7"/>
  <c r="L471" i="7"/>
  <c r="F388" i="1"/>
  <c r="M221" i="7"/>
  <c r="H263" i="7"/>
  <c r="D263" i="7"/>
  <c r="D338" i="7"/>
  <c r="H338" i="7"/>
  <c r="M252" i="7"/>
  <c r="B195" i="7"/>
  <c r="B140" i="1"/>
  <c r="K457" i="7"/>
  <c r="K474" i="7"/>
  <c r="H260" i="7"/>
  <c r="M228" i="7"/>
  <c r="H269" i="7"/>
  <c r="K388" i="1"/>
  <c r="L388" i="1" s="1"/>
  <c r="L424" i="7"/>
  <c r="D579" i="7"/>
  <c r="D108" i="7"/>
  <c r="H108" i="7"/>
  <c r="H423" i="7"/>
  <c r="D423" i="7"/>
  <c r="H496" i="7"/>
  <c r="D496" i="7"/>
  <c r="K325" i="7"/>
  <c r="D636" i="7"/>
  <c r="D187" i="1"/>
  <c r="I507" i="1"/>
  <c r="H639" i="1"/>
  <c r="K245" i="1"/>
  <c r="L245" i="1" s="1"/>
  <c r="H262" i="1"/>
  <c r="K552" i="7"/>
  <c r="L508" i="7"/>
  <c r="M508" i="7" s="1"/>
  <c r="D509" i="7"/>
  <c r="M388" i="7"/>
  <c r="D339" i="7"/>
  <c r="H339" i="7"/>
  <c r="H270" i="7"/>
  <c r="D270" i="7"/>
  <c r="L648" i="1"/>
  <c r="M648" i="1" s="1"/>
  <c r="K430" i="1"/>
  <c r="J430" i="1"/>
  <c r="H430" i="1"/>
  <c r="H204" i="1"/>
  <c r="F432" i="1"/>
  <c r="D432" i="1" s="1"/>
  <c r="L312" i="7"/>
  <c r="M312" i="7" s="1"/>
  <c r="D697" i="1"/>
  <c r="L295" i="7"/>
  <c r="M295" i="7" s="1"/>
  <c r="L477" i="7"/>
  <c r="K515" i="7"/>
  <c r="M108" i="7"/>
  <c r="H295" i="1"/>
  <c r="L306" i="7"/>
  <c r="M306" i="7" s="1"/>
  <c r="K283" i="7"/>
  <c r="K284" i="7" s="1"/>
  <c r="L386" i="7"/>
  <c r="M386" i="7" s="1"/>
  <c r="L421" i="7"/>
  <c r="L267" i="7"/>
  <c r="M267" i="7" s="1"/>
  <c r="D471" i="7"/>
  <c r="H471" i="7"/>
  <c r="D273" i="7"/>
  <c r="H273" i="7"/>
  <c r="D375" i="7"/>
  <c r="H375" i="7"/>
  <c r="H468" i="7"/>
  <c r="D468" i="7"/>
  <c r="H507" i="7"/>
  <c r="D507" i="7"/>
  <c r="L250" i="7"/>
  <c r="B79" i="1"/>
  <c r="B80" i="1" s="1"/>
  <c r="K254" i="1"/>
  <c r="L222" i="7"/>
  <c r="M222" i="7" s="1"/>
  <c r="D345" i="7"/>
  <c r="H345" i="7"/>
  <c r="L394" i="7"/>
  <c r="M394" i="7" s="1"/>
  <c r="H193" i="7"/>
  <c r="H194" i="7" s="1"/>
  <c r="D193" i="7"/>
  <c r="M375" i="7"/>
  <c r="J383" i="7"/>
  <c r="L382" i="7"/>
  <c r="L383" i="7" s="1"/>
  <c r="D452" i="7"/>
  <c r="H452" i="7"/>
  <c r="D450" i="7"/>
  <c r="H450" i="7"/>
  <c r="D410" i="7"/>
  <c r="D414" i="7" s="1"/>
  <c r="H410" i="7"/>
  <c r="D393" i="1"/>
  <c r="J708" i="1"/>
  <c r="L514" i="7"/>
  <c r="M273" i="7"/>
  <c r="J104" i="1"/>
  <c r="K104" i="1"/>
  <c r="K396" i="7"/>
  <c r="K397" i="7" s="1"/>
  <c r="K239" i="7"/>
  <c r="K240" i="7" s="1"/>
  <c r="D178" i="7"/>
  <c r="M538" i="7"/>
  <c r="F507" i="1"/>
  <c r="H507" i="1" s="1"/>
  <c r="J507" i="1"/>
  <c r="K308" i="1"/>
  <c r="L308" i="1" s="1"/>
  <c r="M308" i="1" s="1"/>
  <c r="D520" i="7"/>
  <c r="H520" i="7"/>
  <c r="H206" i="7"/>
  <c r="D206" i="7"/>
  <c r="L336" i="7"/>
  <c r="J343" i="7"/>
  <c r="L193" i="7"/>
  <c r="K194" i="7"/>
  <c r="K195" i="7" s="1"/>
  <c r="L229" i="7"/>
  <c r="M229" i="7" s="1"/>
  <c r="L266" i="7"/>
  <c r="M266" i="7" s="1"/>
  <c r="H510" i="7"/>
  <c r="D510" i="7"/>
  <c r="D421" i="7"/>
  <c r="H421" i="7"/>
  <c r="L345" i="7"/>
  <c r="D479" i="7"/>
  <c r="H479" i="7"/>
  <c r="L355" i="7"/>
  <c r="F482" i="7"/>
  <c r="H388" i="7"/>
  <c r="H597" i="1"/>
  <c r="F245" i="1"/>
  <c r="H245" i="1" s="1"/>
  <c r="D538" i="7"/>
  <c r="M69" i="7"/>
  <c r="M53" i="7"/>
  <c r="L317" i="7"/>
  <c r="M317" i="7" s="1"/>
  <c r="L466" i="7"/>
  <c r="H178" i="7"/>
  <c r="F437" i="1"/>
  <c r="D437" i="1" s="1"/>
  <c r="F341" i="1"/>
  <c r="H341" i="1" s="1"/>
  <c r="D679" i="1"/>
  <c r="D680" i="1" s="1"/>
  <c r="H679" i="1"/>
  <c r="H680" i="1" s="1"/>
  <c r="F680" i="1"/>
  <c r="H495" i="7"/>
  <c r="D495" i="7"/>
  <c r="D349" i="7"/>
  <c r="H349" i="7"/>
  <c r="D425" i="7"/>
  <c r="H425" i="7"/>
  <c r="H514" i="7"/>
  <c r="D514" i="7"/>
  <c r="H512" i="7"/>
  <c r="D512" i="7"/>
  <c r="J380" i="7"/>
  <c r="H517" i="7"/>
  <c r="D517" i="7"/>
  <c r="H468" i="8"/>
  <c r="D468" i="8"/>
  <c r="H208" i="8"/>
  <c r="D208" i="8"/>
  <c r="D317" i="8"/>
  <c r="H317" i="8"/>
  <c r="H306" i="8"/>
  <c r="H307" i="8" s="1"/>
  <c r="D306" i="8"/>
  <c r="D307" i="8" s="1"/>
  <c r="L194" i="8"/>
  <c r="D507" i="8"/>
  <c r="H507" i="8"/>
  <c r="H360" i="8"/>
  <c r="D360" i="8"/>
  <c r="D511" i="8"/>
  <c r="H511" i="8"/>
  <c r="M61" i="8"/>
  <c r="H114" i="8"/>
  <c r="M437" i="8"/>
  <c r="H380" i="1"/>
  <c r="L262" i="8"/>
  <c r="M262" i="8" s="1"/>
  <c r="I414" i="8"/>
  <c r="I440" i="8" s="1"/>
  <c r="H479" i="8"/>
  <c r="J298" i="1"/>
  <c r="H349" i="1"/>
  <c r="K687" i="1"/>
  <c r="F527" i="1"/>
  <c r="D527" i="1" s="1"/>
  <c r="F508" i="1"/>
  <c r="D508" i="1" s="1"/>
  <c r="M507" i="8"/>
  <c r="F307" i="8"/>
  <c r="M314" i="8"/>
  <c r="L306" i="8"/>
  <c r="L394" i="8"/>
  <c r="K195" i="8"/>
  <c r="D425" i="8"/>
  <c r="H425" i="8"/>
  <c r="H409" i="8"/>
  <c r="D409" i="8"/>
  <c r="D547" i="8"/>
  <c r="H547" i="8"/>
  <c r="J649" i="1"/>
  <c r="J661" i="1" s="1"/>
  <c r="L436" i="8"/>
  <c r="K439" i="8"/>
  <c r="J115" i="8"/>
  <c r="I599" i="1"/>
  <c r="M349" i="1"/>
  <c r="D314" i="8"/>
  <c r="H314" i="8"/>
  <c r="D324" i="8"/>
  <c r="H324" i="8"/>
  <c r="H394" i="8"/>
  <c r="D394" i="8"/>
  <c r="D354" i="8"/>
  <c r="H354" i="8"/>
  <c r="M324" i="8"/>
  <c r="L251" i="8"/>
  <c r="I260" i="8"/>
  <c r="I284" i="8" s="1"/>
  <c r="H180" i="8"/>
  <c r="H194" i="8" s="1"/>
  <c r="M180" i="8"/>
  <c r="D536" i="8"/>
  <c r="H536" i="8"/>
  <c r="H539" i="8" s="1"/>
  <c r="D104" i="8"/>
  <c r="H104" i="8"/>
  <c r="M51" i="8"/>
  <c r="B483" i="8"/>
  <c r="L108" i="8"/>
  <c r="M108" i="8" s="1"/>
  <c r="L89" i="8"/>
  <c r="M89" i="8" s="1"/>
  <c r="B708" i="1"/>
  <c r="M393" i="1"/>
  <c r="D606" i="1"/>
  <c r="D194" i="8"/>
  <c r="D609" i="1"/>
  <c r="K527" i="1"/>
  <c r="L527" i="1" s="1"/>
  <c r="H541" i="8"/>
  <c r="H542" i="8" s="1"/>
  <c r="B553" i="8"/>
  <c r="L541" i="8"/>
  <c r="L542" i="8" s="1"/>
  <c r="L296" i="8"/>
  <c r="M208" i="8"/>
  <c r="H262" i="8"/>
  <c r="H264" i="8" s="1"/>
  <c r="D262" i="8"/>
  <c r="D264" i="8" s="1"/>
  <c r="F264" i="8"/>
  <c r="D311" i="8"/>
  <c r="H311" i="8"/>
  <c r="H346" i="8"/>
  <c r="H347" i="8" s="1"/>
  <c r="F347" i="8"/>
  <c r="D346" i="8"/>
  <c r="D347" i="8" s="1"/>
  <c r="L91" i="8"/>
  <c r="M91" i="8" s="1"/>
  <c r="H433" i="8"/>
  <c r="D433" i="8"/>
  <c r="D422" i="8"/>
  <c r="H422" i="8"/>
  <c r="D494" i="8"/>
  <c r="H494" i="8"/>
  <c r="M69" i="9"/>
  <c r="B62" i="1"/>
  <c r="K240" i="9"/>
  <c r="K307" i="1"/>
  <c r="J307" i="1"/>
  <c r="D319" i="9"/>
  <c r="H319" i="9"/>
  <c r="D181" i="9"/>
  <c r="D200" i="1" s="1"/>
  <c r="H181" i="9"/>
  <c r="H200" i="1" s="1"/>
  <c r="L171" i="9"/>
  <c r="M171" i="9" s="1"/>
  <c r="J178" i="9"/>
  <c r="J195" i="9" s="1"/>
  <c r="F542" i="9"/>
  <c r="J260" i="9"/>
  <c r="J516" i="1"/>
  <c r="H697" i="1"/>
  <c r="B195" i="9"/>
  <c r="J353" i="1"/>
  <c r="K353" i="1"/>
  <c r="F353" i="1"/>
  <c r="H314" i="9"/>
  <c r="D314" i="9"/>
  <c r="L295" i="9"/>
  <c r="M295" i="9" s="1"/>
  <c r="I303" i="9"/>
  <c r="I326" i="9" s="1"/>
  <c r="L88" i="9"/>
  <c r="M88" i="9" s="1"/>
  <c r="K312" i="1"/>
  <c r="L312" i="1" s="1"/>
  <c r="F312" i="1"/>
  <c r="M319" i="9"/>
  <c r="L411" i="9"/>
  <c r="J414" i="9"/>
  <c r="F194" i="9"/>
  <c r="M186" i="9"/>
  <c r="H186" i="9"/>
  <c r="H205" i="1" s="1"/>
  <c r="D186" i="9"/>
  <c r="H171" i="9"/>
  <c r="H178" i="9" s="1"/>
  <c r="D171" i="9"/>
  <c r="D178" i="9" s="1"/>
  <c r="H255" i="9"/>
  <c r="D255" i="9"/>
  <c r="D278" i="9"/>
  <c r="H278" i="9"/>
  <c r="L375" i="9"/>
  <c r="I380" i="9"/>
  <c r="I397" i="9" s="1"/>
  <c r="H428" i="9"/>
  <c r="D428" i="9"/>
  <c r="J471" i="1"/>
  <c r="F471" i="1"/>
  <c r="K471" i="1"/>
  <c r="H453" i="9"/>
  <c r="D453" i="9"/>
  <c r="D233" i="9"/>
  <c r="H233" i="9"/>
  <c r="F460" i="9"/>
  <c r="H459" i="9"/>
  <c r="H460" i="9" s="1"/>
  <c r="D459" i="9"/>
  <c r="D460" i="9" s="1"/>
  <c r="F178" i="9"/>
  <c r="F195" i="9" s="1"/>
  <c r="D106" i="9"/>
  <c r="H106" i="9"/>
  <c r="F215" i="9"/>
  <c r="H206" i="9"/>
  <c r="D206" i="9"/>
  <c r="D215" i="9" s="1"/>
  <c r="D493" i="9"/>
  <c r="H493" i="9"/>
  <c r="H411" i="9"/>
  <c r="D411" i="9"/>
  <c r="K304" i="1"/>
  <c r="J304" i="1"/>
  <c r="F304" i="1"/>
  <c r="D269" i="9"/>
  <c r="D283" i="9" s="1"/>
  <c r="H269" i="9"/>
  <c r="D257" i="9"/>
  <c r="H257" i="9"/>
  <c r="H375" i="9"/>
  <c r="D375" i="9"/>
  <c r="D409" i="9"/>
  <c r="H409" i="9"/>
  <c r="D495" i="9"/>
  <c r="H495" i="9"/>
  <c r="D508" i="9"/>
  <c r="H508" i="9"/>
  <c r="L206" i="9"/>
  <c r="M206" i="9" s="1"/>
  <c r="I215" i="9"/>
  <c r="I240" i="9" s="1"/>
  <c r="M508" i="9"/>
  <c r="D185" i="9"/>
  <c r="M61" i="9"/>
  <c r="I97" i="1"/>
  <c r="L425" i="9"/>
  <c r="M425" i="9" s="1"/>
  <c r="K628" i="1"/>
  <c r="K640" i="1" s="1"/>
  <c r="B687" i="1"/>
  <c r="F204" i="1"/>
  <c r="M204" i="1" s="1"/>
  <c r="K283" i="1"/>
  <c r="L283" i="1" s="1"/>
  <c r="K282" i="1"/>
  <c r="L282" i="1" s="1"/>
  <c r="L416" i="9"/>
  <c r="L417" i="9" s="1"/>
  <c r="F200" i="1"/>
  <c r="M200" i="1" s="1"/>
  <c r="D305" i="1"/>
  <c r="L521" i="9"/>
  <c r="D318" i="9"/>
  <c r="H318" i="9"/>
  <c r="M518" i="9"/>
  <c r="H355" i="9"/>
  <c r="D355" i="9"/>
  <c r="L269" i="9"/>
  <c r="M269" i="9" s="1"/>
  <c r="J283" i="9"/>
  <c r="M428" i="9"/>
  <c r="D422" i="9"/>
  <c r="H422" i="9"/>
  <c r="M233" i="9"/>
  <c r="K344" i="1"/>
  <c r="F344" i="1"/>
  <c r="J344" i="1"/>
  <c r="D699" i="1"/>
  <c r="D700" i="1" s="1"/>
  <c r="F700" i="1"/>
  <c r="H699" i="1"/>
  <c r="H700" i="1" s="1"/>
  <c r="H103" i="9"/>
  <c r="D103" i="9"/>
  <c r="L544" i="9"/>
  <c r="L155" i="9"/>
  <c r="L156" i="9" s="1"/>
  <c r="M154" i="9"/>
  <c r="M181" i="9"/>
  <c r="M147" i="1"/>
  <c r="L321" i="9"/>
  <c r="M321" i="9" s="1"/>
  <c r="L252" i="9"/>
  <c r="M252" i="9" s="1"/>
  <c r="L451" i="9"/>
  <c r="M451" i="9" s="1"/>
  <c r="J190" i="1"/>
  <c r="K708" i="1"/>
  <c r="F282" i="1"/>
  <c r="D282" i="1" s="1"/>
  <c r="H305" i="1"/>
  <c r="F306" i="1"/>
  <c r="H306" i="1" s="1"/>
  <c r="F596" i="1"/>
  <c r="D596" i="1" s="1"/>
  <c r="L305" i="9"/>
  <c r="M305" i="9" s="1"/>
  <c r="H416" i="9"/>
  <c r="H417" i="9" s="1"/>
  <c r="F417" i="9"/>
  <c r="D416" i="9"/>
  <c r="D417" i="9" s="1"/>
  <c r="H279" i="9"/>
  <c r="D279" i="9"/>
  <c r="D251" i="9"/>
  <c r="H251" i="9"/>
  <c r="D466" i="9"/>
  <c r="H466" i="9"/>
  <c r="M167" i="9"/>
  <c r="L178" i="9"/>
  <c r="H222" i="9"/>
  <c r="D222" i="9"/>
  <c r="H230" i="9"/>
  <c r="D230" i="9"/>
  <c r="M257" i="9"/>
  <c r="L409" i="9"/>
  <c r="M409" i="9" s="1"/>
  <c r="L433" i="9"/>
  <c r="L422" i="9"/>
  <c r="M422" i="9" s="1"/>
  <c r="L383" i="9"/>
  <c r="M382" i="9"/>
  <c r="D305" i="9"/>
  <c r="D307" i="9" s="1"/>
  <c r="H305" i="9"/>
  <c r="H307" i="9" s="1"/>
  <c r="F307" i="9"/>
  <c r="L511" i="9"/>
  <c r="M511" i="9" s="1"/>
  <c r="M251" i="9"/>
  <c r="J121" i="1"/>
  <c r="L103" i="5"/>
  <c r="M103" i="5" s="1"/>
  <c r="L88" i="6"/>
  <c r="M88" i="6" s="1"/>
  <c r="J99" i="6"/>
  <c r="B116" i="8"/>
  <c r="M103" i="4"/>
  <c r="M104" i="6"/>
  <c r="J115" i="6"/>
  <c r="K99" i="2"/>
  <c r="J95" i="1"/>
  <c r="K123" i="1"/>
  <c r="L155" i="5"/>
  <c r="L389" i="9"/>
  <c r="L351" i="5"/>
  <c r="L509" i="6"/>
  <c r="M509" i="6" s="1"/>
  <c r="L452" i="8"/>
  <c r="M452" i="8" s="1"/>
  <c r="L469" i="8"/>
  <c r="M469" i="8" s="1"/>
  <c r="D626" i="6"/>
  <c r="K325" i="2"/>
  <c r="K326" i="2" s="1"/>
  <c r="L390" i="5"/>
  <c r="L389" i="7"/>
  <c r="M389" i="7" s="1"/>
  <c r="D579" i="9"/>
  <c r="L507" i="9"/>
  <c r="M507" i="9" s="1"/>
  <c r="K396" i="4"/>
  <c r="M411" i="2"/>
  <c r="L434" i="7"/>
  <c r="L439" i="7" s="1"/>
  <c r="M424" i="9"/>
  <c r="K482" i="6"/>
  <c r="L510" i="8"/>
  <c r="L316" i="6"/>
  <c r="D195" i="4"/>
  <c r="D660" i="1"/>
  <c r="K57" i="9"/>
  <c r="K59" i="9" s="1"/>
  <c r="J57" i="9"/>
  <c r="J62" i="1" s="1"/>
  <c r="F63" i="1"/>
  <c r="D58" i="9"/>
  <c r="H58" i="9"/>
  <c r="D67" i="7"/>
  <c r="H67" i="7"/>
  <c r="H69" i="6"/>
  <c r="D69" i="6"/>
  <c r="D66" i="5"/>
  <c r="H66" i="5"/>
  <c r="H71" i="4"/>
  <c r="D71" i="4"/>
  <c r="D90" i="3"/>
  <c r="H90" i="3"/>
  <c r="L86" i="3"/>
  <c r="M86" i="3" s="1"/>
  <c r="D63" i="9"/>
  <c r="H63" i="9"/>
  <c r="H66" i="7"/>
  <c r="D66" i="7"/>
  <c r="H72" i="6"/>
  <c r="D72" i="6"/>
  <c r="D66" i="4"/>
  <c r="H66" i="4"/>
  <c r="D113" i="3"/>
  <c r="M113" i="3"/>
  <c r="H113" i="3"/>
  <c r="L100" i="3"/>
  <c r="K114" i="3"/>
  <c r="H94" i="3"/>
  <c r="M94" i="3"/>
  <c r="D94" i="3"/>
  <c r="L85" i="3"/>
  <c r="K98" i="3"/>
  <c r="H64" i="9"/>
  <c r="D64" i="9"/>
  <c r="D72" i="8"/>
  <c r="H72" i="8"/>
  <c r="H58" i="8"/>
  <c r="D58" i="8"/>
  <c r="H49" i="8"/>
  <c r="D49" i="8"/>
  <c r="H61" i="7"/>
  <c r="D61" i="7"/>
  <c r="L57" i="6"/>
  <c r="M57" i="6" s="1"/>
  <c r="D64" i="5"/>
  <c r="H64" i="5"/>
  <c r="H69" i="4"/>
  <c r="D69" i="4"/>
  <c r="L111" i="3"/>
  <c r="M111" i="3" s="1"/>
  <c r="D107" i="3"/>
  <c r="H107" i="3"/>
  <c r="H103" i="3"/>
  <c r="D103" i="3"/>
  <c r="L92" i="3"/>
  <c r="M92" i="3" s="1"/>
  <c r="D68" i="9"/>
  <c r="H68" i="9"/>
  <c r="D66" i="9"/>
  <c r="H66" i="9"/>
  <c r="L57" i="8"/>
  <c r="D64" i="7"/>
  <c r="H64" i="7"/>
  <c r="D47" i="6"/>
  <c r="H47" i="6"/>
  <c r="D64" i="4"/>
  <c r="H64" i="4"/>
  <c r="D49" i="4"/>
  <c r="H49" i="4"/>
  <c r="L102" i="3"/>
  <c r="M102" i="3" s="1"/>
  <c r="D98" i="7"/>
  <c r="H98" i="7"/>
  <c r="M74" i="6"/>
  <c r="H74" i="6"/>
  <c r="D74" i="6"/>
  <c r="H142" i="5"/>
  <c r="H155" i="5" s="1"/>
  <c r="D142" i="5"/>
  <c r="D155" i="5" s="1"/>
  <c r="M142" i="5"/>
  <c r="J439" i="9"/>
  <c r="L435" i="9"/>
  <c r="H437" i="8"/>
  <c r="D437" i="8"/>
  <c r="D477" i="6"/>
  <c r="H477" i="6"/>
  <c r="H519" i="8"/>
  <c r="D519" i="8"/>
  <c r="M464" i="7"/>
  <c r="H521" i="9"/>
  <c r="D521" i="9"/>
  <c r="H505" i="7"/>
  <c r="D505" i="7"/>
  <c r="D521" i="8"/>
  <c r="H521" i="8"/>
  <c r="H466" i="8"/>
  <c r="D466" i="8"/>
  <c r="M345" i="6"/>
  <c r="L347" i="6"/>
  <c r="H252" i="2"/>
  <c r="D252" i="2"/>
  <c r="L385" i="2"/>
  <c r="M111" i="5"/>
  <c r="L102" i="6"/>
  <c r="M102" i="6" s="1"/>
  <c r="I99" i="6"/>
  <c r="I116" i="6" s="1"/>
  <c r="L111" i="7"/>
  <c r="M111" i="7" s="1"/>
  <c r="L106" i="7"/>
  <c r="M106" i="7" s="1"/>
  <c r="J107" i="1"/>
  <c r="L90" i="7"/>
  <c r="M90" i="7" s="1"/>
  <c r="D158" i="1"/>
  <c r="M319" i="4"/>
  <c r="L479" i="2"/>
  <c r="M479" i="2" s="1"/>
  <c r="D204" i="1"/>
  <c r="L252" i="4"/>
  <c r="M252" i="4" s="1"/>
  <c r="L495" i="3"/>
  <c r="M495" i="3" s="1"/>
  <c r="H47" i="9"/>
  <c r="D47" i="9"/>
  <c r="D51" i="8"/>
  <c r="H51" i="8"/>
  <c r="H47" i="8"/>
  <c r="D47" i="8"/>
  <c r="H47" i="5"/>
  <c r="D47" i="5"/>
  <c r="D101" i="3"/>
  <c r="H101" i="3"/>
  <c r="F98" i="3"/>
  <c r="H86" i="3"/>
  <c r="D86" i="3"/>
  <c r="D69" i="9"/>
  <c r="H69" i="9"/>
  <c r="H61" i="8"/>
  <c r="D61" i="8"/>
  <c r="H47" i="7"/>
  <c r="D47" i="7"/>
  <c r="H58" i="6"/>
  <c r="D58" i="6"/>
  <c r="H49" i="6"/>
  <c r="D49" i="6"/>
  <c r="D61" i="5"/>
  <c r="H61" i="5"/>
  <c r="H51" i="4"/>
  <c r="D51" i="4"/>
  <c r="D47" i="4"/>
  <c r="H47" i="4"/>
  <c r="F107" i="1"/>
  <c r="D98" i="2"/>
  <c r="H108" i="3"/>
  <c r="D108" i="3"/>
  <c r="D104" i="3"/>
  <c r="H104" i="3"/>
  <c r="J98" i="3"/>
  <c r="H62" i="9"/>
  <c r="D62" i="9"/>
  <c r="H64" i="8"/>
  <c r="D64" i="8"/>
  <c r="H69" i="7"/>
  <c r="D69" i="7"/>
  <c r="D63" i="6"/>
  <c r="H63" i="6"/>
  <c r="D88" i="3"/>
  <c r="H88" i="3"/>
  <c r="D71" i="9"/>
  <c r="H71" i="9"/>
  <c r="D63" i="8"/>
  <c r="H63" i="8"/>
  <c r="H68" i="7"/>
  <c r="D68" i="7"/>
  <c r="D49" i="7"/>
  <c r="H49" i="7"/>
  <c r="D62" i="6"/>
  <c r="H62" i="6"/>
  <c r="D63" i="5"/>
  <c r="H63" i="5"/>
  <c r="D68" i="4"/>
  <c r="H68" i="4"/>
  <c r="D102" i="3"/>
  <c r="H102" i="3"/>
  <c r="M587" i="4"/>
  <c r="L589" i="4"/>
  <c r="I457" i="9"/>
  <c r="L452" i="9"/>
  <c r="M452" i="9" s="1"/>
  <c r="H512" i="9"/>
  <c r="D512" i="9"/>
  <c r="L505" i="7"/>
  <c r="J515" i="7"/>
  <c r="M299" i="4"/>
  <c r="D459" i="4"/>
  <c r="D460" i="4" s="1"/>
  <c r="H459" i="4"/>
  <c r="H460" i="4" s="1"/>
  <c r="F460" i="4"/>
  <c r="M305" i="5"/>
  <c r="L307" i="5"/>
  <c r="D466" i="6"/>
  <c r="H466" i="6"/>
  <c r="L97" i="5"/>
  <c r="M97" i="5" s="1"/>
  <c r="J120" i="1"/>
  <c r="J118" i="1"/>
  <c r="L112" i="7"/>
  <c r="M112" i="7" s="1"/>
  <c r="J115" i="7"/>
  <c r="J99" i="7"/>
  <c r="L87" i="7"/>
  <c r="M87" i="7" s="1"/>
  <c r="L392" i="2"/>
  <c r="M392" i="2" s="1"/>
  <c r="D143" i="1"/>
  <c r="M480" i="6"/>
  <c r="K362" i="5"/>
  <c r="K363" i="5" s="1"/>
  <c r="L296" i="6"/>
  <c r="M296" i="6" s="1"/>
  <c r="K325" i="9"/>
  <c r="K326" i="9" s="1"/>
  <c r="D646" i="2"/>
  <c r="L520" i="4"/>
  <c r="D647" i="7"/>
  <c r="H601" i="8"/>
  <c r="L439" i="8"/>
  <c r="M315" i="9"/>
  <c r="L394" i="9"/>
  <c r="H46" i="6"/>
  <c r="D46" i="6"/>
  <c r="D63" i="4"/>
  <c r="H63" i="4"/>
  <c r="D105" i="3"/>
  <c r="H105" i="3"/>
  <c r="M101" i="3"/>
  <c r="H67" i="8"/>
  <c r="D67" i="8"/>
  <c r="L66" i="7"/>
  <c r="M66" i="7" s="1"/>
  <c r="D64" i="6"/>
  <c r="H64" i="6"/>
  <c r="D69" i="5"/>
  <c r="H69" i="5"/>
  <c r="D100" i="3"/>
  <c r="F114" i="3"/>
  <c r="H100" i="3"/>
  <c r="L89" i="3"/>
  <c r="M89" i="3" s="1"/>
  <c r="H85" i="3"/>
  <c r="D85" i="3"/>
  <c r="D67" i="9"/>
  <c r="H67" i="9"/>
  <c r="D66" i="8"/>
  <c r="H66" i="8"/>
  <c r="D67" i="6"/>
  <c r="H67" i="6"/>
  <c r="D49" i="5"/>
  <c r="H49" i="5"/>
  <c r="D97" i="3"/>
  <c r="H97" i="3"/>
  <c r="D92" i="3"/>
  <c r="H92" i="3"/>
  <c r="D71" i="8"/>
  <c r="H71" i="8"/>
  <c r="H72" i="7"/>
  <c r="D72" i="7"/>
  <c r="H53" i="7"/>
  <c r="D53" i="7"/>
  <c r="D66" i="6"/>
  <c r="H66" i="6"/>
  <c r="D67" i="5"/>
  <c r="H67" i="5"/>
  <c r="H72" i="4"/>
  <c r="D72" i="4"/>
  <c r="D53" i="4"/>
  <c r="H53" i="4"/>
  <c r="H46" i="2"/>
  <c r="D46" i="2"/>
  <c r="L106" i="3"/>
  <c r="M106" i="3" s="1"/>
  <c r="H87" i="3"/>
  <c r="D87" i="3"/>
  <c r="H74" i="2"/>
  <c r="D74" i="2"/>
  <c r="M74" i="2"/>
  <c r="M135" i="2"/>
  <c r="D135" i="2"/>
  <c r="H135" i="2"/>
  <c r="H128" i="4"/>
  <c r="D128" i="4"/>
  <c r="L570" i="4"/>
  <c r="L579" i="4" s="1"/>
  <c r="M569" i="4"/>
  <c r="D480" i="4"/>
  <c r="H480" i="4"/>
  <c r="L463" i="6"/>
  <c r="D508" i="7"/>
  <c r="H508" i="7"/>
  <c r="D467" i="7"/>
  <c r="H467" i="7"/>
  <c r="H506" i="9"/>
  <c r="D506" i="9"/>
  <c r="L468" i="9"/>
  <c r="M468" i="9" s="1"/>
  <c r="L503" i="9"/>
  <c r="M502" i="9"/>
  <c r="I460" i="4"/>
  <c r="I483" i="4" s="1"/>
  <c r="L459" i="4"/>
  <c r="H505" i="8"/>
  <c r="D505" i="8"/>
  <c r="J106" i="1"/>
  <c r="B116" i="7"/>
  <c r="K99" i="7"/>
  <c r="L494" i="2"/>
  <c r="M494" i="2" s="1"/>
  <c r="L465" i="2"/>
  <c r="M465" i="2" s="1"/>
  <c r="L468" i="4"/>
  <c r="M468" i="4" s="1"/>
  <c r="F640" i="1"/>
  <c r="M237" i="3"/>
  <c r="H62" i="8"/>
  <c r="D62" i="8"/>
  <c r="D63" i="7"/>
  <c r="H63" i="7"/>
  <c r="F75" i="6"/>
  <c r="F76" i="6" s="1"/>
  <c r="H61" i="6"/>
  <c r="D61" i="6"/>
  <c r="D62" i="5"/>
  <c r="H62" i="5"/>
  <c r="D67" i="4"/>
  <c r="H67" i="4"/>
  <c r="H53" i="2"/>
  <c r="D53" i="2"/>
  <c r="L95" i="3"/>
  <c r="M95" i="3" s="1"/>
  <c r="H69" i="8"/>
  <c r="D69" i="8"/>
  <c r="D62" i="7"/>
  <c r="H62" i="7"/>
  <c r="H68" i="6"/>
  <c r="D68" i="6"/>
  <c r="H62" i="4"/>
  <c r="D62" i="4"/>
  <c r="B115" i="3"/>
  <c r="D68" i="8"/>
  <c r="H68" i="8"/>
  <c r="D71" i="6"/>
  <c r="H71" i="6"/>
  <c r="D58" i="5"/>
  <c r="H58" i="5"/>
  <c r="D61" i="4"/>
  <c r="H61" i="4"/>
  <c r="L97" i="3"/>
  <c r="M97" i="3" s="1"/>
  <c r="L88" i="3"/>
  <c r="M88" i="3" s="1"/>
  <c r="H49" i="9"/>
  <c r="D49" i="9"/>
  <c r="D61" i="9"/>
  <c r="H61" i="9"/>
  <c r="H58" i="7"/>
  <c r="D58" i="7"/>
  <c r="H71" i="5"/>
  <c r="D71" i="5"/>
  <c r="D58" i="4"/>
  <c r="H58" i="4"/>
  <c r="L46" i="2"/>
  <c r="M46" i="2" s="1"/>
  <c r="J114" i="3"/>
  <c r="D106" i="3"/>
  <c r="H106" i="3"/>
  <c r="L96" i="3"/>
  <c r="M96" i="3" s="1"/>
  <c r="D72" i="9"/>
  <c r="H72" i="9"/>
  <c r="F167" i="4"/>
  <c r="B179" i="4"/>
  <c r="B196" i="4" s="1"/>
  <c r="L128" i="7"/>
  <c r="I139" i="7"/>
  <c r="I156" i="7" s="1"/>
  <c r="M128" i="4"/>
  <c r="D521" i="4"/>
  <c r="H521" i="4"/>
  <c r="H435" i="9"/>
  <c r="D435" i="9"/>
  <c r="M206" i="5"/>
  <c r="L215" i="5"/>
  <c r="H507" i="6"/>
  <c r="D507" i="6"/>
  <c r="D450" i="6"/>
  <c r="H450" i="6"/>
  <c r="H457" i="6" s="1"/>
  <c r="F457" i="6"/>
  <c r="M205" i="9"/>
  <c r="D463" i="6"/>
  <c r="H463" i="6"/>
  <c r="L467" i="7"/>
  <c r="M467" i="7" s="1"/>
  <c r="L510" i="9"/>
  <c r="M510" i="9" s="1"/>
  <c r="D468" i="9"/>
  <c r="H468" i="9"/>
  <c r="L450" i="5"/>
  <c r="M450" i="5" s="1"/>
  <c r="H470" i="7"/>
  <c r="D470" i="7"/>
  <c r="L505" i="8"/>
  <c r="L466" i="8"/>
  <c r="H473" i="9"/>
  <c r="D473" i="9"/>
  <c r="F474" i="6"/>
  <c r="F439" i="8"/>
  <c r="F539" i="7"/>
  <c r="D65" i="9"/>
  <c r="H65" i="9"/>
  <c r="K539" i="7"/>
  <c r="H601" i="1"/>
  <c r="H602" i="1" s="1"/>
  <c r="J601" i="1"/>
  <c r="J602" i="1" s="1"/>
  <c r="B602" i="1"/>
  <c r="J552" i="4"/>
  <c r="J553" i="4" s="1"/>
  <c r="M535" i="7"/>
  <c r="H544" i="7"/>
  <c r="D544" i="7"/>
  <c r="F539" i="6"/>
  <c r="L541" i="7"/>
  <c r="L542" i="7" s="1"/>
  <c r="H546" i="4"/>
  <c r="D546" i="4"/>
  <c r="B553" i="6"/>
  <c r="D539" i="8"/>
  <c r="L534" i="2"/>
  <c r="M534" i="2" s="1"/>
  <c r="D544" i="4"/>
  <c r="L532" i="5"/>
  <c r="M532" i="5" s="1"/>
  <c r="K539" i="4"/>
  <c r="J597" i="1"/>
  <c r="J599" i="1" s="1"/>
  <c r="B553" i="4"/>
  <c r="H550" i="9"/>
  <c r="D550" i="9"/>
  <c r="D537" i="9"/>
  <c r="H537" i="9"/>
  <c r="M537" i="9"/>
  <c r="L546" i="7"/>
  <c r="D539" i="4"/>
  <c r="D601" i="1"/>
  <c r="D602" i="1" s="1"/>
  <c r="L537" i="8"/>
  <c r="M537" i="8" s="1"/>
  <c r="H541" i="7"/>
  <c r="H542" i="7" s="1"/>
  <c r="D541" i="7"/>
  <c r="D542" i="7" s="1"/>
  <c r="F542" i="7"/>
  <c r="F552" i="7" s="1"/>
  <c r="M538" i="6"/>
  <c r="H533" i="2"/>
  <c r="D541" i="6"/>
  <c r="D542" i="6" s="1"/>
  <c r="H541" i="6"/>
  <c r="H542" i="6" s="1"/>
  <c r="F542" i="6"/>
  <c r="K539" i="8"/>
  <c r="L549" i="8"/>
  <c r="M549" i="8" s="1"/>
  <c r="K606" i="1"/>
  <c r="M541" i="6"/>
  <c r="D547" i="9"/>
  <c r="H547" i="9"/>
  <c r="L541" i="9"/>
  <c r="M541" i="9" s="1"/>
  <c r="H539" i="4"/>
  <c r="B553" i="9"/>
  <c r="K607" i="1"/>
  <c r="H535" i="7"/>
  <c r="D535" i="7"/>
  <c r="D542" i="5"/>
  <c r="H542" i="5"/>
  <c r="H536" i="7"/>
  <c r="D536" i="7"/>
  <c r="M542" i="5"/>
  <c r="F593" i="1"/>
  <c r="K593" i="1"/>
  <c r="L593" i="1" s="1"/>
  <c r="L539" i="7"/>
  <c r="H72" i="5"/>
  <c r="D72" i="5"/>
  <c r="J609" i="1"/>
  <c r="H544" i="8"/>
  <c r="D544" i="8"/>
  <c r="L540" i="5"/>
  <c r="D610" i="1"/>
  <c r="D598" i="1"/>
  <c r="H598" i="1"/>
  <c r="D550" i="4"/>
  <c r="H550" i="4"/>
  <c r="D534" i="5"/>
  <c r="L595" i="1"/>
  <c r="M535" i="8"/>
  <c r="D539" i="6"/>
  <c r="M536" i="5"/>
  <c r="L537" i="5"/>
  <c r="L543" i="3"/>
  <c r="B325" i="3"/>
  <c r="L422" i="3"/>
  <c r="J571" i="1"/>
  <c r="F571" i="1"/>
  <c r="K571" i="1"/>
  <c r="D628" i="1"/>
  <c r="B640" i="1"/>
  <c r="H265" i="3"/>
  <c r="D265" i="3"/>
  <c r="H646" i="3"/>
  <c r="J517" i="1"/>
  <c r="K517" i="1"/>
  <c r="F517" i="1"/>
  <c r="K465" i="1"/>
  <c r="K466" i="1" s="1"/>
  <c r="I465" i="1"/>
  <c r="B466" i="1"/>
  <c r="F465" i="1"/>
  <c r="J465" i="1"/>
  <c r="J466" i="1" s="1"/>
  <c r="L700" i="1"/>
  <c r="M699" i="1"/>
  <c r="F625" i="3"/>
  <c r="H463" i="3"/>
  <c r="D463" i="3"/>
  <c r="D513" i="3"/>
  <c r="H513" i="3"/>
  <c r="D425" i="3"/>
  <c r="H425" i="3"/>
  <c r="D479" i="3"/>
  <c r="H479" i="3"/>
  <c r="H520" i="3"/>
  <c r="D520" i="3"/>
  <c r="L473" i="3"/>
  <c r="B154" i="3"/>
  <c r="B482" i="3"/>
  <c r="L276" i="3"/>
  <c r="M276" i="3" s="1"/>
  <c r="J257" i="1"/>
  <c r="K257" i="1"/>
  <c r="H604" i="1"/>
  <c r="J604" i="1"/>
  <c r="I187" i="1"/>
  <c r="D511" i="3"/>
  <c r="K282" i="3"/>
  <c r="B396" i="3"/>
  <c r="F283" i="1"/>
  <c r="D283" i="1" s="1"/>
  <c r="L65" i="3"/>
  <c r="M65" i="3" s="1"/>
  <c r="H227" i="3"/>
  <c r="D227" i="3"/>
  <c r="L359" i="3"/>
  <c r="J561" i="1"/>
  <c r="J562" i="1" s="1"/>
  <c r="K561" i="1"/>
  <c r="H469" i="3"/>
  <c r="D469" i="3"/>
  <c r="D651" i="1"/>
  <c r="D652" i="1" s="1"/>
  <c r="L492" i="3"/>
  <c r="D375" i="3"/>
  <c r="H375" i="3"/>
  <c r="I416" i="3"/>
  <c r="L415" i="3"/>
  <c r="L416" i="3" s="1"/>
  <c r="H276" i="3"/>
  <c r="D276" i="3"/>
  <c r="D471" i="3"/>
  <c r="H471" i="3"/>
  <c r="H316" i="3"/>
  <c r="D316" i="3"/>
  <c r="H628" i="1"/>
  <c r="J640" i="1"/>
  <c r="D389" i="3"/>
  <c r="H389" i="3"/>
  <c r="M316" i="3"/>
  <c r="H428" i="3"/>
  <c r="D428" i="3"/>
  <c r="K325" i="3"/>
  <c r="F578" i="3"/>
  <c r="B283" i="3"/>
  <c r="K259" i="3"/>
  <c r="D639" i="1"/>
  <c r="D237" i="3"/>
  <c r="H237" i="3"/>
  <c r="H345" i="3"/>
  <c r="D345" i="3"/>
  <c r="L275" i="3"/>
  <c r="M275" i="3" s="1"/>
  <c r="D275" i="3"/>
  <c r="H275" i="3"/>
  <c r="J385" i="1"/>
  <c r="I385" i="1"/>
  <c r="K385" i="1"/>
  <c r="F385" i="1"/>
  <c r="D625" i="3"/>
  <c r="D302" i="3"/>
  <c r="L516" i="3"/>
  <c r="K551" i="3"/>
  <c r="H302" i="3"/>
  <c r="F552" i="1"/>
  <c r="K552" i="1"/>
  <c r="J552" i="1"/>
  <c r="D204" i="3"/>
  <c r="D214" i="3" s="1"/>
  <c r="H204" i="3"/>
  <c r="H214" i="3" s="1"/>
  <c r="I687" i="1"/>
  <c r="F473" i="3"/>
  <c r="D253" i="3"/>
  <c r="L262" i="3"/>
  <c r="M262" i="3" s="1"/>
  <c r="L306" i="3"/>
  <c r="M304" i="3"/>
  <c r="L220" i="3"/>
  <c r="M220" i="3" s="1"/>
  <c r="L48" i="3"/>
  <c r="M48" i="3" s="1"/>
  <c r="H578" i="3"/>
  <c r="F652" i="1"/>
  <c r="J356" i="1"/>
  <c r="K356" i="1"/>
  <c r="L254" i="3"/>
  <c r="D677" i="1"/>
  <c r="M568" i="3"/>
  <c r="M569" i="3" s="1"/>
  <c r="L569" i="3"/>
  <c r="L630" i="1"/>
  <c r="B197" i="1"/>
  <c r="F413" i="3"/>
  <c r="J438" i="3"/>
  <c r="D220" i="3"/>
  <c r="H220" i="3"/>
  <c r="D434" i="3"/>
  <c r="H434" i="3"/>
  <c r="M145" i="1"/>
  <c r="M380" i="1"/>
  <c r="L231" i="3"/>
  <c r="M231" i="3" s="1"/>
  <c r="H660" i="1"/>
  <c r="H600" i="3"/>
  <c r="L209" i="3"/>
  <c r="M209" i="3" s="1"/>
  <c r="M127" i="3"/>
  <c r="L242" i="1"/>
  <c r="M242" i="1" s="1"/>
  <c r="H254" i="3"/>
  <c r="D254" i="3"/>
  <c r="H644" i="1"/>
  <c r="D644" i="1"/>
  <c r="M496" i="3"/>
  <c r="B76" i="6"/>
  <c r="K60" i="1"/>
  <c r="I59" i="3"/>
  <c r="I76" i="3" s="1"/>
  <c r="L56" i="3"/>
  <c r="M56" i="3" s="1"/>
  <c r="L56" i="8"/>
  <c r="M56" i="8" s="1"/>
  <c r="L58" i="4"/>
  <c r="M58" i="4" s="1"/>
  <c r="L63" i="6"/>
  <c r="M63" i="6" s="1"/>
  <c r="L68" i="6"/>
  <c r="M68" i="6" s="1"/>
  <c r="L72" i="9"/>
  <c r="M72" i="9" s="1"/>
  <c r="L52" i="5"/>
  <c r="M52" i="5" s="1"/>
  <c r="L47" i="7"/>
  <c r="M47" i="7" s="1"/>
  <c r="I59" i="8"/>
  <c r="I76" i="8" s="1"/>
  <c r="L68" i="5"/>
  <c r="M68" i="5" s="1"/>
  <c r="H61" i="2"/>
  <c r="L62" i="9"/>
  <c r="M62" i="9" s="1"/>
  <c r="L50" i="5"/>
  <c r="M50" i="5" s="1"/>
  <c r="I59" i="5"/>
  <c r="I76" i="5" s="1"/>
  <c r="L50" i="6"/>
  <c r="M50" i="6" s="1"/>
  <c r="L50" i="4"/>
  <c r="M50" i="4" s="1"/>
  <c r="H49" i="2"/>
  <c r="L56" i="4"/>
  <c r="M56" i="4" s="1"/>
  <c r="L56" i="2"/>
  <c r="M56" i="2" s="1"/>
  <c r="L56" i="7"/>
  <c r="M56" i="7" s="1"/>
  <c r="L56" i="5"/>
  <c r="M56" i="5" s="1"/>
  <c r="J61" i="1"/>
  <c r="D58" i="3"/>
  <c r="L58" i="3"/>
  <c r="M58" i="3" s="1"/>
  <c r="M57" i="5"/>
  <c r="L51" i="2"/>
  <c r="M51" i="2" s="1"/>
  <c r="L49" i="2"/>
  <c r="M49" i="2" s="1"/>
  <c r="L66" i="3"/>
  <c r="M66" i="3" s="1"/>
  <c r="L72" i="3"/>
  <c r="M72" i="3" s="1"/>
  <c r="J75" i="3"/>
  <c r="L63" i="3"/>
  <c r="M63" i="3" s="1"/>
  <c r="L71" i="3"/>
  <c r="M71" i="3" s="1"/>
  <c r="L67" i="3"/>
  <c r="M67" i="3" s="1"/>
  <c r="L51" i="3"/>
  <c r="M51" i="3" s="1"/>
  <c r="L52" i="3"/>
  <c r="M52" i="3" s="1"/>
  <c r="L53" i="3"/>
  <c r="M53" i="3" s="1"/>
  <c r="F54" i="1"/>
  <c r="I59" i="4"/>
  <c r="I76" i="4" s="1"/>
  <c r="L47" i="5"/>
  <c r="M47" i="5" s="1"/>
  <c r="L66" i="5"/>
  <c r="M66" i="5" s="1"/>
  <c r="J74" i="1"/>
  <c r="K59" i="6"/>
  <c r="L48" i="6"/>
  <c r="M48" i="6" s="1"/>
  <c r="I59" i="6"/>
  <c r="I76" i="6" s="1"/>
  <c r="L47" i="6"/>
  <c r="M47" i="6" s="1"/>
  <c r="J54" i="1"/>
  <c r="L48" i="7"/>
  <c r="M48" i="7" s="1"/>
  <c r="J51" i="1"/>
  <c r="I59" i="7"/>
  <c r="I76" i="7" s="1"/>
  <c r="L68" i="7"/>
  <c r="M68" i="7" s="1"/>
  <c r="L62" i="7"/>
  <c r="M62" i="7" s="1"/>
  <c r="J77" i="1"/>
  <c r="L72" i="7"/>
  <c r="M72" i="7" s="1"/>
  <c r="L64" i="8"/>
  <c r="M64" i="8" s="1"/>
  <c r="L46" i="8"/>
  <c r="M46" i="8" s="1"/>
  <c r="M65" i="9"/>
  <c r="L48" i="9"/>
  <c r="M48" i="9" s="1"/>
  <c r="M86" i="4"/>
  <c r="L457" i="6"/>
  <c r="M452" i="6"/>
  <c r="M74" i="8"/>
  <c r="D74" i="8"/>
  <c r="F75" i="8"/>
  <c r="F76" i="8" s="1"/>
  <c r="H74" i="8"/>
  <c r="D101" i="4"/>
  <c r="H101" i="4"/>
  <c r="F115" i="4"/>
  <c r="D106" i="7"/>
  <c r="H106" i="7"/>
  <c r="M97" i="2"/>
  <c r="M102" i="2"/>
  <c r="M57" i="8"/>
  <c r="F75" i="5"/>
  <c r="F76" i="5" s="1"/>
  <c r="H74" i="5"/>
  <c r="M74" i="5"/>
  <c r="D74" i="5"/>
  <c r="H87" i="9"/>
  <c r="D87" i="9"/>
  <c r="L101" i="5"/>
  <c r="K115" i="5"/>
  <c r="J99" i="5"/>
  <c r="J96" i="1"/>
  <c r="D102" i="9"/>
  <c r="H102" i="9"/>
  <c r="D154" i="7"/>
  <c r="H154" i="7"/>
  <c r="H149" i="4"/>
  <c r="H162" i="1" s="1"/>
  <c r="D149" i="4"/>
  <c r="D162" i="1" s="1"/>
  <c r="F162" i="1"/>
  <c r="M162" i="1" s="1"/>
  <c r="M127" i="8"/>
  <c r="L139" i="8"/>
  <c r="L156" i="8" s="1"/>
  <c r="D126" i="8"/>
  <c r="D139" i="8" s="1"/>
  <c r="M126" i="8"/>
  <c r="F139" i="8"/>
  <c r="H126" i="8"/>
  <c r="H139" i="8" s="1"/>
  <c r="D294" i="9"/>
  <c r="D303" i="9" s="1"/>
  <c r="H294" i="9"/>
  <c r="H303" i="9" s="1"/>
  <c r="F303" i="9"/>
  <c r="H537" i="2"/>
  <c r="D537" i="2"/>
  <c r="D539" i="2" s="1"/>
  <c r="D496" i="4"/>
  <c r="H496" i="4"/>
  <c r="L495" i="7"/>
  <c r="H346" i="7"/>
  <c r="H347" i="7" s="1"/>
  <c r="F347" i="7"/>
  <c r="D346" i="7"/>
  <c r="L128" i="2"/>
  <c r="I139" i="2"/>
  <c r="I156" i="2" s="1"/>
  <c r="I142" i="1"/>
  <c r="D145" i="7"/>
  <c r="M145" i="7"/>
  <c r="H145" i="7"/>
  <c r="M149" i="9"/>
  <c r="F163" i="1"/>
  <c r="M163" i="1" s="1"/>
  <c r="D149" i="9"/>
  <c r="H149" i="9"/>
  <c r="H163" i="1" s="1"/>
  <c r="H463" i="2"/>
  <c r="D463" i="2"/>
  <c r="H508" i="3"/>
  <c r="D508" i="3"/>
  <c r="K431" i="7"/>
  <c r="K440" i="7" s="1"/>
  <c r="F525" i="1"/>
  <c r="K525" i="1"/>
  <c r="J525" i="1"/>
  <c r="D478" i="8"/>
  <c r="H478" i="8"/>
  <c r="F482" i="8"/>
  <c r="D452" i="8"/>
  <c r="D457" i="8" s="1"/>
  <c r="F457" i="8"/>
  <c r="H452" i="8"/>
  <c r="H457" i="8" s="1"/>
  <c r="J474" i="8"/>
  <c r="L462" i="8"/>
  <c r="L534" i="9"/>
  <c r="K539" i="9"/>
  <c r="M563" i="9"/>
  <c r="L624" i="1"/>
  <c r="L567" i="9"/>
  <c r="L579" i="9" s="1"/>
  <c r="D505" i="4"/>
  <c r="H505" i="4"/>
  <c r="F515" i="4"/>
  <c r="F191" i="1"/>
  <c r="H172" i="6"/>
  <c r="H191" i="1" s="1"/>
  <c r="D172" i="6"/>
  <c r="D191" i="1" s="1"/>
  <c r="H647" i="9"/>
  <c r="M544" i="6"/>
  <c r="I330" i="1"/>
  <c r="K330" i="1"/>
  <c r="J330" i="1"/>
  <c r="F330" i="1"/>
  <c r="J206" i="8"/>
  <c r="J215" i="8" s="1"/>
  <c r="B230" i="1"/>
  <c r="B215" i="8"/>
  <c r="B240" i="8" s="1"/>
  <c r="K206" i="8"/>
  <c r="K215" i="8" s="1"/>
  <c r="F206" i="8"/>
  <c r="I206" i="8"/>
  <c r="D270" i="3"/>
  <c r="H270" i="3"/>
  <c r="L268" i="3"/>
  <c r="J282" i="3"/>
  <c r="H272" i="2"/>
  <c r="D272" i="2"/>
  <c r="L268" i="2"/>
  <c r="J283" i="2"/>
  <c r="D311" i="3"/>
  <c r="H311" i="3"/>
  <c r="K347" i="1"/>
  <c r="J347" i="1"/>
  <c r="F347" i="1"/>
  <c r="K352" i="1"/>
  <c r="F352" i="1"/>
  <c r="J352" i="1"/>
  <c r="H307" i="4"/>
  <c r="H309" i="4" s="1"/>
  <c r="F309" i="4"/>
  <c r="D307" i="4"/>
  <c r="D309" i="4" s="1"/>
  <c r="H298" i="8"/>
  <c r="D298" i="8"/>
  <c r="D303" i="8" s="1"/>
  <c r="M298" i="8"/>
  <c r="D359" i="3"/>
  <c r="H359" i="3"/>
  <c r="H390" i="3"/>
  <c r="D390" i="3"/>
  <c r="H390" i="6"/>
  <c r="D390" i="6"/>
  <c r="F396" i="6"/>
  <c r="J413" i="3"/>
  <c r="L407" i="3"/>
  <c r="J414" i="4"/>
  <c r="L407" i="4"/>
  <c r="D437" i="7"/>
  <c r="H437" i="7"/>
  <c r="F421" i="8"/>
  <c r="K421" i="8"/>
  <c r="K431" i="8" s="1"/>
  <c r="B431" i="8"/>
  <c r="J421" i="8"/>
  <c r="B470" i="1"/>
  <c r="J414" i="8"/>
  <c r="L408" i="8"/>
  <c r="D683" i="1"/>
  <c r="D686" i="1" s="1"/>
  <c r="H683" i="1"/>
  <c r="H686" i="1" s="1"/>
  <c r="M683" i="1"/>
  <c r="F686" i="1"/>
  <c r="D449" i="3"/>
  <c r="H449" i="3"/>
  <c r="F456" i="3"/>
  <c r="D494" i="4"/>
  <c r="D500" i="4" s="1"/>
  <c r="H494" i="4"/>
  <c r="H520" i="4"/>
  <c r="D520" i="4"/>
  <c r="D522" i="4" s="1"/>
  <c r="D477" i="5"/>
  <c r="H477" i="5"/>
  <c r="K609" i="1"/>
  <c r="K552" i="6"/>
  <c r="H549" i="7"/>
  <c r="D549" i="7"/>
  <c r="D454" i="7"/>
  <c r="H454" i="7"/>
  <c r="F457" i="7"/>
  <c r="D546" i="8"/>
  <c r="H546" i="8"/>
  <c r="D385" i="5"/>
  <c r="H385" i="5"/>
  <c r="L303" i="2"/>
  <c r="M294" i="2"/>
  <c r="K526" i="1"/>
  <c r="F526" i="1"/>
  <c r="J526" i="1"/>
  <c r="L204" i="3"/>
  <c r="J214" i="3"/>
  <c r="K299" i="1"/>
  <c r="F299" i="1"/>
  <c r="J299" i="1"/>
  <c r="J497" i="9"/>
  <c r="B556" i="1"/>
  <c r="F497" i="9"/>
  <c r="K497" i="9"/>
  <c r="K500" i="9" s="1"/>
  <c r="K252" i="1"/>
  <c r="J252" i="1"/>
  <c r="F252" i="1"/>
  <c r="L295" i="6"/>
  <c r="I303" i="6"/>
  <c r="I326" i="6" s="1"/>
  <c r="J177" i="3"/>
  <c r="L168" i="3"/>
  <c r="J188" i="1"/>
  <c r="J389" i="1"/>
  <c r="K389" i="1"/>
  <c r="F389" i="1"/>
  <c r="K352" i="7"/>
  <c r="K362" i="7" s="1"/>
  <c r="B362" i="7"/>
  <c r="J352" i="7"/>
  <c r="B391" i="1"/>
  <c r="F352" i="7"/>
  <c r="K338" i="9"/>
  <c r="K343" i="9" s="1"/>
  <c r="K363" i="9" s="1"/>
  <c r="F338" i="9"/>
  <c r="B377" i="1"/>
  <c r="J338" i="9"/>
  <c r="B343" i="9"/>
  <c r="B363" i="9" s="1"/>
  <c r="D394" i="9"/>
  <c r="H394" i="9"/>
  <c r="K460" i="1"/>
  <c r="J460" i="1"/>
  <c r="F460" i="1"/>
  <c r="D408" i="2"/>
  <c r="H408" i="2"/>
  <c r="F425" i="4"/>
  <c r="K425" i="4"/>
  <c r="K431" i="4" s="1"/>
  <c r="J425" i="4"/>
  <c r="B431" i="4"/>
  <c r="B440" i="4" s="1"/>
  <c r="B474" i="1"/>
  <c r="H436" i="6"/>
  <c r="H439" i="6" s="1"/>
  <c r="F439" i="6"/>
  <c r="D436" i="6"/>
  <c r="K429" i="9"/>
  <c r="K431" i="9" s="1"/>
  <c r="J429" i="9"/>
  <c r="J431" i="9" s="1"/>
  <c r="J440" i="9" s="1"/>
  <c r="F429" i="9"/>
  <c r="B478" i="1"/>
  <c r="B431" i="9"/>
  <c r="B440" i="9" s="1"/>
  <c r="D578" i="3"/>
  <c r="F494" i="3"/>
  <c r="J494" i="3"/>
  <c r="J499" i="3" s="1"/>
  <c r="I494" i="3"/>
  <c r="K494" i="3"/>
  <c r="K499" i="3" s="1"/>
  <c r="B499" i="3"/>
  <c r="D478" i="3"/>
  <c r="H478" i="3"/>
  <c r="H545" i="4"/>
  <c r="D545" i="4"/>
  <c r="D492" i="5"/>
  <c r="D496" i="5" s="1"/>
  <c r="F496" i="5"/>
  <c r="H492" i="5"/>
  <c r="H496" i="5" s="1"/>
  <c r="H505" i="6"/>
  <c r="D505" i="6"/>
  <c r="F515" i="6"/>
  <c r="J460" i="6"/>
  <c r="L459" i="6"/>
  <c r="L307" i="6"/>
  <c r="M305" i="6"/>
  <c r="F253" i="1"/>
  <c r="J253" i="1"/>
  <c r="K253" i="1"/>
  <c r="L223" i="7"/>
  <c r="J239" i="7"/>
  <c r="M309" i="7"/>
  <c r="F201" i="1"/>
  <c r="M201" i="1" s="1"/>
  <c r="D181" i="3"/>
  <c r="H181" i="3"/>
  <c r="M181" i="3"/>
  <c r="H601" i="6"/>
  <c r="M493" i="8"/>
  <c r="M312" i="5"/>
  <c r="F479" i="5"/>
  <c r="L482" i="1"/>
  <c r="M416" i="9"/>
  <c r="D450" i="9"/>
  <c r="H450" i="9"/>
  <c r="F457" i="9"/>
  <c r="F552" i="4"/>
  <c r="M267" i="6"/>
  <c r="L283" i="6"/>
  <c r="M492" i="3"/>
  <c r="L460" i="8"/>
  <c r="M459" i="8"/>
  <c r="J474" i="7"/>
  <c r="J482" i="2"/>
  <c r="L503" i="8"/>
  <c r="M502" i="8"/>
  <c r="H89" i="7"/>
  <c r="D89" i="7"/>
  <c r="D102" i="6"/>
  <c r="H102" i="6"/>
  <c r="H98" i="8"/>
  <c r="D98" i="8"/>
  <c r="J112" i="1"/>
  <c r="J115" i="2"/>
  <c r="F99" i="4"/>
  <c r="H86" i="4"/>
  <c r="D86" i="4"/>
  <c r="H87" i="8"/>
  <c r="D87" i="8"/>
  <c r="I99" i="2"/>
  <c r="I116" i="2" s="1"/>
  <c r="B98" i="1"/>
  <c r="B108" i="1" s="1"/>
  <c r="H104" i="7"/>
  <c r="D104" i="7"/>
  <c r="D120" i="1"/>
  <c r="L537" i="2"/>
  <c r="M537" i="2" s="1"/>
  <c r="K539" i="2"/>
  <c r="L592" i="8"/>
  <c r="L601" i="8" s="1"/>
  <c r="L651" i="1"/>
  <c r="M591" i="8"/>
  <c r="L480" i="4"/>
  <c r="M480" i="4" s="1"/>
  <c r="K482" i="4"/>
  <c r="D506" i="5"/>
  <c r="H506" i="5"/>
  <c r="D536" i="3"/>
  <c r="D538" i="3" s="1"/>
  <c r="H536" i="3"/>
  <c r="F538" i="3"/>
  <c r="L493" i="6"/>
  <c r="K500" i="6"/>
  <c r="F329" i="1"/>
  <c r="K329" i="1"/>
  <c r="J329" i="1"/>
  <c r="D191" i="7"/>
  <c r="M191" i="7"/>
  <c r="F194" i="7"/>
  <c r="B342" i="3"/>
  <c r="B421" i="1"/>
  <c r="J383" i="2"/>
  <c r="L382" i="2"/>
  <c r="D419" i="9"/>
  <c r="H419" i="9"/>
  <c r="J555" i="1"/>
  <c r="K555" i="1"/>
  <c r="F555" i="1"/>
  <c r="I555" i="1"/>
  <c r="F522" i="9"/>
  <c r="H517" i="9"/>
  <c r="H522" i="9" s="1"/>
  <c r="D517" i="9"/>
  <c r="H394" i="6"/>
  <c r="H396" i="6" s="1"/>
  <c r="D394" i="6"/>
  <c r="D250" i="3"/>
  <c r="F259" i="3"/>
  <c r="H250" i="3"/>
  <c r="J69" i="1"/>
  <c r="K77" i="1"/>
  <c r="L112" i="8"/>
  <c r="M112" i="8" s="1"/>
  <c r="H103" i="5"/>
  <c r="D103" i="5"/>
  <c r="D86" i="8"/>
  <c r="F99" i="8"/>
  <c r="H86" i="8"/>
  <c r="K101" i="9"/>
  <c r="K110" i="1" s="1"/>
  <c r="J101" i="9"/>
  <c r="J115" i="9" s="1"/>
  <c r="B115" i="9"/>
  <c r="B116" i="9" s="1"/>
  <c r="F101" i="9"/>
  <c r="F97" i="1"/>
  <c r="D103" i="2"/>
  <c r="H103" i="2"/>
  <c r="F112" i="1"/>
  <c r="D95" i="5"/>
  <c r="H95" i="5"/>
  <c r="M95" i="5"/>
  <c r="H104" i="6"/>
  <c r="D104" i="6"/>
  <c r="F113" i="1"/>
  <c r="L101" i="6"/>
  <c r="K115" i="6"/>
  <c r="H103" i="7"/>
  <c r="D103" i="7"/>
  <c r="H95" i="4"/>
  <c r="M95" i="4"/>
  <c r="D95" i="4"/>
  <c r="L96" i="8"/>
  <c r="M96" i="8" s="1"/>
  <c r="L107" i="9"/>
  <c r="M107" i="9" s="1"/>
  <c r="J105" i="1"/>
  <c r="I96" i="1"/>
  <c r="I61" i="1"/>
  <c r="M108" i="6"/>
  <c r="J123" i="1"/>
  <c r="D88" i="4"/>
  <c r="H88" i="4"/>
  <c r="K99" i="5"/>
  <c r="L87" i="5"/>
  <c r="F96" i="1"/>
  <c r="D163" i="1"/>
  <c r="F99" i="5"/>
  <c r="F142" i="4"/>
  <c r="B156" i="4"/>
  <c r="B157" i="4" s="1"/>
  <c r="B155" i="1"/>
  <c r="B217" i="4"/>
  <c r="B242" i="4" s="1"/>
  <c r="F207" i="4"/>
  <c r="J207" i="4"/>
  <c r="B229" i="1"/>
  <c r="K207" i="4"/>
  <c r="K217" i="4" s="1"/>
  <c r="K242" i="4" s="1"/>
  <c r="M111" i="2"/>
  <c r="L352" i="5"/>
  <c r="D339" i="4"/>
  <c r="H339" i="4"/>
  <c r="H433" i="9"/>
  <c r="F439" i="9"/>
  <c r="D433" i="9"/>
  <c r="K243" i="1"/>
  <c r="H319" i="4"/>
  <c r="D319" i="4"/>
  <c r="D327" i="4" s="1"/>
  <c r="F327" i="4"/>
  <c r="H422" i="6"/>
  <c r="D422" i="6"/>
  <c r="H128" i="2"/>
  <c r="D128" i="2"/>
  <c r="F142" i="1"/>
  <c r="D389" i="9"/>
  <c r="H389" i="9"/>
  <c r="D421" i="2"/>
  <c r="H421" i="2"/>
  <c r="L463" i="4"/>
  <c r="D451" i="5"/>
  <c r="H451" i="5"/>
  <c r="H454" i="5" s="1"/>
  <c r="F454" i="5"/>
  <c r="L467" i="5"/>
  <c r="D511" i="6"/>
  <c r="H511" i="6"/>
  <c r="H480" i="6"/>
  <c r="D480" i="6"/>
  <c r="H344" i="3"/>
  <c r="D344" i="3"/>
  <c r="F346" i="3"/>
  <c r="D357" i="6"/>
  <c r="H357" i="6"/>
  <c r="H376" i="3"/>
  <c r="D376" i="3"/>
  <c r="J424" i="2"/>
  <c r="F424" i="2"/>
  <c r="K424" i="2"/>
  <c r="K431" i="2" s="1"/>
  <c r="B431" i="2"/>
  <c r="B440" i="2" s="1"/>
  <c r="L408" i="5"/>
  <c r="M408" i="5" s="1"/>
  <c r="I412" i="5"/>
  <c r="I438" i="5" s="1"/>
  <c r="L436" i="9"/>
  <c r="L439" i="9" s="1"/>
  <c r="K439" i="9"/>
  <c r="L419" i="9"/>
  <c r="J499" i="5"/>
  <c r="L498" i="5"/>
  <c r="H465" i="5"/>
  <c r="D465" i="5"/>
  <c r="L478" i="8"/>
  <c r="J482" i="8"/>
  <c r="M545" i="9"/>
  <c r="D464" i="8"/>
  <c r="H464" i="8"/>
  <c r="D472" i="8"/>
  <c r="H472" i="8"/>
  <c r="H626" i="9"/>
  <c r="L470" i="9"/>
  <c r="L538" i="9"/>
  <c r="K598" i="1"/>
  <c r="K457" i="6"/>
  <c r="H208" i="7"/>
  <c r="D208" i="7"/>
  <c r="F215" i="7"/>
  <c r="L281" i="3"/>
  <c r="M281" i="3" s="1"/>
  <c r="I292" i="1"/>
  <c r="F292" i="1"/>
  <c r="J292" i="1"/>
  <c r="K292" i="1"/>
  <c r="K297" i="1"/>
  <c r="F297" i="1"/>
  <c r="J297" i="1"/>
  <c r="F257" i="2"/>
  <c r="I257" i="2"/>
  <c r="B260" i="2"/>
  <c r="B286" i="1"/>
  <c r="B289" i="1" s="1"/>
  <c r="D312" i="9"/>
  <c r="H312" i="9"/>
  <c r="D309" i="9"/>
  <c r="H309" i="9"/>
  <c r="F325" i="9"/>
  <c r="H356" i="6"/>
  <c r="D356" i="6"/>
  <c r="L375" i="4"/>
  <c r="I380" i="4"/>
  <c r="D390" i="5"/>
  <c r="H390" i="5"/>
  <c r="L374" i="7"/>
  <c r="I380" i="7"/>
  <c r="I397" i="7" s="1"/>
  <c r="H375" i="8"/>
  <c r="D375" i="8"/>
  <c r="D408" i="8"/>
  <c r="H408" i="8"/>
  <c r="H496" i="3"/>
  <c r="D496" i="3"/>
  <c r="H451" i="3"/>
  <c r="D451" i="3"/>
  <c r="H480" i="3"/>
  <c r="D480" i="3"/>
  <c r="J497" i="7"/>
  <c r="K497" i="7"/>
  <c r="K500" i="7" s="1"/>
  <c r="F497" i="7"/>
  <c r="L506" i="8"/>
  <c r="J515" i="8"/>
  <c r="L385" i="5"/>
  <c r="H626" i="8"/>
  <c r="L549" i="2"/>
  <c r="L552" i="2" s="1"/>
  <c r="M268" i="9"/>
  <c r="F395" i="1"/>
  <c r="K395" i="1"/>
  <c r="J395" i="1"/>
  <c r="H228" i="9"/>
  <c r="F239" i="9"/>
  <c r="D228" i="9"/>
  <c r="F471" i="5"/>
  <c r="J358" i="8"/>
  <c r="K358" i="8"/>
  <c r="K362" i="8" s="1"/>
  <c r="B397" i="1"/>
  <c r="F358" i="8"/>
  <c r="I347" i="9"/>
  <c r="I363" i="9" s="1"/>
  <c r="L345" i="9"/>
  <c r="H357" i="9"/>
  <c r="D357" i="9"/>
  <c r="J381" i="5"/>
  <c r="J382" i="5" s="1"/>
  <c r="B382" i="5"/>
  <c r="B396" i="5" s="1"/>
  <c r="K381" i="5"/>
  <c r="K382" i="5" s="1"/>
  <c r="I381" i="5"/>
  <c r="F381" i="5"/>
  <c r="J380" i="6"/>
  <c r="J397" i="6" s="1"/>
  <c r="L373" i="6"/>
  <c r="D391" i="8"/>
  <c r="H391" i="8"/>
  <c r="H427" i="5"/>
  <c r="D427" i="5"/>
  <c r="M424" i="5"/>
  <c r="H424" i="5"/>
  <c r="D424" i="5"/>
  <c r="L427" i="7"/>
  <c r="B473" i="1"/>
  <c r="L471" i="5"/>
  <c r="L505" i="6"/>
  <c r="J515" i="6"/>
  <c r="J523" i="6" s="1"/>
  <c r="L479" i="6"/>
  <c r="L482" i="6" s="1"/>
  <c r="L388" i="8"/>
  <c r="H459" i="6"/>
  <c r="H460" i="6" s="1"/>
  <c r="D459" i="6"/>
  <c r="D460" i="6" s="1"/>
  <c r="F460" i="6"/>
  <c r="D231" i="3"/>
  <c r="H231" i="3"/>
  <c r="K247" i="1"/>
  <c r="F247" i="1"/>
  <c r="J247" i="1"/>
  <c r="D316" i="6"/>
  <c r="H316" i="6"/>
  <c r="M459" i="9"/>
  <c r="D648" i="1"/>
  <c r="H648" i="1"/>
  <c r="H285" i="4"/>
  <c r="L283" i="8"/>
  <c r="M266" i="8"/>
  <c r="I264" i="9"/>
  <c r="L263" i="9"/>
  <c r="M263" i="9" s="1"/>
  <c r="J500" i="9"/>
  <c r="L394" i="6"/>
  <c r="L396" i="6" s="1"/>
  <c r="F474" i="2"/>
  <c r="F483" i="2" s="1"/>
  <c r="F414" i="8"/>
  <c r="K363" i="4"/>
  <c r="K364" i="4" s="1"/>
  <c r="M385" i="6"/>
  <c r="D194" i="2"/>
  <c r="D195" i="2" s="1"/>
  <c r="D199" i="1"/>
  <c r="D178" i="6"/>
  <c r="J59" i="6"/>
  <c r="L53" i="5"/>
  <c r="M53" i="5" s="1"/>
  <c r="L47" i="4"/>
  <c r="M47" i="4" s="1"/>
  <c r="J68" i="1"/>
  <c r="L65" i="4"/>
  <c r="M65" i="4" s="1"/>
  <c r="L64" i="3"/>
  <c r="M64" i="3" s="1"/>
  <c r="L68" i="3"/>
  <c r="M68" i="3" s="1"/>
  <c r="L96" i="6"/>
  <c r="M96" i="6" s="1"/>
  <c r="L71" i="5"/>
  <c r="M71" i="5" s="1"/>
  <c r="J114" i="1"/>
  <c r="H105" i="6"/>
  <c r="D105" i="6"/>
  <c r="D86" i="2"/>
  <c r="F95" i="1"/>
  <c r="F99" i="2"/>
  <c r="J116" i="1"/>
  <c r="B116" i="6"/>
  <c r="M103" i="7"/>
  <c r="H87" i="7"/>
  <c r="D87" i="7"/>
  <c r="H105" i="8"/>
  <c r="D105" i="8"/>
  <c r="H89" i="8"/>
  <c r="D89" i="8"/>
  <c r="D104" i="9"/>
  <c r="H104" i="9"/>
  <c r="F111" i="1"/>
  <c r="K121" i="1"/>
  <c r="L88" i="2"/>
  <c r="K97" i="1"/>
  <c r="L111" i="4"/>
  <c r="M111" i="4" s="1"/>
  <c r="L92" i="4"/>
  <c r="M92" i="4" s="1"/>
  <c r="K115" i="1"/>
  <c r="L106" i="6"/>
  <c r="D101" i="6"/>
  <c r="F115" i="6"/>
  <c r="H101" i="6"/>
  <c r="L90" i="6"/>
  <c r="M90" i="6" s="1"/>
  <c r="M93" i="2"/>
  <c r="K118" i="1"/>
  <c r="J99" i="1"/>
  <c r="L107" i="5"/>
  <c r="M107" i="5" s="1"/>
  <c r="M106" i="8"/>
  <c r="D103" i="8"/>
  <c r="H103" i="8"/>
  <c r="F115" i="8"/>
  <c r="L87" i="8"/>
  <c r="M87" i="8" s="1"/>
  <c r="K106" i="1"/>
  <c r="M112" i="2"/>
  <c r="I105" i="1"/>
  <c r="M101" i="8"/>
  <c r="H143" i="1"/>
  <c r="L56" i="9"/>
  <c r="M56" i="9" s="1"/>
  <c r="K61" i="1"/>
  <c r="D74" i="9"/>
  <c r="H74" i="9"/>
  <c r="F75" i="9"/>
  <c r="F76" i="9" s="1"/>
  <c r="M74" i="9"/>
  <c r="L48" i="8"/>
  <c r="M48" i="8" s="1"/>
  <c r="D74" i="4"/>
  <c r="M74" i="4"/>
  <c r="H74" i="4"/>
  <c r="F75" i="4"/>
  <c r="F76" i="4" s="1"/>
  <c r="M108" i="2"/>
  <c r="L117" i="1"/>
  <c r="B116" i="4"/>
  <c r="J115" i="5"/>
  <c r="L89" i="5"/>
  <c r="M89" i="5" s="1"/>
  <c r="D114" i="6"/>
  <c r="M114" i="6"/>
  <c r="H114" i="6"/>
  <c r="K115" i="7"/>
  <c r="L101" i="7"/>
  <c r="D93" i="7"/>
  <c r="H93" i="7"/>
  <c r="F104" i="1"/>
  <c r="M104" i="1" s="1"/>
  <c r="K115" i="4"/>
  <c r="K116" i="4" s="1"/>
  <c r="H127" i="5"/>
  <c r="D127" i="5"/>
  <c r="L72" i="8"/>
  <c r="M72" i="8" s="1"/>
  <c r="L105" i="9"/>
  <c r="M105" i="9" s="1"/>
  <c r="B138" i="3"/>
  <c r="L98" i="8"/>
  <c r="M98" i="8" s="1"/>
  <c r="D142" i="2"/>
  <c r="M142" i="2"/>
  <c r="H142" i="2"/>
  <c r="F156" i="1"/>
  <c r="M156" i="1" s="1"/>
  <c r="H142" i="8"/>
  <c r="D142" i="8"/>
  <c r="M142" i="8"/>
  <c r="F155" i="8"/>
  <c r="L126" i="3"/>
  <c r="I138" i="3"/>
  <c r="I155" i="3" s="1"/>
  <c r="I141" i="1"/>
  <c r="K156" i="4"/>
  <c r="K157" i="4" s="1"/>
  <c r="L155" i="4"/>
  <c r="K168" i="1"/>
  <c r="K169" i="1" s="1"/>
  <c r="K170" i="1" s="1"/>
  <c r="K177" i="1" s="1"/>
  <c r="L129" i="4"/>
  <c r="I140" i="4"/>
  <c r="I157" i="4" s="1"/>
  <c r="F123" i="1"/>
  <c r="M123" i="1" s="1"/>
  <c r="H145" i="1"/>
  <c r="L294" i="9"/>
  <c r="J303" i="9"/>
  <c r="D352" i="5"/>
  <c r="H352" i="5"/>
  <c r="H545" i="5"/>
  <c r="D545" i="5"/>
  <c r="F547" i="5"/>
  <c r="F548" i="5" s="1"/>
  <c r="L543" i="5"/>
  <c r="K547" i="5"/>
  <c r="K608" i="1"/>
  <c r="L428" i="3"/>
  <c r="K430" i="3"/>
  <c r="H478" i="5"/>
  <c r="D478" i="5"/>
  <c r="D497" i="3"/>
  <c r="H497" i="3"/>
  <c r="D521" i="6"/>
  <c r="D522" i="6" s="1"/>
  <c r="H521" i="6"/>
  <c r="H522" i="6" s="1"/>
  <c r="H241" i="1"/>
  <c r="F243" i="1"/>
  <c r="D241" i="1"/>
  <c r="D385" i="7"/>
  <c r="H385" i="7"/>
  <c r="F396" i="7"/>
  <c r="L422" i="6"/>
  <c r="K431" i="6"/>
  <c r="L467" i="2"/>
  <c r="M467" i="2" s="1"/>
  <c r="L551" i="4"/>
  <c r="L611" i="1" s="1"/>
  <c r="M611" i="1" s="1"/>
  <c r="K611" i="1"/>
  <c r="M143" i="2"/>
  <c r="H143" i="2"/>
  <c r="H157" i="1" s="1"/>
  <c r="D143" i="2"/>
  <c r="D157" i="1" s="1"/>
  <c r="F157" i="1"/>
  <c r="M157" i="1" s="1"/>
  <c r="H166" i="1"/>
  <c r="H126" i="6"/>
  <c r="H139" i="6" s="1"/>
  <c r="M126" i="6"/>
  <c r="D126" i="6"/>
  <c r="D139" i="6" s="1"/>
  <c r="F139" i="6"/>
  <c r="F156" i="6" s="1"/>
  <c r="B155" i="7"/>
  <c r="F141" i="7"/>
  <c r="D155" i="6"/>
  <c r="L392" i="4"/>
  <c r="L421" i="2"/>
  <c r="J431" i="2"/>
  <c r="H430" i="4"/>
  <c r="D430" i="4"/>
  <c r="F414" i="9"/>
  <c r="D410" i="9"/>
  <c r="H410" i="9"/>
  <c r="H414" i="9" s="1"/>
  <c r="K474" i="2"/>
  <c r="K483" i="2" s="1"/>
  <c r="L544" i="3"/>
  <c r="L508" i="3"/>
  <c r="D503" i="5"/>
  <c r="H503" i="5"/>
  <c r="M451" i="5"/>
  <c r="L511" i="6"/>
  <c r="F595" i="1"/>
  <c r="K595" i="1"/>
  <c r="H183" i="6"/>
  <c r="H202" i="1" s="1"/>
  <c r="D183" i="6"/>
  <c r="D202" i="1" s="1"/>
  <c r="M183" i="6"/>
  <c r="F202" i="1"/>
  <c r="M202" i="1" s="1"/>
  <c r="D210" i="1"/>
  <c r="L296" i="9"/>
  <c r="M296" i="9" s="1"/>
  <c r="L344" i="3"/>
  <c r="L346" i="3" s="1"/>
  <c r="I346" i="3"/>
  <c r="I362" i="3" s="1"/>
  <c r="H351" i="5"/>
  <c r="D351" i="5"/>
  <c r="H382" i="2"/>
  <c r="H383" i="2" s="1"/>
  <c r="D382" i="2"/>
  <c r="D383" i="2" s="1"/>
  <c r="F383" i="2"/>
  <c r="L376" i="3"/>
  <c r="J380" i="3"/>
  <c r="L374" i="6"/>
  <c r="M374" i="6" s="1"/>
  <c r="I380" i="6"/>
  <c r="I397" i="6" s="1"/>
  <c r="D430" i="6"/>
  <c r="H430" i="6"/>
  <c r="I414" i="7"/>
  <c r="I440" i="7" s="1"/>
  <c r="L409" i="7"/>
  <c r="M409" i="7" s="1"/>
  <c r="K506" i="3"/>
  <c r="K514" i="3" s="1"/>
  <c r="F506" i="3"/>
  <c r="B514" i="3"/>
  <c r="J506" i="3"/>
  <c r="L592" i="4"/>
  <c r="L601" i="4" s="1"/>
  <c r="M591" i="4"/>
  <c r="D509" i="6"/>
  <c r="H509" i="6"/>
  <c r="L471" i="8"/>
  <c r="M509" i="9"/>
  <c r="K474" i="8"/>
  <c r="D469" i="8"/>
  <c r="H469" i="8"/>
  <c r="M454" i="9"/>
  <c r="M584" i="3"/>
  <c r="L588" i="3"/>
  <c r="L600" i="3" s="1"/>
  <c r="L645" i="1"/>
  <c r="M645" i="1" s="1"/>
  <c r="I552" i="7"/>
  <c r="I553" i="7" s="1"/>
  <c r="K178" i="6"/>
  <c r="K195" i="6" s="1"/>
  <c r="L172" i="6"/>
  <c r="M172" i="6" s="1"/>
  <c r="K191" i="1"/>
  <c r="M205" i="6"/>
  <c r="M493" i="2"/>
  <c r="H472" i="9"/>
  <c r="D472" i="9"/>
  <c r="I260" i="9"/>
  <c r="I284" i="9" s="1"/>
  <c r="D168" i="3"/>
  <c r="D188" i="1" s="1"/>
  <c r="F188" i="1"/>
  <c r="H168" i="3"/>
  <c r="H188" i="1" s="1"/>
  <c r="J307" i="2"/>
  <c r="J215" i="7"/>
  <c r="L208" i="7"/>
  <c r="M302" i="1"/>
  <c r="D302" i="1"/>
  <c r="H302" i="1"/>
  <c r="M270" i="3"/>
  <c r="L250" i="3"/>
  <c r="I259" i="3"/>
  <c r="K283" i="2"/>
  <c r="L310" i="6"/>
  <c r="J325" i="6"/>
  <c r="K317" i="5"/>
  <c r="K325" i="5" s="1"/>
  <c r="J317" i="5"/>
  <c r="F317" i="5"/>
  <c r="F325" i="5" s="1"/>
  <c r="F326" i="5" s="1"/>
  <c r="K327" i="4"/>
  <c r="K328" i="4" s="1"/>
  <c r="D318" i="3"/>
  <c r="H318" i="3"/>
  <c r="L318" i="8"/>
  <c r="M318" i="8" s="1"/>
  <c r="I309" i="4"/>
  <c r="I328" i="4" s="1"/>
  <c r="L307" i="4"/>
  <c r="K296" i="7"/>
  <c r="K303" i="7" s="1"/>
  <c r="B303" i="7"/>
  <c r="J296" i="7"/>
  <c r="J303" i="7" s="1"/>
  <c r="B331" i="1"/>
  <c r="I296" i="7"/>
  <c r="F296" i="7"/>
  <c r="F399" i="1"/>
  <c r="K399" i="1"/>
  <c r="L399" i="1" s="1"/>
  <c r="H348" i="3"/>
  <c r="D348" i="3"/>
  <c r="H357" i="2"/>
  <c r="K350" i="2"/>
  <c r="J350" i="2"/>
  <c r="F350" i="2"/>
  <c r="B362" i="2"/>
  <c r="D355" i="7"/>
  <c r="H355" i="7"/>
  <c r="M337" i="9"/>
  <c r="H386" i="2"/>
  <c r="D386" i="2"/>
  <c r="F396" i="2"/>
  <c r="J379" i="5"/>
  <c r="L375" i="5"/>
  <c r="F418" i="1"/>
  <c r="I418" i="1"/>
  <c r="K418" i="1"/>
  <c r="J419" i="1"/>
  <c r="F419" i="1"/>
  <c r="K419" i="1"/>
  <c r="I419" i="1"/>
  <c r="B439" i="3"/>
  <c r="K456" i="1"/>
  <c r="B463" i="1"/>
  <c r="F456" i="1"/>
  <c r="J456" i="1"/>
  <c r="L434" i="6"/>
  <c r="M434" i="6" s="1"/>
  <c r="J439" i="6"/>
  <c r="L411" i="6"/>
  <c r="J414" i="6"/>
  <c r="F472" i="1"/>
  <c r="J472" i="1"/>
  <c r="K472" i="1"/>
  <c r="K457" i="1"/>
  <c r="F457" i="1"/>
  <c r="J457" i="1"/>
  <c r="K414" i="8"/>
  <c r="H677" i="1"/>
  <c r="D702" i="1"/>
  <c r="D707" i="1" s="1"/>
  <c r="M702" i="1"/>
  <c r="H702" i="1"/>
  <c r="H707" i="1" s="1"/>
  <c r="F707" i="1"/>
  <c r="L566" i="3"/>
  <c r="M564" i="3"/>
  <c r="L626" i="1"/>
  <c r="M626" i="1" s="1"/>
  <c r="L451" i="3"/>
  <c r="M451" i="3" s="1"/>
  <c r="I456" i="3"/>
  <c r="F647" i="4"/>
  <c r="J507" i="5"/>
  <c r="J511" i="5" s="1"/>
  <c r="K507" i="5"/>
  <c r="K511" i="5" s="1"/>
  <c r="F507" i="5"/>
  <c r="B570" i="1"/>
  <c r="L549" i="6"/>
  <c r="M549" i="6" s="1"/>
  <c r="L454" i="7"/>
  <c r="J457" i="7"/>
  <c r="D466" i="7"/>
  <c r="H466" i="7"/>
  <c r="K522" i="8"/>
  <c r="L517" i="8"/>
  <c r="L522" i="8" s="1"/>
  <c r="L294" i="3"/>
  <c r="B439" i="8"/>
  <c r="F539" i="2"/>
  <c r="B362" i="8"/>
  <c r="J325" i="8"/>
  <c r="J326" i="8" s="1"/>
  <c r="B483" i="2"/>
  <c r="H254" i="1"/>
  <c r="D254" i="1"/>
  <c r="L190" i="1"/>
  <c r="M190" i="1" s="1"/>
  <c r="M172" i="4"/>
  <c r="L261" i="3"/>
  <c r="I263" i="3"/>
  <c r="K439" i="6"/>
  <c r="L433" i="6"/>
  <c r="L546" i="9"/>
  <c r="J552" i="9"/>
  <c r="J553" i="9" s="1"/>
  <c r="J606" i="1"/>
  <c r="F579" i="9"/>
  <c r="M493" i="9"/>
  <c r="J505" i="9"/>
  <c r="F505" i="9"/>
  <c r="B564" i="1"/>
  <c r="B515" i="9"/>
  <c r="K505" i="9"/>
  <c r="K515" i="9" s="1"/>
  <c r="L228" i="9"/>
  <c r="J239" i="9"/>
  <c r="J240" i="9" s="1"/>
  <c r="D178" i="5"/>
  <c r="J552" i="6"/>
  <c r="J553" i="6" s="1"/>
  <c r="J396" i="9"/>
  <c r="H315" i="9"/>
  <c r="D315" i="9"/>
  <c r="K384" i="1"/>
  <c r="F384" i="1"/>
  <c r="J384" i="1"/>
  <c r="I384" i="1"/>
  <c r="B386" i="1"/>
  <c r="M341" i="4"/>
  <c r="D350" i="6"/>
  <c r="H350" i="6"/>
  <c r="F362" i="6"/>
  <c r="F363" i="6" s="1"/>
  <c r="H357" i="7"/>
  <c r="D357" i="7"/>
  <c r="J396" i="1"/>
  <c r="K396" i="1"/>
  <c r="F396" i="1"/>
  <c r="L388" i="2"/>
  <c r="H388" i="4"/>
  <c r="D388" i="4"/>
  <c r="L377" i="4"/>
  <c r="J380" i="4"/>
  <c r="D386" i="5"/>
  <c r="H386" i="5"/>
  <c r="F380" i="6"/>
  <c r="D373" i="6"/>
  <c r="D380" i="6" s="1"/>
  <c r="H373" i="6"/>
  <c r="H380" i="6" s="1"/>
  <c r="L391" i="8"/>
  <c r="K373" i="9"/>
  <c r="K380" i="9" s="1"/>
  <c r="J373" i="9"/>
  <c r="B380" i="9"/>
  <c r="B397" i="9" s="1"/>
  <c r="F373" i="9"/>
  <c r="B417" i="1"/>
  <c r="L438" i="3"/>
  <c r="L409" i="3"/>
  <c r="I413" i="3"/>
  <c r="L436" i="5"/>
  <c r="D424" i="6"/>
  <c r="H424" i="6"/>
  <c r="D434" i="7"/>
  <c r="F439" i="7"/>
  <c r="H434" i="7"/>
  <c r="L427" i="8"/>
  <c r="F459" i="1"/>
  <c r="J459" i="1"/>
  <c r="K459" i="1"/>
  <c r="I459" i="1"/>
  <c r="L410" i="8"/>
  <c r="H616" i="2"/>
  <c r="H626" i="2" s="1"/>
  <c r="J507" i="2"/>
  <c r="K507" i="2"/>
  <c r="K515" i="2" s="1"/>
  <c r="B515" i="2"/>
  <c r="B523" i="2" s="1"/>
  <c r="F507" i="2"/>
  <c r="D607" i="1"/>
  <c r="H607" i="1"/>
  <c r="H611" i="1"/>
  <c r="D611" i="1"/>
  <c r="L478" i="3"/>
  <c r="K522" i="4"/>
  <c r="K523" i="4" s="1"/>
  <c r="L635" i="1"/>
  <c r="M635" i="1" s="1"/>
  <c r="L572" i="5"/>
  <c r="L573" i="5" s="1"/>
  <c r="M568" i="5"/>
  <c r="J471" i="5"/>
  <c r="M477" i="6"/>
  <c r="D479" i="6"/>
  <c r="H479" i="6"/>
  <c r="F482" i="6"/>
  <c r="K521" i="7"/>
  <c r="K522" i="7" s="1"/>
  <c r="F521" i="7"/>
  <c r="J521" i="7"/>
  <c r="B580" i="1"/>
  <c r="B522" i="7"/>
  <c r="D647" i="8"/>
  <c r="J569" i="1"/>
  <c r="F569" i="1"/>
  <c r="K569" i="1"/>
  <c r="F396" i="9"/>
  <c r="B514" i="1"/>
  <c r="J513" i="1"/>
  <c r="J514" i="1" s="1"/>
  <c r="I513" i="1"/>
  <c r="K513" i="1"/>
  <c r="K514" i="1" s="1"/>
  <c r="F513" i="1"/>
  <c r="J454" i="5"/>
  <c r="L224" i="3"/>
  <c r="F256" i="1"/>
  <c r="J256" i="1"/>
  <c r="K256" i="1"/>
  <c r="F224" i="5"/>
  <c r="J224" i="5"/>
  <c r="K224" i="5"/>
  <c r="K239" i="5" s="1"/>
  <c r="K240" i="5" s="1"/>
  <c r="B239" i="5"/>
  <c r="B240" i="5" s="1"/>
  <c r="B248" i="1"/>
  <c r="D229" i="5"/>
  <c r="H229" i="5"/>
  <c r="D226" i="7"/>
  <c r="M226" i="7"/>
  <c r="H226" i="7"/>
  <c r="M228" i="8"/>
  <c r="H228" i="8"/>
  <c r="D228" i="8"/>
  <c r="D239" i="8" s="1"/>
  <c r="F323" i="7"/>
  <c r="B358" i="1"/>
  <c r="B360" i="1" s="1"/>
  <c r="M316" i="6"/>
  <c r="L315" i="5"/>
  <c r="M315" i="5" s="1"/>
  <c r="L454" i="5"/>
  <c r="M345" i="5"/>
  <c r="L347" i="5"/>
  <c r="L344" i="4"/>
  <c r="H335" i="1"/>
  <c r="D335" i="1"/>
  <c r="K480" i="5"/>
  <c r="B511" i="5"/>
  <c r="H414" i="7"/>
  <c r="F177" i="3"/>
  <c r="J431" i="6"/>
  <c r="L420" i="7"/>
  <c r="H222" i="2"/>
  <c r="D222" i="2"/>
  <c r="L193" i="1"/>
  <c r="M174" i="2"/>
  <c r="L178" i="2"/>
  <c r="H262" i="7"/>
  <c r="D262" i="7"/>
  <c r="D264" i="7" s="1"/>
  <c r="F264" i="7"/>
  <c r="F284" i="7" s="1"/>
  <c r="L494" i="9"/>
  <c r="M494" i="9" s="1"/>
  <c r="J324" i="3"/>
  <c r="J325" i="3" s="1"/>
  <c r="I264" i="6"/>
  <c r="I284" i="6" s="1"/>
  <c r="L263" i="6"/>
  <c r="K457" i="9"/>
  <c r="F522" i="4"/>
  <c r="L388" i="3"/>
  <c r="K263" i="3"/>
  <c r="L342" i="3"/>
  <c r="L343" i="6"/>
  <c r="H576" i="1"/>
  <c r="D576" i="1"/>
  <c r="J605" i="1"/>
  <c r="H178" i="6"/>
  <c r="D186" i="1"/>
  <c r="F194" i="6"/>
  <c r="L262" i="7"/>
  <c r="I264" i="7"/>
  <c r="I284" i="7" s="1"/>
  <c r="M659" i="1"/>
  <c r="L660" i="1"/>
  <c r="M633" i="1"/>
  <c r="H267" i="6"/>
  <c r="F283" i="6"/>
  <c r="F284" i="6" s="1"/>
  <c r="D267" i="6"/>
  <c r="H186" i="1"/>
  <c r="K89" i="9"/>
  <c r="K98" i="1" s="1"/>
  <c r="F89" i="9"/>
  <c r="J89" i="9"/>
  <c r="J99" i="9" s="1"/>
  <c r="B124" i="1"/>
  <c r="H109" i="6"/>
  <c r="D109" i="6"/>
  <c r="D114" i="7"/>
  <c r="M114" i="7"/>
  <c r="H114" i="7"/>
  <c r="K99" i="1"/>
  <c r="L90" i="2"/>
  <c r="L96" i="2"/>
  <c r="K105" i="1"/>
  <c r="J74" i="9"/>
  <c r="J75" i="9" s="1"/>
  <c r="L91" i="5"/>
  <c r="K100" i="1"/>
  <c r="K99" i="8"/>
  <c r="B149" i="1"/>
  <c r="F134" i="3"/>
  <c r="K99" i="6"/>
  <c r="D155" i="4"/>
  <c r="H155" i="4"/>
  <c r="F168" i="1"/>
  <c r="J243" i="1"/>
  <c r="D317" i="7"/>
  <c r="H317" i="7"/>
  <c r="L462" i="9"/>
  <c r="H550" i="7"/>
  <c r="D550" i="7"/>
  <c r="F147" i="2"/>
  <c r="F155" i="2" s="1"/>
  <c r="B161" i="1"/>
  <c r="F433" i="5"/>
  <c r="K433" i="5"/>
  <c r="K437" i="5" s="1"/>
  <c r="K438" i="5" s="1"/>
  <c r="J433" i="5"/>
  <c r="B484" i="1"/>
  <c r="B488" i="1" s="1"/>
  <c r="B437" i="5"/>
  <c r="B438" i="5" s="1"/>
  <c r="L476" i="3"/>
  <c r="K481" i="3"/>
  <c r="D184" i="6"/>
  <c r="D203" i="1" s="1"/>
  <c r="F203" i="1"/>
  <c r="M203" i="1" s="1"/>
  <c r="M184" i="6"/>
  <c r="H184" i="6"/>
  <c r="H203" i="1" s="1"/>
  <c r="L260" i="9"/>
  <c r="L310" i="9"/>
  <c r="M310" i="9" s="1"/>
  <c r="J325" i="9"/>
  <c r="J391" i="5"/>
  <c r="J395" i="5" s="1"/>
  <c r="F391" i="5"/>
  <c r="K391" i="5"/>
  <c r="K395" i="5" s="1"/>
  <c r="B436" i="1"/>
  <c r="D410" i="3"/>
  <c r="H410" i="3"/>
  <c r="H436" i="9"/>
  <c r="D436" i="9"/>
  <c r="L592" i="7"/>
  <c r="L601" i="7" s="1"/>
  <c r="M591" i="7"/>
  <c r="J523" i="1"/>
  <c r="F523" i="1"/>
  <c r="K523" i="1"/>
  <c r="J57" i="1"/>
  <c r="J53" i="1"/>
  <c r="L67" i="9"/>
  <c r="M67" i="9" s="1"/>
  <c r="L63" i="9"/>
  <c r="M63" i="9" s="1"/>
  <c r="K113" i="1"/>
  <c r="L104" i="2"/>
  <c r="K116" i="1"/>
  <c r="H108" i="6"/>
  <c r="F117" i="1"/>
  <c r="D108" i="6"/>
  <c r="H106" i="8"/>
  <c r="D106" i="8"/>
  <c r="L87" i="9"/>
  <c r="D93" i="9"/>
  <c r="H93" i="9"/>
  <c r="J101" i="1"/>
  <c r="D109" i="5"/>
  <c r="H109" i="5"/>
  <c r="J102" i="1"/>
  <c r="M101" i="4"/>
  <c r="F115" i="2"/>
  <c r="I139" i="5"/>
  <c r="I156" i="5" s="1"/>
  <c r="L127" i="5"/>
  <c r="D105" i="9"/>
  <c r="H105" i="9"/>
  <c r="D127" i="3"/>
  <c r="H127" i="3"/>
  <c r="F145" i="3"/>
  <c r="B160" i="1"/>
  <c r="D129" i="4"/>
  <c r="D140" i="4" s="1"/>
  <c r="H129" i="4"/>
  <c r="M89" i="2"/>
  <c r="K96" i="1"/>
  <c r="L219" i="2"/>
  <c r="B212" i="1"/>
  <c r="B213" i="1" s="1"/>
  <c r="K192" i="3"/>
  <c r="J192" i="3"/>
  <c r="F192" i="3"/>
  <c r="F193" i="3" s="1"/>
  <c r="K396" i="9"/>
  <c r="M315" i="4"/>
  <c r="D452" i="4"/>
  <c r="D457" i="4" s="1"/>
  <c r="F457" i="4"/>
  <c r="H452" i="4"/>
  <c r="J396" i="7"/>
  <c r="L385" i="7"/>
  <c r="H567" i="2"/>
  <c r="K74" i="7"/>
  <c r="J74" i="7" s="1"/>
  <c r="J75" i="7" s="1"/>
  <c r="F74" i="7"/>
  <c r="F151" i="3"/>
  <c r="B166" i="1"/>
  <c r="L410" i="9"/>
  <c r="I414" i="9"/>
  <c r="I440" i="9" s="1"/>
  <c r="L463" i="2"/>
  <c r="J474" i="2"/>
  <c r="L490" i="5"/>
  <c r="J496" i="5"/>
  <c r="F210" i="1"/>
  <c r="M210" i="1" s="1"/>
  <c r="K284" i="9"/>
  <c r="H358" i="4"/>
  <c r="D358" i="4"/>
  <c r="D420" i="7"/>
  <c r="H420" i="7"/>
  <c r="F431" i="7"/>
  <c r="J505" i="1"/>
  <c r="K505" i="1"/>
  <c r="F505" i="1"/>
  <c r="H478" i="9"/>
  <c r="D478" i="9"/>
  <c r="F482" i="9"/>
  <c r="L707" i="1"/>
  <c r="M703" i="1"/>
  <c r="H454" i="9"/>
  <c r="D454" i="9"/>
  <c r="L505" i="4"/>
  <c r="L515" i="4" s="1"/>
  <c r="J515" i="4"/>
  <c r="F344" i="4"/>
  <c r="I459" i="3"/>
  <c r="L458" i="3"/>
  <c r="L459" i="3" s="1"/>
  <c r="F303" i="8"/>
  <c r="J439" i="7"/>
  <c r="K279" i="1"/>
  <c r="F279" i="1"/>
  <c r="J279" i="1"/>
  <c r="D300" i="1"/>
  <c r="H300" i="1"/>
  <c r="M300" i="1"/>
  <c r="H268" i="2"/>
  <c r="D268" i="2"/>
  <c r="K352" i="3"/>
  <c r="K361" i="3" s="1"/>
  <c r="J352" i="3"/>
  <c r="B361" i="3"/>
  <c r="B433" i="1"/>
  <c r="B392" i="1"/>
  <c r="F352" i="3"/>
  <c r="F337" i="7"/>
  <c r="B376" i="1"/>
  <c r="K337" i="7"/>
  <c r="K343" i="7" s="1"/>
  <c r="I337" i="7"/>
  <c r="B343" i="7"/>
  <c r="H434" i="1"/>
  <c r="D434" i="1"/>
  <c r="M434" i="1"/>
  <c r="D437" i="3"/>
  <c r="H437" i="3"/>
  <c r="H438" i="3" s="1"/>
  <c r="D407" i="3"/>
  <c r="H407" i="3"/>
  <c r="D647" i="2"/>
  <c r="D471" i="2"/>
  <c r="H471" i="2"/>
  <c r="J362" i="5"/>
  <c r="J363" i="5" s="1"/>
  <c r="M673" i="1"/>
  <c r="L677" i="1"/>
  <c r="L472" i="9"/>
  <c r="J303" i="6"/>
  <c r="J326" i="6" s="1"/>
  <c r="B194" i="3"/>
  <c r="K396" i="2"/>
  <c r="F392" i="3"/>
  <c r="F395" i="3" s="1"/>
  <c r="K392" i="3"/>
  <c r="K395" i="3" s="1"/>
  <c r="K396" i="3" s="1"/>
  <c r="J392" i="3"/>
  <c r="J395" i="3" s="1"/>
  <c r="F438" i="1"/>
  <c r="J438" i="1"/>
  <c r="K438" i="1"/>
  <c r="D428" i="4"/>
  <c r="H428" i="4"/>
  <c r="H579" i="2"/>
  <c r="H465" i="2"/>
  <c r="D465" i="2"/>
  <c r="D550" i="3"/>
  <c r="H550" i="3"/>
  <c r="K552" i="4"/>
  <c r="K553" i="4" s="1"/>
  <c r="K605" i="1"/>
  <c r="H548" i="4"/>
  <c r="D548" i="4"/>
  <c r="K465" i="4"/>
  <c r="K474" i="4" s="1"/>
  <c r="J465" i="4"/>
  <c r="F465" i="4"/>
  <c r="B474" i="4"/>
  <c r="B483" i="4" s="1"/>
  <c r="H510" i="8"/>
  <c r="D510" i="8"/>
  <c r="D515" i="8" s="1"/>
  <c r="B238" i="3"/>
  <c r="B239" i="3" s="1"/>
  <c r="B246" i="1"/>
  <c r="J221" i="3"/>
  <c r="K221" i="3"/>
  <c r="K238" i="3" s="1"/>
  <c r="K239" i="3" s="1"/>
  <c r="F221" i="3"/>
  <c r="K250" i="1"/>
  <c r="F250" i="1"/>
  <c r="J250" i="1"/>
  <c r="H350" i="1"/>
  <c r="M350" i="1"/>
  <c r="D350" i="1"/>
  <c r="F195" i="7"/>
  <c r="J325" i="7"/>
  <c r="F363" i="4"/>
  <c r="M193" i="9"/>
  <c r="L194" i="9"/>
  <c r="L195" i="9" s="1"/>
  <c r="J479" i="5"/>
  <c r="L475" i="5"/>
  <c r="L479" i="5" s="1"/>
  <c r="M536" i="2"/>
  <c r="L596" i="1"/>
  <c r="K504" i="1"/>
  <c r="J504" i="1"/>
  <c r="F504" i="1"/>
  <c r="B511" i="1"/>
  <c r="M374" i="3"/>
  <c r="L52" i="9"/>
  <c r="M52" i="9" s="1"/>
  <c r="I53" i="1"/>
  <c r="L49" i="7"/>
  <c r="M49" i="7" s="1"/>
  <c r="L49" i="3"/>
  <c r="M49" i="3" s="1"/>
  <c r="I59" i="2"/>
  <c r="I76" i="2" s="1"/>
  <c r="L52" i="2"/>
  <c r="M52" i="2" s="1"/>
  <c r="J67" i="1"/>
  <c r="L63" i="4"/>
  <c r="M63" i="4" s="1"/>
  <c r="L66" i="4"/>
  <c r="M66" i="4" s="1"/>
  <c r="L62" i="3"/>
  <c r="M62" i="3" s="1"/>
  <c r="L63" i="7"/>
  <c r="M63" i="7" s="1"/>
  <c r="M89" i="7"/>
  <c r="L62" i="2"/>
  <c r="M62" i="2" s="1"/>
  <c r="K114" i="1"/>
  <c r="L105" i="2"/>
  <c r="J115" i="4"/>
  <c r="D88" i="6"/>
  <c r="H88" i="6"/>
  <c r="H99" i="6" s="1"/>
  <c r="F99" i="6"/>
  <c r="L96" i="7"/>
  <c r="M96" i="7" s="1"/>
  <c r="D108" i="8"/>
  <c r="H108" i="8"/>
  <c r="J99" i="8"/>
  <c r="L86" i="8"/>
  <c r="M86" i="2"/>
  <c r="L103" i="2"/>
  <c r="K115" i="2"/>
  <c r="K116" i="2" s="1"/>
  <c r="K112" i="1"/>
  <c r="J97" i="1"/>
  <c r="D103" i="4"/>
  <c r="H103" i="4"/>
  <c r="L105" i="5"/>
  <c r="M105" i="5" s="1"/>
  <c r="M109" i="6"/>
  <c r="D106" i="6"/>
  <c r="H106" i="6"/>
  <c r="F115" i="1"/>
  <c r="K117" i="1"/>
  <c r="K120" i="1"/>
  <c r="D105" i="4"/>
  <c r="H105" i="4"/>
  <c r="J99" i="4"/>
  <c r="H107" i="5"/>
  <c r="D107" i="5"/>
  <c r="L111" i="6"/>
  <c r="M111" i="6" s="1"/>
  <c r="M111" i="8"/>
  <c r="K115" i="8"/>
  <c r="L103" i="8"/>
  <c r="M103" i="8" s="1"/>
  <c r="L92" i="8"/>
  <c r="M92" i="8" s="1"/>
  <c r="D107" i="9"/>
  <c r="H107" i="9"/>
  <c r="F126" i="5"/>
  <c r="B139" i="5"/>
  <c r="B156" i="5" s="1"/>
  <c r="L51" i="7"/>
  <c r="M51" i="7" s="1"/>
  <c r="L69" i="6"/>
  <c r="M69" i="6" s="1"/>
  <c r="L56" i="6"/>
  <c r="M56" i="6" s="1"/>
  <c r="H49" i="3"/>
  <c r="D49" i="3"/>
  <c r="J99" i="2"/>
  <c r="L93" i="9"/>
  <c r="M93" i="9" s="1"/>
  <c r="I99" i="9"/>
  <c r="I116" i="9" s="1"/>
  <c r="K111" i="1"/>
  <c r="F99" i="7"/>
  <c r="K101" i="1"/>
  <c r="L92" i="2"/>
  <c r="F114" i="1"/>
  <c r="L97" i="4"/>
  <c r="M97" i="4" s="1"/>
  <c r="L88" i="4"/>
  <c r="M88" i="4" s="1"/>
  <c r="F115" i="5"/>
  <c r="D101" i="5"/>
  <c r="D115" i="5" s="1"/>
  <c r="H101" i="5"/>
  <c r="L93" i="5"/>
  <c r="M93" i="5" s="1"/>
  <c r="H91" i="5"/>
  <c r="D91" i="5"/>
  <c r="D89" i="5"/>
  <c r="H89" i="5"/>
  <c r="H87" i="5"/>
  <c r="D87" i="5"/>
  <c r="D112" i="7"/>
  <c r="F121" i="1"/>
  <c r="L104" i="7"/>
  <c r="M104" i="7" s="1"/>
  <c r="H101" i="7"/>
  <c r="D101" i="7"/>
  <c r="F115" i="7"/>
  <c r="L93" i="7"/>
  <c r="M93" i="7" s="1"/>
  <c r="F140" i="4"/>
  <c r="L102" i="9"/>
  <c r="M102" i="9" s="1"/>
  <c r="L96" i="9"/>
  <c r="M96" i="9" s="1"/>
  <c r="F126" i="7"/>
  <c r="B139" i="7"/>
  <c r="F102" i="1"/>
  <c r="H120" i="1"/>
  <c r="L154" i="7"/>
  <c r="K155" i="7"/>
  <c r="K156" i="7" s="1"/>
  <c r="M141" i="2"/>
  <c r="H141" i="2"/>
  <c r="D141" i="2"/>
  <c r="M143" i="1"/>
  <c r="H126" i="3"/>
  <c r="D126" i="3"/>
  <c r="F141" i="1"/>
  <c r="F120" i="1"/>
  <c r="B156" i="8"/>
  <c r="D145" i="1"/>
  <c r="J168" i="1"/>
  <c r="J169" i="1" s="1"/>
  <c r="J170" i="1" s="1"/>
  <c r="J177" i="1" s="1"/>
  <c r="L311" i="7"/>
  <c r="M311" i="7" s="1"/>
  <c r="D351" i="9"/>
  <c r="H351" i="9"/>
  <c r="F362" i="9"/>
  <c r="L537" i="6"/>
  <c r="K539" i="6"/>
  <c r="K597" i="1"/>
  <c r="L351" i="9"/>
  <c r="J362" i="9"/>
  <c r="L427" i="9"/>
  <c r="L374" i="5"/>
  <c r="K379" i="5"/>
  <c r="K604" i="1"/>
  <c r="K552" i="8"/>
  <c r="J482" i="4"/>
  <c r="L478" i="4"/>
  <c r="I243" i="1"/>
  <c r="L241" i="1"/>
  <c r="L346" i="7"/>
  <c r="L347" i="7" s="1"/>
  <c r="K347" i="7"/>
  <c r="H426" i="4"/>
  <c r="D426" i="4"/>
  <c r="M506" i="5"/>
  <c r="H476" i="4"/>
  <c r="D476" i="4"/>
  <c r="F482" i="4"/>
  <c r="M497" i="6"/>
  <c r="H497" i="6"/>
  <c r="D497" i="6"/>
  <c r="D151" i="2"/>
  <c r="D165" i="1" s="1"/>
  <c r="M151" i="2"/>
  <c r="H151" i="2"/>
  <c r="H165" i="1" s="1"/>
  <c r="F165" i="1"/>
  <c r="M165" i="1" s="1"/>
  <c r="F139" i="2"/>
  <c r="H126" i="2"/>
  <c r="D126" i="2"/>
  <c r="B155" i="9"/>
  <c r="F145" i="9"/>
  <c r="B139" i="9"/>
  <c r="F126" i="9"/>
  <c r="H155" i="6"/>
  <c r="L346" i="4"/>
  <c r="I348" i="4"/>
  <c r="I364" i="4" s="1"/>
  <c r="L350" i="8"/>
  <c r="M350" i="8" s="1"/>
  <c r="J362" i="8"/>
  <c r="L375" i="2"/>
  <c r="I380" i="2"/>
  <c r="I397" i="2" s="1"/>
  <c r="H392" i="4"/>
  <c r="D392" i="4"/>
  <c r="L419" i="3"/>
  <c r="J430" i="3"/>
  <c r="L429" i="7"/>
  <c r="L409" i="8"/>
  <c r="M409" i="8" s="1"/>
  <c r="L454" i="2"/>
  <c r="J457" i="2"/>
  <c r="K538" i="3"/>
  <c r="L536" i="3"/>
  <c r="L538" i="3" s="1"/>
  <c r="H544" i="3"/>
  <c r="D544" i="3"/>
  <c r="F551" i="3"/>
  <c r="D476" i="3"/>
  <c r="H476" i="3"/>
  <c r="F481" i="3"/>
  <c r="D467" i="5"/>
  <c r="H467" i="5"/>
  <c r="D493" i="6"/>
  <c r="F500" i="6"/>
  <c r="H493" i="6"/>
  <c r="H500" i="6" s="1"/>
  <c r="J482" i="7"/>
  <c r="L480" i="7"/>
  <c r="D535" i="9"/>
  <c r="H535" i="9"/>
  <c r="H539" i="9" s="1"/>
  <c r="M535" i="9"/>
  <c r="F539" i="9"/>
  <c r="F553" i="9" s="1"/>
  <c r="B500" i="7"/>
  <c r="H252" i="9"/>
  <c r="F260" i="9"/>
  <c r="F284" i="9" s="1"/>
  <c r="D252" i="9"/>
  <c r="D260" i="9" s="1"/>
  <c r="K336" i="2"/>
  <c r="K343" i="2" s="1"/>
  <c r="F336" i="2"/>
  <c r="B343" i="2"/>
  <c r="J336" i="2"/>
  <c r="K397" i="2"/>
  <c r="H391" i="9"/>
  <c r="D391" i="9"/>
  <c r="L410" i="3"/>
  <c r="H438" i="4"/>
  <c r="D438" i="4"/>
  <c r="L496" i="2"/>
  <c r="M496" i="2" s="1"/>
  <c r="I500" i="2"/>
  <c r="I523" i="2" s="1"/>
  <c r="D473" i="8"/>
  <c r="H473" i="8"/>
  <c r="H480" i="8"/>
  <c r="D480" i="8"/>
  <c r="D509" i="9"/>
  <c r="H509" i="9"/>
  <c r="J482" i="9"/>
  <c r="L478" i="9"/>
  <c r="I482" i="9"/>
  <c r="H462" i="8"/>
  <c r="D462" i="8"/>
  <c r="F474" i="8"/>
  <c r="K521" i="1"/>
  <c r="J521" i="1"/>
  <c r="F521" i="1"/>
  <c r="F594" i="1"/>
  <c r="B599" i="1"/>
  <c r="K594" i="1"/>
  <c r="M566" i="9"/>
  <c r="L627" i="1"/>
  <c r="M627" i="1" s="1"/>
  <c r="J522" i="9"/>
  <c r="L517" i="9"/>
  <c r="L522" i="9" s="1"/>
  <c r="F465" i="9"/>
  <c r="K465" i="9"/>
  <c r="K474" i="9" s="1"/>
  <c r="B519" i="1"/>
  <c r="B474" i="9"/>
  <c r="B483" i="9" s="1"/>
  <c r="J465" i="9"/>
  <c r="M416" i="2"/>
  <c r="L417" i="2"/>
  <c r="F474" i="7"/>
  <c r="D462" i="7"/>
  <c r="H462" i="7"/>
  <c r="J303" i="5"/>
  <c r="L294" i="5"/>
  <c r="L469" i="9"/>
  <c r="M469" i="9" s="1"/>
  <c r="L177" i="3"/>
  <c r="H239" i="8"/>
  <c r="L309" i="9"/>
  <c r="K474" i="6"/>
  <c r="L466" i="6"/>
  <c r="M269" i="7"/>
  <c r="F178" i="6"/>
  <c r="F195" i="6" s="1"/>
  <c r="J457" i="8"/>
  <c r="J483" i="8" s="1"/>
  <c r="D205" i="1"/>
  <c r="M168" i="6"/>
  <c r="I178" i="8"/>
  <c r="I195" i="8" s="1"/>
  <c r="L167" i="8"/>
  <c r="L186" i="1" s="1"/>
  <c r="H477" i="3"/>
  <c r="D477" i="3"/>
  <c r="K232" i="1"/>
  <c r="F232" i="1"/>
  <c r="J232" i="1"/>
  <c r="D252" i="4"/>
  <c r="D262" i="4" s="1"/>
  <c r="H252" i="4"/>
  <c r="F262" i="4"/>
  <c r="F286" i="4" s="1"/>
  <c r="F282" i="3"/>
  <c r="H268" i="3"/>
  <c r="D268" i="3"/>
  <c r="D262" i="3"/>
  <c r="D263" i="3" s="1"/>
  <c r="H262" i="3"/>
  <c r="H263" i="3" s="1"/>
  <c r="M272" i="2"/>
  <c r="F262" i="2"/>
  <c r="I262" i="2"/>
  <c r="J262" i="2"/>
  <c r="J264" i="2" s="1"/>
  <c r="B264" i="2"/>
  <c r="K262" i="2"/>
  <c r="K264" i="2" s="1"/>
  <c r="B291" i="1"/>
  <c r="H310" i="6"/>
  <c r="D310" i="6"/>
  <c r="F325" i="6"/>
  <c r="H324" i="5"/>
  <c r="D324" i="5"/>
  <c r="M311" i="3"/>
  <c r="L318" i="3"/>
  <c r="L312" i="2"/>
  <c r="J325" i="2"/>
  <c r="D318" i="8"/>
  <c r="H318" i="8"/>
  <c r="F325" i="8"/>
  <c r="H296" i="6"/>
  <c r="D296" i="6"/>
  <c r="L312" i="9"/>
  <c r="M312" i="9" s="1"/>
  <c r="L348" i="3"/>
  <c r="L357" i="3"/>
  <c r="K336" i="8"/>
  <c r="K343" i="8" s="1"/>
  <c r="F336" i="8"/>
  <c r="J336" i="8"/>
  <c r="B343" i="8"/>
  <c r="L386" i="2"/>
  <c r="J396" i="2"/>
  <c r="D385" i="3"/>
  <c r="H385" i="3"/>
  <c r="F420" i="1"/>
  <c r="K420" i="1"/>
  <c r="J420" i="1"/>
  <c r="D374" i="7"/>
  <c r="F380" i="7"/>
  <c r="H374" i="7"/>
  <c r="I380" i="8"/>
  <c r="I397" i="8" s="1"/>
  <c r="L375" i="8"/>
  <c r="F373" i="8"/>
  <c r="J373" i="8"/>
  <c r="K373" i="8"/>
  <c r="K380" i="8" s="1"/>
  <c r="B380" i="8"/>
  <c r="B397" i="8" s="1"/>
  <c r="K413" i="3"/>
  <c r="F414" i="4"/>
  <c r="H407" i="4"/>
  <c r="D407" i="4"/>
  <c r="D414" i="4" s="1"/>
  <c r="J486" i="1"/>
  <c r="F486" i="1"/>
  <c r="K486" i="1"/>
  <c r="L423" i="7"/>
  <c r="J431" i="7"/>
  <c r="J440" i="7" s="1"/>
  <c r="L421" i="9"/>
  <c r="M421" i="9" s="1"/>
  <c r="D549" i="2"/>
  <c r="D552" i="2" s="1"/>
  <c r="H549" i="2"/>
  <c r="H552" i="2" s="1"/>
  <c r="F552" i="2"/>
  <c r="L449" i="3"/>
  <c r="J456" i="3"/>
  <c r="L494" i="4"/>
  <c r="J500" i="4"/>
  <c r="J579" i="1"/>
  <c r="F579" i="1"/>
  <c r="K579" i="1"/>
  <c r="F534" i="1"/>
  <c r="K534" i="1"/>
  <c r="J534" i="1"/>
  <c r="D549" i="6"/>
  <c r="D552" i="6" s="1"/>
  <c r="H549" i="6"/>
  <c r="B483" i="6"/>
  <c r="L549" i="7"/>
  <c r="J552" i="7"/>
  <c r="J553" i="7" s="1"/>
  <c r="F520" i="1"/>
  <c r="K520" i="1"/>
  <c r="J520" i="1"/>
  <c r="J565" i="1"/>
  <c r="F565" i="1"/>
  <c r="K565" i="1"/>
  <c r="H517" i="8"/>
  <c r="D517" i="8"/>
  <c r="F522" i="8"/>
  <c r="D600" i="3"/>
  <c r="M312" i="8"/>
  <c r="M262" i="9"/>
  <c r="L264" i="9"/>
  <c r="F500" i="4"/>
  <c r="K303" i="6"/>
  <c r="K326" i="6" s="1"/>
  <c r="I186" i="1"/>
  <c r="L477" i="3"/>
  <c r="J481" i="3"/>
  <c r="H579" i="9"/>
  <c r="D507" i="9"/>
  <c r="H507" i="9"/>
  <c r="D626" i="9"/>
  <c r="F324" i="3"/>
  <c r="F325" i="3" s="1"/>
  <c r="M167" i="7"/>
  <c r="L178" i="7"/>
  <c r="B500" i="9"/>
  <c r="L697" i="1"/>
  <c r="H295" i="6"/>
  <c r="F303" i="6"/>
  <c r="D295" i="6"/>
  <c r="L464" i="8"/>
  <c r="M464" i="8" s="1"/>
  <c r="F305" i="7"/>
  <c r="B307" i="7"/>
  <c r="K305" i="7"/>
  <c r="K307" i="7" s="1"/>
  <c r="I305" i="7"/>
  <c r="J305" i="7"/>
  <c r="J307" i="7" s="1"/>
  <c r="B340" i="1"/>
  <c r="M345" i="2"/>
  <c r="D345" i="9"/>
  <c r="D347" i="9" s="1"/>
  <c r="H345" i="9"/>
  <c r="H347" i="9" s="1"/>
  <c r="F347" i="9"/>
  <c r="D341" i="4"/>
  <c r="H341" i="4"/>
  <c r="D357" i="5"/>
  <c r="H357" i="5"/>
  <c r="L350" i="6"/>
  <c r="J362" i="6"/>
  <c r="J363" i="6" s="1"/>
  <c r="B423" i="1"/>
  <c r="H388" i="2"/>
  <c r="D388" i="2"/>
  <c r="L388" i="4"/>
  <c r="J396" i="4"/>
  <c r="F431" i="1"/>
  <c r="K431" i="1"/>
  <c r="J431" i="1"/>
  <c r="L386" i="5"/>
  <c r="K380" i="6"/>
  <c r="H411" i="2"/>
  <c r="D411" i="2"/>
  <c r="J414" i="2"/>
  <c r="L408" i="2"/>
  <c r="H409" i="3"/>
  <c r="D409" i="3"/>
  <c r="K477" i="1"/>
  <c r="J477" i="1"/>
  <c r="F477" i="1"/>
  <c r="K458" i="1"/>
  <c r="F458" i="1"/>
  <c r="I458" i="1"/>
  <c r="J458" i="1"/>
  <c r="D436" i="5"/>
  <c r="H436" i="5"/>
  <c r="M475" i="1"/>
  <c r="H475" i="1"/>
  <c r="D475" i="1"/>
  <c r="J485" i="1"/>
  <c r="F485" i="1"/>
  <c r="K485" i="1"/>
  <c r="L424" i="6"/>
  <c r="J483" i="1"/>
  <c r="F483" i="1"/>
  <c r="K483" i="1"/>
  <c r="D427" i="7"/>
  <c r="H427" i="7"/>
  <c r="H427" i="8"/>
  <c r="D427" i="8"/>
  <c r="H410" i="8"/>
  <c r="D410" i="8"/>
  <c r="H424" i="9"/>
  <c r="D424" i="9"/>
  <c r="H546" i="3"/>
  <c r="D546" i="3"/>
  <c r="J518" i="3"/>
  <c r="B521" i="3"/>
  <c r="K518" i="3"/>
  <c r="K521" i="3" s="1"/>
  <c r="F518" i="3"/>
  <c r="B578" i="1"/>
  <c r="F605" i="1"/>
  <c r="B612" i="1"/>
  <c r="D608" i="1"/>
  <c r="H608" i="1"/>
  <c r="L517" i="4"/>
  <c r="J522" i="4"/>
  <c r="F522" i="1"/>
  <c r="K522" i="1"/>
  <c r="J522" i="1"/>
  <c r="L492" i="5"/>
  <c r="M492" i="5" s="1"/>
  <c r="I496" i="5"/>
  <c r="I519" i="5" s="1"/>
  <c r="F552" i="6"/>
  <c r="K515" i="6"/>
  <c r="J474" i="6"/>
  <c r="K533" i="1"/>
  <c r="F533" i="1"/>
  <c r="J533" i="1"/>
  <c r="K495" i="8"/>
  <c r="K500" i="8" s="1"/>
  <c r="F495" i="8"/>
  <c r="I495" i="8"/>
  <c r="B500" i="8"/>
  <c r="B523" i="8" s="1"/>
  <c r="J495" i="8"/>
  <c r="J500" i="8" s="1"/>
  <c r="B554" i="1"/>
  <c r="D388" i="8"/>
  <c r="H388" i="8"/>
  <c r="F396" i="8"/>
  <c r="D239" i="9"/>
  <c r="D240" i="9" s="1"/>
  <c r="K552" i="9"/>
  <c r="J249" i="1"/>
  <c r="F249" i="1"/>
  <c r="K249" i="1"/>
  <c r="L229" i="5"/>
  <c r="M229" i="5" s="1"/>
  <c r="I265" i="4"/>
  <c r="B266" i="4"/>
  <c r="B286" i="4" s="1"/>
  <c r="J265" i="4"/>
  <c r="J266" i="4" s="1"/>
  <c r="J286" i="4" s="1"/>
  <c r="K265" i="4"/>
  <c r="K266" i="4" s="1"/>
  <c r="K286" i="4" s="1"/>
  <c r="F265" i="4"/>
  <c r="F351" i="1"/>
  <c r="K351" i="1"/>
  <c r="J351" i="1"/>
  <c r="D315" i="5"/>
  <c r="H315" i="5"/>
  <c r="M496" i="4"/>
  <c r="J237" i="8"/>
  <c r="J239" i="8" s="1"/>
  <c r="J552" i="8"/>
  <c r="J553" i="8" s="1"/>
  <c r="M264" i="4"/>
  <c r="F431" i="6"/>
  <c r="M529" i="5"/>
  <c r="F552" i="8"/>
  <c r="F553" i="8" s="1"/>
  <c r="J532" i="1"/>
  <c r="B536" i="1"/>
  <c r="K532" i="1"/>
  <c r="F532" i="1"/>
  <c r="F380" i="3"/>
  <c r="F263" i="3"/>
  <c r="F328" i="4"/>
  <c r="L260" i="6"/>
  <c r="M194" i="4"/>
  <c r="L195" i="4"/>
  <c r="L196" i="4" s="1"/>
  <c r="F283" i="2"/>
  <c r="F396" i="4"/>
  <c r="F397" i="4" s="1"/>
  <c r="B284" i="6"/>
  <c r="L450" i="9"/>
  <c r="J457" i="9"/>
  <c r="J327" i="4"/>
  <c r="I307" i="2"/>
  <c r="I326" i="2" s="1"/>
  <c r="L222" i="2"/>
  <c r="M644" i="1"/>
  <c r="K296" i="1"/>
  <c r="J296" i="1"/>
  <c r="F296" i="1"/>
  <c r="D71" i="2"/>
  <c r="H71" i="2"/>
  <c r="L71" i="2"/>
  <c r="M71" i="2" s="1"/>
  <c r="L69" i="2"/>
  <c r="M69" i="2" s="1"/>
  <c r="D69" i="2"/>
  <c r="H69" i="2"/>
  <c r="D68" i="2"/>
  <c r="D67" i="2"/>
  <c r="H67" i="2"/>
  <c r="B76" i="2"/>
  <c r="J75" i="2"/>
  <c r="L66" i="2"/>
  <c r="M66" i="2" s="1"/>
  <c r="H70" i="1"/>
  <c r="D65" i="2"/>
  <c r="K75" i="2"/>
  <c r="F70" i="1"/>
  <c r="D64" i="2"/>
  <c r="H64" i="2"/>
  <c r="F75" i="2"/>
  <c r="L63" i="2"/>
  <c r="M63" i="2" s="1"/>
  <c r="H63" i="2"/>
  <c r="H72" i="3"/>
  <c r="D72" i="3"/>
  <c r="F77" i="1"/>
  <c r="F74" i="1"/>
  <c r="H69" i="3"/>
  <c r="D69" i="3"/>
  <c r="L69" i="3"/>
  <c r="M69" i="3" s="1"/>
  <c r="J73" i="1"/>
  <c r="H68" i="3"/>
  <c r="F73" i="1"/>
  <c r="D68" i="3"/>
  <c r="K72" i="1"/>
  <c r="D67" i="3"/>
  <c r="H67" i="3"/>
  <c r="F72" i="1"/>
  <c r="F71" i="1"/>
  <c r="D66" i="3"/>
  <c r="H66" i="3"/>
  <c r="K69" i="1"/>
  <c r="F69" i="1"/>
  <c r="H64" i="3"/>
  <c r="D64" i="3"/>
  <c r="H63" i="3"/>
  <c r="F68" i="1"/>
  <c r="F67" i="1"/>
  <c r="D62" i="3"/>
  <c r="H62" i="3"/>
  <c r="K75" i="3"/>
  <c r="L61" i="3"/>
  <c r="M61" i="3" s="1"/>
  <c r="B76" i="3"/>
  <c r="F75" i="3"/>
  <c r="F66" i="1"/>
  <c r="D61" i="3"/>
  <c r="H61" i="3"/>
  <c r="L71" i="4"/>
  <c r="M71" i="4" s="1"/>
  <c r="L69" i="4"/>
  <c r="M69" i="4" s="1"/>
  <c r="K73" i="1"/>
  <c r="L67" i="4"/>
  <c r="M67" i="4" s="1"/>
  <c r="J75" i="4"/>
  <c r="B76" i="4"/>
  <c r="K75" i="4"/>
  <c r="L72" i="6"/>
  <c r="M72" i="6" s="1"/>
  <c r="J72" i="1"/>
  <c r="L67" i="6"/>
  <c r="M67" i="6" s="1"/>
  <c r="L66" i="6"/>
  <c r="M66" i="6" s="1"/>
  <c r="L65" i="6"/>
  <c r="M65" i="6" s="1"/>
  <c r="J75" i="6"/>
  <c r="L61" i="6"/>
  <c r="M61" i="6" s="1"/>
  <c r="L62" i="6"/>
  <c r="M62" i="6" s="1"/>
  <c r="K75" i="6"/>
  <c r="B76" i="7"/>
  <c r="L71" i="7"/>
  <c r="M71" i="7" s="1"/>
  <c r="J75" i="1"/>
  <c r="L67" i="7"/>
  <c r="M67" i="7" s="1"/>
  <c r="J70" i="1"/>
  <c r="L65" i="7"/>
  <c r="M65" i="7" s="1"/>
  <c r="L64" i="7"/>
  <c r="M64" i="7" s="1"/>
  <c r="L61" i="7"/>
  <c r="M61" i="7" s="1"/>
  <c r="L58" i="9"/>
  <c r="M58" i="9" s="1"/>
  <c r="K63" i="1"/>
  <c r="L58" i="8"/>
  <c r="M58" i="8" s="1"/>
  <c r="L58" i="7"/>
  <c r="M58" i="7" s="1"/>
  <c r="L58" i="6"/>
  <c r="M58" i="6" s="1"/>
  <c r="J63" i="1"/>
  <c r="J59" i="5"/>
  <c r="L58" i="5"/>
  <c r="M58" i="5" s="1"/>
  <c r="L58" i="2"/>
  <c r="M58" i="2" s="1"/>
  <c r="J59" i="2"/>
  <c r="H58" i="2"/>
  <c r="D58" i="2"/>
  <c r="J76" i="1"/>
  <c r="L71" i="8"/>
  <c r="M71" i="8" s="1"/>
  <c r="L69" i="8"/>
  <c r="M69" i="8" s="1"/>
  <c r="L68" i="8"/>
  <c r="M68" i="8" s="1"/>
  <c r="J71" i="1"/>
  <c r="J75" i="8"/>
  <c r="L66" i="8"/>
  <c r="M66" i="8" s="1"/>
  <c r="B76" i="8"/>
  <c r="K75" i="8"/>
  <c r="L63" i="8"/>
  <c r="M63" i="8" s="1"/>
  <c r="K76" i="1"/>
  <c r="L71" i="9"/>
  <c r="M71" i="9" s="1"/>
  <c r="K75" i="1"/>
  <c r="L68" i="9"/>
  <c r="M68" i="9" s="1"/>
  <c r="L66" i="9"/>
  <c r="M66" i="9" s="1"/>
  <c r="K71" i="1"/>
  <c r="K75" i="9"/>
  <c r="L64" i="9"/>
  <c r="M64" i="9" s="1"/>
  <c r="B76" i="9"/>
  <c r="K74" i="1"/>
  <c r="L69" i="5"/>
  <c r="M69" i="5" s="1"/>
  <c r="B76" i="5"/>
  <c r="K70" i="1"/>
  <c r="L65" i="5"/>
  <c r="M65" i="5" s="1"/>
  <c r="L64" i="5"/>
  <c r="M64" i="5" s="1"/>
  <c r="L63" i="5"/>
  <c r="M63" i="5" s="1"/>
  <c r="K68" i="1"/>
  <c r="L62" i="5"/>
  <c r="M62" i="5" s="1"/>
  <c r="K67" i="1"/>
  <c r="L61" i="5"/>
  <c r="M61" i="5" s="1"/>
  <c r="K66" i="1"/>
  <c r="K75" i="5"/>
  <c r="J75" i="5"/>
  <c r="J66" i="1"/>
  <c r="D51" i="2"/>
  <c r="K59" i="2"/>
  <c r="K53" i="1"/>
  <c r="H47" i="2"/>
  <c r="D47" i="2"/>
  <c r="F59" i="2"/>
  <c r="L47" i="2"/>
  <c r="M47" i="2" s="1"/>
  <c r="F56" i="1"/>
  <c r="D51" i="3"/>
  <c r="H51" i="3"/>
  <c r="J59" i="3"/>
  <c r="D48" i="3"/>
  <c r="F53" i="1"/>
  <c r="L47" i="3"/>
  <c r="M47" i="3" s="1"/>
  <c r="F51" i="1"/>
  <c r="F59" i="3"/>
  <c r="D46" i="3"/>
  <c r="H46" i="3"/>
  <c r="L46" i="3"/>
  <c r="M46" i="3" s="1"/>
  <c r="K59" i="3"/>
  <c r="L52" i="4"/>
  <c r="M52" i="4" s="1"/>
  <c r="J59" i="4"/>
  <c r="L46" i="4"/>
  <c r="M46" i="4" s="1"/>
  <c r="K59" i="4"/>
  <c r="L51" i="5"/>
  <c r="M51" i="5" s="1"/>
  <c r="L48" i="5"/>
  <c r="M48" i="5" s="1"/>
  <c r="L46" i="5"/>
  <c r="M46" i="5" s="1"/>
  <c r="K59" i="5"/>
  <c r="J56" i="1"/>
  <c r="J59" i="7"/>
  <c r="L52" i="7"/>
  <c r="M52" i="7" s="1"/>
  <c r="K59" i="7"/>
  <c r="L46" i="7"/>
  <c r="M46" i="7" s="1"/>
  <c r="K57" i="1"/>
  <c r="J55" i="1"/>
  <c r="L49" i="8"/>
  <c r="M49" i="8" s="1"/>
  <c r="L47" i="8"/>
  <c r="M47" i="8" s="1"/>
  <c r="K59" i="8"/>
  <c r="L53" i="9"/>
  <c r="M53" i="9" s="1"/>
  <c r="L51" i="9"/>
  <c r="M51" i="9" s="1"/>
  <c r="K56" i="1"/>
  <c r="K55" i="1"/>
  <c r="L50" i="9"/>
  <c r="M50" i="9" s="1"/>
  <c r="L46" i="9"/>
  <c r="K51" i="1"/>
  <c r="L49" i="9"/>
  <c r="M49" i="9" s="1"/>
  <c r="K54" i="1"/>
  <c r="J52" i="1"/>
  <c r="L47" i="9"/>
  <c r="M47" i="9" s="1"/>
  <c r="K52" i="1"/>
  <c r="I52" i="1"/>
  <c r="I59" i="9"/>
  <c r="I76" i="9" s="1"/>
  <c r="K362" i="2" l="1"/>
  <c r="L347" i="2"/>
  <c r="L307" i="2"/>
  <c r="H325" i="2"/>
  <c r="I363" i="2"/>
  <c r="D115" i="2"/>
  <c r="I561" i="1"/>
  <c r="I562" i="1" s="1"/>
  <c r="F561" i="1"/>
  <c r="L215" i="2"/>
  <c r="L346" i="1"/>
  <c r="M346" i="1" s="1"/>
  <c r="D332" i="1"/>
  <c r="L573" i="1"/>
  <c r="M573" i="1" s="1"/>
  <c r="D303" i="2"/>
  <c r="K440" i="2"/>
  <c r="H482" i="2"/>
  <c r="H178" i="2"/>
  <c r="H195" i="2" s="1"/>
  <c r="J397" i="2"/>
  <c r="K284" i="2"/>
  <c r="M193" i="1"/>
  <c r="K523" i="2"/>
  <c r="H303" i="2"/>
  <c r="H326" i="2" s="1"/>
  <c r="D414" i="2"/>
  <c r="H239" i="2"/>
  <c r="H240" i="2" s="1"/>
  <c r="I439" i="3"/>
  <c r="K197" i="1"/>
  <c r="L380" i="3"/>
  <c r="F439" i="3"/>
  <c r="J283" i="3"/>
  <c r="K362" i="3"/>
  <c r="K482" i="3"/>
  <c r="D380" i="3"/>
  <c r="F116" i="4"/>
  <c r="H355" i="1"/>
  <c r="L457" i="4"/>
  <c r="H327" i="4"/>
  <c r="H328" i="4" s="1"/>
  <c r="L241" i="4"/>
  <c r="L414" i="4"/>
  <c r="L542" i="4"/>
  <c r="H414" i="4"/>
  <c r="H439" i="4"/>
  <c r="D141" i="1"/>
  <c r="H100" i="1"/>
  <c r="I397" i="4"/>
  <c r="K440" i="4"/>
  <c r="J364" i="4"/>
  <c r="D482" i="4"/>
  <c r="K483" i="4"/>
  <c r="H363" i="4"/>
  <c r="H457" i="4"/>
  <c r="H241" i="4"/>
  <c r="L503" i="4"/>
  <c r="H195" i="5"/>
  <c r="L687" i="1"/>
  <c r="L298" i="1"/>
  <c r="M298" i="1" s="1"/>
  <c r="L412" i="5"/>
  <c r="K519" i="5"/>
  <c r="K326" i="5"/>
  <c r="F195" i="5"/>
  <c r="D303" i="5"/>
  <c r="D454" i="5"/>
  <c r="L362" i="5"/>
  <c r="H479" i="5"/>
  <c r="H343" i="5"/>
  <c r="B519" i="5"/>
  <c r="L479" i="1"/>
  <c r="M479" i="1" s="1"/>
  <c r="M332" i="1"/>
  <c r="H343" i="6"/>
  <c r="D99" i="6"/>
  <c r="F553" i="6"/>
  <c r="K397" i="6"/>
  <c r="H239" i="6"/>
  <c r="L474" i="6"/>
  <c r="H283" i="6"/>
  <c r="I215" i="6"/>
  <c r="I240" i="6" s="1"/>
  <c r="L206" i="6"/>
  <c r="K566" i="1"/>
  <c r="D457" i="6"/>
  <c r="L414" i="6"/>
  <c r="L440" i="6" s="1"/>
  <c r="D482" i="1"/>
  <c r="M429" i="1"/>
  <c r="D439" i="6"/>
  <c r="F566" i="1"/>
  <c r="D566" i="1" s="1"/>
  <c r="M502" i="6"/>
  <c r="J240" i="6"/>
  <c r="L349" i="6"/>
  <c r="J483" i="6"/>
  <c r="L431" i="6"/>
  <c r="D283" i="6"/>
  <c r="H215" i="6"/>
  <c r="L341" i="1"/>
  <c r="M341" i="1" s="1"/>
  <c r="H206" i="6"/>
  <c r="D206" i="6"/>
  <c r="D215" i="6" s="1"/>
  <c r="F215" i="6"/>
  <c r="H349" i="6"/>
  <c r="H362" i="6" s="1"/>
  <c r="H363" i="6" s="1"/>
  <c r="D349" i="6"/>
  <c r="F469" i="1"/>
  <c r="K469" i="1"/>
  <c r="L469" i="1" s="1"/>
  <c r="M355" i="1"/>
  <c r="F397" i="7"/>
  <c r="H264" i="7"/>
  <c r="D236" i="1"/>
  <c r="H378" i="1"/>
  <c r="H236" i="1"/>
  <c r="L118" i="1"/>
  <c r="M118" i="1" s="1"/>
  <c r="H396" i="7"/>
  <c r="H397" i="7" s="1"/>
  <c r="H429" i="1"/>
  <c r="H380" i="7"/>
  <c r="D396" i="7"/>
  <c r="F240" i="7"/>
  <c r="K483" i="7"/>
  <c r="J284" i="7"/>
  <c r="H522" i="8"/>
  <c r="D414" i="8"/>
  <c r="D195" i="8"/>
  <c r="L531" i="1"/>
  <c r="M531" i="1" s="1"/>
  <c r="D283" i="8"/>
  <c r="D284" i="8" s="1"/>
  <c r="J523" i="8"/>
  <c r="B440" i="8"/>
  <c r="M541" i="8"/>
  <c r="H195" i="8"/>
  <c r="H348" i="1"/>
  <c r="L231" i="1"/>
  <c r="M231" i="1" s="1"/>
  <c r="M348" i="1"/>
  <c r="L264" i="8"/>
  <c r="D567" i="1"/>
  <c r="L457" i="8"/>
  <c r="D396" i="8"/>
  <c r="D155" i="8"/>
  <c r="J58" i="1"/>
  <c r="M303" i="1"/>
  <c r="F284" i="8"/>
  <c r="D303" i="1"/>
  <c r="J59" i="8"/>
  <c r="J76" i="8" s="1"/>
  <c r="H577" i="1"/>
  <c r="D522" i="8"/>
  <c r="K483" i="8"/>
  <c r="H155" i="8"/>
  <c r="H303" i="8"/>
  <c r="D341" i="1"/>
  <c r="B64" i="1"/>
  <c r="B81" i="1" s="1"/>
  <c r="F687" i="1"/>
  <c r="L215" i="9"/>
  <c r="J110" i="1"/>
  <c r="J124" i="1" s="1"/>
  <c r="M390" i="1"/>
  <c r="I483" i="9"/>
  <c r="D539" i="9"/>
  <c r="D390" i="1"/>
  <c r="H283" i="9"/>
  <c r="H284" i="9" s="1"/>
  <c r="D345" i="1"/>
  <c r="M345" i="1"/>
  <c r="D121" i="1"/>
  <c r="H396" i="9"/>
  <c r="H260" i="9"/>
  <c r="D522" i="9"/>
  <c r="L382" i="8"/>
  <c r="L383" i="8" s="1"/>
  <c r="K383" i="8"/>
  <c r="K397" i="8" s="1"/>
  <c r="K482" i="9"/>
  <c r="K483" i="9" s="1"/>
  <c r="H121" i="1"/>
  <c r="F383" i="8"/>
  <c r="H382" i="8"/>
  <c r="H383" i="8" s="1"/>
  <c r="D382" i="8"/>
  <c r="D383" i="8" s="1"/>
  <c r="L396" i="9"/>
  <c r="H284" i="8"/>
  <c r="B363" i="7"/>
  <c r="F240" i="9"/>
  <c r="L262" i="4"/>
  <c r="L522" i="2"/>
  <c r="D104" i="1"/>
  <c r="D305" i="4"/>
  <c r="D328" i="4" s="1"/>
  <c r="J396" i="5"/>
  <c r="H284" i="6"/>
  <c r="D239" i="7"/>
  <c r="D240" i="7" s="1"/>
  <c r="L283" i="9"/>
  <c r="L284" i="9" s="1"/>
  <c r="L482" i="8"/>
  <c r="H346" i="3"/>
  <c r="H538" i="3"/>
  <c r="L254" i="1"/>
  <c r="M254" i="1" s="1"/>
  <c r="D239" i="6"/>
  <c r="M567" i="1"/>
  <c r="I511" i="1"/>
  <c r="H396" i="4"/>
  <c r="H397" i="4" s="1"/>
  <c r="B156" i="7"/>
  <c r="K283" i="3"/>
  <c r="D431" i="6"/>
  <c r="D440" i="6" s="1"/>
  <c r="D414" i="9"/>
  <c r="D649" i="1"/>
  <c r="D661" i="1" s="1"/>
  <c r="K115" i="3"/>
  <c r="H482" i="7"/>
  <c r="H283" i="7"/>
  <c r="H284" i="7" s="1"/>
  <c r="F523" i="4"/>
  <c r="L121" i="1"/>
  <c r="M121" i="1" s="1"/>
  <c r="H430" i="3"/>
  <c r="H59" i="6"/>
  <c r="H439" i="8"/>
  <c r="D482" i="7"/>
  <c r="D283" i="7"/>
  <c r="D284" i="7" s="1"/>
  <c r="L429" i="5"/>
  <c r="H303" i="5"/>
  <c r="M518" i="1"/>
  <c r="F499" i="5"/>
  <c r="D498" i="5"/>
  <c r="D499" i="5" s="1"/>
  <c r="H498" i="5"/>
  <c r="H499" i="5" s="1"/>
  <c r="I503" i="7"/>
  <c r="I523" i="7" s="1"/>
  <c r="L502" i="7"/>
  <c r="L503" i="7" s="1"/>
  <c r="L325" i="8"/>
  <c r="J483" i="2"/>
  <c r="K99" i="9"/>
  <c r="L578" i="3"/>
  <c r="J240" i="7"/>
  <c r="H75" i="4"/>
  <c r="D429" i="5"/>
  <c r="H473" i="3"/>
  <c r="L307" i="9"/>
  <c r="H59" i="4"/>
  <c r="H76" i="4" s="1"/>
  <c r="D194" i="9"/>
  <c r="D195" i="9" s="1"/>
  <c r="D284" i="6"/>
  <c r="F503" i="7"/>
  <c r="D502" i="7"/>
  <c r="D503" i="7" s="1"/>
  <c r="H502" i="7"/>
  <c r="H503" i="7" s="1"/>
  <c r="D479" i="5"/>
  <c r="H239" i="9"/>
  <c r="H240" i="9" s="1"/>
  <c r="J284" i="9"/>
  <c r="D194" i="5"/>
  <c r="D195" i="5" s="1"/>
  <c r="H305" i="4"/>
  <c r="K397" i="4"/>
  <c r="H477" i="9"/>
  <c r="H482" i="9" s="1"/>
  <c r="D477" i="9"/>
  <c r="D482" i="9" s="1"/>
  <c r="K548" i="5"/>
  <c r="F553" i="4"/>
  <c r="F553" i="7"/>
  <c r="H552" i="6"/>
  <c r="D553" i="6"/>
  <c r="D53" i="8"/>
  <c r="D58" i="1" s="1"/>
  <c r="H53" i="8"/>
  <c r="H58" i="1" s="1"/>
  <c r="M53" i="8"/>
  <c r="F58" i="1"/>
  <c r="F64" i="1" s="1"/>
  <c r="M577" i="1"/>
  <c r="D500" i="2"/>
  <c r="M502" i="2"/>
  <c r="L503" i="2"/>
  <c r="H414" i="2"/>
  <c r="D553" i="2"/>
  <c r="H283" i="2"/>
  <c r="L195" i="2"/>
  <c r="L482" i="2"/>
  <c r="H439" i="2"/>
  <c r="H500" i="2"/>
  <c r="D325" i="2"/>
  <c r="H75" i="8"/>
  <c r="J284" i="2"/>
  <c r="L506" i="1"/>
  <c r="M506" i="1" s="1"/>
  <c r="J440" i="2"/>
  <c r="K363" i="2"/>
  <c r="M282" i="1"/>
  <c r="M568" i="1"/>
  <c r="F156" i="2"/>
  <c r="D474" i="2"/>
  <c r="D483" i="2" s="1"/>
  <c r="D283" i="2"/>
  <c r="H568" i="1"/>
  <c r="L468" i="1"/>
  <c r="L539" i="2"/>
  <c r="L553" i="2" s="1"/>
  <c r="J116" i="2"/>
  <c r="D239" i="2"/>
  <c r="D240" i="2" s="1"/>
  <c r="K553" i="2"/>
  <c r="H596" i="1"/>
  <c r="L553" i="1"/>
  <c r="M553" i="1" s="1"/>
  <c r="D522" i="2"/>
  <c r="M109" i="3"/>
  <c r="L119" i="1"/>
  <c r="M119" i="1" s="1"/>
  <c r="D438" i="3"/>
  <c r="B155" i="3"/>
  <c r="D282" i="3"/>
  <c r="H518" i="1"/>
  <c r="H231" i="1"/>
  <c r="D430" i="3"/>
  <c r="I613" i="1"/>
  <c r="L522" i="4"/>
  <c r="L396" i="4"/>
  <c r="H140" i="4"/>
  <c r="H437" i="1"/>
  <c r="K386" i="1"/>
  <c r="F155" i="1"/>
  <c r="M155" i="1" s="1"/>
  <c r="D75" i="4"/>
  <c r="H522" i="4"/>
  <c r="H515" i="4"/>
  <c r="L305" i="4"/>
  <c r="L516" i="1"/>
  <c r="H141" i="1"/>
  <c r="J328" i="4"/>
  <c r="H262" i="4"/>
  <c r="D439" i="4"/>
  <c r="H482" i="4"/>
  <c r="L482" i="4"/>
  <c r="D100" i="1"/>
  <c r="J116" i="4"/>
  <c r="D363" i="4"/>
  <c r="L327" i="4"/>
  <c r="B153" i="1"/>
  <c r="D515" i="4"/>
  <c r="D523" i="4" s="1"/>
  <c r="H359" i="1"/>
  <c r="H429" i="5"/>
  <c r="D506" i="1"/>
  <c r="D75" i="5"/>
  <c r="M527" i="1"/>
  <c r="L280" i="1"/>
  <c r="M280" i="1" s="1"/>
  <c r="H206" i="1"/>
  <c r="B214" i="1"/>
  <c r="B221" i="1" s="1"/>
  <c r="D507" i="1"/>
  <c r="L534" i="5"/>
  <c r="F661" i="1"/>
  <c r="H104" i="1"/>
  <c r="L576" i="1"/>
  <c r="M338" i="5"/>
  <c r="L343" i="5"/>
  <c r="H76" i="1"/>
  <c r="H75" i="5"/>
  <c r="H97" i="1"/>
  <c r="D359" i="1"/>
  <c r="H527" i="1"/>
  <c r="H474" i="6"/>
  <c r="H75" i="6"/>
  <c r="L430" i="1"/>
  <c r="M430" i="1" s="1"/>
  <c r="H640" i="1"/>
  <c r="M225" i="6"/>
  <c r="L239" i="6"/>
  <c r="D325" i="6"/>
  <c r="H303" i="6"/>
  <c r="D500" i="6"/>
  <c r="D523" i="6" s="1"/>
  <c r="H118" i="1"/>
  <c r="H482" i="6"/>
  <c r="D474" i="6"/>
  <c r="J116" i="6"/>
  <c r="H432" i="1"/>
  <c r="M388" i="1"/>
  <c r="H240" i="6"/>
  <c r="H52" i="1"/>
  <c r="F326" i="6"/>
  <c r="F116" i="6"/>
  <c r="D118" i="1"/>
  <c r="D482" i="6"/>
  <c r="D59" i="6"/>
  <c r="L471" i="1"/>
  <c r="M471" i="1" s="1"/>
  <c r="M416" i="6"/>
  <c r="L417" i="6"/>
  <c r="D280" i="1"/>
  <c r="H280" i="1"/>
  <c r="M519" i="6"/>
  <c r="L522" i="6"/>
  <c r="D439" i="7"/>
  <c r="D380" i="7"/>
  <c r="D397" i="7" s="1"/>
  <c r="F440" i="7"/>
  <c r="H99" i="7"/>
  <c r="M245" i="1"/>
  <c r="K553" i="7"/>
  <c r="L507" i="1"/>
  <c r="M507" i="1" s="1"/>
  <c r="D388" i="1"/>
  <c r="H388" i="1"/>
  <c r="B523" i="7"/>
  <c r="D168" i="1"/>
  <c r="K75" i="7"/>
  <c r="K76" i="7" s="1"/>
  <c r="I197" i="1"/>
  <c r="I214" i="1" s="1"/>
  <c r="I221" i="1" s="1"/>
  <c r="L396" i="7"/>
  <c r="H239" i="7"/>
  <c r="D708" i="1"/>
  <c r="L515" i="7"/>
  <c r="K116" i="7"/>
  <c r="L260" i="7"/>
  <c r="M250" i="7"/>
  <c r="H649" i="1"/>
  <c r="H661" i="1" s="1"/>
  <c r="D347" i="7"/>
  <c r="M508" i="1"/>
  <c r="H508" i="1"/>
  <c r="H474" i="7"/>
  <c r="F140" i="1"/>
  <c r="M140" i="1" s="1"/>
  <c r="D107" i="1"/>
  <c r="H457" i="7"/>
  <c r="D245" i="1"/>
  <c r="D68" i="1"/>
  <c r="H195" i="7"/>
  <c r="H115" i="7"/>
  <c r="J397" i="7"/>
  <c r="L283" i="7"/>
  <c r="D474" i="7"/>
  <c r="D552" i="7"/>
  <c r="H168" i="1"/>
  <c r="D194" i="7"/>
  <c r="D195" i="7" s="1"/>
  <c r="H107" i="1"/>
  <c r="D457" i="7"/>
  <c r="L353" i="1"/>
  <c r="M353" i="1" s="1"/>
  <c r="L194" i="7"/>
  <c r="L195" i="7" s="1"/>
  <c r="M193" i="7"/>
  <c r="M306" i="8"/>
  <c r="L307" i="8"/>
  <c r="H325" i="8"/>
  <c r="H326" i="8" s="1"/>
  <c r="M296" i="8"/>
  <c r="L303" i="8"/>
  <c r="H71" i="1"/>
  <c r="B363" i="8"/>
  <c r="D325" i="8"/>
  <c r="D326" i="8" s="1"/>
  <c r="F708" i="1"/>
  <c r="H687" i="1"/>
  <c r="H199" i="1"/>
  <c r="L515" i="8"/>
  <c r="D75" i="8"/>
  <c r="D306" i="1"/>
  <c r="M306" i="1"/>
  <c r="M251" i="8"/>
  <c r="L260" i="8"/>
  <c r="L284" i="8" s="1"/>
  <c r="D96" i="1"/>
  <c r="H515" i="8"/>
  <c r="J197" i="1"/>
  <c r="D640" i="1"/>
  <c r="D439" i="8"/>
  <c r="H396" i="8"/>
  <c r="H474" i="8"/>
  <c r="H54" i="1"/>
  <c r="H77" i="1"/>
  <c r="J116" i="8"/>
  <c r="M596" i="1"/>
  <c r="K440" i="8"/>
  <c r="H156" i="8"/>
  <c r="L344" i="1"/>
  <c r="M344" i="1" s="1"/>
  <c r="L307" i="1"/>
  <c r="M307" i="1" s="1"/>
  <c r="D52" i="1"/>
  <c r="K62" i="1"/>
  <c r="K64" i="1" s="1"/>
  <c r="D71" i="1"/>
  <c r="D76" i="1"/>
  <c r="H63" i="1"/>
  <c r="D67" i="1"/>
  <c r="D54" i="1"/>
  <c r="H344" i="1"/>
  <c r="D344" i="1"/>
  <c r="H67" i="1"/>
  <c r="H96" i="1"/>
  <c r="L414" i="9"/>
  <c r="D111" i="1"/>
  <c r="H282" i="1"/>
  <c r="H552" i="9"/>
  <c r="H553" i="9" s="1"/>
  <c r="H194" i="9"/>
  <c r="H195" i="9" s="1"/>
  <c r="D353" i="1"/>
  <c r="H353" i="1"/>
  <c r="H304" i="1"/>
  <c r="D304" i="1"/>
  <c r="D312" i="1"/>
  <c r="H312" i="1"/>
  <c r="D190" i="1"/>
  <c r="H362" i="9"/>
  <c r="H115" i="1"/>
  <c r="B401" i="1"/>
  <c r="D77" i="1"/>
  <c r="L520" i="1"/>
  <c r="M520" i="1" s="1"/>
  <c r="L534" i="1"/>
  <c r="M534" i="1" s="1"/>
  <c r="D362" i="9"/>
  <c r="J116" i="9"/>
  <c r="J386" i="1"/>
  <c r="H708" i="1"/>
  <c r="L429" i="9"/>
  <c r="L257" i="1"/>
  <c r="M257" i="1" s="1"/>
  <c r="L604" i="1"/>
  <c r="M604" i="1" s="1"/>
  <c r="L57" i="9"/>
  <c r="M57" i="9" s="1"/>
  <c r="L304" i="1"/>
  <c r="M304" i="1" s="1"/>
  <c r="D471" i="1"/>
  <c r="H471" i="1"/>
  <c r="M312" i="1"/>
  <c r="F364" i="4"/>
  <c r="K440" i="6"/>
  <c r="D102" i="1"/>
  <c r="H115" i="8"/>
  <c r="D194" i="6"/>
  <c r="D195" i="6" s="1"/>
  <c r="L395" i="5"/>
  <c r="K523" i="7"/>
  <c r="H414" i="8"/>
  <c r="D471" i="5"/>
  <c r="D480" i="5" s="1"/>
  <c r="L363" i="5"/>
  <c r="H114" i="3"/>
  <c r="J115" i="3"/>
  <c r="D59" i="4"/>
  <c r="D59" i="5"/>
  <c r="M100" i="3"/>
  <c r="L114" i="3"/>
  <c r="M46" i="9"/>
  <c r="L51" i="1"/>
  <c r="H99" i="5"/>
  <c r="D117" i="1"/>
  <c r="K116" i="8"/>
  <c r="D396" i="2"/>
  <c r="D397" i="2" s="1"/>
  <c r="K326" i="7"/>
  <c r="L317" i="5"/>
  <c r="M317" i="5" s="1"/>
  <c r="D123" i="1"/>
  <c r="D115" i="8"/>
  <c r="D396" i="9"/>
  <c r="H113" i="1"/>
  <c r="H99" i="8"/>
  <c r="F326" i="9"/>
  <c r="M128" i="7"/>
  <c r="L139" i="7"/>
  <c r="D59" i="7"/>
  <c r="F115" i="3"/>
  <c r="H59" i="5"/>
  <c r="H76" i="5" s="1"/>
  <c r="L296" i="1"/>
  <c r="M296" i="1" s="1"/>
  <c r="L477" i="1"/>
  <c r="M477" i="1" s="1"/>
  <c r="L420" i="1"/>
  <c r="M420" i="1" s="1"/>
  <c r="H116" i="1"/>
  <c r="D115" i="1"/>
  <c r="L115" i="2"/>
  <c r="L250" i="1"/>
  <c r="M250" i="1" s="1"/>
  <c r="K363" i="7"/>
  <c r="B440" i="1"/>
  <c r="J397" i="4"/>
  <c r="B523" i="9"/>
  <c r="M61" i="1"/>
  <c r="D99" i="7"/>
  <c r="H325" i="9"/>
  <c r="H326" i="9" s="1"/>
  <c r="F116" i="8"/>
  <c r="D457" i="9"/>
  <c r="L571" i="1"/>
  <c r="M571" i="1" s="1"/>
  <c r="H98" i="3"/>
  <c r="D114" i="3"/>
  <c r="H59" i="7"/>
  <c r="D59" i="9"/>
  <c r="D515" i="7"/>
  <c r="K396" i="5"/>
  <c r="F397" i="2"/>
  <c r="H362" i="5"/>
  <c r="D362" i="5"/>
  <c r="D363" i="5" s="1"/>
  <c r="H102" i="1"/>
  <c r="H123" i="1"/>
  <c r="L396" i="8"/>
  <c r="K483" i="6"/>
  <c r="D439" i="9"/>
  <c r="D344" i="4"/>
  <c r="K523" i="9"/>
  <c r="D396" i="6"/>
  <c r="D397" i="6" s="1"/>
  <c r="M283" i="1"/>
  <c r="H167" i="4"/>
  <c r="M167" i="4"/>
  <c r="D167" i="4"/>
  <c r="F179" i="4"/>
  <c r="F196" i="4" s="1"/>
  <c r="F185" i="1"/>
  <c r="M185" i="1" s="1"/>
  <c r="D75" i="6"/>
  <c r="L460" i="4"/>
  <c r="M459" i="4"/>
  <c r="J116" i="7"/>
  <c r="D98" i="3"/>
  <c r="H59" i="9"/>
  <c r="H515" i="7"/>
  <c r="L98" i="3"/>
  <c r="M85" i="3"/>
  <c r="L474" i="7"/>
  <c r="M57" i="4"/>
  <c r="H547" i="5"/>
  <c r="H548" i="5" s="1"/>
  <c r="H539" i="7"/>
  <c r="D552" i="9"/>
  <c r="D553" i="9" s="1"/>
  <c r="L539" i="8"/>
  <c r="L542" i="9"/>
  <c r="M593" i="1"/>
  <c r="L601" i="1"/>
  <c r="M601" i="1" s="1"/>
  <c r="D552" i="8"/>
  <c r="D553" i="8" s="1"/>
  <c r="H539" i="2"/>
  <c r="K553" i="8"/>
  <c r="D547" i="5"/>
  <c r="D548" i="5" s="1"/>
  <c r="D539" i="7"/>
  <c r="L606" i="1"/>
  <c r="M606" i="1" s="1"/>
  <c r="L552" i="8"/>
  <c r="L609" i="1"/>
  <c r="M609" i="1" s="1"/>
  <c r="H552" i="8"/>
  <c r="H553" i="8" s="1"/>
  <c r="H593" i="1"/>
  <c r="D593" i="1"/>
  <c r="L551" i="3"/>
  <c r="L552" i="4"/>
  <c r="L553" i="4" s="1"/>
  <c r="H552" i="7"/>
  <c r="H552" i="4"/>
  <c r="H553" i="4" s="1"/>
  <c r="D552" i="4"/>
  <c r="D553" i="4" s="1"/>
  <c r="H553" i="6"/>
  <c r="F553" i="2"/>
  <c r="K536" i="1"/>
  <c r="H380" i="3"/>
  <c r="L552" i="1"/>
  <c r="M552" i="1" s="1"/>
  <c r="D561" i="1"/>
  <c r="D562" i="1" s="1"/>
  <c r="H561" i="1"/>
  <c r="H562" i="1" s="1"/>
  <c r="F562" i="1"/>
  <c r="D473" i="3"/>
  <c r="H465" i="1"/>
  <c r="H466" i="1" s="1"/>
  <c r="D465" i="1"/>
  <c r="D466" i="1" s="1"/>
  <c r="F466" i="1"/>
  <c r="L356" i="1"/>
  <c r="M356" i="1" s="1"/>
  <c r="H283" i="1"/>
  <c r="I466" i="1"/>
  <c r="L465" i="1"/>
  <c r="D517" i="1"/>
  <c r="H517" i="1"/>
  <c r="H571" i="1"/>
  <c r="D571" i="1"/>
  <c r="L517" i="1"/>
  <c r="M517" i="1" s="1"/>
  <c r="L561" i="1"/>
  <c r="K562" i="1"/>
  <c r="L385" i="1"/>
  <c r="M385" i="1" s="1"/>
  <c r="L256" i="1"/>
  <c r="M256" i="1" s="1"/>
  <c r="D259" i="3"/>
  <c r="L521" i="1"/>
  <c r="M521" i="1" s="1"/>
  <c r="K552" i="3"/>
  <c r="M399" i="1"/>
  <c r="L523" i="1"/>
  <c r="M523" i="1" s="1"/>
  <c r="H324" i="3"/>
  <c r="H325" i="3" s="1"/>
  <c r="H385" i="1"/>
  <c r="D385" i="1"/>
  <c r="L505" i="1"/>
  <c r="M505" i="1" s="1"/>
  <c r="L566" i="1"/>
  <c r="K108" i="1"/>
  <c r="L430" i="3"/>
  <c r="D346" i="3"/>
  <c r="D552" i="1"/>
  <c r="H552" i="1"/>
  <c r="H259" i="3"/>
  <c r="L708" i="1"/>
  <c r="L569" i="1"/>
  <c r="M569" i="1" s="1"/>
  <c r="L297" i="1"/>
  <c r="M297" i="1" s="1"/>
  <c r="J612" i="1"/>
  <c r="J613" i="1" s="1"/>
  <c r="I482" i="3"/>
  <c r="K463" i="1"/>
  <c r="F552" i="3"/>
  <c r="L352" i="1"/>
  <c r="M352" i="1" s="1"/>
  <c r="L252" i="1"/>
  <c r="M252" i="1" s="1"/>
  <c r="F482" i="3"/>
  <c r="L472" i="1"/>
  <c r="M472" i="1" s="1"/>
  <c r="B362" i="3"/>
  <c r="M630" i="1"/>
  <c r="M631" i="1" s="1"/>
  <c r="L631" i="1"/>
  <c r="D481" i="3"/>
  <c r="F194" i="3"/>
  <c r="L395" i="1"/>
  <c r="M395" i="1" s="1"/>
  <c r="K522" i="3"/>
  <c r="L565" i="1"/>
  <c r="M565" i="1" s="1"/>
  <c r="H551" i="3"/>
  <c r="H552" i="3" s="1"/>
  <c r="D413" i="3"/>
  <c r="L247" i="1"/>
  <c r="M247" i="1" s="1"/>
  <c r="D324" i="3"/>
  <c r="D325" i="3" s="1"/>
  <c r="L352" i="3"/>
  <c r="L361" i="3" s="1"/>
  <c r="L362" i="3" s="1"/>
  <c r="L481" i="3"/>
  <c r="L605" i="1"/>
  <c r="M605" i="1" s="1"/>
  <c r="B169" i="1"/>
  <c r="D687" i="1"/>
  <c r="L253" i="1"/>
  <c r="M253" i="1" s="1"/>
  <c r="D63" i="1"/>
  <c r="H56" i="1"/>
  <c r="K76" i="8"/>
  <c r="J76" i="6"/>
  <c r="K76" i="6"/>
  <c r="L59" i="6"/>
  <c r="M59" i="6" s="1"/>
  <c r="D73" i="1"/>
  <c r="H73" i="1"/>
  <c r="H74" i="1"/>
  <c r="D53" i="1"/>
  <c r="D56" i="1"/>
  <c r="J76" i="3"/>
  <c r="K76" i="3"/>
  <c r="K76" i="5"/>
  <c r="M57" i="1"/>
  <c r="M53" i="1"/>
  <c r="L53" i="1"/>
  <c r="I64" i="1"/>
  <c r="I88" i="1" s="1"/>
  <c r="I500" i="8"/>
  <c r="I523" i="8" s="1"/>
  <c r="L495" i="8"/>
  <c r="H533" i="1"/>
  <c r="D533" i="1"/>
  <c r="D477" i="1"/>
  <c r="H477" i="1"/>
  <c r="M494" i="4"/>
  <c r="L500" i="4"/>
  <c r="M312" i="2"/>
  <c r="L325" i="2"/>
  <c r="L326" i="2" s="1"/>
  <c r="L262" i="2"/>
  <c r="I264" i="2"/>
  <c r="L178" i="8"/>
  <c r="L195" i="8" s="1"/>
  <c r="M167" i="8"/>
  <c r="F519" i="1"/>
  <c r="J519" i="1"/>
  <c r="K519" i="1"/>
  <c r="K528" i="1" s="1"/>
  <c r="B528" i="1"/>
  <c r="B537" i="1" s="1"/>
  <c r="B544" i="1" s="1"/>
  <c r="L594" i="1"/>
  <c r="K599" i="1"/>
  <c r="M454" i="2"/>
  <c r="L457" i="2"/>
  <c r="M375" i="2"/>
  <c r="L380" i="2"/>
  <c r="D145" i="9"/>
  <c r="D155" i="9" s="1"/>
  <c r="M145" i="9"/>
  <c r="H145" i="9"/>
  <c r="H155" i="9" s="1"/>
  <c r="F155" i="9"/>
  <c r="M86" i="8"/>
  <c r="L99" i="8"/>
  <c r="L337" i="7"/>
  <c r="I343" i="7"/>
  <c r="I363" i="7" s="1"/>
  <c r="H74" i="7"/>
  <c r="H75" i="7" s="1"/>
  <c r="D74" i="7"/>
  <c r="D75" i="7" s="1"/>
  <c r="F75" i="7"/>
  <c r="F76" i="7" s="1"/>
  <c r="M74" i="7"/>
  <c r="M79" i="1" s="1"/>
  <c r="M87" i="9"/>
  <c r="M104" i="2"/>
  <c r="L113" i="1"/>
  <c r="M113" i="1" s="1"/>
  <c r="M147" i="2"/>
  <c r="H147" i="2"/>
  <c r="H161" i="1" s="1"/>
  <c r="D147" i="2"/>
  <c r="D161" i="1" s="1"/>
  <c r="F161" i="1"/>
  <c r="M161" i="1" s="1"/>
  <c r="D134" i="3"/>
  <c r="H134" i="3"/>
  <c r="H149" i="1" s="1"/>
  <c r="M134" i="3"/>
  <c r="F149" i="1"/>
  <c r="M149" i="1" s="1"/>
  <c r="L99" i="1"/>
  <c r="M99" i="1" s="1"/>
  <c r="M90" i="2"/>
  <c r="M263" i="6"/>
  <c r="L264" i="6"/>
  <c r="L284" i="6" s="1"/>
  <c r="J519" i="5"/>
  <c r="H513" i="1"/>
  <c r="H514" i="1" s="1"/>
  <c r="F514" i="1"/>
  <c r="D513" i="1"/>
  <c r="D514" i="1" s="1"/>
  <c r="L521" i="7"/>
  <c r="L522" i="7" s="1"/>
  <c r="J522" i="7"/>
  <c r="H397" i="6"/>
  <c r="H507" i="5"/>
  <c r="H511" i="5" s="1"/>
  <c r="D507" i="5"/>
  <c r="D511" i="5" s="1"/>
  <c r="D457" i="1"/>
  <c r="H457" i="1"/>
  <c r="H472" i="1"/>
  <c r="D472" i="1"/>
  <c r="D419" i="1"/>
  <c r="H419" i="1"/>
  <c r="H418" i="1"/>
  <c r="D418" i="1"/>
  <c r="L296" i="7"/>
  <c r="I303" i="7"/>
  <c r="M208" i="7"/>
  <c r="L215" i="7"/>
  <c r="L506" i="3"/>
  <c r="L514" i="3" s="1"/>
  <c r="J514" i="3"/>
  <c r="M543" i="5"/>
  <c r="L608" i="1"/>
  <c r="M608" i="1" s="1"/>
  <c r="M155" i="4"/>
  <c r="L156" i="4"/>
  <c r="L168" i="1"/>
  <c r="L138" i="3"/>
  <c r="L155" i="3" s="1"/>
  <c r="M126" i="3"/>
  <c r="L141" i="1"/>
  <c r="D99" i="5"/>
  <c r="D116" i="5" s="1"/>
  <c r="F79" i="1"/>
  <c r="F80" i="1" s="1"/>
  <c r="D75" i="9"/>
  <c r="L102" i="1"/>
  <c r="M102" i="1" s="1"/>
  <c r="D115" i="6"/>
  <c r="D116" i="6" s="1"/>
  <c r="M88" i="2"/>
  <c r="L97" i="1"/>
  <c r="M97" i="1" s="1"/>
  <c r="L515" i="6"/>
  <c r="M345" i="9"/>
  <c r="L347" i="9"/>
  <c r="D497" i="7"/>
  <c r="D500" i="7" s="1"/>
  <c r="H497" i="7"/>
  <c r="H500" i="7" s="1"/>
  <c r="F500" i="7"/>
  <c r="M374" i="7"/>
  <c r="L380" i="7"/>
  <c r="M375" i="4"/>
  <c r="L380" i="4"/>
  <c r="H257" i="2"/>
  <c r="H260" i="2" s="1"/>
  <c r="D257" i="2"/>
  <c r="D260" i="2" s="1"/>
  <c r="F260" i="2"/>
  <c r="M538" i="9"/>
  <c r="L598" i="1"/>
  <c r="M598" i="1" s="1"/>
  <c r="H142" i="1"/>
  <c r="L120" i="1"/>
  <c r="M120" i="1" s="1"/>
  <c r="B239" i="1"/>
  <c r="F229" i="1"/>
  <c r="J229" i="1"/>
  <c r="K229" i="1"/>
  <c r="F116" i="5"/>
  <c r="J98" i="1"/>
  <c r="J108" i="1" s="1"/>
  <c r="D113" i="1"/>
  <c r="D101" i="9"/>
  <c r="D115" i="9" s="1"/>
  <c r="F115" i="9"/>
  <c r="H101" i="9"/>
  <c r="H115" i="9" s="1"/>
  <c r="H555" i="1"/>
  <c r="D555" i="1"/>
  <c r="D329" i="1"/>
  <c r="H329" i="1"/>
  <c r="L652" i="1"/>
  <c r="M651" i="1"/>
  <c r="M652" i="1" s="1"/>
  <c r="F480" i="5"/>
  <c r="B522" i="3"/>
  <c r="H494" i="3"/>
  <c r="H499" i="3" s="1"/>
  <c r="D494" i="3"/>
  <c r="D499" i="3" s="1"/>
  <c r="F499" i="3"/>
  <c r="D429" i="9"/>
  <c r="D431" i="9" s="1"/>
  <c r="H429" i="9"/>
  <c r="H431" i="9" s="1"/>
  <c r="L425" i="4"/>
  <c r="L431" i="4" s="1"/>
  <c r="L440" i="4" s="1"/>
  <c r="J431" i="4"/>
  <c r="J440" i="4" s="1"/>
  <c r="L338" i="9"/>
  <c r="J343" i="9"/>
  <c r="J363" i="9" s="1"/>
  <c r="H352" i="7"/>
  <c r="H362" i="7" s="1"/>
  <c r="D352" i="7"/>
  <c r="D362" i="7" s="1"/>
  <c r="F362" i="7"/>
  <c r="H252" i="1"/>
  <c r="D252" i="1"/>
  <c r="D497" i="9"/>
  <c r="D500" i="9" s="1"/>
  <c r="H497" i="9"/>
  <c r="H500" i="9" s="1"/>
  <c r="F500" i="9"/>
  <c r="H299" i="1"/>
  <c r="D299" i="1"/>
  <c r="J470" i="1"/>
  <c r="F470" i="1"/>
  <c r="B480" i="1"/>
  <c r="B489" i="1" s="1"/>
  <c r="B496" i="1" s="1"/>
  <c r="K470" i="1"/>
  <c r="H421" i="8"/>
  <c r="H431" i="8" s="1"/>
  <c r="D421" i="8"/>
  <c r="D431" i="8" s="1"/>
  <c r="F431" i="8"/>
  <c r="F440" i="8" s="1"/>
  <c r="H347" i="1"/>
  <c r="D347" i="1"/>
  <c r="F360" i="1"/>
  <c r="L330" i="1"/>
  <c r="M330" i="1" s="1"/>
  <c r="K553" i="9"/>
  <c r="F483" i="8"/>
  <c r="H474" i="2"/>
  <c r="M495" i="7"/>
  <c r="L106" i="1"/>
  <c r="M106" i="1" s="1"/>
  <c r="D115" i="4"/>
  <c r="D532" i="1"/>
  <c r="F536" i="1"/>
  <c r="H532" i="1"/>
  <c r="J578" i="1"/>
  <c r="F578" i="1"/>
  <c r="K578" i="1"/>
  <c r="B581" i="1"/>
  <c r="M186" i="1"/>
  <c r="B293" i="1"/>
  <c r="B309" i="1" s="1"/>
  <c r="B314" i="1" s="1"/>
  <c r="B321" i="1" s="1"/>
  <c r="I291" i="1"/>
  <c r="K291" i="1"/>
  <c r="J291" i="1"/>
  <c r="F291" i="1"/>
  <c r="D232" i="1"/>
  <c r="H232" i="1"/>
  <c r="L325" i="9"/>
  <c r="M309" i="9"/>
  <c r="H336" i="2"/>
  <c r="H343" i="2" s="1"/>
  <c r="F343" i="2"/>
  <c r="D336" i="2"/>
  <c r="D343" i="2" s="1"/>
  <c r="M346" i="4"/>
  <c r="L348" i="4"/>
  <c r="L364" i="4" s="1"/>
  <c r="M374" i="5"/>
  <c r="L379" i="5"/>
  <c r="M351" i="9"/>
  <c r="L362" i="9"/>
  <c r="M92" i="2"/>
  <c r="L101" i="1"/>
  <c r="M101" i="1" s="1"/>
  <c r="L99" i="2"/>
  <c r="D504" i="1"/>
  <c r="H504" i="1"/>
  <c r="F511" i="1"/>
  <c r="H221" i="3"/>
  <c r="H238" i="3" s="1"/>
  <c r="H239" i="3" s="1"/>
  <c r="D221" i="3"/>
  <c r="D238" i="3" s="1"/>
  <c r="D239" i="3" s="1"/>
  <c r="F238" i="3"/>
  <c r="F239" i="3" s="1"/>
  <c r="D352" i="3"/>
  <c r="D361" i="3" s="1"/>
  <c r="H352" i="3"/>
  <c r="H361" i="3" s="1"/>
  <c r="L75" i="9"/>
  <c r="L75" i="1"/>
  <c r="L239" i="2"/>
  <c r="L240" i="2" s="1"/>
  <c r="M222" i="2"/>
  <c r="L457" i="9"/>
  <c r="M450" i="9"/>
  <c r="D351" i="1"/>
  <c r="H351" i="1"/>
  <c r="D249" i="1"/>
  <c r="H249" i="1"/>
  <c r="K554" i="1"/>
  <c r="J554" i="1"/>
  <c r="F554" i="1"/>
  <c r="I554" i="1"/>
  <c r="B559" i="1"/>
  <c r="F500" i="8"/>
  <c r="F523" i="8" s="1"/>
  <c r="D495" i="8"/>
  <c r="D500" i="8" s="1"/>
  <c r="H495" i="8"/>
  <c r="H500" i="8" s="1"/>
  <c r="H523" i="8" s="1"/>
  <c r="H522" i="1"/>
  <c r="D522" i="1"/>
  <c r="H485" i="1"/>
  <c r="D485" i="1"/>
  <c r="D305" i="7"/>
  <c r="D307" i="7" s="1"/>
  <c r="H305" i="7"/>
  <c r="H307" i="7" s="1"/>
  <c r="F307" i="7"/>
  <c r="D579" i="1"/>
  <c r="H579" i="1"/>
  <c r="H553" i="2"/>
  <c r="H486" i="1"/>
  <c r="D486" i="1"/>
  <c r="L336" i="8"/>
  <c r="J343" i="8"/>
  <c r="J363" i="8" s="1"/>
  <c r="M318" i="3"/>
  <c r="L324" i="3"/>
  <c r="M241" i="1"/>
  <c r="L243" i="1"/>
  <c r="L95" i="1"/>
  <c r="D392" i="3"/>
  <c r="D395" i="3" s="1"/>
  <c r="H392" i="3"/>
  <c r="H395" i="3" s="1"/>
  <c r="F392" i="1"/>
  <c r="J392" i="1"/>
  <c r="K392" i="1"/>
  <c r="M490" i="5"/>
  <c r="L496" i="5"/>
  <c r="H391" i="5"/>
  <c r="H395" i="5" s="1"/>
  <c r="D391" i="5"/>
  <c r="D395" i="5" s="1"/>
  <c r="H433" i="5"/>
  <c r="H437" i="5" s="1"/>
  <c r="H438" i="5" s="1"/>
  <c r="D433" i="5"/>
  <c r="D437" i="5" s="1"/>
  <c r="F437" i="5"/>
  <c r="F438" i="5" s="1"/>
  <c r="J79" i="1"/>
  <c r="J80" i="1" s="1"/>
  <c r="K124" i="1"/>
  <c r="H89" i="9"/>
  <c r="H98" i="1" s="1"/>
  <c r="D89" i="9"/>
  <c r="D98" i="1" s="1"/>
  <c r="L639" i="1"/>
  <c r="D323" i="7"/>
  <c r="D325" i="7" s="1"/>
  <c r="H323" i="7"/>
  <c r="H325" i="7" s="1"/>
  <c r="M323" i="7"/>
  <c r="L224" i="5"/>
  <c r="J239" i="5"/>
  <c r="J240" i="5" s="1"/>
  <c r="H256" i="1"/>
  <c r="D256" i="1"/>
  <c r="D521" i="7"/>
  <c r="D522" i="7" s="1"/>
  <c r="H521" i="7"/>
  <c r="H522" i="7" s="1"/>
  <c r="F522" i="7"/>
  <c r="H459" i="1"/>
  <c r="D459" i="1"/>
  <c r="L373" i="9"/>
  <c r="J380" i="9"/>
  <c r="J397" i="9" s="1"/>
  <c r="L396" i="1"/>
  <c r="I386" i="1"/>
  <c r="L384" i="1"/>
  <c r="J564" i="1"/>
  <c r="K564" i="1"/>
  <c r="B574" i="1"/>
  <c r="F564" i="1"/>
  <c r="L263" i="3"/>
  <c r="M261" i="3"/>
  <c r="M454" i="7"/>
  <c r="L457" i="7"/>
  <c r="J440" i="6"/>
  <c r="J463" i="1"/>
  <c r="L456" i="1"/>
  <c r="F362" i="2"/>
  <c r="H350" i="2"/>
  <c r="H362" i="2" s="1"/>
  <c r="D350" i="2"/>
  <c r="D362" i="2" s="1"/>
  <c r="I331" i="1"/>
  <c r="I338" i="1" s="1"/>
  <c r="J331" i="1"/>
  <c r="J338" i="1" s="1"/>
  <c r="F331" i="1"/>
  <c r="K331" i="1"/>
  <c r="K338" i="1" s="1"/>
  <c r="L309" i="4"/>
  <c r="M307" i="4"/>
  <c r="I283" i="3"/>
  <c r="D156" i="6"/>
  <c r="H243" i="1"/>
  <c r="H156" i="1"/>
  <c r="M117" i="1"/>
  <c r="F98" i="1"/>
  <c r="F108" i="1" s="1"/>
  <c r="M106" i="6"/>
  <c r="L115" i="1"/>
  <c r="M115" i="1" s="1"/>
  <c r="D95" i="1"/>
  <c r="D99" i="2"/>
  <c r="D116" i="2" s="1"/>
  <c r="D247" i="1"/>
  <c r="H247" i="1"/>
  <c r="F382" i="5"/>
  <c r="D381" i="5"/>
  <c r="D382" i="5" s="1"/>
  <c r="H381" i="5"/>
  <c r="H382" i="5" s="1"/>
  <c r="L358" i="8"/>
  <c r="L362" i="8" s="1"/>
  <c r="D325" i="9"/>
  <c r="D326" i="9" s="1"/>
  <c r="K286" i="1"/>
  <c r="L286" i="1" s="1"/>
  <c r="F286" i="1"/>
  <c r="D424" i="2"/>
  <c r="D431" i="2" s="1"/>
  <c r="D440" i="2" s="1"/>
  <c r="H424" i="2"/>
  <c r="H431" i="2" s="1"/>
  <c r="L207" i="4"/>
  <c r="J217" i="4"/>
  <c r="J242" i="4" s="1"/>
  <c r="H112" i="1"/>
  <c r="B338" i="1"/>
  <c r="K523" i="6"/>
  <c r="L552" i="7"/>
  <c r="L553" i="7" s="1"/>
  <c r="H201" i="1"/>
  <c r="L325" i="7"/>
  <c r="M223" i="7"/>
  <c r="L239" i="7"/>
  <c r="H253" i="1"/>
  <c r="D253" i="1"/>
  <c r="H460" i="1"/>
  <c r="D460" i="1"/>
  <c r="I377" i="1"/>
  <c r="J377" i="1"/>
  <c r="J382" i="1" s="1"/>
  <c r="K377" i="1"/>
  <c r="F377" i="1"/>
  <c r="J391" i="1"/>
  <c r="F391" i="1"/>
  <c r="K391" i="1"/>
  <c r="L389" i="1"/>
  <c r="K556" i="1"/>
  <c r="J556" i="1"/>
  <c r="F556" i="1"/>
  <c r="M204" i="3"/>
  <c r="L214" i="3"/>
  <c r="F395" i="5"/>
  <c r="L421" i="8"/>
  <c r="J431" i="8"/>
  <c r="J440" i="8" s="1"/>
  <c r="L347" i="1"/>
  <c r="J360" i="1"/>
  <c r="H330" i="1"/>
  <c r="D330" i="1"/>
  <c r="M534" i="9"/>
  <c r="L539" i="9"/>
  <c r="H482" i="8"/>
  <c r="H525" i="1"/>
  <c r="D525" i="1"/>
  <c r="F159" i="1"/>
  <c r="M159" i="1" s="1"/>
  <c r="F156" i="8"/>
  <c r="M101" i="5"/>
  <c r="L115" i="5"/>
  <c r="K76" i="9"/>
  <c r="L57" i="1"/>
  <c r="D59" i="2"/>
  <c r="K76" i="2"/>
  <c r="D69" i="1"/>
  <c r="H72" i="1"/>
  <c r="L75" i="2"/>
  <c r="M75" i="1"/>
  <c r="F440" i="6"/>
  <c r="D265" i="4"/>
  <c r="D266" i="4" s="1"/>
  <c r="D286" i="4" s="1"/>
  <c r="H265" i="4"/>
  <c r="H266" i="4" s="1"/>
  <c r="L265" i="4"/>
  <c r="I266" i="4"/>
  <c r="I286" i="4" s="1"/>
  <c r="L249" i="1"/>
  <c r="M249" i="1" s="1"/>
  <c r="K523" i="8"/>
  <c r="B613" i="1"/>
  <c r="L483" i="1"/>
  <c r="M483" i="1" s="1"/>
  <c r="L485" i="1"/>
  <c r="M485" i="1" s="1"/>
  <c r="D458" i="1"/>
  <c r="H458" i="1"/>
  <c r="H431" i="1"/>
  <c r="D431" i="1"/>
  <c r="M350" i="6"/>
  <c r="L362" i="6"/>
  <c r="L363" i="6" s="1"/>
  <c r="I307" i="7"/>
  <c r="L305" i="7"/>
  <c r="L579" i="1"/>
  <c r="M579" i="1" s="1"/>
  <c r="J482" i="3"/>
  <c r="L486" i="1"/>
  <c r="M486" i="1" s="1"/>
  <c r="K439" i="3"/>
  <c r="H373" i="8"/>
  <c r="H380" i="8" s="1"/>
  <c r="D373" i="8"/>
  <c r="D380" i="8" s="1"/>
  <c r="F380" i="8"/>
  <c r="F397" i="8" s="1"/>
  <c r="H420" i="1"/>
  <c r="D420" i="1"/>
  <c r="H336" i="8"/>
  <c r="H343" i="8" s="1"/>
  <c r="D336" i="8"/>
  <c r="D343" i="8" s="1"/>
  <c r="F343" i="8"/>
  <c r="J361" i="3"/>
  <c r="J362" i="3" s="1"/>
  <c r="H282" i="3"/>
  <c r="L178" i="6"/>
  <c r="L195" i="6" s="1"/>
  <c r="L465" i="9"/>
  <c r="M465" i="9" s="1"/>
  <c r="J474" i="9"/>
  <c r="J483" i="9" s="1"/>
  <c r="H465" i="9"/>
  <c r="H474" i="9" s="1"/>
  <c r="D465" i="9"/>
  <c r="D474" i="9" s="1"/>
  <c r="F474" i="9"/>
  <c r="F483" i="9" s="1"/>
  <c r="D594" i="1"/>
  <c r="H594" i="1"/>
  <c r="F599" i="1"/>
  <c r="M478" i="9"/>
  <c r="L482" i="9"/>
  <c r="L336" i="2"/>
  <c r="L343" i="2" s="1"/>
  <c r="J343" i="2"/>
  <c r="D284" i="9"/>
  <c r="M480" i="7"/>
  <c r="L482" i="7"/>
  <c r="F523" i="6"/>
  <c r="M126" i="9"/>
  <c r="H126" i="9"/>
  <c r="H139" i="9" s="1"/>
  <c r="F139" i="9"/>
  <c r="D126" i="9"/>
  <c r="D139" i="9" s="1"/>
  <c r="D156" i="9" s="1"/>
  <c r="D139" i="2"/>
  <c r="K612" i="1"/>
  <c r="K553" i="6"/>
  <c r="F138" i="3"/>
  <c r="M154" i="7"/>
  <c r="L155" i="7"/>
  <c r="F110" i="1"/>
  <c r="F124" i="1" s="1"/>
  <c r="H114" i="1"/>
  <c r="F116" i="7"/>
  <c r="D116" i="1"/>
  <c r="M105" i="2"/>
  <c r="L114" i="1"/>
  <c r="M114" i="1" s="1"/>
  <c r="K511" i="1"/>
  <c r="L480" i="5"/>
  <c r="D250" i="1"/>
  <c r="H250" i="1"/>
  <c r="L221" i="3"/>
  <c r="J238" i="3"/>
  <c r="J239" i="3" s="1"/>
  <c r="F474" i="4"/>
  <c r="F483" i="4" s="1"/>
  <c r="H465" i="4"/>
  <c r="H474" i="4" s="1"/>
  <c r="D465" i="4"/>
  <c r="D474" i="4" s="1"/>
  <c r="H438" i="1"/>
  <c r="D438" i="1"/>
  <c r="F376" i="1"/>
  <c r="K376" i="1"/>
  <c r="B382" i="1"/>
  <c r="I376" i="1"/>
  <c r="K433" i="1"/>
  <c r="J433" i="1"/>
  <c r="F433" i="1"/>
  <c r="D279" i="1"/>
  <c r="H279" i="1"/>
  <c r="H505" i="1"/>
  <c r="D505" i="1"/>
  <c r="H431" i="7"/>
  <c r="F212" i="1"/>
  <c r="F213" i="1" s="1"/>
  <c r="D192" i="3"/>
  <c r="D212" i="1" s="1"/>
  <c r="H192" i="3"/>
  <c r="H212" i="1" s="1"/>
  <c r="L115" i="4"/>
  <c r="H117" i="1"/>
  <c r="L116" i="1"/>
  <c r="M116" i="1" s="1"/>
  <c r="J484" i="1"/>
  <c r="J488" i="1" s="1"/>
  <c r="F484" i="1"/>
  <c r="K484" i="1"/>
  <c r="K488" i="1" s="1"/>
  <c r="F325" i="7"/>
  <c r="M91" i="5"/>
  <c r="L100" i="1"/>
  <c r="M100" i="1" s="1"/>
  <c r="K79" i="1"/>
  <c r="K80" i="1" s="1"/>
  <c r="L89" i="9"/>
  <c r="M262" i="7"/>
  <c r="L264" i="7"/>
  <c r="F248" i="1"/>
  <c r="J248" i="1"/>
  <c r="K248" i="1"/>
  <c r="D224" i="5"/>
  <c r="D239" i="5" s="1"/>
  <c r="D240" i="5" s="1"/>
  <c r="H224" i="5"/>
  <c r="H239" i="5" s="1"/>
  <c r="H240" i="5" s="1"/>
  <c r="F239" i="5"/>
  <c r="F240" i="5" s="1"/>
  <c r="I514" i="1"/>
  <c r="L513" i="1"/>
  <c r="L507" i="2"/>
  <c r="L515" i="2" s="1"/>
  <c r="J515" i="2"/>
  <c r="J523" i="2" s="1"/>
  <c r="L459" i="1"/>
  <c r="M459" i="1" s="1"/>
  <c r="K417" i="1"/>
  <c r="K424" i="1" s="1"/>
  <c r="B424" i="1"/>
  <c r="J417" i="1"/>
  <c r="F417" i="1"/>
  <c r="K397" i="9"/>
  <c r="F397" i="6"/>
  <c r="D362" i="6"/>
  <c r="D363" i="6" s="1"/>
  <c r="L414" i="7"/>
  <c r="M228" i="9"/>
  <c r="L239" i="9"/>
  <c r="L240" i="9" s="1"/>
  <c r="D505" i="9"/>
  <c r="D515" i="9" s="1"/>
  <c r="H505" i="9"/>
  <c r="H515" i="9" s="1"/>
  <c r="F515" i="9"/>
  <c r="F523" i="9" s="1"/>
  <c r="M433" i="6"/>
  <c r="L439" i="6"/>
  <c r="M294" i="3"/>
  <c r="L302" i="3"/>
  <c r="L507" i="5"/>
  <c r="L511" i="5" s="1"/>
  <c r="H456" i="1"/>
  <c r="D456" i="1"/>
  <c r="F463" i="1"/>
  <c r="L419" i="1"/>
  <c r="M419" i="1" s="1"/>
  <c r="H396" i="2"/>
  <c r="H397" i="2" s="1"/>
  <c r="L350" i="2"/>
  <c r="J362" i="2"/>
  <c r="F361" i="3"/>
  <c r="D399" i="1"/>
  <c r="H399" i="1"/>
  <c r="J326" i="7"/>
  <c r="L259" i="3"/>
  <c r="M250" i="3"/>
  <c r="J326" i="2"/>
  <c r="D506" i="3"/>
  <c r="D514" i="3" s="1"/>
  <c r="H506" i="3"/>
  <c r="H514" i="3" s="1"/>
  <c r="F514" i="3"/>
  <c r="J396" i="3"/>
  <c r="D595" i="1"/>
  <c r="H595" i="1"/>
  <c r="M595" i="1"/>
  <c r="F511" i="5"/>
  <c r="F519" i="5" s="1"/>
  <c r="D141" i="7"/>
  <c r="D155" i="7" s="1"/>
  <c r="M141" i="7"/>
  <c r="H141" i="7"/>
  <c r="H155" i="7" s="1"/>
  <c r="F155" i="7"/>
  <c r="J326" i="9"/>
  <c r="M129" i="4"/>
  <c r="L140" i="4"/>
  <c r="I153" i="1"/>
  <c r="I170" i="1" s="1"/>
  <c r="I177" i="1" s="1"/>
  <c r="M101" i="7"/>
  <c r="L115" i="7"/>
  <c r="L61" i="1"/>
  <c r="H115" i="6"/>
  <c r="H116" i="6" s="1"/>
  <c r="F116" i="2"/>
  <c r="L547" i="5"/>
  <c r="L548" i="5" s="1"/>
  <c r="F483" i="6"/>
  <c r="K473" i="1"/>
  <c r="J473" i="1"/>
  <c r="F473" i="1"/>
  <c r="I382" i="5"/>
  <c r="I396" i="5" s="1"/>
  <c r="L381" i="5"/>
  <c r="H358" i="8"/>
  <c r="H362" i="8" s="1"/>
  <c r="D358" i="8"/>
  <c r="D362" i="8" s="1"/>
  <c r="F362" i="8"/>
  <c r="L552" i="9"/>
  <c r="D395" i="1"/>
  <c r="H395" i="1"/>
  <c r="L497" i="7"/>
  <c r="L500" i="7" s="1"/>
  <c r="B284" i="2"/>
  <c r="D297" i="1"/>
  <c r="H297" i="1"/>
  <c r="D292" i="1"/>
  <c r="H292" i="1"/>
  <c r="H471" i="5"/>
  <c r="H480" i="5" s="1"/>
  <c r="L431" i="9"/>
  <c r="L424" i="2"/>
  <c r="L431" i="2" s="1"/>
  <c r="H431" i="6"/>
  <c r="H440" i="6" s="1"/>
  <c r="H439" i="9"/>
  <c r="F217" i="4"/>
  <c r="F242" i="4" s="1"/>
  <c r="D207" i="4"/>
  <c r="D217" i="4" s="1"/>
  <c r="D242" i="4" s="1"/>
  <c r="H207" i="4"/>
  <c r="H217" i="4" s="1"/>
  <c r="D142" i="4"/>
  <c r="D156" i="4" s="1"/>
  <c r="D157" i="4" s="1"/>
  <c r="F156" i="4"/>
  <c r="F157" i="4" s="1"/>
  <c r="M142" i="4"/>
  <c r="H142" i="4"/>
  <c r="H156" i="4" s="1"/>
  <c r="M87" i="5"/>
  <c r="L99" i="5"/>
  <c r="I108" i="1"/>
  <c r="L115" i="6"/>
  <c r="M101" i="6"/>
  <c r="D112" i="1"/>
  <c r="D99" i="8"/>
  <c r="F283" i="3"/>
  <c r="L383" i="2"/>
  <c r="M382" i="2"/>
  <c r="L329" i="1"/>
  <c r="L500" i="6"/>
  <c r="M493" i="6"/>
  <c r="L99" i="7"/>
  <c r="L116" i="7" s="1"/>
  <c r="D99" i="4"/>
  <c r="M482" i="1"/>
  <c r="D201" i="1"/>
  <c r="M459" i="6"/>
  <c r="L460" i="6"/>
  <c r="L483" i="6" s="1"/>
  <c r="D515" i="6"/>
  <c r="I499" i="3"/>
  <c r="I522" i="3" s="1"/>
  <c r="L494" i="3"/>
  <c r="J474" i="1"/>
  <c r="F474" i="1"/>
  <c r="K474" i="1"/>
  <c r="H425" i="4"/>
  <c r="H431" i="4" s="1"/>
  <c r="D425" i="4"/>
  <c r="D431" i="4" s="1"/>
  <c r="F431" i="4"/>
  <c r="F440" i="4" s="1"/>
  <c r="L460" i="1"/>
  <c r="M460" i="1" s="1"/>
  <c r="H338" i="9"/>
  <c r="H343" i="9" s="1"/>
  <c r="F343" i="9"/>
  <c r="F363" i="9" s="1"/>
  <c r="D338" i="9"/>
  <c r="D343" i="9" s="1"/>
  <c r="L352" i="7"/>
  <c r="J362" i="7"/>
  <c r="J363" i="7" s="1"/>
  <c r="H389" i="1"/>
  <c r="D389" i="1"/>
  <c r="L303" i="6"/>
  <c r="M295" i="6"/>
  <c r="L497" i="9"/>
  <c r="L526" i="1"/>
  <c r="M526" i="1" s="1"/>
  <c r="F483" i="7"/>
  <c r="H456" i="3"/>
  <c r="M408" i="8"/>
  <c r="L414" i="8"/>
  <c r="L413" i="3"/>
  <c r="H352" i="1"/>
  <c r="D352" i="1"/>
  <c r="K360" i="1"/>
  <c r="I215" i="8"/>
  <c r="I240" i="8" s="1"/>
  <c r="L206" i="8"/>
  <c r="K230" i="1"/>
  <c r="J230" i="1"/>
  <c r="I230" i="1"/>
  <c r="F230" i="1"/>
  <c r="L552" i="6"/>
  <c r="M624" i="1"/>
  <c r="L628" i="1"/>
  <c r="L474" i="8"/>
  <c r="D482" i="8"/>
  <c r="L111" i="1"/>
  <c r="M111" i="1" s="1"/>
  <c r="L99" i="4"/>
  <c r="L518" i="3"/>
  <c r="L521" i="3" s="1"/>
  <c r="J521" i="3"/>
  <c r="B342" i="1"/>
  <c r="K340" i="1"/>
  <c r="K342" i="1" s="1"/>
  <c r="J340" i="1"/>
  <c r="J342" i="1" s="1"/>
  <c r="F340" i="1"/>
  <c r="I340" i="1"/>
  <c r="H413" i="3"/>
  <c r="H439" i="3" s="1"/>
  <c r="L279" i="1"/>
  <c r="J289" i="1"/>
  <c r="K193" i="3"/>
  <c r="K194" i="3" s="1"/>
  <c r="K212" i="1"/>
  <c r="K213" i="1" s="1"/>
  <c r="K214" i="1" s="1"/>
  <c r="K221" i="1" s="1"/>
  <c r="D518" i="3"/>
  <c r="D521" i="3" s="1"/>
  <c r="H518" i="3"/>
  <c r="H521" i="3" s="1"/>
  <c r="F521" i="3"/>
  <c r="D483" i="1"/>
  <c r="H483" i="1"/>
  <c r="I463" i="1"/>
  <c r="L458" i="1"/>
  <c r="M458" i="1" s="1"/>
  <c r="M408" i="2"/>
  <c r="L414" i="2"/>
  <c r="L373" i="8"/>
  <c r="J380" i="8"/>
  <c r="J397" i="8" s="1"/>
  <c r="D262" i="2"/>
  <c r="D264" i="2" s="1"/>
  <c r="F264" i="2"/>
  <c r="H262" i="2"/>
  <c r="H264" i="2" s="1"/>
  <c r="M294" i="5"/>
  <c r="L303" i="5"/>
  <c r="L552" i="3"/>
  <c r="B125" i="1"/>
  <c r="B132" i="1"/>
  <c r="J511" i="1"/>
  <c r="L504" i="1"/>
  <c r="L438" i="1"/>
  <c r="F326" i="8"/>
  <c r="M127" i="5"/>
  <c r="L139" i="5"/>
  <c r="L156" i="5" s="1"/>
  <c r="L59" i="2"/>
  <c r="L72" i="1"/>
  <c r="H69" i="1"/>
  <c r="D72" i="1"/>
  <c r="H296" i="1"/>
  <c r="D296" i="1"/>
  <c r="L649" i="1"/>
  <c r="J325" i="5"/>
  <c r="J326" i="5" s="1"/>
  <c r="F396" i="3"/>
  <c r="J536" i="1"/>
  <c r="L532" i="1"/>
  <c r="L351" i="1"/>
  <c r="M351" i="1" s="1"/>
  <c r="L533" i="1"/>
  <c r="M533" i="1" s="1"/>
  <c r="L522" i="1"/>
  <c r="M522" i="1" s="1"/>
  <c r="H605" i="1"/>
  <c r="H612" i="1" s="1"/>
  <c r="D605" i="1"/>
  <c r="D612" i="1" s="1"/>
  <c r="F612" i="1"/>
  <c r="L431" i="1"/>
  <c r="D303" i="6"/>
  <c r="D565" i="1"/>
  <c r="H565" i="1"/>
  <c r="D520" i="1"/>
  <c r="H520" i="1"/>
  <c r="H534" i="1"/>
  <c r="D534" i="1"/>
  <c r="J523" i="4"/>
  <c r="L456" i="3"/>
  <c r="M386" i="2"/>
  <c r="L396" i="2"/>
  <c r="K363" i="8"/>
  <c r="H325" i="6"/>
  <c r="L232" i="1"/>
  <c r="M232" i="1" s="1"/>
  <c r="H521" i="1"/>
  <c r="D521" i="1"/>
  <c r="D474" i="8"/>
  <c r="B363" i="2"/>
  <c r="H481" i="3"/>
  <c r="D551" i="3"/>
  <c r="D552" i="3" s="1"/>
  <c r="B156" i="9"/>
  <c r="H139" i="2"/>
  <c r="M537" i="6"/>
  <c r="L597" i="1"/>
  <c r="M597" i="1" s="1"/>
  <c r="L539" i="6"/>
  <c r="D126" i="7"/>
  <c r="D139" i="7" s="1"/>
  <c r="F139" i="7"/>
  <c r="M126" i="7"/>
  <c r="H126" i="7"/>
  <c r="H139" i="7" s="1"/>
  <c r="L99" i="6"/>
  <c r="D115" i="7"/>
  <c r="H115" i="5"/>
  <c r="H116" i="5" s="1"/>
  <c r="D114" i="1"/>
  <c r="M126" i="5"/>
  <c r="D126" i="5"/>
  <c r="D139" i="5" s="1"/>
  <c r="D156" i="5" s="1"/>
  <c r="H126" i="5"/>
  <c r="H139" i="5" s="1"/>
  <c r="H156" i="5" s="1"/>
  <c r="F139" i="5"/>
  <c r="F156" i="5" s="1"/>
  <c r="M103" i="2"/>
  <c r="L112" i="1"/>
  <c r="M112" i="1" s="1"/>
  <c r="J480" i="5"/>
  <c r="F246" i="1"/>
  <c r="J246" i="1"/>
  <c r="B259" i="1"/>
  <c r="K246" i="1"/>
  <c r="L465" i="4"/>
  <c r="M465" i="4" s="1"/>
  <c r="L392" i="3"/>
  <c r="L395" i="3" s="1"/>
  <c r="L396" i="3" s="1"/>
  <c r="H337" i="7"/>
  <c r="H343" i="7" s="1"/>
  <c r="F343" i="7"/>
  <c r="D337" i="7"/>
  <c r="D343" i="7" s="1"/>
  <c r="D431" i="7"/>
  <c r="D440" i="7" s="1"/>
  <c r="M463" i="2"/>
  <c r="L474" i="2"/>
  <c r="M151" i="3"/>
  <c r="D151" i="3"/>
  <c r="D166" i="1" s="1"/>
  <c r="F166" i="1"/>
  <c r="M166" i="1" s="1"/>
  <c r="J193" i="3"/>
  <c r="J194" i="3" s="1"/>
  <c r="J212" i="1"/>
  <c r="J213" i="1" s="1"/>
  <c r="L192" i="3"/>
  <c r="H145" i="3"/>
  <c r="D145" i="3"/>
  <c r="F160" i="1"/>
  <c r="M160" i="1" s="1"/>
  <c r="F154" i="3"/>
  <c r="M145" i="3"/>
  <c r="H523" i="1"/>
  <c r="D523" i="1"/>
  <c r="K436" i="1"/>
  <c r="F436" i="1"/>
  <c r="J436" i="1"/>
  <c r="L433" i="5"/>
  <c r="L437" i="5" s="1"/>
  <c r="J437" i="5"/>
  <c r="J438" i="5" s="1"/>
  <c r="K116" i="6"/>
  <c r="H115" i="2"/>
  <c r="L105" i="1"/>
  <c r="M105" i="1" s="1"/>
  <c r="M96" i="2"/>
  <c r="L431" i="7"/>
  <c r="H569" i="1"/>
  <c r="D569" i="1"/>
  <c r="J580" i="1"/>
  <c r="F580" i="1"/>
  <c r="K580" i="1"/>
  <c r="H507" i="2"/>
  <c r="H515" i="2" s="1"/>
  <c r="F515" i="2"/>
  <c r="F523" i="2" s="1"/>
  <c r="D507" i="2"/>
  <c r="D515" i="2" s="1"/>
  <c r="H439" i="7"/>
  <c r="H373" i="9"/>
  <c r="H380" i="9" s="1"/>
  <c r="H397" i="9" s="1"/>
  <c r="D373" i="9"/>
  <c r="D380" i="9" s="1"/>
  <c r="D397" i="9" s="1"/>
  <c r="F380" i="9"/>
  <c r="F397" i="9" s="1"/>
  <c r="D396" i="4"/>
  <c r="D397" i="4" s="1"/>
  <c r="H396" i="1"/>
  <c r="D396" i="1"/>
  <c r="H384" i="1"/>
  <c r="F386" i="1"/>
  <c r="D384" i="1"/>
  <c r="L505" i="9"/>
  <c r="L515" i="9" s="1"/>
  <c r="J515" i="9"/>
  <c r="J523" i="9" s="1"/>
  <c r="J570" i="1"/>
  <c r="F570" i="1"/>
  <c r="K570" i="1"/>
  <c r="L457" i="1"/>
  <c r="M457" i="1" s="1"/>
  <c r="I424" i="1"/>
  <c r="I441" i="1" s="1"/>
  <c r="I448" i="1" s="1"/>
  <c r="L418" i="1"/>
  <c r="M418" i="1" s="1"/>
  <c r="D296" i="7"/>
  <c r="D303" i="7" s="1"/>
  <c r="F303" i="7"/>
  <c r="F326" i="7" s="1"/>
  <c r="H296" i="7"/>
  <c r="H303" i="7" s="1"/>
  <c r="B326" i="7"/>
  <c r="D317" i="5"/>
  <c r="D325" i="5" s="1"/>
  <c r="D326" i="5" s="1"/>
  <c r="H317" i="5"/>
  <c r="H325" i="5" s="1"/>
  <c r="H326" i="5" s="1"/>
  <c r="M310" i="6"/>
  <c r="L325" i="6"/>
  <c r="L500" i="2"/>
  <c r="M421" i="2"/>
  <c r="H156" i="6"/>
  <c r="D243" i="1"/>
  <c r="M294" i="9"/>
  <c r="L303" i="9"/>
  <c r="L96" i="1"/>
  <c r="M96" i="1" s="1"/>
  <c r="D156" i="1"/>
  <c r="H75" i="9"/>
  <c r="L115" i="8"/>
  <c r="H95" i="1"/>
  <c r="H99" i="2"/>
  <c r="H177" i="3"/>
  <c r="D177" i="3"/>
  <c r="M373" i="6"/>
  <c r="L380" i="6"/>
  <c r="L397" i="6" s="1"/>
  <c r="J397" i="1"/>
  <c r="F397" i="1"/>
  <c r="K397" i="1"/>
  <c r="L257" i="2"/>
  <c r="I260" i="2"/>
  <c r="L292" i="1"/>
  <c r="M292" i="1" s="1"/>
  <c r="L499" i="5"/>
  <c r="M498" i="5"/>
  <c r="K440" i="9"/>
  <c r="J474" i="4"/>
  <c r="J483" i="4" s="1"/>
  <c r="F431" i="2"/>
  <c r="F440" i="2" s="1"/>
  <c r="D142" i="1"/>
  <c r="H344" i="4"/>
  <c r="H364" i="4" s="1"/>
  <c r="L107" i="1"/>
  <c r="M107" i="1" s="1"/>
  <c r="K116" i="5"/>
  <c r="L101" i="9"/>
  <c r="K115" i="9"/>
  <c r="K116" i="9" s="1"/>
  <c r="L555" i="1"/>
  <c r="M555" i="1" s="1"/>
  <c r="F431" i="9"/>
  <c r="F440" i="9" s="1"/>
  <c r="H99" i="4"/>
  <c r="D97" i="1"/>
  <c r="H111" i="1"/>
  <c r="H194" i="6"/>
  <c r="H195" i="6" s="1"/>
  <c r="H457" i="9"/>
  <c r="L191" i="1"/>
  <c r="M191" i="1" s="1"/>
  <c r="H515" i="6"/>
  <c r="H523" i="6" s="1"/>
  <c r="F478" i="1"/>
  <c r="K478" i="1"/>
  <c r="J478" i="1"/>
  <c r="L188" i="1"/>
  <c r="M188" i="1" s="1"/>
  <c r="M168" i="3"/>
  <c r="L299" i="1"/>
  <c r="M299" i="1" s="1"/>
  <c r="D526" i="1"/>
  <c r="H526" i="1"/>
  <c r="H500" i="4"/>
  <c r="D456" i="3"/>
  <c r="J439" i="3"/>
  <c r="M268" i="2"/>
  <c r="L283" i="2"/>
  <c r="M268" i="3"/>
  <c r="L282" i="3"/>
  <c r="H206" i="8"/>
  <c r="H215" i="8" s="1"/>
  <c r="H240" i="8" s="1"/>
  <c r="D206" i="8"/>
  <c r="D215" i="8" s="1"/>
  <c r="D240" i="8" s="1"/>
  <c r="F215" i="8"/>
  <c r="F240" i="8" s="1"/>
  <c r="J240" i="8"/>
  <c r="L525" i="1"/>
  <c r="M525" i="1" s="1"/>
  <c r="M128" i="2"/>
  <c r="L142" i="1"/>
  <c r="M142" i="1" s="1"/>
  <c r="L139" i="2"/>
  <c r="J500" i="7"/>
  <c r="D156" i="8"/>
  <c r="J116" i="5"/>
  <c r="F99" i="9"/>
  <c r="H115" i="4"/>
  <c r="K237" i="8"/>
  <c r="J76" i="2"/>
  <c r="D74" i="1"/>
  <c r="D75" i="2"/>
  <c r="H75" i="2"/>
  <c r="F76" i="2"/>
  <c r="D70" i="1"/>
  <c r="H68" i="1"/>
  <c r="H66" i="1"/>
  <c r="H75" i="3"/>
  <c r="D66" i="1"/>
  <c r="D75" i="3"/>
  <c r="L75" i="3"/>
  <c r="F76" i="3"/>
  <c r="J76" i="4"/>
  <c r="L75" i="4"/>
  <c r="K76" i="4"/>
  <c r="M77" i="1"/>
  <c r="L77" i="1"/>
  <c r="L75" i="6"/>
  <c r="M72" i="1"/>
  <c r="J76" i="7"/>
  <c r="L75" i="7"/>
  <c r="J76" i="5"/>
  <c r="H59" i="2"/>
  <c r="L63" i="1"/>
  <c r="M63" i="1"/>
  <c r="L73" i="1"/>
  <c r="M73" i="1"/>
  <c r="L75" i="8"/>
  <c r="M76" i="1"/>
  <c r="L76" i="1"/>
  <c r="M71" i="1"/>
  <c r="L71" i="1"/>
  <c r="M74" i="1"/>
  <c r="L74" i="1"/>
  <c r="M70" i="1"/>
  <c r="L70" i="1"/>
  <c r="L69" i="1"/>
  <c r="M69" i="1"/>
  <c r="L68" i="1"/>
  <c r="L67" i="1"/>
  <c r="M67" i="1"/>
  <c r="L66" i="1"/>
  <c r="L75" i="5"/>
  <c r="H53" i="1"/>
  <c r="D51" i="1"/>
  <c r="D59" i="3"/>
  <c r="L59" i="3"/>
  <c r="H59" i="3"/>
  <c r="H51" i="1"/>
  <c r="L59" i="4"/>
  <c r="L59" i="5"/>
  <c r="L59" i="7"/>
  <c r="L59" i="8"/>
  <c r="M58" i="1"/>
  <c r="L58" i="1"/>
  <c r="M56" i="1"/>
  <c r="L56" i="1"/>
  <c r="M55" i="1"/>
  <c r="L55" i="1"/>
  <c r="M54" i="1"/>
  <c r="L54" i="1"/>
  <c r="L52" i="1"/>
  <c r="H483" i="2" l="1"/>
  <c r="H523" i="2"/>
  <c r="D326" i="2"/>
  <c r="H284" i="2"/>
  <c r="M469" i="1"/>
  <c r="H362" i="3"/>
  <c r="L482" i="3"/>
  <c r="D396" i="3"/>
  <c r="H157" i="4"/>
  <c r="D440" i="4"/>
  <c r="H286" i="4"/>
  <c r="D76" i="4"/>
  <c r="H440" i="4"/>
  <c r="D483" i="4"/>
  <c r="H242" i="4"/>
  <c r="L523" i="4"/>
  <c r="H363" i="5"/>
  <c r="D438" i="5"/>
  <c r="H76" i="6"/>
  <c r="H566" i="1"/>
  <c r="H483" i="6"/>
  <c r="H469" i="1"/>
  <c r="D469" i="1"/>
  <c r="M206" i="6"/>
  <c r="L215" i="6"/>
  <c r="L240" i="6" s="1"/>
  <c r="M566" i="1"/>
  <c r="B88" i="1"/>
  <c r="D240" i="6"/>
  <c r="H326" i="7"/>
  <c r="L397" i="7"/>
  <c r="H483" i="7"/>
  <c r="J523" i="7"/>
  <c r="D523" i="8"/>
  <c r="H397" i="8"/>
  <c r="D116" i="8"/>
  <c r="D440" i="8"/>
  <c r="H523" i="9"/>
  <c r="I537" i="1"/>
  <c r="I544" i="1" s="1"/>
  <c r="H159" i="1"/>
  <c r="L438" i="5"/>
  <c r="L553" i="6"/>
  <c r="D283" i="3"/>
  <c r="L326" i="9"/>
  <c r="H363" i="9"/>
  <c r="L440" i="9"/>
  <c r="L157" i="4"/>
  <c r="D397" i="8"/>
  <c r="D440" i="9"/>
  <c r="D519" i="5"/>
  <c r="D553" i="7"/>
  <c r="D364" i="4"/>
  <c r="H363" i="7"/>
  <c r="D155" i="2"/>
  <c r="H440" i="2"/>
  <c r="H519" i="5"/>
  <c r="D326" i="6"/>
  <c r="L483" i="8"/>
  <c r="H483" i="4"/>
  <c r="H483" i="8"/>
  <c r="L326" i="8"/>
  <c r="D482" i="3"/>
  <c r="L156" i="7"/>
  <c r="H99" i="9"/>
  <c r="H116" i="9" s="1"/>
  <c r="H59" i="8"/>
  <c r="H76" i="8" s="1"/>
  <c r="D59" i="8"/>
  <c r="D76" i="8" s="1"/>
  <c r="H440" i="8"/>
  <c r="H116" i="7"/>
  <c r="H110" i="1"/>
  <c r="H483" i="9"/>
  <c r="D386" i="1"/>
  <c r="D116" i="7"/>
  <c r="L439" i="3"/>
  <c r="D116" i="4"/>
  <c r="F396" i="5"/>
  <c r="D76" i="6"/>
  <c r="D76" i="5"/>
  <c r="D483" i="6"/>
  <c r="D523" i="2"/>
  <c r="H116" i="2"/>
  <c r="B170" i="1"/>
  <c r="B177" i="1" s="1"/>
  <c r="J522" i="3"/>
  <c r="H283" i="3"/>
  <c r="D439" i="3"/>
  <c r="D115" i="3"/>
  <c r="L116" i="4"/>
  <c r="H523" i="4"/>
  <c r="L328" i="4"/>
  <c r="L397" i="4"/>
  <c r="M62" i="1"/>
  <c r="I489" i="1"/>
  <c r="I496" i="1" s="1"/>
  <c r="K259" i="1"/>
  <c r="D396" i="5"/>
  <c r="H396" i="5"/>
  <c r="H326" i="6"/>
  <c r="L523" i="6"/>
  <c r="H553" i="7"/>
  <c r="D483" i="7"/>
  <c r="H440" i="7"/>
  <c r="H79" i="1"/>
  <c r="H80" i="1" s="1"/>
  <c r="K289" i="1"/>
  <c r="L478" i="1"/>
  <c r="M478" i="1" s="1"/>
  <c r="D156" i="7"/>
  <c r="L284" i="7"/>
  <c r="D523" i="7"/>
  <c r="D76" i="7"/>
  <c r="J214" i="1"/>
  <c r="J221" i="1" s="1"/>
  <c r="L553" i="8"/>
  <c r="H213" i="1"/>
  <c r="D76" i="9"/>
  <c r="H108" i="1"/>
  <c r="D363" i="9"/>
  <c r="L602" i="1"/>
  <c r="B402" i="1"/>
  <c r="B409" i="1" s="1"/>
  <c r="F156" i="9"/>
  <c r="K440" i="1"/>
  <c r="K441" i="1" s="1"/>
  <c r="K448" i="1" s="1"/>
  <c r="L62" i="1"/>
  <c r="L240" i="7"/>
  <c r="L397" i="2"/>
  <c r="H76" i="7"/>
  <c r="L116" i="8"/>
  <c r="D179" i="4"/>
  <c r="D196" i="4" s="1"/>
  <c r="D185" i="1"/>
  <c r="D197" i="1" s="1"/>
  <c r="D363" i="8"/>
  <c r="D362" i="3"/>
  <c r="D523" i="9"/>
  <c r="H155" i="2"/>
  <c r="L115" i="3"/>
  <c r="F197" i="1"/>
  <c r="F214" i="1" s="1"/>
  <c r="F221" i="1" s="1"/>
  <c r="D155" i="1"/>
  <c r="H76" i="9"/>
  <c r="D363" i="7"/>
  <c r="D483" i="8"/>
  <c r="L325" i="5"/>
  <c r="L326" i="5" s="1"/>
  <c r="L523" i="7"/>
  <c r="B441" i="1"/>
  <c r="B448" i="1" s="1"/>
  <c r="D483" i="9"/>
  <c r="F363" i="8"/>
  <c r="D110" i="1"/>
  <c r="D124" i="1" s="1"/>
  <c r="H179" i="4"/>
  <c r="H196" i="4" s="1"/>
  <c r="H185" i="1"/>
  <c r="H197" i="1" s="1"/>
  <c r="H214" i="1" s="1"/>
  <c r="H221" i="1" s="1"/>
  <c r="H115" i="3"/>
  <c r="H116" i="8"/>
  <c r="L612" i="1"/>
  <c r="K132" i="1"/>
  <c r="F259" i="1"/>
  <c r="D463" i="1"/>
  <c r="K382" i="1"/>
  <c r="M561" i="1"/>
  <c r="L562" i="1"/>
  <c r="L466" i="1"/>
  <c r="M465" i="1"/>
  <c r="H396" i="3"/>
  <c r="H386" i="1"/>
  <c r="J440" i="1"/>
  <c r="D193" i="3"/>
  <c r="D194" i="3" s="1"/>
  <c r="K401" i="1"/>
  <c r="J401" i="1"/>
  <c r="J402" i="1" s="1"/>
  <c r="J409" i="1" s="1"/>
  <c r="K559" i="1"/>
  <c r="D536" i="1"/>
  <c r="L661" i="1"/>
  <c r="L473" i="1"/>
  <c r="M473" i="1" s="1"/>
  <c r="K239" i="1"/>
  <c r="L474" i="1"/>
  <c r="M474" i="1" s="1"/>
  <c r="L391" i="1"/>
  <c r="H193" i="3"/>
  <c r="H194" i="3" s="1"/>
  <c r="K361" i="1"/>
  <c r="K368" i="1" s="1"/>
  <c r="L640" i="1"/>
  <c r="L197" i="1"/>
  <c r="L580" i="1"/>
  <c r="M580" i="1" s="1"/>
  <c r="L433" i="1"/>
  <c r="H599" i="1"/>
  <c r="H613" i="1" s="1"/>
  <c r="D599" i="1"/>
  <c r="D613" i="1" s="1"/>
  <c r="H138" i="3"/>
  <c r="L556" i="1"/>
  <c r="M556" i="1" s="1"/>
  <c r="D213" i="1"/>
  <c r="J361" i="1"/>
  <c r="J368" i="1" s="1"/>
  <c r="J559" i="1"/>
  <c r="H156" i="2"/>
  <c r="D64" i="1"/>
  <c r="H64" i="1"/>
  <c r="L76" i="6"/>
  <c r="L76" i="2"/>
  <c r="D76" i="2"/>
  <c r="D76" i="3"/>
  <c r="M68" i="1"/>
  <c r="I81" i="1"/>
  <c r="M52" i="1"/>
  <c r="F132" i="1"/>
  <c r="F125" i="1"/>
  <c r="L156" i="2"/>
  <c r="M139" i="2"/>
  <c r="M329" i="1"/>
  <c r="H331" i="1"/>
  <c r="H338" i="1" s="1"/>
  <c r="D331" i="1"/>
  <c r="D338" i="1" s="1"/>
  <c r="L246" i="1"/>
  <c r="M246" i="1" s="1"/>
  <c r="J259" i="1"/>
  <c r="I239" i="1"/>
  <c r="I264" i="1" s="1"/>
  <c r="I271" i="1" s="1"/>
  <c r="L230" i="1"/>
  <c r="M230" i="1" s="1"/>
  <c r="H474" i="1"/>
  <c r="D474" i="1"/>
  <c r="L519" i="5"/>
  <c r="J363" i="2"/>
  <c r="H286" i="1"/>
  <c r="H289" i="1" s="1"/>
  <c r="D286" i="1"/>
  <c r="D289" i="1" s="1"/>
  <c r="L564" i="1"/>
  <c r="J574" i="1"/>
  <c r="H392" i="1"/>
  <c r="D392" i="1"/>
  <c r="D511" i="1"/>
  <c r="B243" i="1"/>
  <c r="B264" i="1"/>
  <c r="B271" i="1" s="1"/>
  <c r="M296" i="7"/>
  <c r="L303" i="7"/>
  <c r="F169" i="1"/>
  <c r="J125" i="1"/>
  <c r="J132" i="1"/>
  <c r="M59" i="2"/>
  <c r="L115" i="9"/>
  <c r="M101" i="9"/>
  <c r="M192" i="3"/>
  <c r="L193" i="3"/>
  <c r="L194" i="3" s="1"/>
  <c r="L212" i="1"/>
  <c r="F156" i="7"/>
  <c r="L325" i="3"/>
  <c r="M513" i="1"/>
  <c r="L514" i="1"/>
  <c r="D433" i="1"/>
  <c r="H433" i="1"/>
  <c r="M305" i="7"/>
  <c r="L307" i="7"/>
  <c r="L116" i="2"/>
  <c r="M99" i="2"/>
  <c r="D159" i="1"/>
  <c r="F522" i="3"/>
  <c r="L474" i="4"/>
  <c r="L483" i="4" s="1"/>
  <c r="L110" i="1"/>
  <c r="D478" i="1"/>
  <c r="H478" i="1"/>
  <c r="I284" i="2"/>
  <c r="L116" i="6"/>
  <c r="F153" i="1"/>
  <c r="L380" i="8"/>
  <c r="L397" i="8" s="1"/>
  <c r="M373" i="8"/>
  <c r="L289" i="1"/>
  <c r="M279" i="1"/>
  <c r="D340" i="1"/>
  <c r="D342" i="1" s="1"/>
  <c r="H340" i="1"/>
  <c r="H342" i="1" s="1"/>
  <c r="F342" i="1"/>
  <c r="L326" i="6"/>
  <c r="M494" i="3"/>
  <c r="L499" i="3"/>
  <c r="L522" i="3" s="1"/>
  <c r="L116" i="5"/>
  <c r="H463" i="1"/>
  <c r="L440" i="7"/>
  <c r="H417" i="1"/>
  <c r="H424" i="1" s="1"/>
  <c r="F424" i="1"/>
  <c r="D417" i="1"/>
  <c r="D424" i="1" s="1"/>
  <c r="M89" i="9"/>
  <c r="L98" i="1"/>
  <c r="M98" i="1" s="1"/>
  <c r="H124" i="1"/>
  <c r="L484" i="1"/>
  <c r="F289" i="1"/>
  <c r="H155" i="1"/>
  <c r="D140" i="1"/>
  <c r="M389" i="1"/>
  <c r="D377" i="1"/>
  <c r="H377" i="1"/>
  <c r="D108" i="1"/>
  <c r="L331" i="1"/>
  <c r="M331" i="1" s="1"/>
  <c r="L463" i="1"/>
  <c r="M456" i="1"/>
  <c r="M373" i="9"/>
  <c r="L380" i="9"/>
  <c r="L397" i="9" s="1"/>
  <c r="L554" i="1"/>
  <c r="I559" i="1"/>
  <c r="I582" i="1" s="1"/>
  <c r="D363" i="2"/>
  <c r="J293" i="1"/>
  <c r="J309" i="1" s="1"/>
  <c r="J314" i="1" s="1"/>
  <c r="J321" i="1" s="1"/>
  <c r="B582" i="1"/>
  <c r="H536" i="1"/>
  <c r="D99" i="9"/>
  <c r="D116" i="9" s="1"/>
  <c r="H360" i="1"/>
  <c r="L470" i="1"/>
  <c r="J480" i="1"/>
  <c r="J489" i="1" s="1"/>
  <c r="J496" i="1" s="1"/>
  <c r="D522" i="3"/>
  <c r="L229" i="1"/>
  <c r="J239" i="1"/>
  <c r="F523" i="7"/>
  <c r="M141" i="1"/>
  <c r="L153" i="1"/>
  <c r="L99" i="9"/>
  <c r="L116" i="9" s="1"/>
  <c r="H156" i="9"/>
  <c r="M594" i="1"/>
  <c r="L599" i="1"/>
  <c r="H519" i="1"/>
  <c r="H528" i="1" s="1"/>
  <c r="D519" i="1"/>
  <c r="D528" i="1" s="1"/>
  <c r="F528" i="1"/>
  <c r="F537" i="1" s="1"/>
  <c r="F544" i="1" s="1"/>
  <c r="M262" i="2"/>
  <c r="L264" i="2"/>
  <c r="H580" i="1"/>
  <c r="D580" i="1"/>
  <c r="D436" i="1"/>
  <c r="H436" i="1"/>
  <c r="H154" i="3"/>
  <c r="H160" i="1"/>
  <c r="M497" i="9"/>
  <c r="L500" i="9"/>
  <c r="L523" i="9" s="1"/>
  <c r="D248" i="1"/>
  <c r="H248" i="1"/>
  <c r="L376" i="1"/>
  <c r="I382" i="1"/>
  <c r="I402" i="1" s="1"/>
  <c r="I409" i="1" s="1"/>
  <c r="M347" i="1"/>
  <c r="L360" i="1"/>
  <c r="M421" i="8"/>
  <c r="L431" i="8"/>
  <c r="L440" i="8" s="1"/>
  <c r="D391" i="1"/>
  <c r="H391" i="1"/>
  <c r="M95" i="1"/>
  <c r="H363" i="2"/>
  <c r="I293" i="1"/>
  <c r="L291" i="1"/>
  <c r="D578" i="1"/>
  <c r="H578" i="1"/>
  <c r="F581" i="1"/>
  <c r="M338" i="9"/>
  <c r="L343" i="9"/>
  <c r="L363" i="9" s="1"/>
  <c r="F338" i="1"/>
  <c r="D284" i="2"/>
  <c r="K125" i="1"/>
  <c r="K239" i="8"/>
  <c r="K240" i="8" s="1"/>
  <c r="L237" i="8"/>
  <c r="D397" i="1"/>
  <c r="H397" i="1"/>
  <c r="D246" i="1"/>
  <c r="H246" i="1"/>
  <c r="M431" i="1"/>
  <c r="M532" i="1"/>
  <c r="L536" i="1"/>
  <c r="L440" i="2"/>
  <c r="L340" i="1"/>
  <c r="I342" i="1"/>
  <c r="I361" i="1" s="1"/>
  <c r="I368" i="1" s="1"/>
  <c r="I125" i="1"/>
  <c r="I132" i="1"/>
  <c r="M381" i="5"/>
  <c r="L382" i="5"/>
  <c r="L396" i="5" s="1"/>
  <c r="M350" i="2"/>
  <c r="L362" i="2"/>
  <c r="L363" i="2" s="1"/>
  <c r="D484" i="1"/>
  <c r="D488" i="1" s="1"/>
  <c r="H484" i="1"/>
  <c r="H488" i="1" s="1"/>
  <c r="F440" i="1"/>
  <c r="M265" i="4"/>
  <c r="L266" i="4"/>
  <c r="L286" i="4" s="1"/>
  <c r="D556" i="1"/>
  <c r="H556" i="1"/>
  <c r="L377" i="1"/>
  <c r="M377" i="1" s="1"/>
  <c r="L217" i="4"/>
  <c r="L242" i="4" s="1"/>
  <c r="M207" i="4"/>
  <c r="M286" i="1"/>
  <c r="L483" i="7"/>
  <c r="H564" i="1"/>
  <c r="D564" i="1"/>
  <c r="F574" i="1"/>
  <c r="L386" i="1"/>
  <c r="M384" i="1"/>
  <c r="H291" i="1"/>
  <c r="D291" i="1"/>
  <c r="F293" i="1"/>
  <c r="F309" i="1" s="1"/>
  <c r="L578" i="1"/>
  <c r="J581" i="1"/>
  <c r="D360" i="1"/>
  <c r="H470" i="1"/>
  <c r="D470" i="1"/>
  <c r="F480" i="1"/>
  <c r="D79" i="1"/>
  <c r="D80" i="1" s="1"/>
  <c r="M168" i="1"/>
  <c r="L169" i="1"/>
  <c r="K613" i="1"/>
  <c r="L519" i="1"/>
  <c r="J528" i="1"/>
  <c r="J537" i="1" s="1"/>
  <c r="J544" i="1" s="1"/>
  <c r="L397" i="1"/>
  <c r="H570" i="1"/>
  <c r="D570" i="1"/>
  <c r="F363" i="7"/>
  <c r="F81" i="1"/>
  <c r="F116" i="9"/>
  <c r="H116" i="4"/>
  <c r="M257" i="2"/>
  <c r="L260" i="2"/>
  <c r="L523" i="2"/>
  <c r="D326" i="7"/>
  <c r="L570" i="1"/>
  <c r="M570" i="1" s="1"/>
  <c r="L436" i="1"/>
  <c r="M436" i="1" s="1"/>
  <c r="D154" i="3"/>
  <c r="D160" i="1"/>
  <c r="H156" i="7"/>
  <c r="H140" i="1"/>
  <c r="H153" i="1" s="1"/>
  <c r="F613" i="1"/>
  <c r="M504" i="1"/>
  <c r="L511" i="1"/>
  <c r="H230" i="1"/>
  <c r="D230" i="1"/>
  <c r="L215" i="8"/>
  <c r="M206" i="8"/>
  <c r="H482" i="3"/>
  <c r="F401" i="1"/>
  <c r="H440" i="9"/>
  <c r="H473" i="1"/>
  <c r="D473" i="1"/>
  <c r="L283" i="3"/>
  <c r="L417" i="1"/>
  <c r="J424" i="1"/>
  <c r="L248" i="1"/>
  <c r="M248" i="1" s="1"/>
  <c r="H376" i="1"/>
  <c r="D376" i="1"/>
  <c r="F382" i="1"/>
  <c r="M221" i="3"/>
  <c r="L238" i="3"/>
  <c r="L239" i="3" s="1"/>
  <c r="K537" i="1"/>
  <c r="K544" i="1" s="1"/>
  <c r="F155" i="3"/>
  <c r="D156" i="2"/>
  <c r="H363" i="8"/>
  <c r="L553" i="9"/>
  <c r="B361" i="1"/>
  <c r="B368" i="1" s="1"/>
  <c r="K574" i="1"/>
  <c r="M224" i="5"/>
  <c r="L239" i="5"/>
  <c r="L240" i="5" s="1"/>
  <c r="L474" i="9"/>
  <c r="L483" i="9" s="1"/>
  <c r="L392" i="1"/>
  <c r="M336" i="8"/>
  <c r="L343" i="8"/>
  <c r="L363" i="8" s="1"/>
  <c r="D554" i="1"/>
  <c r="H554" i="1"/>
  <c r="F559" i="1"/>
  <c r="H511" i="1"/>
  <c r="F363" i="2"/>
  <c r="K293" i="1"/>
  <c r="K309" i="1" s="1"/>
  <c r="K581" i="1"/>
  <c r="K480" i="1"/>
  <c r="K489" i="1" s="1"/>
  <c r="K496" i="1" s="1"/>
  <c r="H522" i="3"/>
  <c r="D229" i="1"/>
  <c r="H229" i="1"/>
  <c r="F239" i="1"/>
  <c r="F284" i="2"/>
  <c r="H523" i="7"/>
  <c r="I326" i="7"/>
  <c r="D149" i="1"/>
  <c r="D138" i="3"/>
  <c r="M337" i="7"/>
  <c r="L343" i="7"/>
  <c r="L363" i="7" s="1"/>
  <c r="L483" i="2"/>
  <c r="M495" i="8"/>
  <c r="L500" i="8"/>
  <c r="L523" i="8" s="1"/>
  <c r="F488" i="1"/>
  <c r="H76" i="2"/>
  <c r="F88" i="1"/>
  <c r="H76" i="3"/>
  <c r="M66" i="1"/>
  <c r="K88" i="1"/>
  <c r="L80" i="1"/>
  <c r="L76" i="3"/>
  <c r="M59" i="3"/>
  <c r="L76" i="4"/>
  <c r="M59" i="4"/>
  <c r="M59" i="5"/>
  <c r="L76" i="5"/>
  <c r="M59" i="7"/>
  <c r="L76" i="7"/>
  <c r="M51" i="1"/>
  <c r="M59" i="8"/>
  <c r="L76" i="8"/>
  <c r="K81" i="1"/>
  <c r="K402" i="1" l="1"/>
  <c r="K409" i="1" s="1"/>
  <c r="D214" i="1"/>
  <c r="D221" i="1" s="1"/>
  <c r="L284" i="2"/>
  <c r="D559" i="1"/>
  <c r="K264" i="1"/>
  <c r="K271" i="1" s="1"/>
  <c r="K314" i="1"/>
  <c r="K321" i="1" s="1"/>
  <c r="F264" i="1"/>
  <c r="F271" i="1" s="1"/>
  <c r="H132" i="1"/>
  <c r="L613" i="1"/>
  <c r="H559" i="1"/>
  <c r="H361" i="1"/>
  <c r="H368" i="1" s="1"/>
  <c r="L326" i="7"/>
  <c r="H382" i="1"/>
  <c r="J441" i="1"/>
  <c r="J448" i="1" s="1"/>
  <c r="K582" i="1"/>
  <c r="D169" i="1"/>
  <c r="D581" i="1"/>
  <c r="F170" i="1"/>
  <c r="F177" i="1" s="1"/>
  <c r="H169" i="1"/>
  <c r="H170" i="1" s="1"/>
  <c r="H177" i="1" s="1"/>
  <c r="H440" i="1"/>
  <c r="L108" i="1"/>
  <c r="D440" i="1"/>
  <c r="D441" i="1" s="1"/>
  <c r="D448" i="1" s="1"/>
  <c r="D239" i="1"/>
  <c r="H480" i="1"/>
  <c r="H489" i="1" s="1"/>
  <c r="H496" i="1" s="1"/>
  <c r="L401" i="1"/>
  <c r="F402" i="1"/>
  <c r="F409" i="1" s="1"/>
  <c r="H574" i="1"/>
  <c r="D401" i="1"/>
  <c r="D155" i="3"/>
  <c r="H155" i="3"/>
  <c r="J582" i="1"/>
  <c r="F582" i="1"/>
  <c r="H259" i="1"/>
  <c r="D259" i="1"/>
  <c r="H401" i="1"/>
  <c r="F441" i="1"/>
  <c r="F448" i="1" s="1"/>
  <c r="F489" i="1"/>
  <c r="F496" i="1" s="1"/>
  <c r="H239" i="1"/>
  <c r="D88" i="1"/>
  <c r="H88" i="1"/>
  <c r="M578" i="1"/>
  <c r="L581" i="1"/>
  <c r="M340" i="1"/>
  <c r="L342" i="1"/>
  <c r="M291" i="1"/>
  <c r="L293" i="1"/>
  <c r="L309" i="1" s="1"/>
  <c r="L314" i="1" s="1"/>
  <c r="L321" i="1" s="1"/>
  <c r="L124" i="1"/>
  <c r="M110" i="1"/>
  <c r="D382" i="1"/>
  <c r="L440" i="1"/>
  <c r="H537" i="1"/>
  <c r="H544" i="1" s="1"/>
  <c r="H441" i="1"/>
  <c r="H448" i="1" s="1"/>
  <c r="L338" i="1"/>
  <c r="L424" i="1"/>
  <c r="M417" i="1"/>
  <c r="H125" i="1"/>
  <c r="M237" i="8"/>
  <c r="L239" i="8"/>
  <c r="L240" i="8" s="1"/>
  <c r="F361" i="1"/>
  <c r="F368" i="1" s="1"/>
  <c r="H581" i="1"/>
  <c r="L170" i="1"/>
  <c r="L177" i="1" s="1"/>
  <c r="L239" i="1"/>
  <c r="M229" i="1"/>
  <c r="M470" i="1"/>
  <c r="L480" i="1"/>
  <c r="D125" i="1"/>
  <c r="D132" i="1"/>
  <c r="F314" i="1"/>
  <c r="F321" i="1" s="1"/>
  <c r="M212" i="1"/>
  <c r="L213" i="1"/>
  <c r="L214" i="1" s="1"/>
  <c r="L221" i="1" s="1"/>
  <c r="D537" i="1"/>
  <c r="D544" i="1" s="1"/>
  <c r="L574" i="1"/>
  <c r="L259" i="1"/>
  <c r="M519" i="1"/>
  <c r="L528" i="1"/>
  <c r="L537" i="1" s="1"/>
  <c r="L544" i="1" s="1"/>
  <c r="H293" i="1"/>
  <c r="H309" i="1" s="1"/>
  <c r="H314" i="1" s="1"/>
  <c r="H321" i="1" s="1"/>
  <c r="M376" i="1"/>
  <c r="L382" i="1"/>
  <c r="J264" i="1"/>
  <c r="J271" i="1" s="1"/>
  <c r="D480" i="1"/>
  <c r="D489" i="1" s="1"/>
  <c r="D496" i="1" s="1"/>
  <c r="D293" i="1"/>
  <c r="D309" i="1" s="1"/>
  <c r="D314" i="1" s="1"/>
  <c r="D321" i="1" s="1"/>
  <c r="D574" i="1"/>
  <c r="D361" i="1"/>
  <c r="D368" i="1" s="1"/>
  <c r="M554" i="1"/>
  <c r="L559" i="1"/>
  <c r="D153" i="1"/>
  <c r="M484" i="1"/>
  <c r="L488" i="1"/>
  <c r="D81" i="1"/>
  <c r="H81" i="1"/>
  <c r="D264" i="1" l="1"/>
  <c r="D271" i="1" s="1"/>
  <c r="L441" i="1"/>
  <c r="L448" i="1" s="1"/>
  <c r="L132" i="1"/>
  <c r="D582" i="1"/>
  <c r="H402" i="1"/>
  <c r="H409" i="1" s="1"/>
  <c r="L402" i="1"/>
  <c r="L409" i="1" s="1"/>
  <c r="D402" i="1"/>
  <c r="D409" i="1" s="1"/>
  <c r="L125" i="1"/>
  <c r="D170" i="1"/>
  <c r="D177" i="1" s="1"/>
  <c r="L582" i="1"/>
  <c r="L489" i="1"/>
  <c r="L496" i="1" s="1"/>
  <c r="L361" i="1"/>
  <c r="L368" i="1" s="1"/>
  <c r="L264" i="1"/>
  <c r="L271" i="1" s="1"/>
  <c r="H582" i="1"/>
  <c r="H264" i="1"/>
  <c r="H271" i="1" s="1"/>
  <c r="L59" i="9"/>
  <c r="M59" i="9" s="1"/>
  <c r="M55" i="9"/>
  <c r="J60" i="1"/>
  <c r="J64" i="1" s="1"/>
  <c r="L60" i="1"/>
  <c r="L64" i="1" s="1"/>
  <c r="J59" i="9" l="1"/>
  <c r="J76" i="9" s="1"/>
  <c r="L88" i="1"/>
  <c r="L81" i="1"/>
  <c r="J88" i="1"/>
  <c r="J81" i="1"/>
  <c r="L76" i="9"/>
  <c r="L18" i="1"/>
  <c r="L37" i="4"/>
  <c r="J18" i="1"/>
  <c r="J37" i="4"/>
  <c r="L37" i="1" l="1"/>
  <c r="J37" i="1"/>
  <c r="J44" i="1"/>
  <c r="L44" i="1"/>
  <c r="F11" i="1" l="1"/>
  <c r="D11" i="4"/>
  <c r="D11" i="1" s="1"/>
  <c r="H11" i="4"/>
  <c r="H11" i="1" s="1"/>
  <c r="H20" i="1" s="1"/>
  <c r="H37" i="4"/>
  <c r="H13" i="4"/>
  <c r="H13" i="1" s="1"/>
  <c r="F13" i="1"/>
  <c r="D13" i="4"/>
  <c r="D37" i="4" s="1"/>
  <c r="D13" i="1"/>
  <c r="F20" i="1" l="1"/>
  <c r="D20" i="1"/>
  <c r="F36" i="3"/>
  <c r="F37" i="3" s="1"/>
  <c r="D31" i="1"/>
  <c r="D36" i="1" s="1"/>
  <c r="F31" i="1"/>
  <c r="F36" i="1" s="1"/>
  <c r="H31" i="3"/>
  <c r="H36" i="3" s="1"/>
  <c r="H37" i="3" s="1"/>
  <c r="H31" i="1"/>
  <c r="H36" i="1" s="1"/>
  <c r="D31" i="3"/>
  <c r="D36" i="3" s="1"/>
  <c r="D37" i="3" s="1"/>
  <c r="H44" i="1" l="1"/>
  <c r="D37" i="1"/>
  <c r="D44" i="1"/>
  <c r="F44" i="1"/>
  <c r="F37" i="1"/>
  <c r="H3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Christopher Garcia</author>
  </authors>
  <commentList>
    <comment ref="I7" authorId="0" shapeId="0" xr:uid="{74A2E88F-731B-44EE-9309-D28077A14E8D}">
      <text>
        <r>
          <rPr>
            <b/>
            <sz val="9"/>
            <color indexed="81"/>
            <rFont val="Tahoma"/>
            <family val="2"/>
          </rPr>
          <t>Christopher Garcia:</t>
        </r>
        <r>
          <rPr>
            <sz val="9"/>
            <color indexed="81"/>
            <rFont val="Tahoma"/>
            <family val="2"/>
          </rPr>
          <t xml:space="preserve">
Ontario's Added Rebate</t>
        </r>
      </text>
    </comment>
    <comment ref="I31" authorId="0" shapeId="0" xr:uid="{6EE8DE76-A77F-457A-9FDC-A658C79FA8E6}">
      <text>
        <r>
          <rPr>
            <b/>
            <sz val="9"/>
            <color indexed="81"/>
            <rFont val="Tahoma"/>
            <family val="2"/>
          </rPr>
          <t>Christopher Garcia:</t>
        </r>
        <r>
          <rPr>
            <sz val="9"/>
            <color indexed="81"/>
            <rFont val="Tahoma"/>
            <family val="2"/>
          </rPr>
          <t xml:space="preserve">
$5,220 from SAWPA Grant and $3,191 from Ontario Added Rebate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Vanessa Contreras</author>
  </authors>
  <commentList>
    <comment ref="A297" authorId="0" shapeId="0" xr:uid="{00000000-0006-0000-0700-000001000000}">
      <text>
        <r>
          <rPr>
            <b/>
            <sz val="9"/>
            <color indexed="81"/>
            <rFont val="Tahoma"/>
            <family val="2"/>
          </rPr>
          <t>Vanessa Contreras:</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tc={D84CBD55-C20A-438A-B899-5E2926D574BE}</author>
    <author>tc={34F1D362-E4F5-4498-AE15-454FFF1BC609}</author>
  </authors>
  <commentList>
    <comment ref="F50" authorId="0" shapeId="0" xr:uid="{00000000-0006-0000-0F00-000003000000}">
      <text>
        <r>
          <rPr>
            <sz val="10"/>
            <rFont val="Arial"/>
          </rPr>
          <t>[Threaded comment]
Your version of Excel allows you to read this threaded comment; however, any edits to it will get removed if the file is opened in a newer version of Excel. Learn more: https://go.microsoft.com/fwlink/?linkid=870924
Comment:
    Calculate using (43xsq ft removed)/325900</t>
        </r>
      </text>
    </comment>
    <comment ref="A55" authorId="1" shapeId="0" xr:uid="{00000000-0006-0000-0F00-000004000000}">
      <text>
        <r>
          <rPr>
            <sz val="10"/>
            <rFont val="Arial"/>
          </rPr>
          <t>[Threaded comment]
Your version of Excel allows you to read this threaded comment; however, any edits to it will get removed if the file is opened in a newer version of Excel. Learn more: https://go.microsoft.com/fwlink/?linkid=870924
Comment:
    Must calculate small site and large sites individually for each member agency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Christopher Garcia</author>
  </authors>
  <commentList>
    <comment ref="M6" authorId="0" shapeId="0" xr:uid="{44B2C0F5-EDA0-4E05-BCCB-30EF1A1B41F9}">
      <text>
        <r>
          <rPr>
            <b/>
            <sz val="9"/>
            <color indexed="81"/>
            <rFont val="Tahoma"/>
            <family val="2"/>
          </rPr>
          <t xml:space="preserve">Christopher Garcia:
MWD
2019 Tier 2 Untreated Rate: $817
2020 Tier 2 Untreated Rate: $842
FY 19-20 Tier 2 Melded Untreated Rate: </t>
        </r>
        <r>
          <rPr>
            <b/>
            <u/>
            <sz val="9"/>
            <color indexed="81"/>
            <rFont val="Tahoma"/>
            <family val="2"/>
          </rPr>
          <t xml:space="preserve">$830
</t>
        </r>
        <r>
          <rPr>
            <b/>
            <sz val="9"/>
            <color indexed="81"/>
            <rFont val="Tahoma"/>
            <family val="2"/>
          </rPr>
          <t xml:space="preserve">Payback Period = IEUA Costs / (AFY Saved * Tier 2 Melded Rate)
</t>
        </r>
        <r>
          <rPr>
            <b/>
            <u/>
            <sz val="9"/>
            <color indexed="81"/>
            <rFont val="Tahoma"/>
            <family val="2"/>
          </rPr>
          <t xml:space="preserve">
</t>
        </r>
        <r>
          <rPr>
            <b/>
            <sz val="9"/>
            <color indexed="81"/>
            <rFont val="Tahoma"/>
            <family val="2"/>
          </rPr>
          <t>2019 Water Sweardship 65
2020 Water Stewardship 69
FY 19-20 Melded Water Stewardship: $</t>
        </r>
        <r>
          <rPr>
            <b/>
            <u/>
            <sz val="9"/>
            <color indexed="81"/>
            <rFont val="Tahoma"/>
            <family val="2"/>
          </rPr>
          <t xml:space="preserve">67
</t>
        </r>
      </text>
    </comment>
    <comment ref="F15" authorId="0" shapeId="0" xr:uid="{E3E62247-06F9-4FBC-9647-11D2AA2D7367}">
      <text>
        <r>
          <rPr>
            <b/>
            <sz val="9"/>
            <color indexed="81"/>
            <rFont val="Tahoma"/>
            <family val="2"/>
          </rPr>
          <t>Christopher Garcia:</t>
        </r>
        <r>
          <rPr>
            <sz val="9"/>
            <color indexed="81"/>
            <rFont val="Tahoma"/>
            <family val="2"/>
          </rPr>
          <t xml:space="preserve">
EPA:
Fixing pin hole irrigation leaks amount to 75,600 gallons saved per year (.232 AFY). The lifetime of this repair is estimated to be 2 years.</t>
        </r>
      </text>
    </comment>
  </commentList>
</comments>
</file>

<file path=xl/sharedStrings.xml><?xml version="1.0" encoding="utf-8"?>
<sst xmlns="http://schemas.openxmlformats.org/spreadsheetml/2006/main" count="11747" uniqueCount="475">
  <si>
    <t>Funding Sources (dollars)</t>
  </si>
  <si>
    <t>District Devices/</t>
  </si>
  <si>
    <t>Gallons Saved</t>
  </si>
  <si>
    <t>AF Saved</t>
  </si>
  <si>
    <t>Payback Period</t>
  </si>
  <si>
    <t>Program</t>
  </si>
  <si>
    <t>Rebates</t>
  </si>
  <si>
    <t>(year)</t>
  </si>
  <si>
    <t>IEUA</t>
  </si>
  <si>
    <t>MWD</t>
  </si>
  <si>
    <t>Total</t>
  </si>
  <si>
    <t>Multi-Family Program</t>
  </si>
  <si>
    <t>X-Ray Film Processor (MWD CII)</t>
  </si>
  <si>
    <t>High Efficiency Clothes Washers</t>
  </si>
  <si>
    <t>Pool Cover Rebates</t>
  </si>
  <si>
    <t>Water Brooms</t>
  </si>
  <si>
    <t>Pre-Rinse Spray Nozzles</t>
  </si>
  <si>
    <t>TOTAL</t>
  </si>
  <si>
    <r>
      <t>(1)</t>
    </r>
    <r>
      <rPr>
        <sz val="10"/>
        <rFont val="Arial"/>
        <family val="2"/>
      </rPr>
      <t xml:space="preserve"> Payback period =</t>
    </r>
  </si>
  <si>
    <t>AF saved/year x MWD Tier II rate/AF</t>
  </si>
  <si>
    <t>Conductivity Controller</t>
  </si>
  <si>
    <t>Restaurant Table Tent Program</t>
  </si>
  <si>
    <t>N/A</t>
  </si>
  <si>
    <t>Conductivity Controller (MWD CII)</t>
  </si>
  <si>
    <t>Rotating Sprinkler Nozzles</t>
  </si>
  <si>
    <t>ULFT Tank</t>
  </si>
  <si>
    <t>ULFT Flushometer</t>
  </si>
  <si>
    <t>Zero Water Urinal</t>
  </si>
  <si>
    <t>Ultra Low Flush Toilets (ULFT)</t>
  </si>
  <si>
    <t>High Efficiency Toilets (HET)</t>
  </si>
  <si>
    <t>Weather Based Irrigation Controllers (WBIC)</t>
  </si>
  <si>
    <t>Multi-Family Toilet Program (HET/ULFT)</t>
  </si>
  <si>
    <t>High Effeciency Toilets (HET)</t>
  </si>
  <si>
    <t>High Efficiency Clothes Washers (HECW)</t>
  </si>
  <si>
    <t>FY 2007-08</t>
  </si>
  <si>
    <t>July</t>
  </si>
  <si>
    <t>August</t>
  </si>
  <si>
    <t>September</t>
  </si>
  <si>
    <t>October</t>
  </si>
  <si>
    <t>November</t>
  </si>
  <si>
    <t>December</t>
  </si>
  <si>
    <t>January</t>
  </si>
  <si>
    <t>February</t>
  </si>
  <si>
    <t>March</t>
  </si>
  <si>
    <t>April</t>
  </si>
  <si>
    <t xml:space="preserve">May </t>
  </si>
  <si>
    <t>June</t>
  </si>
  <si>
    <t xml:space="preserve">Water Brooms </t>
  </si>
  <si>
    <t>Residential Rebate Programs</t>
  </si>
  <si>
    <t>IEUA Mulit-Family Direct Install Prog. (HET/ULFT)</t>
  </si>
  <si>
    <t>CII Save-A-Buck Rebate Program</t>
  </si>
  <si>
    <t>Waterless Urinals</t>
  </si>
  <si>
    <t>Weather based Irrigation Controllers (WBIC)</t>
  </si>
  <si>
    <t>Synthetic Turf (Sq. Ft.)</t>
  </si>
  <si>
    <t>MWD Public Sector Program</t>
  </si>
  <si>
    <t>Central Computer Irrigation Controllers (CCIC)</t>
  </si>
  <si>
    <t>Rotating Nozzles for Pop-up Spray Heads</t>
  </si>
  <si>
    <t>Water Wise Landscape (Turf Buy Back) (Sq. Ft.)</t>
  </si>
  <si>
    <t>Lifetime</t>
  </si>
  <si>
    <t xml:space="preserve"> Total direct program costs</t>
  </si>
  <si>
    <t>Subtotal</t>
  </si>
  <si>
    <t>Residential Programs</t>
  </si>
  <si>
    <t>City Event (ULFT)</t>
  </si>
  <si>
    <t>IEUA Regional Event (ULFT)</t>
  </si>
  <si>
    <t>IEUA Rebate Program (ULFT)</t>
  </si>
  <si>
    <t xml:space="preserve">Multi-Family Program </t>
  </si>
  <si>
    <t>ULFT's (Tank)</t>
  </si>
  <si>
    <t>ULFT (Tank)</t>
  </si>
  <si>
    <t xml:space="preserve">Conductivity Controller </t>
  </si>
  <si>
    <t xml:space="preserve">X-Ray Film Processor </t>
  </si>
  <si>
    <t>Water Brooms (Rebate)</t>
  </si>
  <si>
    <t>Water Brooms (Distribution)</t>
  </si>
  <si>
    <t>Weather Based Irrigation Controllers (WBIC) - Rebate</t>
  </si>
  <si>
    <t>Weather Based Irrigation Controllers (WBIC) - Distribution</t>
  </si>
  <si>
    <t>Residential  Programs</t>
  </si>
  <si>
    <t>Water Brooms (Rebates)</t>
  </si>
  <si>
    <t>X-Ray Film Processor</t>
  </si>
  <si>
    <t>Water Wise Landscape (Turf Buy Back) (21,506 Sq. Ft.)</t>
  </si>
  <si>
    <t>Synthetic Turf (61,970 Sq. Ft.)</t>
  </si>
  <si>
    <t>Synthetic Turf (32,525 Sq. Ft.)</t>
  </si>
  <si>
    <t>Water Wise Landscape (Turf BuyBack) (2,682 Sq. Ft.)</t>
  </si>
  <si>
    <t>Synthetic Turf (4,977 Sq. Ft.)</t>
  </si>
  <si>
    <t>Synthetic Turf (2,215 Sq. Ft.)</t>
  </si>
  <si>
    <t>Synthetic Turf (30,400 Sq. Ft.)</t>
  </si>
  <si>
    <t>Water Wise Landscape (Turf Buy Back) (552 Sq. Ft.)</t>
  </si>
  <si>
    <t>Synthetic Turf (3,690 Sq. Ft.)</t>
  </si>
  <si>
    <t>Water Wise Landscape (Turf Buy Back) (270 Sq. Ft.)</t>
  </si>
  <si>
    <t>Synthetic Turf (2,783 Sq. Ft.)</t>
  </si>
  <si>
    <t>Synthetic Turf (925 Sq. Ft.)</t>
  </si>
  <si>
    <t xml:space="preserve">Weather Based Irrigation Controllers (WBIC) </t>
  </si>
  <si>
    <t>Water Wise Landscape (Turf Buy Back) (8,587 Sq. Ft.)</t>
  </si>
  <si>
    <t>Synthetic Turf (9,919 Sq. Ft.)</t>
  </si>
  <si>
    <t>Water Wise Landscape (Turf Buy Back) (1,216 Sq. Ft.)</t>
  </si>
  <si>
    <t>Synthetic Turf (1,740 Sq. Ft.)</t>
  </si>
  <si>
    <t>Synthetic Turf (1,200 Sq. Ft.)</t>
  </si>
  <si>
    <t>Water Wise Landscape (Turf Buy Back) (8,199 Sq. Ft.)</t>
  </si>
  <si>
    <t>Synthetic Turf (33,087 Sq. Ft.)</t>
  </si>
  <si>
    <t>Water Wise Landscape (Turf Buy Back) (2,682 Sq. Ft.)</t>
  </si>
  <si>
    <t>Synthetic Turf (3,559 Sq. Ft.)</t>
  </si>
  <si>
    <t>FY 2008-09</t>
  </si>
  <si>
    <t>Synthetic Turf (163,285 Sq. Ft.)</t>
  </si>
  <si>
    <t>Synthetic Turf (22,327)</t>
  </si>
  <si>
    <t>Pre-Rinse Nozzles</t>
  </si>
  <si>
    <t>Water Wise Landscape (Turf Buy Back) (14,991 Sq. Ft.)</t>
  </si>
  <si>
    <t>Synthetic Turf (13,174 Sq. Ft.)</t>
  </si>
  <si>
    <t>Water Wise Landscape (Turf Buy Back) (5,966Sq. Ft.)</t>
  </si>
  <si>
    <t>Water Wise Landscape (Turf Buy Back) (16,789 Sq. Ft.)</t>
  </si>
  <si>
    <t>Synthetic Turf (28,243 Sq. Ft.)</t>
  </si>
  <si>
    <t>Water Wise Landscape (Turf Buy Back) (28,677 Sq. Ft.)</t>
  </si>
  <si>
    <t>Synthetic Turf (8,348 Sq. Ft.)</t>
  </si>
  <si>
    <t>Water Wise Landscape (Turf Buy Back) (3,689 Sq. Ft.)</t>
  </si>
  <si>
    <t>Synthetic Turf (4,960 Sq. Ft.)</t>
  </si>
  <si>
    <t>Water Wise Landscape (Turf Buy Back) (3,750Sq. Ft.)</t>
  </si>
  <si>
    <t>Synthetic Turf (840 Sq. Ft.)</t>
  </si>
  <si>
    <t>Water Wise Landscape (Turf Buy Back) (66,317 Sq. Ft.)</t>
  </si>
  <si>
    <t>Synthetic Turf (35,987 Sq. Ft.)</t>
  </si>
  <si>
    <t>Water Wise Landscape (Turf BuyBack) (14,991 Sq. Ft.)</t>
  </si>
  <si>
    <t>Synthetic Turf (1,925 Sq. Ft.)</t>
  </si>
  <si>
    <t>Water Wise Landscape (Turf Buy Back) (3,750 Sq. Ft.)</t>
  </si>
  <si>
    <t>Pre-Rinse Spray Head Nozzles</t>
  </si>
  <si>
    <t>Synthetic Turf (185,612 Sq. Ft.)</t>
  </si>
  <si>
    <t>Synthetic Turf (22,327 Sq. Ft.)</t>
  </si>
  <si>
    <t>Large Rotary Nozzles</t>
  </si>
  <si>
    <t>Large Rotating Nozzles</t>
  </si>
  <si>
    <t>Synthetic Turf (6233 Sq. Ft.)</t>
  </si>
  <si>
    <t>IEUA Mulit-Family Direct Install Prog. (HET)</t>
  </si>
  <si>
    <t>Water Wise Landscape (Turf Buy Back) (5,966 Sq. Ft.)</t>
  </si>
  <si>
    <t>Synthetic Turf (6,233 Sq. Ft.)</t>
  </si>
  <si>
    <t>Additional Grant Reimbursements</t>
  </si>
  <si>
    <t>Phase III Landscape Evaluation Program</t>
  </si>
  <si>
    <t>TOTAL (Grant+Main)</t>
  </si>
  <si>
    <t>FY 2008-2009</t>
  </si>
  <si>
    <t>FY 2007-2008</t>
  </si>
  <si>
    <t>FY 2006-2007</t>
  </si>
  <si>
    <t>FY 2005-2006</t>
  </si>
  <si>
    <t>FY 2004-2005</t>
  </si>
  <si>
    <t>FY 2003-2004</t>
  </si>
  <si>
    <t>FY 2002-2003</t>
  </si>
  <si>
    <t>Water Wise Landscape (Turf Buy Back) (19,580 Sq. Ft.)</t>
  </si>
  <si>
    <t>Synthetic Turf (3529 Sq. Ft.)</t>
  </si>
  <si>
    <t>Synthetic Turf (3,529 Sq. Ft.)</t>
  </si>
  <si>
    <t>Water Wise Landscape (Turf Buy Back) (159,759 Sq. Ft.)</t>
  </si>
  <si>
    <t>Synthetic Turf (101,317 Sq. Ft.)</t>
  </si>
  <si>
    <t>FY 2009-10</t>
  </si>
  <si>
    <t>FY 2009-2010</t>
  </si>
  <si>
    <r>
      <t xml:space="preserve">(years) </t>
    </r>
    <r>
      <rPr>
        <vertAlign val="superscript"/>
        <sz val="12"/>
        <rFont val="Arial"/>
        <family val="2"/>
      </rPr>
      <t>(1)</t>
    </r>
  </si>
  <si>
    <t>IEUA Multi-Family Direct Install Prog. (HET)</t>
  </si>
  <si>
    <t>IEUA Multi-Family Direct Install Prog. (HET/ULFT)</t>
  </si>
  <si>
    <t>Water Wise Landscape (Turf Buy Back) (0 Sq. Ft.)</t>
  </si>
  <si>
    <t>Synthetic Turf (2,720 Sq. Ft.)</t>
  </si>
  <si>
    <t>Synthetic Turf (0 Sq. Ft.)</t>
  </si>
  <si>
    <t>Synthetic Turf (1,404 Sq. Ft.)</t>
  </si>
  <si>
    <t>Synthetic Turf (2,950 Sq. Ft.)</t>
  </si>
  <si>
    <t>Synthetic Turf (3,923 Sq. Ft.)</t>
  </si>
  <si>
    <t>Synthetic Turf (5,235 Sq. Ft.)</t>
  </si>
  <si>
    <t>Synthetic Turf (17,168 Sq. Ft.)</t>
  </si>
  <si>
    <t>Water Wise Landscape (Turf Buy Back) (0)</t>
  </si>
  <si>
    <t>Water Wise Landscape (Turf Buy Back) (614 Sq. Ft.)</t>
  </si>
  <si>
    <t>Synthetic Turf (918 Sq. Ft.)</t>
  </si>
  <si>
    <t>Synthetic Turf (17,168, Sq. Ft.)</t>
  </si>
  <si>
    <t>Synthetic Turf (41,748 Sq. Ft.)</t>
  </si>
  <si>
    <t>Water Wise Landscape (Turf Buy Back) (1,830 Sq. Ft.)</t>
  </si>
  <si>
    <t>FY 2010-11</t>
  </si>
  <si>
    <t>FY 2010-2011</t>
  </si>
  <si>
    <t>Synthetic Turf (___ Sq. Ft.)</t>
  </si>
  <si>
    <t>FreeSprinklerNozzles.com Program</t>
  </si>
  <si>
    <t>Residential Landscape Retrofit Program</t>
  </si>
  <si>
    <t>Fontana Unified School Retrofit Program</t>
  </si>
  <si>
    <t>Synthetic Turf (600 Sq. Ft.)</t>
  </si>
  <si>
    <t>DWR/Other</t>
  </si>
  <si>
    <t>PH Conductivity Controller</t>
  </si>
  <si>
    <t>CBWCD Landscape Evaluation Program</t>
  </si>
  <si>
    <t xml:space="preserve">TOTAL </t>
  </si>
  <si>
    <t>Synthetic Turf (1176 Sq. Ft.)</t>
  </si>
  <si>
    <t>Synthetic Turf (694 Sq. Ft.)</t>
  </si>
  <si>
    <t>Synthetic Turf (420 Sq. Ft.)</t>
  </si>
  <si>
    <t>Synthetic Turf (6,587 Sq. Ft.)</t>
  </si>
  <si>
    <t>Synthetic Turf (9,477 Sq. Ft.)</t>
  </si>
  <si>
    <t>FY 2011-12</t>
  </si>
  <si>
    <t>IEUA Single-Family Direct Install Prog. (HET/ULFT)</t>
  </si>
  <si>
    <t>FY 2011-2012</t>
  </si>
  <si>
    <t>IEUA Single-Family Direct Install Prog. (HET)</t>
  </si>
  <si>
    <t>Synthetic Turf ( Sq. Ft.)</t>
  </si>
  <si>
    <r>
      <t>Synthetic Turf (</t>
    </r>
    <r>
      <rPr>
        <sz val="10"/>
        <rFont val="Arial"/>
        <family val="2"/>
      </rPr>
      <t xml:space="preserve"> Sq. Ft.)</t>
    </r>
  </si>
  <si>
    <t xml:space="preserve">Central Computerized Irrigation Controller </t>
  </si>
  <si>
    <t>FY 2012-2013</t>
  </si>
  <si>
    <t>FY 2012-13</t>
  </si>
  <si>
    <t>Laminar Flow Restrictor</t>
  </si>
  <si>
    <t>Air-Cooled Ice Machine</t>
  </si>
  <si>
    <t>SoCal Water$mart Residential Rebates</t>
  </si>
  <si>
    <t>IEUA Locally Implemented Residential Programs</t>
  </si>
  <si>
    <t xml:space="preserve">IEUA High Efficiency Toilet (HET) Installation Prog. </t>
  </si>
  <si>
    <t>IEUA Locally Implemented Commercial Programs</t>
  </si>
  <si>
    <t>Landscape Transformation Program</t>
  </si>
  <si>
    <t>SoCal Water$mart Commercial Rebates</t>
  </si>
  <si>
    <t xml:space="preserve">Outside </t>
  </si>
  <si>
    <t>Funding</t>
  </si>
  <si>
    <t>Outside</t>
  </si>
  <si>
    <t xml:space="preserve">Funding </t>
  </si>
  <si>
    <t>Landscape Transformation Program (5,648 Sq. Ft.)</t>
  </si>
  <si>
    <t>Landscape Transformation Program (2,666 Sq. Ft.)</t>
  </si>
  <si>
    <t>Landscape Transformation Program (1000 Sq. Ft.)</t>
  </si>
  <si>
    <t>Landscape Transformation Program (4,732 Sq. Ft.)</t>
  </si>
  <si>
    <t>CVWD</t>
  </si>
  <si>
    <t>Cooling Tower Controller</t>
  </si>
  <si>
    <t xml:space="preserve">FreeSprinklerNozzles.com Program </t>
  </si>
  <si>
    <t xml:space="preserve">Residential Landscape Retrofit Program </t>
  </si>
  <si>
    <t>Landscape Transformation Program (5,455 Sq. Ft.)</t>
  </si>
  <si>
    <t>Landscape Transformation Program (2,954 Sq. Ft.)</t>
  </si>
  <si>
    <t>Landscape Transformation Program (22,455 Sq. Ft.)</t>
  </si>
  <si>
    <t>FY 2013-14</t>
  </si>
  <si>
    <t>FY 2013-2014</t>
  </si>
  <si>
    <t xml:space="preserve">Rain Barrels </t>
  </si>
  <si>
    <t>Turf Removal</t>
  </si>
  <si>
    <t>Rain Barrels</t>
  </si>
  <si>
    <t>Landscape Transformation Program (57,889 Sq. Ft.)</t>
  </si>
  <si>
    <t>Residential Landscape Retrofit Program (299 WBIC/3,282 Nozzles)</t>
  </si>
  <si>
    <r>
      <t xml:space="preserve">(years) </t>
    </r>
    <r>
      <rPr>
        <vertAlign val="superscript"/>
        <sz val="12"/>
        <color theme="1"/>
        <rFont val="Arial"/>
        <family val="2"/>
      </rPr>
      <t>(1)</t>
    </r>
  </si>
  <si>
    <t>Landscape Transformation Program (12,190 Sq. Ft.)</t>
  </si>
  <si>
    <t>Landscape Transformation Program (9,180 Sq. Ft.)</t>
  </si>
  <si>
    <t>Landscape Transformation Program (7,650 Sq. Ft.)</t>
  </si>
  <si>
    <t>Landscape Transformation Program (6,720 Sq. Ft.)</t>
  </si>
  <si>
    <t>Landscape Transformation Program (5,879 Sq. Ft.)</t>
  </si>
  <si>
    <t>Landscape Transformation Program (5,599 Sq. Ft.)</t>
  </si>
  <si>
    <t>Landscape Transformation Program (10,571 Sq. Ft)</t>
  </si>
  <si>
    <t>Residential Landscape Retrofit Program (64 WBIC/1,366 Nozzles)</t>
  </si>
  <si>
    <t>Residential Landscape Retrofit Program (53 WBIC/445 Nozzles)</t>
  </si>
  <si>
    <t>Residential Landscape Retrofit Program (51 WBIC/442 Nozzles)</t>
  </si>
  <si>
    <t>Residential Landscape Retrofit Program (55 WBIC/347 Nozzles)</t>
  </si>
  <si>
    <t>Residential Landscape Retrofit Program (39 WBIC/486 Nozzles)</t>
  </si>
  <si>
    <t>Residential Landscape Retrofit Program (31 WBIC/122 Nozzles)</t>
  </si>
  <si>
    <t>Residential Landscape Retrofit Program (6 WBIC/74 Nozzles)</t>
  </si>
  <si>
    <t>FY 2014-2015</t>
  </si>
  <si>
    <t>IEUA High Efficiency Toilet (HET) Installation Prog.</t>
  </si>
  <si>
    <t>FY 2014-15</t>
  </si>
  <si>
    <t>Landscape Transformation Program (26,500 Sq. Ft)</t>
  </si>
  <si>
    <t>Landscape Transformation Program (13,900 Sq. Ft.)</t>
  </si>
  <si>
    <t>Landscape Transformation Program (13,820 Sq. Ft.)</t>
  </si>
  <si>
    <t>Landscape Transformation Program (9,793 Sq. Ft.)</t>
  </si>
  <si>
    <t>Landscape Transformation Program (19,028 Sq. Ft.)</t>
  </si>
  <si>
    <t>Landscape Transformation Program (16,550 Sq. Ft.)</t>
  </si>
  <si>
    <t xml:space="preserve">Landscape Transformation Program </t>
  </si>
  <si>
    <t>Landscape Transformation Program (26,070 Sq. Ft.)</t>
  </si>
  <si>
    <t>Residential Landscape Retrofit Program (20 WBIC/69 Nozzles)</t>
  </si>
  <si>
    <t>Residential Landscape Retrofit Program (47 WBIC/516 Nozzles)</t>
  </si>
  <si>
    <t>Residential Landscape Retrofit Program (65 WBIC/1,138 Nozzles)</t>
  </si>
  <si>
    <t>Residential Landscape Retrofit Program (112 WBIC/1,785 Nozzles)</t>
  </si>
  <si>
    <t>Residential Landscape Retrofit Program (0 WBIC/0 Nozzles)</t>
  </si>
  <si>
    <t>Residential Landscape Retrofit Program (36 WBIC/286 Nozzles)</t>
  </si>
  <si>
    <t>Residential Landscape Retrofit Program (20 WBIC/0 Nozzles)</t>
  </si>
  <si>
    <t>Residential Landscape Retrofit Program (79 WBIC/1,323 Nozzles)</t>
  </si>
  <si>
    <t>Turf Removal (521,813 Sq. Ft.)</t>
  </si>
  <si>
    <t xml:space="preserve">Turf Removal (52,644 Sq. Ft.) </t>
  </si>
  <si>
    <t>Turf Removal (283,719 Sq. Ft.)</t>
  </si>
  <si>
    <t xml:space="preserve">Turf Removal (2,440 Sq. Ft.) </t>
  </si>
  <si>
    <t>Turf Removal (15,020 Sq. Ft.)</t>
  </si>
  <si>
    <t>Turf Removal (110,540 Sq. Ft.)</t>
  </si>
  <si>
    <t xml:space="preserve">Turf Removal (127,969 Sq. Ft.) </t>
  </si>
  <si>
    <t xml:space="preserve">Turf Removal (6,908 Sq. Ft.) </t>
  </si>
  <si>
    <t>Turf Removal (1,505 Sq. Ft.)</t>
  </si>
  <si>
    <t>Turf Removal (9,340 Sq. Ft.)</t>
  </si>
  <si>
    <t>Turf Removal (5,544 Sq. Ft)</t>
  </si>
  <si>
    <t>Turf Removal (11,453 Sq. Ft.)</t>
  </si>
  <si>
    <t>FY 2015-16</t>
  </si>
  <si>
    <t>Ultra Low/Waterless Urinals</t>
  </si>
  <si>
    <t>FY 2015-2016</t>
  </si>
  <si>
    <t>Residential Pressure Regulation Program</t>
  </si>
  <si>
    <t xml:space="preserve">Soil Moisture Sensor Systems </t>
  </si>
  <si>
    <t>Plumbing Flow Control</t>
  </si>
  <si>
    <t>Soil Moisture Sensor Systems</t>
  </si>
  <si>
    <t>Turf Removal (3,337,120Sq. Ft.)</t>
  </si>
  <si>
    <r>
      <t>(1)</t>
    </r>
    <r>
      <rPr>
        <sz val="12"/>
        <rFont val="Arial"/>
        <family val="2"/>
      </rPr>
      <t xml:space="preserve"> Payback period =</t>
    </r>
  </si>
  <si>
    <t>Residential, Commercial, Industrial, and Institutional Audits</t>
  </si>
  <si>
    <t>IEUA Rebate Program (ULFT)+A43</t>
  </si>
  <si>
    <t xml:space="preserve"> </t>
  </si>
  <si>
    <t>Turf Removal (79,670 Sq. Ft.)</t>
  </si>
  <si>
    <t>Synthetic Turf (1,176 Sq. Ft.)</t>
  </si>
  <si>
    <t>Turf Removal (1,136,334 Sq. Ft.)</t>
  </si>
  <si>
    <t xml:space="preserve">District Devices/ </t>
  </si>
  <si>
    <t>Residential Landscape Retrofit Program (379 WBIC/5,117 Nozzles)</t>
  </si>
  <si>
    <t>Turf Removal (1,567,051 Sq. Ft.)</t>
  </si>
  <si>
    <t>Turf Removal (299,187 Sq. Ft.)</t>
  </si>
  <si>
    <t>Turf Removal (409,006 Sq. Ft.)</t>
  </si>
  <si>
    <t>Turf Removal (Sq. Ft.)</t>
  </si>
  <si>
    <t>Turf Removal (379,066 Sq. Ft.)</t>
  </si>
  <si>
    <t>Turf Removal (246,138 Sq. Ft.)</t>
  </si>
  <si>
    <t>Turf Removal (1,596,789 Sq. Ft.)</t>
  </si>
  <si>
    <t>Turf Removal (149,971 Sq. Ft.)</t>
  </si>
  <si>
    <t>Turf Removal (286,701 Sq. Ft.)</t>
  </si>
  <si>
    <t>Turf Removal (246,352 Sq. Ft.)</t>
  </si>
  <si>
    <t>Landscape Transformation Program (6,650 Sq. Ft.)</t>
  </si>
  <si>
    <t>Turf Removal (77,559 Sq. Ft.)</t>
  </si>
  <si>
    <t>Landscape Transformation Program (1,100 Sq. Ft.)</t>
  </si>
  <si>
    <t>Turf Removal (144,502 Sq. Ft.)</t>
  </si>
  <si>
    <t>Landscape Transformation Program (6,700 Sq. Ft.)</t>
  </si>
  <si>
    <t>Turf Removal (44,912 Sq. Ft.)</t>
  </si>
  <si>
    <t>Landscape Transformation Program (2,400 Sq. Ft.)</t>
  </si>
  <si>
    <t>Turf Removal (108,896 Sq. Ft.)</t>
  </si>
  <si>
    <t>Landscape Transformation Program (Sq. Ft.)</t>
  </si>
  <si>
    <t>Turf Removal (123,493 Sq. Ft.)</t>
  </si>
  <si>
    <t>Landscape Transformation Program (1,000 Sq. Ft.)</t>
  </si>
  <si>
    <t>Turf Removal (24,311 Sq. Ft.)</t>
  </si>
  <si>
    <t>Turf Removal (826,764 Sq. Ft.)</t>
  </si>
  <si>
    <t>Landscape Transformation Program (8,900 Sq. Ft.)</t>
  </si>
  <si>
    <t>Turf Removal (4,710 Sq. Ft.)</t>
  </si>
  <si>
    <t>Residential Landscape Retrofit Program (79 WBIC/974 Nozzles)</t>
  </si>
  <si>
    <t>Residential Landscape Retrofit Program (576 WBIC/3,786 Nozzles)</t>
  </si>
  <si>
    <t>Residential Landscape Retrofit Program (79 WBIC/977 Nozzles)</t>
  </si>
  <si>
    <t>Residential Landscape Retrofit Program (116 WBIC/1,849 Nozzles)</t>
  </si>
  <si>
    <t>Residential Landscape Retrofit Program (9 WBIC/0 Nozzles)</t>
  </si>
  <si>
    <t>Residential Landscape Retrofit Program (127 WBIC/1,029 Nozzles)</t>
  </si>
  <si>
    <t>Water Wise Landscape (Turf BuyBack) (Sq. Ft.)</t>
  </si>
  <si>
    <t>Residential Landscape Retrofit Program (778  WBIC/9,135  Nozzles)</t>
  </si>
  <si>
    <t>Residential Landscape Retrofit Program (58 WBIC/245 Nozzles)</t>
  </si>
  <si>
    <t>Residential Landscape Retrofit Program (19 WBIC/163 Nozzles)</t>
  </si>
  <si>
    <t>Landscape Transformation Program (26,900 Sq. Ft.)</t>
  </si>
  <si>
    <t>Landscape Transformation Program (179,261 Sq. Ft.)</t>
  </si>
  <si>
    <t>FY 2016-17</t>
  </si>
  <si>
    <t>FY 2016-2017</t>
  </si>
  <si>
    <t>Turf Removal (7,531 Sq. Ft.)</t>
  </si>
  <si>
    <t>Turf Removal (121,375 Sq. Ft.)</t>
  </si>
  <si>
    <t>Turf Removal (22,224 Sq. Ft.)</t>
  </si>
  <si>
    <t>Turf Removal (36,347 Sq. Ft.)</t>
  </si>
  <si>
    <t>Turf Removal (0 Sq. Ft.)</t>
  </si>
  <si>
    <t>Turf Removal (32,150 Sq. Ft.)</t>
  </si>
  <si>
    <t>Turf Removal (28,135 Sq. Ft.)</t>
  </si>
  <si>
    <t>Turf Removal (4,100 Sq. Ft.)</t>
  </si>
  <si>
    <t>Turf Removal (60,632 Sq. Ft.)</t>
  </si>
  <si>
    <t>Turf Removal (129,422 Sq. Ft.)</t>
  </si>
  <si>
    <t>Turf Removal (11,439 Sq. Ft.)</t>
  </si>
  <si>
    <t>Turf Removal (11,878 Sq. Ft.)</t>
  </si>
  <si>
    <t>Cisterns</t>
  </si>
  <si>
    <t>Residential Landscape Retrofit Program (2 WBIC/0 Nozzles)</t>
  </si>
  <si>
    <t>IEUA/CBWCD Landscape Evaluation Program</t>
  </si>
  <si>
    <t>Turf Removal (122,745 Sq. Ft.)</t>
  </si>
  <si>
    <t>Turf Removal (22,508 Sq. Ft.)</t>
  </si>
  <si>
    <t xml:space="preserve">RES Education, Survey, and Controller Upgrade Program </t>
  </si>
  <si>
    <t>Turf Removal (637,916 Sq. Ft.)</t>
  </si>
  <si>
    <t>Turf Removal (255,091 Sq. Ft.)</t>
  </si>
  <si>
    <t>Residential Landscape Retrofit Program (239 WBIC / 2,124 Nozzles)</t>
  </si>
  <si>
    <t>Turf Removal (282,521 Sq. Ft.)</t>
  </si>
  <si>
    <t>Residential Landscape Retrofit Program (16 WBIC/27 Nozzles)</t>
  </si>
  <si>
    <t>Residential Landscape Retrofit Program (58 WBIC/757 Nozzles)</t>
  </si>
  <si>
    <t>Residential Landscape Retrofit Program (24 WBIC/232 Nozzles)</t>
  </si>
  <si>
    <t>Residential Landscape Retrofit Program (4 WBIC/175 Nozzles)</t>
  </si>
  <si>
    <t>Residential Landscape Retrofit Program (28 WBIC/248 Nozzles)</t>
  </si>
  <si>
    <t>Residential Landscape Retrofit Program (105 WBIC/685 Nozzles)</t>
  </si>
  <si>
    <t xml:space="preserve">                                           </t>
  </si>
  <si>
    <t xml:space="preserve">  </t>
  </si>
  <si>
    <t xml:space="preserve">Residential Education, Survey, and Controller Upgrade Program </t>
  </si>
  <si>
    <t>FY 2017-18</t>
  </si>
  <si>
    <t>FY 2017-2018</t>
  </si>
  <si>
    <t>Residential Landscape Retrofit Program (20 WBIC/ 119 Nozzles)</t>
  </si>
  <si>
    <t>Residential Landscape Retrofit Program (0 WBIC/ 0 Nozzles)</t>
  </si>
  <si>
    <t>Residential Landscape Retrofit Program (73 WBIC/ 1,117 Nozzles)</t>
  </si>
  <si>
    <t>Residential Landscape Retrofit Program (7 WBIC/ 40 Nozzles)</t>
  </si>
  <si>
    <t>Residential Landscape Retrofit Program (5 WBIC/ 147 Nozzles)</t>
  </si>
  <si>
    <t>Residential Landscape Retrofit Program (4 WBIC/ 135 Nozzles)</t>
  </si>
  <si>
    <t>Residential Landscape Retrofit Program (50 WBIC/ 863 Nozzles)</t>
  </si>
  <si>
    <t>Residential Landscape Retrofit Program (159 WBIC / 2,421 Nozzles)</t>
  </si>
  <si>
    <t>Rotating Nozzles for Pop-up Spray Heads (5 Apps/ 231 Nozzles)</t>
  </si>
  <si>
    <t>Rotating Nozzles for Pop-up Spray Heads (162 Apps/ 13,118 Nozzles)</t>
  </si>
  <si>
    <t>Rotating Nozzles for Pop-up Spray Heads (1 Apps/ 30 Nozzles)</t>
  </si>
  <si>
    <t>Rotating Nozzles for Pop-up Spray Heads (0 Apps/ 0 Nozzles)</t>
  </si>
  <si>
    <t>Rotating Nozzles for Pop-up Spray Heads (1 Apps/ 33 Nozzles)</t>
  </si>
  <si>
    <t>Rotating Nozzles for Pop-up Spray Heads (3 Apps/ 5,050 Nozzles)</t>
  </si>
  <si>
    <t>Rotating Nozzles for Pop-up Spray Heads (8 Apps/ 7,570 Nozzles)</t>
  </si>
  <si>
    <t>Rotating Nozzles for Pop-up Spray Heads (1 Apps/ 2,250 Nozzles)</t>
  </si>
  <si>
    <t>Rotating Nozzles for Pop-up Spray Heads (170 Apps/ 13,442 Nozzles)</t>
  </si>
  <si>
    <t>Rotating Nozzles for Pop-up Spray Heads (12 Apps/ 14,870 Nozzles)</t>
  </si>
  <si>
    <t>Residential Education, Survey, and Controller Upgrade Program (16 WBIC)</t>
  </si>
  <si>
    <t>Residential Education, Survey, and Controller Upgrade Program (5 WBIC)</t>
  </si>
  <si>
    <t>Residential Education, Survey, and Controller Upgrade Program (40 WBIC)</t>
  </si>
  <si>
    <t>Residential Education, Survey, and Controller Upgrade Program (50 WBIC)</t>
  </si>
  <si>
    <t>Residential Education, Survey, and Controller Upgrade Program (1 WBIC)</t>
  </si>
  <si>
    <t>Residential Education, Survey, and Controller Upgrade Program (0 WBIC)</t>
  </si>
  <si>
    <t xml:space="preserve">Residential Education, Survey, and Controller Upgrade Program (0 WBIC) </t>
  </si>
  <si>
    <t xml:space="preserve">Residential Education, Survey, and Controller Upgrade Program (59 WBIC) </t>
  </si>
  <si>
    <t>FreeSprinklerNozzles.com Program ($829.50 Total Cost)</t>
  </si>
  <si>
    <t>FreeSprinklerNozzles.com Program ($15,676.50 Total Cost)</t>
  </si>
  <si>
    <t>FreeSprinklerNozzles.com Program ($528.50 Total Cost)</t>
  </si>
  <si>
    <t>FreeSprinklerNozzles.com Program  ($0 Total Cost)</t>
  </si>
  <si>
    <t>FreeSprinklerNozzles.com Program ($350.00 Total Cost)</t>
  </si>
  <si>
    <t>FreeSprinklerNozzles.com Program ($0 Total Cost)</t>
  </si>
  <si>
    <t>FreeSprinklerNozzles.com Program ($3,486.00 Total Cost)</t>
  </si>
  <si>
    <t>FreeSprinklerNozzles.com Program ($43,155.50 Total Cost)</t>
  </si>
  <si>
    <t>FreeSprinklerNozzles.com Program ($262.50 Total Cost)</t>
  </si>
  <si>
    <t>FreeSprinklerNozzles.com Program ($5737.60 Total Cost)</t>
  </si>
  <si>
    <t xml:space="preserve">FreeSprinklerNozzles.com Program ($0 Total Cost) </t>
  </si>
  <si>
    <t>FreeSprinklerNozzles.com Program ($3,472 Total Cost)</t>
  </si>
  <si>
    <t>FreeSprinklerNozzles.com Program ($3607.50 Total Cost)</t>
  </si>
  <si>
    <t>FY 2018-2019</t>
  </si>
  <si>
    <t>FY 2018-19</t>
  </si>
  <si>
    <t>Landscape Tune-Up Program</t>
  </si>
  <si>
    <t>Residential Landscape Retrofit Program (12 WBIC/ 108 Nozzles)</t>
  </si>
  <si>
    <t>Residential Landscape Retrofit Program (9 WBIC/ 76 Nozzles)</t>
  </si>
  <si>
    <t>Residential Landscape Retrofit Program (6 WBIC/ 40 Nozzles)</t>
  </si>
  <si>
    <t>Residential Landscape Retrofit Program (36 WBIC/ 438 Nozzles)</t>
  </si>
  <si>
    <t>Residential Landscape Retrofit Program (62 WBIC/ 1,124 Nozzles)</t>
  </si>
  <si>
    <t>Landscape Tune-Up Program (125 Small/ 38 Large)</t>
  </si>
  <si>
    <t>Rotating Nozzles for Pop-up Spray Heads (51 Apps/ 2,465 Nozzles)</t>
  </si>
  <si>
    <t>Turf Removal (7,416 Sq. Ft.)</t>
  </si>
  <si>
    <t>Turf Removal (4,986 Sq. Ft.)</t>
  </si>
  <si>
    <t>Turf Removal (1,002 Sq. Ft.)</t>
  </si>
  <si>
    <t>Turf Removal (5,970 Sq. Ft.)</t>
  </si>
  <si>
    <t>Turf Removal (13,379 Sq. Ft.)</t>
  </si>
  <si>
    <t>Turf Removal (2,465 Sq. Ft.)</t>
  </si>
  <si>
    <t>Rotating Nozzles for Pop-up Spray Heads (1 App/ 231 Nozzles)</t>
  </si>
  <si>
    <t>Turf Removal (5,763 Sq. Ft.)</t>
  </si>
  <si>
    <t>Residential Landscape Retrofit Program (125 WBIC / 1,544 Nozzles)</t>
  </si>
  <si>
    <t xml:space="preserve">Res Education, Survey, and Controller Upgrade Program (58 WBIC) </t>
  </si>
  <si>
    <t xml:space="preserve">Res. Education, Survey, and Controller Upgrade Program (2 WBIC) </t>
  </si>
  <si>
    <t xml:space="preserve">Res. Education, Survey, and Controller Upgrade Program (24 WBIC) </t>
  </si>
  <si>
    <t xml:space="preserve">Res. Education, Survey, and Controller Upgrade Program (37 WBIC) </t>
  </si>
  <si>
    <t xml:space="preserve">Res. Education, Survey, and Controller Upgrade Program (1 WBIC) </t>
  </si>
  <si>
    <t>Res. Education, Survey, and Controller Upgrade Program (256 WBIC)</t>
  </si>
  <si>
    <t xml:space="preserve">Res. Education, Survey, and Controller Upgrade Program (0 WBIC) </t>
  </si>
  <si>
    <t>Landscape Tune-Up Program (30 Small Sites/ 8 Large Sites)</t>
  </si>
  <si>
    <t>Landscape Tune-Up Program (0 Small Sites/ 0 Large Sites)</t>
  </si>
  <si>
    <t>Landscape Tune-Up Program (8 Small Sites/ 16 Large Sites)</t>
  </si>
  <si>
    <t>Landscape Tune-Up Program (8 Small Sites/ 5 Large Sites)</t>
  </si>
  <si>
    <t>Landscape Tune-Up Program (17 Small Sites/ 1 Large Site)</t>
  </si>
  <si>
    <t>Landscape Tune-Up Program (60 Small Sites/ 7 Large Sites)</t>
  </si>
  <si>
    <t>Landscape Tune-Up Program (1 Small Site/ 0 Large Sites)</t>
  </si>
  <si>
    <t>Landscape Tune-Up Program (1 Small Site/ 1 Large Site)</t>
  </si>
  <si>
    <t xml:space="preserve">Res. Education, Survey, and Controller Upgrade Program (63 WBIC) </t>
  </si>
  <si>
    <t xml:space="preserve">Res. Education, Survey, and Controller Upgrade Program (71 WBIC) </t>
  </si>
  <si>
    <t>Rotating Nozzles for Pop-up Spray Heads (1 App/ 30 Nozzles)</t>
  </si>
  <si>
    <t>Rotating Nozzles for Pop-up Spray Heads (49 Apps/ 2,355 Nozzles)</t>
  </si>
  <si>
    <t>Rotating Nozzles for Pop-up Spray Heads (1 App/ 80 Nozzles)</t>
  </si>
  <si>
    <t>Turf Removal (71,257 Sq. Ft.)</t>
  </si>
  <si>
    <t>Turf Removal (36,039 Sq. Ft.)</t>
  </si>
  <si>
    <t>Turf Removal (14,038 Sq. Ft.)</t>
  </si>
  <si>
    <t>Turf Removal (19,801 Sq. Ft.)</t>
  </si>
  <si>
    <t>FY 2019-20</t>
  </si>
  <si>
    <t>FY 2019-2020</t>
  </si>
  <si>
    <t>Rotating Nozzles for Pop-up Spray Heads (0 App/ 0 Nozzles)</t>
  </si>
  <si>
    <t>Rotating Nozzles for Pop-up Spray Heads (27 Apps/ 1,275 Nozzles)</t>
  </si>
  <si>
    <t>Turf Removal (6,839 Sq. Ft.)</t>
  </si>
  <si>
    <t>Turf Removal (9,323 Sq. Ft.)</t>
  </si>
  <si>
    <t>Turf Removal (18,169 Sq. Ft.)</t>
  </si>
  <si>
    <t>Turf Removal (54,124 Sq. Ft.)</t>
  </si>
  <si>
    <t>Turf Removal (32,839 Sq. Ft.)</t>
  </si>
  <si>
    <t>Turf Removal (65,000 Sq. Ft.)</t>
  </si>
  <si>
    <t>Turf Removal (89,195 Sq. Ft.)</t>
  </si>
  <si>
    <t>Turf Removal (77,620 Sq. Ft.)</t>
  </si>
  <si>
    <t>Turf Replacement (318,778 sq. ft.)</t>
  </si>
  <si>
    <t xml:space="preserve">Res. Education, Survey, and Controller Upgrade Program (88 WBIC) </t>
  </si>
  <si>
    <t xml:space="preserve">Res. Education, Survey, and Controller Upgrade Program (238 WBIC) </t>
  </si>
  <si>
    <t xml:space="preserve">Res. Education, Survey, and Controller Upgrade Program (5 WBIC) </t>
  </si>
  <si>
    <t xml:space="preserve">Res. Education, Survey, and Controller Upgrade Program (50 WBIC) </t>
  </si>
  <si>
    <t xml:space="preserve">Res. Education, Survey, and Controller Upgrade Program (6 WBIC) </t>
  </si>
  <si>
    <t>Res. Education, Survey, and Controller Upgrade Program (474 WBIC)</t>
  </si>
  <si>
    <t>Residential Landscape Retrofit Program (13 WBIC/ 41 Nozzles)</t>
  </si>
  <si>
    <t>Residential Landscape Retrofit Program (1 WBIC/ 0 Nozzles)</t>
  </si>
  <si>
    <t>Turf Removal (19,357 Sq. Ft.)</t>
  </si>
  <si>
    <t>Turf Removal (70,850 Sq. Ft.)</t>
  </si>
  <si>
    <t>Turf Removal (29,699 Sq. Ft.)</t>
  </si>
  <si>
    <t>Turf Removal (30,049 Sq. Ft.)</t>
  </si>
  <si>
    <t>Turf Replacement (184,286 Sq. Ft.)</t>
  </si>
  <si>
    <t>Residential Landscape Retrofit Program (54 WBIC/ 65 Nozzles)</t>
  </si>
  <si>
    <t>Residential Landscape Retrofit Program (19 WBIC/ 38 Nozzles)</t>
  </si>
  <si>
    <t>Residential Landscape Retrofit Program (79 WBIC/ 61 Nozzles)</t>
  </si>
  <si>
    <t>Residential Landscape Retrofit Program (248 WBIC / 309 Nozzles)</t>
  </si>
  <si>
    <t>Residential Landscape Retrofit Program (81 WBIC/ 104 Nozzles)</t>
  </si>
  <si>
    <t>Rotating Nozzles for Pop-up Spray Heads (2 Apps/ 169 Nozzles)</t>
  </si>
  <si>
    <t>Rotating Nozzles for Pop-up Spray Heads (25 Apps/ 1,106 Nozzles)</t>
  </si>
  <si>
    <t>Leak Detection Pilot Program</t>
  </si>
  <si>
    <t xml:space="preserve"> Total IEUA direct program costs</t>
  </si>
  <si>
    <t xml:space="preserve">IEUA Payback </t>
  </si>
  <si>
    <r>
      <t xml:space="preserve">Period (years) </t>
    </r>
    <r>
      <rPr>
        <vertAlign val="superscript"/>
        <sz val="12"/>
        <rFont val="Arial"/>
        <family val="2"/>
      </rPr>
      <t>(1)</t>
    </r>
  </si>
  <si>
    <t>Instructions</t>
  </si>
  <si>
    <t>I'm looking for assistance in creating a dashboard for tracking the activity of multiple services. Each service (or program) has monthly activity, funding sources, area served, cost, cost effectiveness, and water savings These need to be rolled up and presented in summary level stats with graphs. Costs and savings may change over time</t>
  </si>
  <si>
    <t>Steps needed</t>
  </si>
  <si>
    <t>Clean up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</si>
</sst>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5" formatCode="&quot;$&quot;#,##0_);\(&quot;$&quot;#,##0\)"/>
    <numFmt numFmtId="44" formatCode="_(&quot;$&quot;* #,##0.00_);_(&quot;$&quot;* \(#,##0.00\);_(&quot;$&quot;* &quot;-&quot;??_);_(@_)"/>
    <numFmt numFmtId="43" formatCode="_(* #,##0.00_);_(* \(#,##0.00\);_(* &quot;-&quot;??_);_(@_)"/>
    <numFmt numFmtId="164" formatCode="0.0"/>
    <numFmt numFmtId="165" formatCode="&quot;$&quot;#,##0"/>
    <numFmt numFmtId="166" formatCode="#,##0.0"/>
    <numFmt numFmtId="167" formatCode="&quot;$&quot;#,##0.00"/>
    <numFmt numFmtId="168" formatCode="0.000"/>
    <numFmt numFmtId="169" formatCode="#,##0.000"/>
    <numFmt numFmtId="170" formatCode="0.0000"/>
    <numFmt numFmtId="171" formatCode="#,##0.0000"/>
  </numFmts>
  <fonts count="28">
    <font>
      <sz val="10"/>
      <name val="Arial"/>
    </font>
    <font>
      <sz val="10"/>
      <name val="Arial"/>
      <family val="2"/>
    </font>
    <font>
      <sz val="8"/>
      <name val="Arial"/>
      <family val="2"/>
    </font>
    <font>
      <vertAlign val="superscript"/>
      <sz val="10"/>
      <name val="Arial"/>
      <family val="2"/>
    </font>
    <font>
      <b/>
      <sz val="12"/>
      <name val="Arial"/>
      <family val="2"/>
    </font>
    <font>
      <b/>
      <sz val="10"/>
      <name val="Arial"/>
      <family val="2"/>
    </font>
    <font>
      <sz val="10"/>
      <name val="Arial"/>
      <family val="2"/>
    </font>
    <font>
      <b/>
      <i/>
      <sz val="10"/>
      <name val="Arial"/>
      <family val="2"/>
    </font>
    <font>
      <sz val="12"/>
      <name val="Arial"/>
      <family val="2"/>
    </font>
    <font>
      <sz val="14"/>
      <name val="Arial"/>
      <family val="2"/>
    </font>
    <font>
      <b/>
      <sz val="18"/>
      <name val="Arial"/>
      <family val="2"/>
    </font>
    <font>
      <vertAlign val="superscript"/>
      <sz val="12"/>
      <name val="Arial"/>
      <family val="2"/>
    </font>
    <font>
      <b/>
      <sz val="11"/>
      <name val="Arial"/>
      <family val="2"/>
    </font>
    <font>
      <b/>
      <sz val="10.5"/>
      <name val="Arial"/>
      <family val="2"/>
    </font>
    <font>
      <sz val="12"/>
      <color rgb="FFFF0000"/>
      <name val="Arial"/>
      <family val="2"/>
    </font>
    <font>
      <sz val="10"/>
      <color rgb="FFFF0000"/>
      <name val="Arial"/>
      <family val="2"/>
    </font>
    <font>
      <b/>
      <sz val="10"/>
      <color rgb="FFFF0000"/>
      <name val="Arial"/>
      <family val="2"/>
    </font>
    <font>
      <b/>
      <sz val="12"/>
      <color rgb="FFFF0000"/>
      <name val="Arial"/>
      <family val="2"/>
    </font>
    <font>
      <sz val="12"/>
      <color theme="1"/>
      <name val="Arial"/>
      <family val="2"/>
    </font>
    <font>
      <vertAlign val="superscript"/>
      <sz val="12"/>
      <color theme="1"/>
      <name val="Arial"/>
      <family val="2"/>
    </font>
    <font>
      <sz val="10"/>
      <color theme="1"/>
      <name val="Arial"/>
      <family val="2"/>
    </font>
    <font>
      <b/>
      <sz val="10"/>
      <color theme="1"/>
      <name val="Arial"/>
      <family val="2"/>
    </font>
    <font>
      <b/>
      <sz val="12"/>
      <color theme="1"/>
      <name val="Arial"/>
      <family val="2"/>
    </font>
    <font>
      <sz val="9"/>
      <color indexed="81"/>
      <name val="Tahoma"/>
      <family val="2"/>
    </font>
    <font>
      <b/>
      <sz val="9"/>
      <color indexed="81"/>
      <name val="Tahoma"/>
      <family val="2"/>
    </font>
    <font>
      <sz val="10"/>
      <name val="Arial"/>
      <family val="2"/>
    </font>
    <font>
      <b/>
      <u/>
      <sz val="9"/>
      <color indexed="81"/>
      <name val="Tahoma"/>
      <family val="2"/>
    </font>
    <font>
      <sz val="14"/>
      <color rgb="FF555555"/>
      <name val="Helvetica Neue"/>
      <family val="2"/>
    </font>
  </fonts>
  <fills count="13">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3" tint="0.59999389629810485"/>
        <bgColor indexed="64"/>
      </patternFill>
    </fill>
    <fill>
      <patternFill patternType="solid">
        <fgColor rgb="FFFFFFFF"/>
        <bgColor indexed="64"/>
      </patternFill>
    </fill>
    <fill>
      <patternFill patternType="solid">
        <fgColor theme="6" tint="0.39997558519241921"/>
        <bgColor indexed="64"/>
      </patternFill>
    </fill>
    <fill>
      <patternFill patternType="solid">
        <fgColor rgb="FFFFFF00"/>
        <bgColor indexed="64"/>
      </patternFill>
    </fill>
    <fill>
      <patternFill patternType="solid">
        <fgColor theme="9"/>
        <bgColor indexed="64"/>
      </patternFill>
    </fill>
    <fill>
      <patternFill patternType="solid">
        <fgColor rgb="FFADC6B2"/>
        <bgColor indexed="64"/>
      </patternFill>
    </fill>
    <fill>
      <patternFill patternType="solid">
        <fgColor theme="0" tint="-0.14996795556505021"/>
        <bgColor indexed="64"/>
      </patternFill>
    </fill>
    <fill>
      <patternFill patternType="solid">
        <fgColor theme="6" tint="0.39994506668294322"/>
        <bgColor indexed="64"/>
      </patternFill>
    </fill>
    <fill>
      <patternFill patternType="solid">
        <fgColor theme="4" tint="0.39997558519241921"/>
        <bgColor indexed="64"/>
      </patternFill>
    </fill>
  </fills>
  <borders count="4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medium">
        <color indexed="64"/>
      </top>
      <bottom style="medium">
        <color indexed="64"/>
      </bottom>
      <diagonal/>
    </border>
    <border>
      <left/>
      <right/>
      <top/>
      <bottom style="thin">
        <color indexed="64"/>
      </bottom>
      <diagonal/>
    </border>
    <border>
      <left/>
      <right/>
      <top style="thin">
        <color indexed="64"/>
      </top>
      <bottom/>
      <diagonal/>
    </border>
    <border>
      <left/>
      <right/>
      <top style="medium">
        <color indexed="64"/>
      </top>
      <bottom style="thin">
        <color indexed="64"/>
      </bottom>
      <diagonal/>
    </border>
    <border>
      <left style="thin">
        <color indexed="64"/>
      </left>
      <right/>
      <top/>
      <bottom style="medium">
        <color indexed="64"/>
      </bottom>
      <diagonal/>
    </border>
    <border>
      <left style="thin">
        <color indexed="64"/>
      </left>
      <right/>
      <top style="medium">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diagonal/>
    </border>
    <border>
      <left/>
      <right/>
      <top style="thin">
        <color indexed="64"/>
      </top>
      <bottom style="thin">
        <color indexed="64"/>
      </bottom>
      <diagonal/>
    </border>
    <border>
      <left/>
      <right/>
      <top/>
      <bottom style="thick">
        <color indexed="64"/>
      </bottom>
      <diagonal/>
    </border>
    <border>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25" fillId="0" borderId="0"/>
    <xf numFmtId="44" fontId="1" fillId="0" borderId="0" applyFont="0" applyFill="0" applyBorder="0" applyAlignment="0" applyProtection="0"/>
  </cellStyleXfs>
  <cellXfs count="2253">
    <xf numFmtId="0" fontId="0" fillId="0" borderId="0" xfId="0"/>
    <xf numFmtId="0" fontId="0" fillId="0" borderId="1" xfId="0" applyBorder="1"/>
    <xf numFmtId="0" fontId="0" fillId="0" borderId="4" xfId="0" applyBorder="1"/>
    <xf numFmtId="0" fontId="0" fillId="0" borderId="0" xfId="0" applyBorder="1"/>
    <xf numFmtId="3" fontId="0" fillId="0" borderId="7" xfId="0" applyNumberFormat="1" applyBorder="1" applyAlignment="1">
      <alignment horizontal="center"/>
    </xf>
    <xf numFmtId="0" fontId="0" fillId="0" borderId="4" xfId="0" applyFill="1" applyBorder="1"/>
    <xf numFmtId="3" fontId="0" fillId="0" borderId="0" xfId="0" applyNumberFormat="1" applyBorder="1" applyAlignment="1">
      <alignment horizontal="center"/>
    </xf>
    <xf numFmtId="3" fontId="0" fillId="0" borderId="8" xfId="0" applyNumberFormat="1" applyBorder="1"/>
    <xf numFmtId="3" fontId="0" fillId="0" borderId="9" xfId="0" applyNumberFormat="1" applyBorder="1"/>
    <xf numFmtId="0" fontId="3" fillId="0" borderId="0" xfId="0" applyFont="1" applyAlignment="1">
      <alignment horizontal="right"/>
    </xf>
    <xf numFmtId="2" fontId="0" fillId="0" borderId="0" xfId="0" applyNumberFormat="1"/>
    <xf numFmtId="0" fontId="0" fillId="0" borderId="10" xfId="0" applyBorder="1"/>
    <xf numFmtId="0" fontId="0" fillId="0" borderId="11" xfId="0" applyBorder="1"/>
    <xf numFmtId="2" fontId="0" fillId="0" borderId="10" xfId="0" applyNumberFormat="1" applyBorder="1"/>
    <xf numFmtId="2" fontId="0" fillId="0" borderId="11" xfId="0" applyNumberFormat="1" applyBorder="1"/>
    <xf numFmtId="0" fontId="0" fillId="0" borderId="8" xfId="0" applyBorder="1"/>
    <xf numFmtId="0" fontId="0" fillId="0" borderId="9" xfId="0" applyBorder="1"/>
    <xf numFmtId="0" fontId="0" fillId="0" borderId="12" xfId="0" applyBorder="1"/>
    <xf numFmtId="0" fontId="0" fillId="0" borderId="0" xfId="0" applyBorder="1" applyAlignment="1">
      <alignment horizontal="center"/>
    </xf>
    <xf numFmtId="3" fontId="0" fillId="0" borderId="7" xfId="0" applyNumberFormat="1" applyFill="1" applyBorder="1" applyAlignment="1">
      <alignment horizontal="center"/>
    </xf>
    <xf numFmtId="3" fontId="5" fillId="0" borderId="0" xfId="0" applyNumberFormat="1" applyFont="1" applyBorder="1" applyAlignment="1">
      <alignment horizontal="center"/>
    </xf>
    <xf numFmtId="165" fontId="5" fillId="0" borderId="0" xfId="0" applyNumberFormat="1" applyFont="1" applyBorder="1" applyAlignment="1">
      <alignment horizontal="center"/>
    </xf>
    <xf numFmtId="3" fontId="0" fillId="0" borderId="9" xfId="0" applyNumberFormat="1" applyBorder="1" applyAlignment="1">
      <alignment horizontal="right"/>
    </xf>
    <xf numFmtId="0" fontId="0" fillId="0" borderId="0" xfId="0" applyAlignment="1">
      <alignment horizontal="right"/>
    </xf>
    <xf numFmtId="0" fontId="0" fillId="0" borderId="9" xfId="0" applyBorder="1" applyAlignment="1">
      <alignment horizontal="right"/>
    </xf>
    <xf numFmtId="2" fontId="0" fillId="0" borderId="9" xfId="0" applyNumberFormat="1" applyBorder="1" applyAlignment="1">
      <alignment horizontal="right"/>
    </xf>
    <xf numFmtId="0" fontId="5" fillId="0" borderId="15" xfId="0" applyFont="1" applyBorder="1" applyAlignment="1">
      <alignment horizontal="right"/>
    </xf>
    <xf numFmtId="3" fontId="5" fillId="0" borderId="16" xfId="0" applyNumberFormat="1" applyFont="1" applyBorder="1" applyAlignment="1">
      <alignment horizontal="right"/>
    </xf>
    <xf numFmtId="0" fontId="5" fillId="0" borderId="17" xfId="0" applyFont="1" applyBorder="1"/>
    <xf numFmtId="0" fontId="5" fillId="0" borderId="16" xfId="0" applyFont="1" applyBorder="1"/>
    <xf numFmtId="0" fontId="5" fillId="0" borderId="18" xfId="0" applyFont="1" applyBorder="1"/>
    <xf numFmtId="0" fontId="4" fillId="0" borderId="15" xfId="0" applyFont="1" applyFill="1" applyBorder="1"/>
    <xf numFmtId="0" fontId="6" fillId="0" borderId="16" xfId="0" applyFont="1" applyBorder="1"/>
    <xf numFmtId="0" fontId="6" fillId="0" borderId="16" xfId="0" applyFont="1" applyFill="1" applyBorder="1"/>
    <xf numFmtId="0" fontId="0" fillId="0" borderId="16" xfId="0" applyBorder="1"/>
    <xf numFmtId="0" fontId="0" fillId="0" borderId="16" xfId="0" applyFill="1" applyBorder="1"/>
    <xf numFmtId="0" fontId="0" fillId="0" borderId="17" xfId="0" applyBorder="1"/>
    <xf numFmtId="0" fontId="0" fillId="0" borderId="18" xfId="0" applyBorder="1"/>
    <xf numFmtId="0" fontId="5" fillId="2" borderId="15" xfId="0" applyFont="1" applyFill="1" applyBorder="1"/>
    <xf numFmtId="1" fontId="0" fillId="2" borderId="9" xfId="0" applyNumberFormat="1" applyFill="1" applyBorder="1" applyAlignment="1">
      <alignment horizontal="right"/>
    </xf>
    <xf numFmtId="3" fontId="5" fillId="2" borderId="15" xfId="0" applyNumberFormat="1" applyFont="1" applyFill="1" applyBorder="1" applyAlignment="1">
      <alignment horizontal="right"/>
    </xf>
    <xf numFmtId="0" fontId="0" fillId="2" borderId="9" xfId="0" applyFill="1" applyBorder="1"/>
    <xf numFmtId="0" fontId="0" fillId="2" borderId="15" xfId="0" applyFill="1" applyBorder="1"/>
    <xf numFmtId="0" fontId="5" fillId="0" borderId="0" xfId="0" applyFont="1" applyAlignment="1">
      <alignment horizontal="center"/>
    </xf>
    <xf numFmtId="1" fontId="0" fillId="0" borderId="0" xfId="0" applyNumberFormat="1" applyFill="1" applyBorder="1" applyAlignment="1">
      <alignment horizontal="right"/>
    </xf>
    <xf numFmtId="3" fontId="0" fillId="0" borderId="0" xfId="0" applyNumberFormat="1"/>
    <xf numFmtId="0" fontId="0" fillId="2" borderId="2" xfId="0" applyFill="1" applyBorder="1"/>
    <xf numFmtId="0" fontId="6" fillId="0" borderId="18" xfId="0" applyFont="1" applyFill="1" applyBorder="1"/>
    <xf numFmtId="4" fontId="0" fillId="0" borderId="13" xfId="0" applyNumberFormat="1" applyBorder="1" applyAlignment="1">
      <alignment horizontal="center"/>
    </xf>
    <xf numFmtId="2" fontId="0" fillId="0" borderId="11" xfId="0" applyNumberFormat="1" applyBorder="1" applyAlignment="1"/>
    <xf numFmtId="0" fontId="5" fillId="0" borderId="0" xfId="0" applyFont="1" applyFill="1" applyBorder="1" applyAlignment="1">
      <alignment horizontal="right"/>
    </xf>
    <xf numFmtId="2" fontId="5" fillId="0" borderId="0" xfId="0" applyNumberFormat="1" applyFont="1" applyBorder="1" applyAlignment="1">
      <alignment horizontal="center"/>
    </xf>
    <xf numFmtId="4" fontId="5" fillId="0" borderId="11" xfId="0" applyNumberFormat="1" applyFont="1" applyBorder="1" applyAlignment="1">
      <alignment horizontal="center"/>
    </xf>
    <xf numFmtId="0" fontId="7" fillId="0" borderId="15" xfId="0" applyFont="1" applyFill="1" applyBorder="1" applyAlignment="1">
      <alignment horizontal="right"/>
    </xf>
    <xf numFmtId="3" fontId="5" fillId="0" borderId="15" xfId="0" applyNumberFormat="1" applyFont="1" applyBorder="1" applyAlignment="1">
      <alignment horizontal="right"/>
    </xf>
    <xf numFmtId="1" fontId="5" fillId="0" borderId="9" xfId="0" applyNumberFormat="1" applyFont="1" applyBorder="1" applyAlignment="1">
      <alignment horizontal="right"/>
    </xf>
    <xf numFmtId="3" fontId="5" fillId="0" borderId="8" xfId="0" applyNumberFormat="1" applyFont="1" applyBorder="1" applyAlignment="1">
      <alignment horizontal="center"/>
    </xf>
    <xf numFmtId="0" fontId="0" fillId="3" borderId="0" xfId="0" applyFill="1"/>
    <xf numFmtId="3" fontId="0" fillId="0" borderId="22" xfId="0" applyNumberFormat="1" applyBorder="1"/>
    <xf numFmtId="3" fontId="0" fillId="0" borderId="6" xfId="0" applyNumberFormat="1" applyBorder="1"/>
    <xf numFmtId="0" fontId="4" fillId="3" borderId="0" xfId="0" applyFont="1" applyFill="1" applyBorder="1" applyAlignment="1">
      <alignment horizontal="right"/>
    </xf>
    <xf numFmtId="3" fontId="4" fillId="3" borderId="0" xfId="0" applyNumberFormat="1" applyFont="1" applyFill="1" applyBorder="1" applyAlignment="1">
      <alignment horizontal="center"/>
    </xf>
    <xf numFmtId="4" fontId="4" fillId="3" borderId="0" xfId="0" applyNumberFormat="1" applyFont="1" applyFill="1" applyBorder="1" applyAlignment="1">
      <alignment horizontal="center"/>
    </xf>
    <xf numFmtId="165" fontId="4" fillId="3" borderId="0" xfId="0" applyNumberFormat="1" applyFont="1" applyFill="1" applyBorder="1" applyAlignment="1">
      <alignment horizontal="center"/>
    </xf>
    <xf numFmtId="164" fontId="4" fillId="3" borderId="0" xfId="0" applyNumberFormat="1" applyFont="1" applyFill="1" applyBorder="1" applyAlignment="1">
      <alignment horizontal="center"/>
    </xf>
    <xf numFmtId="0" fontId="4" fillId="3" borderId="0" xfId="0" applyFont="1" applyFill="1" applyBorder="1" applyAlignment="1">
      <alignment horizontal="center"/>
    </xf>
    <xf numFmtId="0" fontId="0" fillId="3" borderId="0" xfId="0" applyFill="1" applyBorder="1"/>
    <xf numFmtId="3" fontId="5" fillId="0" borderId="11" xfId="0" applyNumberFormat="1" applyFont="1" applyBorder="1" applyAlignment="1">
      <alignment horizontal="center"/>
    </xf>
    <xf numFmtId="0" fontId="6" fillId="0" borderId="4" xfId="0" applyFont="1" applyBorder="1"/>
    <xf numFmtId="0" fontId="6" fillId="0" borderId="4" xfId="0" applyFont="1" applyFill="1" applyBorder="1"/>
    <xf numFmtId="0" fontId="5" fillId="0" borderId="0" xfId="0" applyFont="1" applyBorder="1" applyAlignment="1">
      <alignment horizontal="center"/>
    </xf>
    <xf numFmtId="4" fontId="0" fillId="0" borderId="7" xfId="0" applyNumberFormat="1" applyBorder="1" applyAlignment="1">
      <alignment horizontal="center"/>
    </xf>
    <xf numFmtId="0" fontId="7" fillId="0" borderId="0" xfId="0" applyFont="1" applyFill="1" applyBorder="1" applyAlignment="1">
      <alignment horizontal="right"/>
    </xf>
    <xf numFmtId="1" fontId="5" fillId="0" borderId="0" xfId="0" applyNumberFormat="1" applyFont="1" applyBorder="1" applyAlignment="1">
      <alignment horizontal="right"/>
    </xf>
    <xf numFmtId="4" fontId="0" fillId="0" borderId="13" xfId="0" applyNumberFormat="1" applyFill="1" applyBorder="1" applyAlignment="1">
      <alignment horizontal="center"/>
    </xf>
    <xf numFmtId="0" fontId="6" fillId="0" borderId="23" xfId="0" applyFont="1" applyFill="1" applyBorder="1"/>
    <xf numFmtId="0" fontId="1" fillId="0" borderId="16" xfId="0" applyFont="1" applyFill="1" applyBorder="1"/>
    <xf numFmtId="0" fontId="1" fillId="0" borderId="23" xfId="0" applyFont="1" applyFill="1" applyBorder="1"/>
    <xf numFmtId="0" fontId="1" fillId="0" borderId="16" xfId="0" applyFont="1" applyBorder="1"/>
    <xf numFmtId="3" fontId="1" fillId="0" borderId="7" xfId="0" applyNumberFormat="1" applyFont="1" applyFill="1" applyBorder="1" applyAlignment="1">
      <alignment horizontal="center"/>
    </xf>
    <xf numFmtId="3" fontId="1" fillId="0" borderId="7" xfId="0" applyNumberFormat="1" applyFont="1" applyBorder="1" applyAlignment="1">
      <alignment horizontal="center"/>
    </xf>
    <xf numFmtId="0" fontId="0" fillId="0" borderId="24" xfId="0" applyBorder="1"/>
    <xf numFmtId="167" fontId="1" fillId="0" borderId="8" xfId="0" applyNumberFormat="1" applyFont="1" applyBorder="1" applyAlignment="1">
      <alignment horizontal="center"/>
    </xf>
    <xf numFmtId="165" fontId="1" fillId="0" borderId="8" xfId="0" applyNumberFormat="1" applyFont="1" applyBorder="1" applyAlignment="1">
      <alignment horizontal="center"/>
    </xf>
    <xf numFmtId="0" fontId="1" fillId="0" borderId="15" xfId="0" applyFont="1" applyFill="1" applyBorder="1"/>
    <xf numFmtId="0" fontId="1" fillId="0" borderId="17" xfId="0" applyFont="1" applyFill="1" applyBorder="1"/>
    <xf numFmtId="0" fontId="9" fillId="0" borderId="0" xfId="0" applyFont="1"/>
    <xf numFmtId="0" fontId="4" fillId="4" borderId="15" xfId="0" applyFont="1" applyFill="1" applyBorder="1"/>
    <xf numFmtId="0" fontId="10" fillId="0" borderId="15" xfId="0" applyFont="1" applyFill="1" applyBorder="1"/>
    <xf numFmtId="2" fontId="8" fillId="4" borderId="11" xfId="0" applyNumberFormat="1" applyFont="1" applyFill="1" applyBorder="1" applyAlignment="1">
      <alignment horizontal="center"/>
    </xf>
    <xf numFmtId="3" fontId="8" fillId="4" borderId="8" xfId="0" applyNumberFormat="1" applyFont="1" applyFill="1" applyBorder="1" applyAlignment="1">
      <alignment horizontal="center"/>
    </xf>
    <xf numFmtId="0" fontId="8" fillId="0" borderId="0" xfId="0" applyFont="1"/>
    <xf numFmtId="3" fontId="8" fillId="4" borderId="10" xfId="0" applyNumberFormat="1" applyFont="1" applyFill="1" applyBorder="1" applyAlignment="1">
      <alignment horizontal="center"/>
    </xf>
    <xf numFmtId="3" fontId="8" fillId="4" borderId="11" xfId="0" applyNumberFormat="1" applyFont="1" applyFill="1" applyBorder="1" applyAlignment="1">
      <alignment horizontal="center"/>
    </xf>
    <xf numFmtId="2" fontId="8" fillId="4" borderId="10" xfId="0" applyNumberFormat="1" applyFont="1" applyFill="1" applyBorder="1" applyAlignment="1">
      <alignment horizontal="center"/>
    </xf>
    <xf numFmtId="164" fontId="8" fillId="4" borderId="10" xfId="0" applyNumberFormat="1" applyFont="1" applyFill="1" applyBorder="1" applyAlignment="1">
      <alignment horizontal="center"/>
    </xf>
    <xf numFmtId="164" fontId="8" fillId="4" borderId="12" xfId="0" applyNumberFormat="1" applyFont="1" applyFill="1" applyBorder="1" applyAlignment="1">
      <alignment horizontal="center"/>
    </xf>
    <xf numFmtId="0" fontId="8" fillId="0" borderId="4" xfId="0" applyFont="1" applyBorder="1"/>
    <xf numFmtId="0" fontId="8" fillId="0" borderId="1" xfId="0" applyFont="1" applyBorder="1"/>
    <xf numFmtId="0" fontId="8" fillId="0" borderId="2" xfId="0" applyFont="1" applyBorder="1"/>
    <xf numFmtId="2" fontId="8" fillId="0" borderId="2" xfId="0" applyNumberFormat="1" applyFont="1" applyBorder="1"/>
    <xf numFmtId="0" fontId="8" fillId="0" borderId="3" xfId="0" applyFont="1" applyBorder="1"/>
    <xf numFmtId="0" fontId="8" fillId="0" borderId="0" xfId="0" applyFont="1" applyBorder="1"/>
    <xf numFmtId="0" fontId="8" fillId="0" borderId="5" xfId="0" applyFont="1" applyBorder="1"/>
    <xf numFmtId="0" fontId="1" fillId="0" borderId="18" xfId="0" applyFont="1" applyFill="1" applyBorder="1"/>
    <xf numFmtId="0" fontId="1" fillId="5" borderId="0" xfId="0" applyFont="1" applyFill="1" applyAlignment="1">
      <alignment horizontal="center"/>
    </xf>
    <xf numFmtId="3" fontId="0" fillId="3" borderId="7" xfId="0" applyNumberFormat="1" applyFill="1" applyBorder="1" applyAlignment="1">
      <alignment horizontal="center"/>
    </xf>
    <xf numFmtId="0" fontId="1" fillId="3" borderId="16" xfId="0" applyFont="1" applyFill="1" applyBorder="1"/>
    <xf numFmtId="0" fontId="4" fillId="6" borderId="15" xfId="0" applyFont="1" applyFill="1" applyBorder="1"/>
    <xf numFmtId="3" fontId="8" fillId="6" borderId="8" xfId="0" applyNumberFormat="1" applyFont="1" applyFill="1" applyBorder="1" applyAlignment="1">
      <alignment horizontal="center"/>
    </xf>
    <xf numFmtId="0" fontId="4" fillId="6" borderId="27" xfId="0" applyFont="1" applyFill="1" applyBorder="1"/>
    <xf numFmtId="164" fontId="0" fillId="0" borderId="14" xfId="0" applyNumberFormat="1" applyBorder="1" applyAlignment="1">
      <alignment horizontal="center"/>
    </xf>
    <xf numFmtId="164" fontId="0" fillId="0" borderId="20" xfId="0" applyNumberFormat="1" applyBorder="1" applyAlignment="1">
      <alignment horizontal="center"/>
    </xf>
    <xf numFmtId="0" fontId="0" fillId="0" borderId="11" xfId="0" applyBorder="1" applyAlignment="1"/>
    <xf numFmtId="3" fontId="0" fillId="0" borderId="10" xfId="0" applyNumberFormat="1" applyBorder="1" applyAlignment="1"/>
    <xf numFmtId="3" fontId="0" fillId="0" borderId="11" xfId="0" applyNumberFormat="1" applyBorder="1" applyAlignment="1"/>
    <xf numFmtId="2" fontId="0" fillId="0" borderId="10" xfId="0" applyNumberFormat="1" applyBorder="1" applyAlignment="1"/>
    <xf numFmtId="0" fontId="0" fillId="0" borderId="10" xfId="0" applyBorder="1" applyAlignment="1"/>
    <xf numFmtId="0" fontId="0" fillId="0" borderId="12" xfId="0" applyBorder="1" applyAlignment="1"/>
    <xf numFmtId="0" fontId="1" fillId="7" borderId="16" xfId="0" applyFont="1" applyFill="1" applyBorder="1"/>
    <xf numFmtId="0" fontId="0" fillId="7" borderId="0" xfId="0" applyFill="1"/>
    <xf numFmtId="0" fontId="0" fillId="0" borderId="0" xfId="0" applyFill="1"/>
    <xf numFmtId="0" fontId="6" fillId="0" borderId="17" xfId="0" applyFont="1" applyBorder="1"/>
    <xf numFmtId="0" fontId="1" fillId="0" borderId="18" xfId="0" applyFont="1" applyBorder="1"/>
    <xf numFmtId="3" fontId="0" fillId="7" borderId="7" xfId="0" applyNumberFormat="1" applyFill="1" applyBorder="1" applyAlignment="1">
      <alignment horizontal="center"/>
    </xf>
    <xf numFmtId="3" fontId="0" fillId="0" borderId="0" xfId="0" applyNumberFormat="1" applyFill="1" applyBorder="1" applyAlignment="1">
      <alignment horizontal="center"/>
    </xf>
    <xf numFmtId="0" fontId="0" fillId="8" borderId="0" xfId="0" applyFill="1"/>
    <xf numFmtId="0" fontId="8" fillId="0" borderId="33" xfId="0" applyFont="1" applyBorder="1" applyAlignment="1">
      <alignment horizontal="center"/>
    </xf>
    <xf numFmtId="0" fontId="8" fillId="0" borderId="34" xfId="0" applyFont="1" applyBorder="1"/>
    <xf numFmtId="164" fontId="0" fillId="0" borderId="20" xfId="0" applyNumberFormat="1" applyBorder="1" applyAlignment="1">
      <alignment horizontal="center"/>
    </xf>
    <xf numFmtId="165" fontId="0" fillId="3" borderId="7" xfId="0" applyNumberFormat="1" applyFill="1" applyBorder="1" applyAlignment="1">
      <alignment horizontal="center"/>
    </xf>
    <xf numFmtId="165" fontId="0" fillId="0" borderId="7" xfId="0" applyNumberFormat="1" applyBorder="1" applyAlignment="1">
      <alignment horizontal="center"/>
    </xf>
    <xf numFmtId="165" fontId="0" fillId="0" borderId="0" xfId="0" applyNumberFormat="1" applyBorder="1" applyAlignment="1">
      <alignment horizontal="center"/>
    </xf>
    <xf numFmtId="165" fontId="0" fillId="0" borderId="7" xfId="0" applyNumberFormat="1" applyFill="1" applyBorder="1" applyAlignment="1">
      <alignment horizontal="center"/>
    </xf>
    <xf numFmtId="165" fontId="0" fillId="0" borderId="0" xfId="0" applyNumberFormat="1" applyFill="1" applyBorder="1" applyAlignment="1">
      <alignment horizontal="center"/>
    </xf>
    <xf numFmtId="165" fontId="0" fillId="3" borderId="0" xfId="0" applyNumberFormat="1" applyFill="1" applyBorder="1" applyAlignment="1">
      <alignment horizontal="center"/>
    </xf>
    <xf numFmtId="165" fontId="5" fillId="0" borderId="11" xfId="0" applyNumberFormat="1" applyFont="1" applyBorder="1" applyAlignment="1">
      <alignment horizontal="center"/>
    </xf>
    <xf numFmtId="165" fontId="0" fillId="3" borderId="7" xfId="2" applyNumberFormat="1" applyFont="1" applyFill="1" applyBorder="1" applyAlignment="1">
      <alignment horizontal="center"/>
    </xf>
    <xf numFmtId="165" fontId="0" fillId="0" borderId="7" xfId="2" applyNumberFormat="1" applyFont="1" applyBorder="1" applyAlignment="1">
      <alignment horizontal="center"/>
    </xf>
    <xf numFmtId="165" fontId="0" fillId="0" borderId="0" xfId="2" applyNumberFormat="1" applyFont="1" applyBorder="1" applyAlignment="1">
      <alignment horizontal="center"/>
    </xf>
    <xf numFmtId="165" fontId="1" fillId="0" borderId="7" xfId="2" applyNumberFormat="1" applyFont="1" applyBorder="1" applyAlignment="1">
      <alignment horizontal="center"/>
    </xf>
    <xf numFmtId="165" fontId="0" fillId="0" borderId="7" xfId="2" applyNumberFormat="1" applyFont="1" applyFill="1" applyBorder="1" applyAlignment="1">
      <alignment horizontal="center"/>
    </xf>
    <xf numFmtId="165" fontId="0" fillId="3" borderId="0" xfId="2" applyNumberFormat="1" applyFont="1" applyFill="1" applyBorder="1" applyAlignment="1">
      <alignment horizontal="center"/>
    </xf>
    <xf numFmtId="165" fontId="5" fillId="0" borderId="8" xfId="0" applyNumberFormat="1" applyFont="1" applyBorder="1" applyAlignment="1">
      <alignment horizontal="center"/>
    </xf>
    <xf numFmtId="0" fontId="6" fillId="3" borderId="16" xfId="0" applyFont="1" applyFill="1" applyBorder="1"/>
    <xf numFmtId="165" fontId="0" fillId="3" borderId="22" xfId="0" applyNumberFormat="1" applyFill="1" applyBorder="1" applyAlignment="1">
      <alignment horizontal="center"/>
    </xf>
    <xf numFmtId="165" fontId="5" fillId="0" borderId="11" xfId="2" applyNumberFormat="1" applyFont="1" applyBorder="1" applyAlignment="1">
      <alignment horizontal="center"/>
    </xf>
    <xf numFmtId="165" fontId="0" fillId="0" borderId="26" xfId="0" applyNumberFormat="1" applyBorder="1" applyAlignment="1">
      <alignment horizontal="center"/>
    </xf>
    <xf numFmtId="165" fontId="0" fillId="0" borderId="22" xfId="0" applyNumberFormat="1" applyBorder="1" applyAlignment="1">
      <alignment horizontal="center"/>
    </xf>
    <xf numFmtId="165" fontId="0" fillId="3" borderId="13" xfId="0" applyNumberFormat="1" applyFill="1" applyBorder="1" applyAlignment="1">
      <alignment horizontal="center"/>
    </xf>
    <xf numFmtId="165" fontId="1" fillId="0" borderId="7" xfId="0" applyNumberFormat="1" applyFont="1" applyBorder="1" applyAlignment="1">
      <alignment horizontal="center"/>
    </xf>
    <xf numFmtId="165" fontId="1" fillId="3" borderId="7" xfId="0" applyNumberFormat="1" applyFont="1" applyFill="1" applyBorder="1" applyAlignment="1">
      <alignment horizontal="center"/>
    </xf>
    <xf numFmtId="165" fontId="5" fillId="0" borderId="9" xfId="0" applyNumberFormat="1" applyFont="1" applyBorder="1" applyAlignment="1">
      <alignment horizontal="center"/>
    </xf>
    <xf numFmtId="3" fontId="0" fillId="0" borderId="13" xfId="0" applyNumberFormat="1" applyBorder="1" applyAlignment="1">
      <alignment horizontal="center"/>
    </xf>
    <xf numFmtId="3" fontId="0" fillId="3" borderId="13" xfId="0" applyNumberFormat="1" applyFill="1" applyBorder="1" applyAlignment="1">
      <alignment horizontal="center"/>
    </xf>
    <xf numFmtId="1" fontId="0" fillId="0" borderId="13" xfId="0" applyNumberFormat="1" applyBorder="1" applyAlignment="1">
      <alignment horizontal="center"/>
    </xf>
    <xf numFmtId="3" fontId="0" fillId="0" borderId="13" xfId="0" applyNumberFormat="1" applyFill="1" applyBorder="1" applyAlignment="1">
      <alignment horizontal="center"/>
    </xf>
    <xf numFmtId="1" fontId="0" fillId="3" borderId="13" xfId="0" applyNumberFormat="1" applyFill="1" applyBorder="1" applyAlignment="1">
      <alignment horizontal="center"/>
    </xf>
    <xf numFmtId="167" fontId="1" fillId="3" borderId="8" xfId="0" applyNumberFormat="1" applyFont="1" applyFill="1" applyBorder="1" applyAlignment="1">
      <alignment horizontal="center"/>
    </xf>
    <xf numFmtId="165" fontId="1" fillId="3" borderId="8" xfId="0" applyNumberFormat="1" applyFont="1" applyFill="1" applyBorder="1" applyAlignment="1">
      <alignment horizontal="center"/>
    </xf>
    <xf numFmtId="165" fontId="5" fillId="0" borderId="8" xfId="2" applyNumberFormat="1" applyFont="1" applyBorder="1" applyAlignment="1">
      <alignment horizontal="center"/>
    </xf>
    <xf numFmtId="165" fontId="8" fillId="6" borderId="8" xfId="0" applyNumberFormat="1" applyFont="1" applyFill="1" applyBorder="1" applyAlignment="1">
      <alignment horizontal="center"/>
    </xf>
    <xf numFmtId="165" fontId="8" fillId="6" borderId="9" xfId="0" applyNumberFormat="1" applyFont="1" applyFill="1" applyBorder="1" applyAlignment="1">
      <alignment horizontal="center"/>
    </xf>
    <xf numFmtId="165" fontId="0" fillId="7" borderId="13" xfId="0" applyNumberFormat="1" applyFill="1" applyBorder="1" applyAlignment="1">
      <alignment horizontal="center"/>
    </xf>
    <xf numFmtId="1" fontId="8" fillId="6" borderId="11" xfId="0" applyNumberFormat="1" applyFont="1" applyFill="1" applyBorder="1" applyAlignment="1">
      <alignment horizontal="center"/>
    </xf>
    <xf numFmtId="3" fontId="5" fillId="0" borderId="11" xfId="0" applyNumberFormat="1" applyFont="1" applyBorder="1" applyAlignment="1">
      <alignment horizontal="center"/>
    </xf>
    <xf numFmtId="0" fontId="0" fillId="0" borderId="0" xfId="0" applyBorder="1" applyAlignment="1">
      <alignment horizontal="center"/>
    </xf>
    <xf numFmtId="1" fontId="5" fillId="0" borderId="11" xfId="0" applyNumberFormat="1" applyFont="1" applyBorder="1" applyAlignment="1">
      <alignment horizontal="center"/>
    </xf>
    <xf numFmtId="1" fontId="0" fillId="6" borderId="0" xfId="0" applyNumberFormat="1" applyFill="1" applyBorder="1" applyAlignment="1">
      <alignment horizontal="right"/>
    </xf>
    <xf numFmtId="165" fontId="0" fillId="0" borderId="13" xfId="0" applyNumberFormat="1" applyBorder="1" applyAlignment="1">
      <alignment horizontal="center"/>
    </xf>
    <xf numFmtId="165" fontId="1" fillId="3" borderId="0" xfId="0" applyNumberFormat="1" applyFont="1" applyFill="1" applyBorder="1" applyAlignment="1">
      <alignment horizontal="center"/>
    </xf>
    <xf numFmtId="165" fontId="8" fillId="4" borderId="8" xfId="0" applyNumberFormat="1" applyFont="1" applyFill="1" applyBorder="1" applyAlignment="1">
      <alignment horizontal="center"/>
    </xf>
    <xf numFmtId="165" fontId="1" fillId="0" borderId="0" xfId="0" applyNumberFormat="1" applyFont="1" applyBorder="1" applyAlignment="1">
      <alignment horizontal="center"/>
    </xf>
    <xf numFmtId="165" fontId="1" fillId="0" borderId="7" xfId="0" applyNumberFormat="1" applyFont="1" applyFill="1" applyBorder="1" applyAlignment="1">
      <alignment horizontal="center"/>
    </xf>
    <xf numFmtId="165" fontId="1" fillId="0" borderId="0" xfId="0" applyNumberFormat="1" applyFont="1" applyFill="1" applyBorder="1" applyAlignment="1">
      <alignment horizontal="center"/>
    </xf>
    <xf numFmtId="165" fontId="6" fillId="0" borderId="7" xfId="0" applyNumberFormat="1" applyFont="1" applyBorder="1" applyAlignment="1">
      <alignment horizontal="center"/>
    </xf>
    <xf numFmtId="0" fontId="14" fillId="0" borderId="0" xfId="0" applyFont="1" applyBorder="1"/>
    <xf numFmtId="3" fontId="15" fillId="0" borderId="8" xfId="0" applyNumberFormat="1" applyFont="1" applyBorder="1"/>
    <xf numFmtId="3" fontId="15" fillId="0" borderId="9" xfId="0" applyNumberFormat="1" applyFont="1" applyBorder="1"/>
    <xf numFmtId="3" fontId="14" fillId="6" borderId="8" xfId="0" applyNumberFormat="1" applyFont="1" applyFill="1" applyBorder="1" applyAlignment="1">
      <alignment horizontal="center"/>
    </xf>
    <xf numFmtId="3" fontId="14" fillId="6" borderId="9" xfId="0" applyNumberFormat="1" applyFont="1" applyFill="1" applyBorder="1" applyAlignment="1">
      <alignment horizontal="center"/>
    </xf>
    <xf numFmtId="165" fontId="15" fillId="0" borderId="7" xfId="0" applyNumberFormat="1" applyFont="1" applyBorder="1" applyAlignment="1">
      <alignment horizontal="center"/>
    </xf>
    <xf numFmtId="165" fontId="15" fillId="0" borderId="0" xfId="0" applyNumberFormat="1" applyFont="1" applyBorder="1" applyAlignment="1">
      <alignment horizontal="center"/>
    </xf>
    <xf numFmtId="165" fontId="15" fillId="3" borderId="7" xfId="0" applyNumberFormat="1" applyFont="1" applyFill="1" applyBorder="1" applyAlignment="1">
      <alignment horizontal="center"/>
    </xf>
    <xf numFmtId="165" fontId="14" fillId="6" borderId="8" xfId="0" applyNumberFormat="1" applyFont="1" applyFill="1" applyBorder="1" applyAlignment="1">
      <alignment horizontal="center"/>
    </xf>
    <xf numFmtId="165" fontId="14" fillId="6" borderId="9" xfId="0" applyNumberFormat="1" applyFont="1" applyFill="1" applyBorder="1" applyAlignment="1">
      <alignment horizontal="center"/>
    </xf>
    <xf numFmtId="165" fontId="16" fillId="0" borderId="11" xfId="0" applyNumberFormat="1" applyFont="1" applyBorder="1" applyAlignment="1">
      <alignment horizontal="center"/>
    </xf>
    <xf numFmtId="165" fontId="16" fillId="0" borderId="8" xfId="0" applyNumberFormat="1" applyFont="1" applyBorder="1" applyAlignment="1">
      <alignment horizontal="center"/>
    </xf>
    <xf numFmtId="165" fontId="15" fillId="3" borderId="13" xfId="0" applyNumberFormat="1" applyFont="1" applyFill="1" applyBorder="1" applyAlignment="1">
      <alignment horizontal="center"/>
    </xf>
    <xf numFmtId="165" fontId="16" fillId="0" borderId="0" xfId="0" applyNumberFormat="1" applyFont="1" applyBorder="1" applyAlignment="1">
      <alignment horizontal="center"/>
    </xf>
    <xf numFmtId="0" fontId="15" fillId="0" borderId="0" xfId="0" applyFont="1" applyBorder="1" applyAlignment="1">
      <alignment horizontal="center"/>
    </xf>
    <xf numFmtId="164" fontId="14" fillId="6" borderId="19" xfId="0" applyNumberFormat="1" applyFont="1" applyFill="1" applyBorder="1" applyAlignment="1">
      <alignment horizontal="center"/>
    </xf>
    <xf numFmtId="165" fontId="15" fillId="0" borderId="7" xfId="2" applyNumberFormat="1" applyFont="1" applyBorder="1" applyAlignment="1">
      <alignment horizontal="center"/>
    </xf>
    <xf numFmtId="165" fontId="15" fillId="0" borderId="0" xfId="2" applyNumberFormat="1" applyFont="1" applyBorder="1" applyAlignment="1">
      <alignment horizontal="center"/>
    </xf>
    <xf numFmtId="167" fontId="14" fillId="6" borderId="8" xfId="0" applyNumberFormat="1" applyFont="1" applyFill="1" applyBorder="1" applyAlignment="1">
      <alignment horizontal="center"/>
    </xf>
    <xf numFmtId="167" fontId="14" fillId="6" borderId="9" xfId="0" applyNumberFormat="1" applyFont="1" applyFill="1" applyBorder="1" applyAlignment="1">
      <alignment horizontal="center"/>
    </xf>
    <xf numFmtId="0" fontId="18" fillId="0" borderId="33" xfId="0" applyFont="1" applyBorder="1" applyAlignment="1">
      <alignment horizontal="center"/>
    </xf>
    <xf numFmtId="0" fontId="18" fillId="0" borderId="0" xfId="0" applyFont="1" applyBorder="1"/>
    <xf numFmtId="0" fontId="18" fillId="0" borderId="34" xfId="0" applyFont="1" applyBorder="1"/>
    <xf numFmtId="0" fontId="18" fillId="0" borderId="21" xfId="0" applyFont="1" applyBorder="1" applyAlignment="1">
      <alignment horizontal="center"/>
    </xf>
    <xf numFmtId="3" fontId="20" fillId="0" borderId="8" xfId="0" applyNumberFormat="1" applyFont="1" applyBorder="1"/>
    <xf numFmtId="3" fontId="20" fillId="0" borderId="9" xfId="0" applyNumberFormat="1" applyFont="1" applyBorder="1"/>
    <xf numFmtId="165" fontId="20" fillId="0" borderId="7" xfId="0" applyNumberFormat="1" applyFont="1" applyBorder="1" applyAlignment="1">
      <alignment horizontal="center"/>
    </xf>
    <xf numFmtId="165" fontId="20" fillId="0" borderId="0" xfId="0" applyNumberFormat="1" applyFont="1" applyBorder="1" applyAlignment="1">
      <alignment horizontal="center"/>
    </xf>
    <xf numFmtId="165" fontId="20" fillId="3" borderId="7" xfId="0" applyNumberFormat="1" applyFont="1" applyFill="1" applyBorder="1" applyAlignment="1">
      <alignment horizontal="center"/>
    </xf>
    <xf numFmtId="165" fontId="18" fillId="6" borderId="8" xfId="0" applyNumberFormat="1" applyFont="1" applyFill="1" applyBorder="1" applyAlignment="1">
      <alignment horizontal="center"/>
    </xf>
    <xf numFmtId="165" fontId="18" fillId="6" borderId="9" xfId="0" applyNumberFormat="1" applyFont="1" applyFill="1" applyBorder="1" applyAlignment="1">
      <alignment horizontal="center"/>
    </xf>
    <xf numFmtId="165" fontId="21" fillId="0" borderId="11" xfId="0" applyNumberFormat="1" applyFont="1" applyBorder="1" applyAlignment="1">
      <alignment horizontal="center"/>
    </xf>
    <xf numFmtId="165" fontId="21" fillId="0" borderId="8" xfId="0" applyNumberFormat="1" applyFont="1" applyBorder="1" applyAlignment="1">
      <alignment horizontal="center"/>
    </xf>
    <xf numFmtId="165" fontId="20" fillId="7" borderId="13" xfId="0" applyNumberFormat="1" applyFont="1" applyFill="1" applyBorder="1" applyAlignment="1">
      <alignment horizontal="center"/>
    </xf>
    <xf numFmtId="165" fontId="20" fillId="3" borderId="13" xfId="0" applyNumberFormat="1" applyFont="1" applyFill="1" applyBorder="1" applyAlignment="1">
      <alignment horizontal="center"/>
    </xf>
    <xf numFmtId="165" fontId="20" fillId="3" borderId="0" xfId="0" applyNumberFormat="1" applyFont="1" applyFill="1" applyBorder="1" applyAlignment="1">
      <alignment horizontal="center"/>
    </xf>
    <xf numFmtId="3" fontId="5" fillId="0" borderId="11" xfId="0" applyNumberFormat="1" applyFont="1" applyBorder="1" applyAlignment="1">
      <alignment horizontal="center"/>
    </xf>
    <xf numFmtId="3" fontId="1" fillId="0" borderId="8" xfId="0" applyNumberFormat="1" applyFont="1" applyBorder="1"/>
    <xf numFmtId="3" fontId="1" fillId="0" borderId="9" xfId="0" applyNumberFormat="1" applyFont="1" applyBorder="1"/>
    <xf numFmtId="165" fontId="1" fillId="3" borderId="7" xfId="2" applyNumberFormat="1" applyFont="1" applyFill="1" applyBorder="1" applyAlignment="1">
      <alignment horizontal="center"/>
    </xf>
    <xf numFmtId="165" fontId="1" fillId="0" borderId="7" xfId="2" applyNumberFormat="1" applyFont="1" applyFill="1" applyBorder="1" applyAlignment="1">
      <alignment horizontal="center"/>
    </xf>
    <xf numFmtId="165" fontId="1" fillId="0" borderId="0" xfId="2" applyNumberFormat="1" applyFont="1" applyBorder="1" applyAlignment="1">
      <alignment horizontal="center"/>
    </xf>
    <xf numFmtId="165" fontId="1" fillId="3" borderId="0" xfId="2" applyNumberFormat="1" applyFont="1" applyFill="1" applyBorder="1" applyAlignment="1">
      <alignment horizontal="center"/>
    </xf>
    <xf numFmtId="165" fontId="1" fillId="3" borderId="22" xfId="0" applyNumberFormat="1" applyFont="1" applyFill="1" applyBorder="1" applyAlignment="1">
      <alignment horizontal="center"/>
    </xf>
    <xf numFmtId="165" fontId="1" fillId="3" borderId="13" xfId="0" applyNumberFormat="1" applyFont="1" applyFill="1" applyBorder="1" applyAlignment="1">
      <alignment horizontal="center"/>
    </xf>
    <xf numFmtId="165" fontId="1" fillId="0" borderId="13" xfId="0" applyNumberFormat="1" applyFont="1" applyBorder="1" applyAlignment="1">
      <alignment horizontal="center"/>
    </xf>
    <xf numFmtId="165" fontId="15" fillId="0" borderId="13" xfId="0" applyNumberFormat="1" applyFont="1" applyBorder="1" applyAlignment="1">
      <alignment horizontal="center"/>
    </xf>
    <xf numFmtId="165" fontId="16" fillId="0" borderId="25" xfId="0" applyNumberFormat="1" applyFont="1" applyBorder="1" applyAlignment="1">
      <alignment horizontal="center"/>
    </xf>
    <xf numFmtId="165" fontId="16" fillId="0" borderId="26" xfId="0" applyNumberFormat="1" applyFont="1" applyBorder="1" applyAlignment="1">
      <alignment horizontal="center"/>
    </xf>
    <xf numFmtId="165" fontId="15" fillId="0" borderId="14" xfId="0" applyNumberFormat="1" applyFont="1" applyBorder="1" applyAlignment="1">
      <alignment horizontal="center"/>
    </xf>
    <xf numFmtId="165" fontId="16" fillId="0" borderId="32" xfId="0" applyNumberFormat="1" applyFont="1" applyBorder="1" applyAlignment="1">
      <alignment horizontal="center"/>
    </xf>
    <xf numFmtId="3" fontId="8" fillId="6" borderId="31" xfId="0" applyNumberFormat="1" applyFont="1" applyFill="1" applyBorder="1" applyAlignment="1">
      <alignment horizontal="center"/>
    </xf>
    <xf numFmtId="3" fontId="8" fillId="6" borderId="21" xfId="0" applyNumberFormat="1" applyFont="1" applyFill="1" applyBorder="1" applyAlignment="1">
      <alignment horizontal="center"/>
    </xf>
    <xf numFmtId="4" fontId="8" fillId="6" borderId="31" xfId="0" applyNumberFormat="1" applyFont="1" applyFill="1" applyBorder="1" applyAlignment="1">
      <alignment horizontal="center"/>
    </xf>
    <xf numFmtId="3" fontId="14" fillId="6" borderId="21" xfId="0" applyNumberFormat="1" applyFont="1" applyFill="1" applyBorder="1" applyAlignment="1">
      <alignment horizontal="center"/>
    </xf>
    <xf numFmtId="3" fontId="14" fillId="6" borderId="22" xfId="0" applyNumberFormat="1" applyFont="1" applyFill="1" applyBorder="1" applyAlignment="1">
      <alignment horizontal="center"/>
    </xf>
    <xf numFmtId="3" fontId="14" fillId="6" borderId="31" xfId="0" applyNumberFormat="1" applyFont="1" applyFill="1" applyBorder="1" applyAlignment="1">
      <alignment horizontal="center"/>
    </xf>
    <xf numFmtId="164" fontId="14" fillId="6" borderId="6" xfId="0" applyNumberFormat="1" applyFont="1" applyFill="1" applyBorder="1" applyAlignment="1">
      <alignment horizontal="center"/>
    </xf>
    <xf numFmtId="3" fontId="15" fillId="0" borderId="26" xfId="0" applyNumberFormat="1" applyFont="1" applyBorder="1"/>
    <xf numFmtId="165" fontId="1" fillId="0" borderId="26" xfId="0" applyNumberFormat="1" applyFont="1" applyFill="1" applyBorder="1" applyAlignment="1">
      <alignment horizontal="center"/>
    </xf>
    <xf numFmtId="165" fontId="1" fillId="0" borderId="25" xfId="0" applyNumberFormat="1" applyFont="1" applyBorder="1" applyAlignment="1">
      <alignment horizontal="center"/>
    </xf>
    <xf numFmtId="3" fontId="14" fillId="6" borderId="13" xfId="0" applyNumberFormat="1" applyFont="1" applyFill="1" applyBorder="1" applyAlignment="1">
      <alignment horizontal="center"/>
    </xf>
    <xf numFmtId="165" fontId="16" fillId="0" borderId="13" xfId="0" applyNumberFormat="1" applyFont="1" applyBorder="1" applyAlignment="1">
      <alignment horizontal="center"/>
    </xf>
    <xf numFmtId="4" fontId="8" fillId="6" borderId="13" xfId="0" applyNumberFormat="1" applyFont="1" applyFill="1" applyBorder="1" applyAlignment="1">
      <alignment horizontal="center"/>
    </xf>
    <xf numFmtId="1" fontId="1" fillId="0" borderId="13" xfId="0" applyNumberFormat="1" applyFont="1" applyBorder="1" applyAlignment="1">
      <alignment horizontal="center"/>
    </xf>
    <xf numFmtId="4" fontId="8" fillId="6" borderId="21" xfId="0" applyNumberFormat="1" applyFont="1" applyFill="1" applyBorder="1" applyAlignment="1">
      <alignment horizontal="center"/>
    </xf>
    <xf numFmtId="3" fontId="0" fillId="0" borderId="13" xfId="0" applyNumberFormat="1" applyBorder="1" applyAlignment="1">
      <alignment horizontal="center"/>
    </xf>
    <xf numFmtId="3" fontId="0" fillId="0" borderId="13" xfId="0" applyNumberFormat="1" applyFill="1" applyBorder="1" applyAlignment="1">
      <alignment horizontal="center"/>
    </xf>
    <xf numFmtId="3" fontId="0" fillId="3" borderId="13" xfId="0" applyNumberFormat="1" applyFill="1" applyBorder="1" applyAlignment="1">
      <alignment horizontal="center"/>
    </xf>
    <xf numFmtId="4" fontId="0" fillId="0" borderId="13" xfId="0" applyNumberFormat="1" applyBorder="1" applyAlignment="1">
      <alignment horizontal="center"/>
    </xf>
    <xf numFmtId="4" fontId="8" fillId="6" borderId="11" xfId="0" applyNumberFormat="1" applyFont="1" applyFill="1" applyBorder="1" applyAlignment="1">
      <alignment horizontal="center"/>
    </xf>
    <xf numFmtId="2" fontId="0" fillId="0" borderId="11" xfId="0" applyNumberFormat="1" applyBorder="1" applyAlignment="1"/>
    <xf numFmtId="3" fontId="5" fillId="0" borderId="11" xfId="0" applyNumberFormat="1" applyFont="1" applyBorder="1" applyAlignment="1">
      <alignment horizontal="center"/>
    </xf>
    <xf numFmtId="3" fontId="0" fillId="0" borderId="21" xfId="0" applyNumberFormat="1" applyFill="1" applyBorder="1" applyAlignment="1">
      <alignment horizontal="center"/>
    </xf>
    <xf numFmtId="0" fontId="0" fillId="0" borderId="0" xfId="0" applyBorder="1" applyAlignment="1">
      <alignment horizontal="center"/>
    </xf>
    <xf numFmtId="4" fontId="0" fillId="0" borderId="21" xfId="0" applyNumberFormat="1" applyBorder="1" applyAlignment="1">
      <alignment horizontal="center"/>
    </xf>
    <xf numFmtId="4" fontId="0" fillId="0" borderId="25" xfId="0" applyNumberFormat="1" applyBorder="1" applyAlignment="1">
      <alignment horizontal="center"/>
    </xf>
    <xf numFmtId="0" fontId="18" fillId="0" borderId="6" xfId="0" applyFont="1" applyBorder="1" applyAlignment="1">
      <alignment horizontal="center"/>
    </xf>
    <xf numFmtId="0" fontId="1" fillId="0" borderId="4" xfId="0" applyFont="1" applyFill="1" applyBorder="1"/>
    <xf numFmtId="0" fontId="10" fillId="0" borderId="27" xfId="0" applyFont="1" applyFill="1" applyBorder="1"/>
    <xf numFmtId="0" fontId="7" fillId="0" borderId="27" xfId="0" applyFont="1" applyFill="1" applyBorder="1" applyAlignment="1">
      <alignment horizontal="right"/>
    </xf>
    <xf numFmtId="0" fontId="1" fillId="0" borderId="4" xfId="0" applyFont="1" applyBorder="1"/>
    <xf numFmtId="0" fontId="1" fillId="3" borderId="4" xfId="0" applyFont="1" applyFill="1" applyBorder="1"/>
    <xf numFmtId="3" fontId="8" fillId="6" borderId="5" xfId="0" applyNumberFormat="1" applyFont="1" applyFill="1" applyBorder="1" applyAlignment="1">
      <alignment horizontal="center"/>
    </xf>
    <xf numFmtId="1" fontId="0" fillId="0" borderId="13" xfId="0" applyNumberFormat="1" applyBorder="1" applyAlignment="1">
      <alignment horizontal="center"/>
    </xf>
    <xf numFmtId="164" fontId="1" fillId="0" borderId="14" xfId="0" applyNumberFormat="1" applyFont="1" applyBorder="1" applyAlignment="1">
      <alignment horizontal="center"/>
    </xf>
    <xf numFmtId="164" fontId="1" fillId="0" borderId="20" xfId="0" applyNumberFormat="1" applyFont="1" applyBorder="1" applyAlignment="1">
      <alignment horizontal="center"/>
    </xf>
    <xf numFmtId="3" fontId="0" fillId="3" borderId="13" xfId="0" applyNumberFormat="1" applyFill="1" applyBorder="1" applyAlignment="1">
      <alignment horizontal="center"/>
    </xf>
    <xf numFmtId="4" fontId="0" fillId="0" borderId="13" xfId="0" applyNumberFormat="1" applyBorder="1" applyAlignment="1">
      <alignment horizontal="center"/>
    </xf>
    <xf numFmtId="3" fontId="0" fillId="0" borderId="13" xfId="0" applyNumberFormat="1" applyFill="1" applyBorder="1" applyAlignment="1">
      <alignment horizontal="center"/>
    </xf>
    <xf numFmtId="3" fontId="5" fillId="0" borderId="11" xfId="0" applyNumberFormat="1" applyFont="1" applyBorder="1" applyAlignment="1">
      <alignment horizontal="center"/>
    </xf>
    <xf numFmtId="1" fontId="0" fillId="3" borderId="13" xfId="0" applyNumberFormat="1" applyFill="1" applyBorder="1" applyAlignment="1">
      <alignment horizontal="center"/>
    </xf>
    <xf numFmtId="164" fontId="1" fillId="0" borderId="0" xfId="0" applyNumberFormat="1" applyFont="1" applyBorder="1" applyAlignment="1">
      <alignment horizontal="center"/>
    </xf>
    <xf numFmtId="3" fontId="5" fillId="0" borderId="13" xfId="0" applyNumberFormat="1" applyFont="1" applyBorder="1" applyAlignment="1">
      <alignment horizontal="center"/>
    </xf>
    <xf numFmtId="0" fontId="0" fillId="0" borderId="0" xfId="0" applyBorder="1" applyAlignment="1">
      <alignment horizontal="center"/>
    </xf>
    <xf numFmtId="3" fontId="0" fillId="9" borderId="7" xfId="0" applyNumberFormat="1" applyFill="1" applyBorder="1" applyAlignment="1">
      <alignment horizontal="center"/>
    </xf>
    <xf numFmtId="0" fontId="1" fillId="9" borderId="16" xfId="0" applyFont="1" applyFill="1" applyBorder="1"/>
    <xf numFmtId="3" fontId="0" fillId="9" borderId="0" xfId="0" applyNumberFormat="1" applyFill="1" applyBorder="1" applyAlignment="1">
      <alignment horizontal="center"/>
    </xf>
    <xf numFmtId="0" fontId="8" fillId="0" borderId="0" xfId="0" applyFont="1" applyFill="1"/>
    <xf numFmtId="1" fontId="0" fillId="9" borderId="0" xfId="0" applyNumberFormat="1" applyFill="1" applyBorder="1" applyAlignment="1">
      <alignment horizontal="right"/>
    </xf>
    <xf numFmtId="1" fontId="0" fillId="10" borderId="9" xfId="0" applyNumberFormat="1" applyFill="1" applyBorder="1" applyAlignment="1">
      <alignment horizontal="right"/>
    </xf>
    <xf numFmtId="0" fontId="0" fillId="10" borderId="9" xfId="0" applyFill="1" applyBorder="1"/>
    <xf numFmtId="1" fontId="0" fillId="11" borderId="0" xfId="0" applyNumberFormat="1" applyFill="1" applyBorder="1" applyAlignment="1">
      <alignment horizontal="right"/>
    </xf>
    <xf numFmtId="1" fontId="0" fillId="0" borderId="9" xfId="0" applyNumberFormat="1" applyFill="1" applyBorder="1" applyAlignment="1">
      <alignment horizontal="right"/>
    </xf>
    <xf numFmtId="1" fontId="0" fillId="2" borderId="12" xfId="0" applyNumberFormat="1" applyFill="1" applyBorder="1" applyAlignment="1">
      <alignment horizontal="right"/>
    </xf>
    <xf numFmtId="1" fontId="0" fillId="2" borderId="27" xfId="0" applyNumberFormat="1" applyFill="1" applyBorder="1" applyAlignment="1">
      <alignment horizontal="right"/>
    </xf>
    <xf numFmtId="1" fontId="5" fillId="0" borderId="27" xfId="0" applyNumberFormat="1" applyFont="1" applyBorder="1" applyAlignment="1">
      <alignment horizontal="right"/>
    </xf>
    <xf numFmtId="3" fontId="5" fillId="0" borderId="17" xfId="0" applyNumberFormat="1" applyFont="1" applyBorder="1" applyAlignment="1">
      <alignment horizontal="right"/>
    </xf>
    <xf numFmtId="3" fontId="5" fillId="0" borderId="18" xfId="0" applyNumberFormat="1" applyFont="1" applyBorder="1" applyAlignment="1">
      <alignment horizontal="right"/>
    </xf>
    <xf numFmtId="0" fontId="0" fillId="0" borderId="27" xfId="0" applyBorder="1" applyAlignment="1">
      <alignment horizontal="right"/>
    </xf>
    <xf numFmtId="165" fontId="1" fillId="0" borderId="13" xfId="0" applyNumberFormat="1" applyFont="1" applyFill="1" applyBorder="1" applyAlignment="1">
      <alignment horizontal="center"/>
    </xf>
    <xf numFmtId="3" fontId="5" fillId="0" borderId="12" xfId="0" applyNumberFormat="1" applyFont="1" applyBorder="1" applyAlignment="1">
      <alignment horizontal="right"/>
    </xf>
    <xf numFmtId="1" fontId="0" fillId="2" borderId="6" xfId="0" applyNumberFormat="1" applyFill="1" applyBorder="1" applyAlignment="1">
      <alignment horizontal="right"/>
    </xf>
    <xf numFmtId="3" fontId="5" fillId="0" borderId="27" xfId="0" applyNumberFormat="1" applyFont="1" applyBorder="1" applyAlignment="1">
      <alignment horizontal="right"/>
    </xf>
    <xf numFmtId="3" fontId="5" fillId="0" borderId="9" xfId="0" applyNumberFormat="1" applyFont="1" applyBorder="1" applyAlignment="1">
      <alignment horizontal="right"/>
    </xf>
    <xf numFmtId="1" fontId="5" fillId="0" borderId="6" xfId="0" applyNumberFormat="1" applyFont="1" applyBorder="1" applyAlignment="1">
      <alignment horizontal="right"/>
    </xf>
    <xf numFmtId="3" fontId="0" fillId="3" borderId="13" xfId="0" applyNumberFormat="1" applyFill="1" applyBorder="1" applyAlignment="1">
      <alignment horizontal="center"/>
    </xf>
    <xf numFmtId="3" fontId="5" fillId="0" borderId="11" xfId="0" applyNumberFormat="1" applyFont="1" applyBorder="1" applyAlignment="1">
      <alignment horizontal="center"/>
    </xf>
    <xf numFmtId="164" fontId="1" fillId="0" borderId="20" xfId="0" applyNumberFormat="1" applyFont="1" applyBorder="1" applyAlignment="1">
      <alignment horizontal="center"/>
    </xf>
    <xf numFmtId="3" fontId="0" fillId="0" borderId="13" xfId="0" applyNumberFormat="1" applyBorder="1" applyAlignment="1">
      <alignment horizontal="center"/>
    </xf>
    <xf numFmtId="3" fontId="0" fillId="0" borderId="13" xfId="0" applyNumberFormat="1" applyFill="1" applyBorder="1" applyAlignment="1">
      <alignment horizontal="center"/>
    </xf>
    <xf numFmtId="1" fontId="0" fillId="0" borderId="13" xfId="0" applyNumberFormat="1" applyBorder="1" applyAlignment="1">
      <alignment horizontal="center"/>
    </xf>
    <xf numFmtId="3" fontId="8" fillId="4" borderId="9" xfId="0" applyNumberFormat="1" applyFont="1" applyFill="1" applyBorder="1" applyAlignment="1">
      <alignment horizontal="center"/>
    </xf>
    <xf numFmtId="3" fontId="8" fillId="4" borderId="11" xfId="0" applyNumberFormat="1" applyFont="1" applyFill="1" applyBorder="1" applyAlignment="1">
      <alignment horizontal="center"/>
    </xf>
    <xf numFmtId="0" fontId="8" fillId="6" borderId="11" xfId="0" applyFont="1" applyFill="1" applyBorder="1" applyAlignment="1">
      <alignment horizontal="center"/>
    </xf>
    <xf numFmtId="164" fontId="1" fillId="0" borderId="0" xfId="0" applyNumberFormat="1" applyFont="1" applyBorder="1" applyAlignment="1">
      <alignment horizontal="center"/>
    </xf>
    <xf numFmtId="1" fontId="5" fillId="0" borderId="15" xfId="0" applyNumberFormat="1" applyFont="1" applyBorder="1" applyAlignment="1">
      <alignment horizontal="right"/>
    </xf>
    <xf numFmtId="3" fontId="5" fillId="2" borderId="12" xfId="0" applyNumberFormat="1" applyFont="1" applyFill="1" applyBorder="1" applyAlignment="1">
      <alignment horizontal="right"/>
    </xf>
    <xf numFmtId="3" fontId="1" fillId="0" borderId="26" xfId="0" applyNumberFormat="1" applyFont="1" applyBorder="1"/>
    <xf numFmtId="3" fontId="1" fillId="0" borderId="2" xfId="0" applyNumberFormat="1" applyFont="1" applyBorder="1"/>
    <xf numFmtId="165" fontId="1" fillId="3" borderId="6" xfId="0" applyNumberFormat="1" applyFont="1" applyFill="1" applyBorder="1" applyAlignment="1">
      <alignment horizontal="center"/>
    </xf>
    <xf numFmtId="3" fontId="5" fillId="0" borderId="2" xfId="0" applyNumberFormat="1" applyFont="1" applyBorder="1" applyAlignment="1">
      <alignment horizontal="center"/>
    </xf>
    <xf numFmtId="3" fontId="5" fillId="0" borderId="16" xfId="0" applyNumberFormat="1" applyFont="1" applyFill="1" applyBorder="1" applyAlignment="1">
      <alignment horizontal="right"/>
    </xf>
    <xf numFmtId="0" fontId="7" fillId="0" borderId="1" xfId="0" applyFont="1" applyFill="1" applyBorder="1" applyAlignment="1">
      <alignment horizontal="right"/>
    </xf>
    <xf numFmtId="165" fontId="1" fillId="3" borderId="26" xfId="0" applyNumberFormat="1" applyFont="1" applyFill="1" applyBorder="1" applyAlignment="1">
      <alignment horizontal="center"/>
    </xf>
    <xf numFmtId="165" fontId="1" fillId="0" borderId="26" xfId="0" applyNumberFormat="1" applyFont="1" applyBorder="1" applyAlignment="1">
      <alignment horizontal="center"/>
    </xf>
    <xf numFmtId="165" fontId="5" fillId="0" borderId="9" xfId="2" applyNumberFormat="1" applyFont="1" applyBorder="1" applyAlignment="1">
      <alignment horizontal="center"/>
    </xf>
    <xf numFmtId="3" fontId="5" fillId="0" borderId="0" xfId="0" applyNumberFormat="1" applyFont="1" applyBorder="1" applyAlignment="1">
      <alignment horizontal="center"/>
    </xf>
    <xf numFmtId="165" fontId="1" fillId="0" borderId="2" xfId="0" applyNumberFormat="1" applyFont="1" applyBorder="1" applyAlignment="1">
      <alignment horizontal="center"/>
    </xf>
    <xf numFmtId="165" fontId="1" fillId="3" borderId="26" xfId="2" applyNumberFormat="1" applyFont="1" applyFill="1" applyBorder="1" applyAlignment="1">
      <alignment horizontal="center"/>
    </xf>
    <xf numFmtId="165" fontId="1" fillId="0" borderId="26" xfId="2" applyNumberFormat="1" applyFont="1" applyBorder="1" applyAlignment="1">
      <alignment horizontal="center"/>
    </xf>
    <xf numFmtId="164" fontId="0" fillId="0" borderId="0" xfId="0" applyNumberFormat="1" applyBorder="1" applyAlignment="1">
      <alignment horizontal="center"/>
    </xf>
    <xf numFmtId="2" fontId="8" fillId="4" borderId="9" xfId="0" applyNumberFormat="1" applyFont="1" applyFill="1" applyBorder="1" applyAlignment="1">
      <alignment horizontal="center"/>
    </xf>
    <xf numFmtId="3" fontId="5" fillId="2" borderId="18" xfId="0" applyNumberFormat="1" applyFont="1" applyFill="1" applyBorder="1" applyAlignment="1">
      <alignment horizontal="right"/>
    </xf>
    <xf numFmtId="1" fontId="5" fillId="0" borderId="9" xfId="0" applyNumberFormat="1" applyFont="1" applyFill="1" applyBorder="1" applyAlignment="1">
      <alignment horizontal="right"/>
    </xf>
    <xf numFmtId="165" fontId="1" fillId="0" borderId="13" xfId="2" applyNumberFormat="1" applyFont="1" applyBorder="1" applyAlignment="1">
      <alignment horizontal="center"/>
    </xf>
    <xf numFmtId="165" fontId="1" fillId="0" borderId="13" xfId="2" applyNumberFormat="1" applyFont="1" applyFill="1" applyBorder="1" applyAlignment="1">
      <alignment horizontal="center"/>
    </xf>
    <xf numFmtId="165" fontId="1" fillId="3" borderId="13" xfId="2" applyNumberFormat="1" applyFont="1" applyFill="1" applyBorder="1" applyAlignment="1">
      <alignment horizontal="center"/>
    </xf>
    <xf numFmtId="5" fontId="5" fillId="0" borderId="2" xfId="2" applyNumberFormat="1" applyFont="1" applyFill="1" applyBorder="1" applyAlignment="1">
      <alignment horizontal="center"/>
    </xf>
    <xf numFmtId="5" fontId="5" fillId="0" borderId="0" xfId="2" applyNumberFormat="1" applyFont="1" applyFill="1" applyBorder="1" applyAlignment="1">
      <alignment horizontal="center"/>
    </xf>
    <xf numFmtId="0" fontId="6" fillId="0" borderId="18" xfId="0" applyFont="1" applyBorder="1"/>
    <xf numFmtId="0" fontId="0" fillId="0" borderId="18" xfId="0" applyFill="1" applyBorder="1"/>
    <xf numFmtId="165" fontId="5" fillId="0" borderId="0" xfId="0" applyNumberFormat="1" applyFont="1" applyFill="1" applyBorder="1" applyAlignment="1">
      <alignment horizontal="center"/>
    </xf>
    <xf numFmtId="165" fontId="1" fillId="0" borderId="9" xfId="2" applyNumberFormat="1" applyFont="1" applyBorder="1" applyAlignment="1">
      <alignment horizontal="center"/>
    </xf>
    <xf numFmtId="165" fontId="1" fillId="0" borderId="8" xfId="2" applyNumberFormat="1" applyFont="1" applyBorder="1" applyAlignment="1">
      <alignment horizontal="center"/>
    </xf>
    <xf numFmtId="1" fontId="5" fillId="0" borderId="12" xfId="0" applyNumberFormat="1" applyFont="1" applyBorder="1" applyAlignment="1">
      <alignment horizontal="right"/>
    </xf>
    <xf numFmtId="165" fontId="20" fillId="0" borderId="13" xfId="0" applyNumberFormat="1" applyFont="1" applyFill="1" applyBorder="1" applyAlignment="1">
      <alignment horizontal="center"/>
    </xf>
    <xf numFmtId="165" fontId="20" fillId="0" borderId="7" xfId="0" applyNumberFormat="1" applyFont="1" applyFill="1" applyBorder="1" applyAlignment="1">
      <alignment horizontal="center"/>
    </xf>
    <xf numFmtId="165" fontId="0" fillId="0" borderId="13" xfId="0" applyNumberFormat="1" applyFill="1" applyBorder="1" applyAlignment="1">
      <alignment horizontal="center"/>
    </xf>
    <xf numFmtId="0" fontId="1" fillId="0" borderId="24" xfId="0" applyFont="1" applyFill="1" applyBorder="1"/>
    <xf numFmtId="167" fontId="1" fillId="0" borderId="8" xfId="0" applyNumberFormat="1" applyFont="1" applyFill="1" applyBorder="1" applyAlignment="1">
      <alignment horizontal="center"/>
    </xf>
    <xf numFmtId="165" fontId="1" fillId="0" borderId="8" xfId="0" applyNumberFormat="1" applyFont="1" applyFill="1" applyBorder="1" applyAlignment="1">
      <alignment horizontal="center"/>
    </xf>
    <xf numFmtId="0" fontId="0" fillId="0" borderId="0" xfId="0" applyBorder="1" applyAlignment="1">
      <alignment horizontal="center"/>
    </xf>
    <xf numFmtId="3" fontId="5" fillId="0" borderId="0" xfId="0" applyNumberFormat="1" applyFont="1" applyBorder="1" applyAlignment="1">
      <alignment horizontal="center"/>
    </xf>
    <xf numFmtId="3" fontId="4" fillId="0" borderId="0" xfId="0" applyNumberFormat="1" applyFont="1" applyFill="1" applyBorder="1" applyAlignment="1">
      <alignment horizontal="center"/>
    </xf>
    <xf numFmtId="165" fontId="4" fillId="0" borderId="0" xfId="0" applyNumberFormat="1" applyFont="1" applyFill="1" applyBorder="1" applyAlignment="1">
      <alignment horizontal="center"/>
    </xf>
    <xf numFmtId="0" fontId="14" fillId="0" borderId="0" xfId="0" applyFont="1" applyFill="1" applyBorder="1" applyAlignment="1">
      <alignment horizontal="center"/>
    </xf>
    <xf numFmtId="0" fontId="4" fillId="0" borderId="0" xfId="0" applyFont="1" applyFill="1" applyBorder="1" applyAlignment="1">
      <alignment horizontal="right"/>
    </xf>
    <xf numFmtId="0" fontId="8" fillId="0" borderId="35" xfId="0" applyFont="1" applyBorder="1"/>
    <xf numFmtId="0" fontId="10" fillId="0" borderId="18" xfId="0" applyFont="1" applyFill="1" applyBorder="1"/>
    <xf numFmtId="0" fontId="0" fillId="0" borderId="0" xfId="0" applyBorder="1" applyAlignment="1">
      <alignment horizontal="center"/>
    </xf>
    <xf numFmtId="0" fontId="0" fillId="0" borderId="6" xfId="0" applyBorder="1" applyAlignment="1">
      <alignment horizontal="center"/>
    </xf>
    <xf numFmtId="0" fontId="8" fillId="0" borderId="38" xfId="0" applyFont="1" applyBorder="1"/>
    <xf numFmtId="0" fontId="8" fillId="0" borderId="29" xfId="0" applyFont="1" applyBorder="1"/>
    <xf numFmtId="2" fontId="8" fillId="0" borderId="29" xfId="0" applyNumberFormat="1" applyFont="1" applyBorder="1"/>
    <xf numFmtId="3" fontId="8" fillId="0" borderId="8" xfId="0" applyNumberFormat="1" applyFont="1" applyBorder="1"/>
    <xf numFmtId="3" fontId="8" fillId="0" borderId="9" xfId="0" applyNumberFormat="1" applyFont="1" applyBorder="1"/>
    <xf numFmtId="0" fontId="8" fillId="3" borderId="0" xfId="0" applyFont="1" applyFill="1"/>
    <xf numFmtId="3" fontId="4" fillId="0" borderId="0" xfId="0" applyNumberFormat="1" applyFont="1" applyBorder="1" applyAlignment="1">
      <alignment horizontal="center"/>
    </xf>
    <xf numFmtId="165" fontId="4" fillId="0" borderId="0" xfId="0" applyNumberFormat="1" applyFont="1" applyBorder="1" applyAlignment="1">
      <alignment horizontal="center"/>
    </xf>
    <xf numFmtId="0" fontId="11" fillId="0" borderId="0" xfId="0" applyFont="1" applyAlignment="1">
      <alignment horizontal="right"/>
    </xf>
    <xf numFmtId="3" fontId="8" fillId="0" borderId="22" xfId="0" applyNumberFormat="1" applyFont="1" applyBorder="1"/>
    <xf numFmtId="3" fontId="8" fillId="0" borderId="6" xfId="0" applyNumberFormat="1" applyFont="1" applyBorder="1"/>
    <xf numFmtId="0" fontId="8" fillId="0" borderId="9" xfId="0" applyFont="1" applyBorder="1"/>
    <xf numFmtId="0" fontId="8" fillId="0" borderId="11" xfId="0" applyFont="1" applyBorder="1"/>
    <xf numFmtId="0" fontId="8" fillId="0" borderId="10" xfId="0" applyFont="1" applyBorder="1"/>
    <xf numFmtId="0" fontId="8" fillId="0" borderId="8" xfId="0" applyFont="1" applyBorder="1"/>
    <xf numFmtId="0" fontId="0" fillId="0" borderId="29" xfId="0" applyBorder="1"/>
    <xf numFmtId="165" fontId="1" fillId="0" borderId="22" xfId="0" applyNumberFormat="1" applyFont="1" applyBorder="1" applyAlignment="1">
      <alignment horizontal="center"/>
    </xf>
    <xf numFmtId="0" fontId="8" fillId="0" borderId="6" xfId="0" applyFont="1" applyBorder="1" applyAlignment="1">
      <alignment horizontal="center"/>
    </xf>
    <xf numFmtId="0" fontId="8" fillId="0" borderId="21" xfId="0" applyFont="1" applyBorder="1" applyAlignment="1">
      <alignment horizontal="center"/>
    </xf>
    <xf numFmtId="0" fontId="8" fillId="0" borderId="31" xfId="0" applyFont="1" applyBorder="1" applyAlignment="1">
      <alignment horizontal="center"/>
    </xf>
    <xf numFmtId="0" fontId="18" fillId="0" borderId="31" xfId="0" applyFont="1" applyBorder="1" applyAlignment="1">
      <alignment horizontal="center"/>
    </xf>
    <xf numFmtId="3" fontId="1" fillId="0" borderId="7" xfId="0" applyNumberFormat="1" applyFont="1" applyBorder="1"/>
    <xf numFmtId="3" fontId="1" fillId="0" borderId="0" xfId="0" applyNumberFormat="1" applyFont="1" applyBorder="1"/>
    <xf numFmtId="0" fontId="18" fillId="0" borderId="2" xfId="0" applyFont="1" applyBorder="1"/>
    <xf numFmtId="0" fontId="18" fillId="0" borderId="3" xfId="0" applyFont="1" applyBorder="1"/>
    <xf numFmtId="3" fontId="0" fillId="0" borderId="11" xfId="0" applyNumberFormat="1" applyBorder="1"/>
    <xf numFmtId="165" fontId="8" fillId="6" borderId="11" xfId="0" applyNumberFormat="1" applyFont="1" applyFill="1" applyBorder="1" applyAlignment="1">
      <alignment horizontal="center"/>
    </xf>
    <xf numFmtId="164" fontId="8" fillId="4" borderId="9" xfId="0" applyNumberFormat="1" applyFont="1" applyFill="1" applyBorder="1" applyAlignment="1">
      <alignment horizontal="center"/>
    </xf>
    <xf numFmtId="165" fontId="8" fillId="4" borderId="11" xfId="0" applyNumberFormat="1" applyFont="1" applyFill="1" applyBorder="1" applyAlignment="1">
      <alignment horizontal="center"/>
    </xf>
    <xf numFmtId="3" fontId="0" fillId="0" borderId="21" xfId="0" applyNumberFormat="1" applyBorder="1"/>
    <xf numFmtId="165" fontId="5" fillId="0" borderId="10" xfId="0" applyNumberFormat="1" applyFont="1" applyBorder="1" applyAlignment="1">
      <alignment horizontal="center"/>
    </xf>
    <xf numFmtId="0" fontId="8" fillId="0" borderId="31" xfId="0" applyFont="1" applyBorder="1" applyAlignment="1">
      <alignment horizontal="center" wrapText="1"/>
    </xf>
    <xf numFmtId="0" fontId="8" fillId="0" borderId="33" xfId="0" applyFont="1" applyBorder="1" applyAlignment="1">
      <alignment horizontal="center" wrapText="1"/>
    </xf>
    <xf numFmtId="3" fontId="8" fillId="4" borderId="11" xfId="0" applyNumberFormat="1" applyFont="1" applyFill="1" applyBorder="1" applyAlignment="1">
      <alignment horizontal="center"/>
    </xf>
    <xf numFmtId="3" fontId="0" fillId="3" borderId="13" xfId="0" applyNumberFormat="1" applyFill="1" applyBorder="1" applyAlignment="1">
      <alignment horizontal="center"/>
    </xf>
    <xf numFmtId="3" fontId="0" fillId="0" borderId="13" xfId="0" applyNumberFormat="1" applyBorder="1" applyAlignment="1">
      <alignment horizontal="center"/>
    </xf>
    <xf numFmtId="1" fontId="0" fillId="0" borderId="13" xfId="0" applyNumberFormat="1" applyBorder="1" applyAlignment="1">
      <alignment horizontal="center"/>
    </xf>
    <xf numFmtId="3" fontId="0" fillId="0" borderId="13" xfId="0" applyNumberFormat="1" applyFill="1" applyBorder="1" applyAlignment="1">
      <alignment horizontal="center"/>
    </xf>
    <xf numFmtId="3" fontId="5" fillId="0" borderId="9" xfId="0" applyNumberFormat="1" applyFont="1" applyBorder="1" applyAlignment="1">
      <alignment horizontal="center"/>
    </xf>
    <xf numFmtId="3" fontId="0" fillId="0" borderId="11" xfId="0" applyNumberFormat="1" applyBorder="1" applyAlignment="1"/>
    <xf numFmtId="3" fontId="5" fillId="0" borderId="11" xfId="0" applyNumberFormat="1" applyFont="1" applyBorder="1" applyAlignment="1">
      <alignment horizontal="center"/>
    </xf>
    <xf numFmtId="1" fontId="0" fillId="3" borderId="13" xfId="0" applyNumberFormat="1" applyFill="1" applyBorder="1" applyAlignment="1">
      <alignment horizontal="center"/>
    </xf>
    <xf numFmtId="3" fontId="5" fillId="0" borderId="0" xfId="0" applyNumberFormat="1" applyFont="1" applyBorder="1" applyAlignment="1">
      <alignment horizontal="center"/>
    </xf>
    <xf numFmtId="1" fontId="1" fillId="3" borderId="13" xfId="0" applyNumberFormat="1" applyFont="1" applyFill="1" applyBorder="1" applyAlignment="1">
      <alignment horizontal="center"/>
    </xf>
    <xf numFmtId="1" fontId="1" fillId="3" borderId="11" xfId="0" applyNumberFormat="1" applyFont="1" applyFill="1" applyBorder="1" applyAlignment="1">
      <alignment horizontal="center"/>
    </xf>
    <xf numFmtId="1" fontId="1" fillId="0" borderId="11" xfId="0" applyNumberFormat="1" applyFont="1" applyFill="1" applyBorder="1" applyAlignment="1">
      <alignment horizontal="center"/>
    </xf>
    <xf numFmtId="0" fontId="8" fillId="0" borderId="0" xfId="0" applyFont="1" applyBorder="1" applyAlignment="1">
      <alignment horizontal="center"/>
    </xf>
    <xf numFmtId="2" fontId="8" fillId="0" borderId="0" xfId="0" applyNumberFormat="1" applyFont="1" applyBorder="1" applyAlignment="1">
      <alignment horizontal="center"/>
    </xf>
    <xf numFmtId="0" fontId="8" fillId="0" borderId="14" xfId="0" applyFont="1" applyBorder="1" applyAlignment="1">
      <alignment horizontal="center"/>
    </xf>
    <xf numFmtId="0" fontId="8" fillId="0" borderId="6" xfId="0" applyFont="1" applyBorder="1" applyAlignment="1">
      <alignment horizontal="center"/>
    </xf>
    <xf numFmtId="0" fontId="8" fillId="0" borderId="31" xfId="0" applyFont="1" applyBorder="1" applyAlignment="1">
      <alignment horizontal="center"/>
    </xf>
    <xf numFmtId="3" fontId="8" fillId="6" borderId="11" xfId="0" applyNumberFormat="1" applyFont="1" applyFill="1" applyBorder="1" applyAlignment="1">
      <alignment horizontal="center"/>
    </xf>
    <xf numFmtId="0" fontId="8" fillId="0" borderId="13" xfId="0" applyFont="1" applyBorder="1" applyAlignment="1">
      <alignment horizontal="center"/>
    </xf>
    <xf numFmtId="0" fontId="8" fillId="0" borderId="21" xfId="0" applyFont="1" applyBorder="1" applyAlignment="1">
      <alignment horizontal="center"/>
    </xf>
    <xf numFmtId="3" fontId="0" fillId="0" borderId="13" xfId="0" applyNumberFormat="1" applyBorder="1" applyAlignment="1">
      <alignment horizontal="center"/>
    </xf>
    <xf numFmtId="3" fontId="0" fillId="3" borderId="13" xfId="0" applyNumberFormat="1" applyFill="1" applyBorder="1" applyAlignment="1">
      <alignment horizontal="center"/>
    </xf>
    <xf numFmtId="1" fontId="0" fillId="0" borderId="13" xfId="0" applyNumberFormat="1" applyBorder="1" applyAlignment="1">
      <alignment horizontal="center"/>
    </xf>
    <xf numFmtId="3" fontId="8" fillId="6" borderId="10" xfId="0" applyNumberFormat="1" applyFont="1" applyFill="1" applyBorder="1" applyAlignment="1">
      <alignment horizontal="center"/>
    </xf>
    <xf numFmtId="2" fontId="0" fillId="0" borderId="11" xfId="0" applyNumberFormat="1" applyBorder="1" applyAlignment="1"/>
    <xf numFmtId="3" fontId="5" fillId="0" borderId="0" xfId="0" applyNumberFormat="1" applyFont="1" applyFill="1" applyBorder="1" applyAlignment="1">
      <alignment horizontal="center"/>
    </xf>
    <xf numFmtId="1" fontId="1" fillId="0" borderId="13" xfId="0" applyNumberFormat="1" applyFont="1" applyBorder="1" applyAlignment="1">
      <alignment horizontal="center"/>
    </xf>
    <xf numFmtId="1" fontId="0" fillId="3" borderId="13" xfId="0" applyNumberFormat="1" applyFill="1" applyBorder="1" applyAlignment="1">
      <alignment horizontal="center"/>
    </xf>
    <xf numFmtId="164" fontId="8" fillId="6" borderId="10" xfId="0" applyNumberFormat="1" applyFont="1" applyFill="1" applyBorder="1" applyAlignment="1">
      <alignment horizontal="center"/>
    </xf>
    <xf numFmtId="164" fontId="8" fillId="6" borderId="12" xfId="0" applyNumberFormat="1" applyFont="1" applyFill="1" applyBorder="1" applyAlignment="1">
      <alignment horizontal="center"/>
    </xf>
    <xf numFmtId="164" fontId="8" fillId="6" borderId="9" xfId="0" applyNumberFormat="1" applyFont="1" applyFill="1" applyBorder="1" applyAlignment="1">
      <alignment horizontal="center"/>
    </xf>
    <xf numFmtId="1" fontId="1" fillId="3" borderId="13" xfId="0" applyNumberFormat="1" applyFont="1" applyFill="1" applyBorder="1" applyAlignment="1">
      <alignment horizontal="center"/>
    </xf>
    <xf numFmtId="0" fontId="8" fillId="0" borderId="2" xfId="0" applyFont="1" applyBorder="1" applyAlignment="1">
      <alignment horizontal="center"/>
    </xf>
    <xf numFmtId="1" fontId="0" fillId="0" borderId="13" xfId="0" applyNumberFormat="1" applyFill="1" applyBorder="1" applyAlignment="1">
      <alignment horizontal="center"/>
    </xf>
    <xf numFmtId="1" fontId="8" fillId="6" borderId="11" xfId="0" applyNumberFormat="1" applyFont="1" applyFill="1" applyBorder="1" applyAlignment="1">
      <alignment horizontal="center"/>
    </xf>
    <xf numFmtId="1" fontId="0" fillId="0" borderId="13" xfId="0" applyNumberFormat="1" applyFill="1" applyBorder="1" applyAlignment="1">
      <alignment horizontal="center"/>
    </xf>
    <xf numFmtId="3" fontId="8" fillId="0" borderId="29" xfId="0" applyNumberFormat="1" applyFont="1" applyBorder="1"/>
    <xf numFmtId="3" fontId="0" fillId="0" borderId="10" xfId="0" applyNumberFormat="1" applyBorder="1"/>
    <xf numFmtId="3" fontId="0" fillId="0" borderId="26" xfId="0" applyNumberFormat="1" applyBorder="1" applyAlignment="1">
      <alignment horizontal="center"/>
    </xf>
    <xf numFmtId="1" fontId="8" fillId="0" borderId="2" xfId="0" applyNumberFormat="1" applyFont="1" applyBorder="1"/>
    <xf numFmtId="1" fontId="5" fillId="0" borderId="0" xfId="0" applyNumberFormat="1" applyFont="1" applyBorder="1" applyAlignment="1">
      <alignment horizontal="center"/>
    </xf>
    <xf numFmtId="1" fontId="4" fillId="0" borderId="0" xfId="0" applyNumberFormat="1" applyFont="1" applyFill="1" applyBorder="1" applyAlignment="1">
      <alignment horizontal="center"/>
    </xf>
    <xf numFmtId="1" fontId="0" fillId="0" borderId="0" xfId="0" applyNumberFormat="1"/>
    <xf numFmtId="1" fontId="8" fillId="4" borderId="10" xfId="0" applyNumberFormat="1" applyFont="1" applyFill="1" applyBorder="1" applyAlignment="1">
      <alignment horizontal="center"/>
    </xf>
    <xf numFmtId="1" fontId="8" fillId="6" borderId="10" xfId="0" applyNumberFormat="1" applyFont="1" applyFill="1" applyBorder="1" applyAlignment="1">
      <alignment horizontal="center"/>
    </xf>
    <xf numFmtId="1" fontId="0" fillId="0" borderId="10" xfId="0" applyNumberFormat="1" applyBorder="1"/>
    <xf numFmtId="1" fontId="8" fillId="4" borderId="11" xfId="0" applyNumberFormat="1" applyFont="1" applyFill="1" applyBorder="1" applyAlignment="1">
      <alignment horizontal="center"/>
    </xf>
    <xf numFmtId="1" fontId="0" fillId="0" borderId="11" xfId="0" applyNumberFormat="1" applyBorder="1"/>
    <xf numFmtId="1" fontId="8" fillId="0" borderId="0" xfId="0" applyNumberFormat="1" applyFont="1" applyBorder="1" applyAlignment="1">
      <alignment horizontal="center"/>
    </xf>
    <xf numFmtId="1" fontId="8" fillId="0" borderId="6" xfId="0" applyNumberFormat="1" applyFont="1" applyBorder="1" applyAlignment="1">
      <alignment horizontal="center"/>
    </xf>
    <xf numFmtId="1" fontId="0" fillId="0" borderId="13" xfId="0" applyNumberFormat="1" applyBorder="1" applyAlignment="1"/>
    <xf numFmtId="1" fontId="1" fillId="0" borderId="13" xfId="0" applyNumberFormat="1" applyFont="1" applyFill="1" applyBorder="1" applyAlignment="1">
      <alignment horizontal="center"/>
    </xf>
    <xf numFmtId="1" fontId="0" fillId="0" borderId="11" xfId="0" applyNumberFormat="1" applyBorder="1" applyAlignment="1"/>
    <xf numFmtId="1" fontId="0" fillId="0" borderId="9" xfId="0" applyNumberFormat="1" applyBorder="1" applyAlignment="1"/>
    <xf numFmtId="1" fontId="0" fillId="0" borderId="6" xfId="0" applyNumberFormat="1" applyBorder="1" applyAlignment="1"/>
    <xf numFmtId="1" fontId="8" fillId="0" borderId="29" xfId="0" applyNumberFormat="1" applyFont="1" applyBorder="1"/>
    <xf numFmtId="1" fontId="8" fillId="0" borderId="0" xfId="0" applyNumberFormat="1" applyFont="1" applyBorder="1" applyAlignment="1">
      <alignment horizontal="center"/>
    </xf>
    <xf numFmtId="1" fontId="8" fillId="0" borderId="6" xfId="0" applyNumberFormat="1" applyFont="1" applyBorder="1" applyAlignment="1">
      <alignment horizontal="center"/>
    </xf>
    <xf numFmtId="1" fontId="8" fillId="6" borderId="9" xfId="0" applyNumberFormat="1" applyFont="1" applyFill="1" applyBorder="1" applyAlignment="1">
      <alignment horizontal="center"/>
    </xf>
    <xf numFmtId="1" fontId="4" fillId="3" borderId="0" xfId="0" applyNumberFormat="1" applyFont="1" applyFill="1" applyBorder="1" applyAlignment="1">
      <alignment horizontal="center"/>
    </xf>
    <xf numFmtId="1" fontId="0" fillId="0" borderId="11" xfId="0" applyNumberFormat="1" applyBorder="1" applyAlignment="1"/>
    <xf numFmtId="1" fontId="0" fillId="0" borderId="25" xfId="0" applyNumberFormat="1" applyBorder="1" applyAlignment="1"/>
    <xf numFmtId="1" fontId="0" fillId="0" borderId="7" xfId="0" applyNumberFormat="1" applyBorder="1" applyAlignment="1">
      <alignment horizontal="center"/>
    </xf>
    <xf numFmtId="1" fontId="0" fillId="0" borderId="7" xfId="0" applyNumberFormat="1" applyFill="1" applyBorder="1" applyAlignment="1">
      <alignment horizontal="center"/>
    </xf>
    <xf numFmtId="1" fontId="1" fillId="0" borderId="7" xfId="0" applyNumberFormat="1" applyFont="1" applyFill="1" applyBorder="1" applyAlignment="1">
      <alignment horizontal="center"/>
    </xf>
    <xf numFmtId="1" fontId="8" fillId="6" borderId="8" xfId="0" applyNumberFormat="1" applyFont="1" applyFill="1" applyBorder="1" applyAlignment="1">
      <alignment horizontal="center"/>
    </xf>
    <xf numFmtId="1" fontId="5" fillId="0" borderId="8" xfId="0" applyNumberFormat="1" applyFont="1" applyBorder="1" applyAlignment="1">
      <alignment horizontal="center"/>
    </xf>
    <xf numFmtId="1" fontId="0" fillId="3" borderId="7" xfId="0" applyNumberFormat="1" applyFill="1" applyBorder="1" applyAlignment="1">
      <alignment horizontal="center"/>
    </xf>
    <xf numFmtId="1" fontId="0" fillId="0" borderId="6" xfId="0" applyNumberFormat="1" applyBorder="1" applyAlignment="1">
      <alignment horizontal="center"/>
    </xf>
    <xf numFmtId="1" fontId="5" fillId="0" borderId="2" xfId="0" applyNumberFormat="1" applyFont="1" applyFill="1" applyBorder="1" applyAlignment="1">
      <alignment horizontal="center"/>
    </xf>
    <xf numFmtId="1" fontId="0" fillId="0" borderId="0" xfId="0" applyNumberFormat="1" applyBorder="1"/>
    <xf numFmtId="1" fontId="5" fillId="0" borderId="0" xfId="0" applyNumberFormat="1" applyFont="1" applyFill="1" applyBorder="1" applyAlignment="1">
      <alignment horizontal="center"/>
    </xf>
    <xf numFmtId="1" fontId="8" fillId="0" borderId="11" xfId="0" applyNumberFormat="1" applyFont="1" applyBorder="1" applyAlignment="1"/>
    <xf numFmtId="1" fontId="4" fillId="0" borderId="0" xfId="0" applyNumberFormat="1" applyFont="1" applyBorder="1" applyAlignment="1">
      <alignment horizontal="center"/>
    </xf>
    <xf numFmtId="1" fontId="8" fillId="0" borderId="21" xfId="0" applyNumberFormat="1" applyFont="1" applyBorder="1" applyAlignment="1"/>
    <xf numFmtId="1" fontId="8" fillId="0" borderId="0" xfId="0" applyNumberFormat="1" applyFont="1"/>
    <xf numFmtId="1" fontId="8" fillId="0" borderId="10" xfId="0" applyNumberFormat="1" applyFont="1" applyBorder="1"/>
    <xf numFmtId="1" fontId="8" fillId="0" borderId="11" xfId="0" applyNumberFormat="1" applyFont="1" applyBorder="1"/>
    <xf numFmtId="3" fontId="8" fillId="6" borderId="11" xfId="0" applyNumberFormat="1" applyFont="1" applyFill="1" applyBorder="1" applyAlignment="1">
      <alignment horizontal="center"/>
    </xf>
    <xf numFmtId="3" fontId="1" fillId="0" borderId="13" xfId="0" applyNumberFormat="1" applyFont="1" applyBorder="1" applyAlignment="1">
      <alignment horizontal="center"/>
    </xf>
    <xf numFmtId="3" fontId="0" fillId="0" borderId="13" xfId="0" applyNumberFormat="1" applyBorder="1" applyAlignment="1">
      <alignment horizontal="center"/>
    </xf>
    <xf numFmtId="3" fontId="0" fillId="3" borderId="13" xfId="0" applyNumberFormat="1" applyFill="1" applyBorder="1" applyAlignment="1">
      <alignment horizontal="center"/>
    </xf>
    <xf numFmtId="4" fontId="0" fillId="0" borderId="13" xfId="0" applyNumberFormat="1" applyBorder="1" applyAlignment="1">
      <alignment horizontal="center"/>
    </xf>
    <xf numFmtId="3" fontId="0" fillId="0" borderId="13" xfId="0" applyNumberFormat="1" applyFill="1" applyBorder="1" applyAlignment="1">
      <alignment horizontal="center"/>
    </xf>
    <xf numFmtId="3" fontId="5" fillId="0" borderId="9" xfId="0" applyNumberFormat="1" applyFont="1" applyBorder="1" applyAlignment="1">
      <alignment horizontal="center"/>
    </xf>
    <xf numFmtId="3" fontId="0" fillId="0" borderId="11" xfId="0" applyNumberFormat="1" applyBorder="1" applyAlignment="1"/>
    <xf numFmtId="3" fontId="0" fillId="0" borderId="0" xfId="0" applyNumberFormat="1" applyBorder="1" applyAlignment="1">
      <alignment horizontal="center"/>
    </xf>
    <xf numFmtId="3" fontId="1" fillId="0" borderId="11" xfId="0" applyNumberFormat="1" applyFont="1" applyBorder="1" applyAlignment="1">
      <alignment horizontal="center"/>
    </xf>
    <xf numFmtId="1" fontId="5" fillId="0" borderId="9" xfId="0" applyNumberFormat="1" applyFont="1" applyBorder="1" applyAlignment="1">
      <alignment horizontal="center"/>
    </xf>
    <xf numFmtId="1" fontId="5" fillId="0" borderId="11" xfId="0" applyNumberFormat="1" applyFont="1" applyBorder="1" applyAlignment="1">
      <alignment horizontal="center"/>
    </xf>
    <xf numFmtId="3" fontId="1" fillId="0" borderId="13" xfId="0" applyNumberFormat="1" applyFont="1" applyFill="1" applyBorder="1" applyAlignment="1">
      <alignment horizontal="center"/>
    </xf>
    <xf numFmtId="1" fontId="1" fillId="0" borderId="13" xfId="0" applyNumberFormat="1" applyFont="1" applyFill="1" applyBorder="1" applyAlignment="1">
      <alignment horizontal="center"/>
    </xf>
    <xf numFmtId="1" fontId="1" fillId="0" borderId="0" xfId="0" applyNumberFormat="1" applyFont="1" applyBorder="1" applyAlignment="1">
      <alignment horizontal="center"/>
    </xf>
    <xf numFmtId="1" fontId="1" fillId="0" borderId="13" xfId="0" applyNumberFormat="1" applyFont="1" applyBorder="1" applyAlignment="1">
      <alignment horizontal="center"/>
    </xf>
    <xf numFmtId="3" fontId="8" fillId="6" borderId="10" xfId="0" applyNumberFormat="1" applyFont="1" applyFill="1" applyBorder="1" applyAlignment="1">
      <alignment horizontal="center"/>
    </xf>
    <xf numFmtId="2" fontId="0" fillId="0" borderId="13" xfId="0" applyNumberFormat="1" applyBorder="1" applyAlignment="1">
      <alignment horizontal="center"/>
    </xf>
    <xf numFmtId="2" fontId="0" fillId="3" borderId="13" xfId="0" applyNumberFormat="1" applyFill="1" applyBorder="1" applyAlignment="1">
      <alignment horizontal="center"/>
    </xf>
    <xf numFmtId="2" fontId="0" fillId="0" borderId="13" xfId="0" applyNumberFormat="1" applyFill="1" applyBorder="1" applyAlignment="1">
      <alignment horizontal="center"/>
    </xf>
    <xf numFmtId="2" fontId="1" fillId="0" borderId="0" xfId="0" applyNumberFormat="1" applyFont="1" applyBorder="1" applyAlignment="1">
      <alignment horizontal="center"/>
    </xf>
    <xf numFmtId="4" fontId="0" fillId="0" borderId="0" xfId="0" applyNumberFormat="1" applyBorder="1" applyAlignment="1">
      <alignment horizontal="center"/>
    </xf>
    <xf numFmtId="3" fontId="5" fillId="0" borderId="11" xfId="0" applyNumberFormat="1" applyFont="1" applyBorder="1" applyAlignment="1">
      <alignment horizontal="center"/>
    </xf>
    <xf numFmtId="3" fontId="1" fillId="3" borderId="13" xfId="0" applyNumberFormat="1" applyFont="1" applyFill="1" applyBorder="1" applyAlignment="1">
      <alignment horizontal="center"/>
    </xf>
    <xf numFmtId="3" fontId="5" fillId="0" borderId="0" xfId="0" applyNumberFormat="1" applyFont="1" applyBorder="1" applyAlignment="1">
      <alignment horizontal="center"/>
    </xf>
    <xf numFmtId="3" fontId="1" fillId="3" borderId="11" xfId="0" applyNumberFormat="1" applyFont="1" applyFill="1" applyBorder="1" applyAlignment="1">
      <alignment horizontal="center"/>
    </xf>
    <xf numFmtId="1" fontId="8" fillId="0" borderId="9" xfId="0" applyNumberFormat="1" applyFont="1" applyBorder="1" applyAlignment="1"/>
    <xf numFmtId="3" fontId="8" fillId="0" borderId="11" xfId="0" applyNumberFormat="1" applyFont="1" applyBorder="1"/>
    <xf numFmtId="1" fontId="8" fillId="0" borderId="0" xfId="0" applyNumberFormat="1" applyFont="1" applyBorder="1"/>
    <xf numFmtId="0" fontId="0" fillId="0" borderId="27" xfId="0" applyBorder="1"/>
    <xf numFmtId="0" fontId="8" fillId="0" borderId="20" xfId="0" applyFont="1" applyBorder="1"/>
    <xf numFmtId="1" fontId="8" fillId="0" borderId="2" xfId="0" applyNumberFormat="1" applyFont="1" applyBorder="1" applyAlignment="1">
      <alignment horizontal="center"/>
    </xf>
    <xf numFmtId="0" fontId="8" fillId="0" borderId="3" xfId="0" applyFont="1" applyBorder="1" applyAlignment="1">
      <alignment horizontal="center"/>
    </xf>
    <xf numFmtId="0" fontId="1" fillId="3" borderId="18" xfId="0" applyFont="1" applyFill="1" applyBorder="1"/>
    <xf numFmtId="0" fontId="6" fillId="3" borderId="18" xfId="0" applyFont="1" applyFill="1" applyBorder="1"/>
    <xf numFmtId="0" fontId="8" fillId="0" borderId="0" xfId="0" applyFont="1" applyBorder="1" applyAlignment="1">
      <alignment horizontal="center"/>
    </xf>
    <xf numFmtId="1" fontId="8" fillId="0" borderId="0" xfId="0" applyNumberFormat="1" applyFont="1" applyBorder="1" applyAlignment="1">
      <alignment horizontal="center"/>
    </xf>
    <xf numFmtId="0" fontId="8" fillId="0" borderId="20" xfId="0"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0" fontId="8" fillId="0" borderId="31" xfId="0" applyFont="1" applyBorder="1" applyAlignment="1">
      <alignment horizontal="center"/>
    </xf>
    <xf numFmtId="1" fontId="8" fillId="0" borderId="11" xfId="0" applyNumberFormat="1" applyFont="1" applyBorder="1" applyAlignment="1"/>
    <xf numFmtId="1" fontId="8" fillId="6" borderId="11" xfId="0" applyNumberFormat="1" applyFont="1" applyFill="1" applyBorder="1" applyAlignment="1">
      <alignment horizontal="center"/>
    </xf>
    <xf numFmtId="1" fontId="1" fillId="0" borderId="13" xfId="0" applyNumberFormat="1" applyFont="1" applyFill="1" applyBorder="1" applyAlignment="1">
      <alignment horizontal="center"/>
    </xf>
    <xf numFmtId="1" fontId="5" fillId="0" borderId="11" xfId="0" applyNumberFormat="1" applyFont="1" applyBorder="1" applyAlignment="1">
      <alignment horizontal="center"/>
    </xf>
    <xf numFmtId="1" fontId="1" fillId="0" borderId="13" xfId="0" applyNumberFormat="1" applyFont="1" applyBorder="1" applyAlignment="1">
      <alignment horizontal="center"/>
    </xf>
    <xf numFmtId="0" fontId="0" fillId="0" borderId="0" xfId="0" applyBorder="1" applyAlignment="1">
      <alignment horizontal="center"/>
    </xf>
    <xf numFmtId="3" fontId="5" fillId="0" borderId="24" xfId="0" applyNumberFormat="1" applyFont="1" applyBorder="1" applyAlignment="1">
      <alignment horizontal="center"/>
    </xf>
    <xf numFmtId="0" fontId="1" fillId="0" borderId="0" xfId="0" applyFont="1"/>
    <xf numFmtId="0" fontId="1" fillId="0" borderId="9" xfId="0" applyFont="1" applyBorder="1"/>
    <xf numFmtId="0" fontId="1" fillId="0" borderId="12" xfId="0" applyFont="1" applyBorder="1"/>
    <xf numFmtId="165" fontId="1" fillId="0" borderId="14" xfId="0" applyNumberFormat="1" applyFont="1" applyFill="1" applyBorder="1" applyAlignment="1">
      <alignment horizontal="center"/>
    </xf>
    <xf numFmtId="0" fontId="1" fillId="0" borderId="0" xfId="0" applyFont="1" applyFill="1"/>
    <xf numFmtId="0" fontId="1" fillId="0" borderId="17" xfId="0" applyFont="1" applyBorder="1"/>
    <xf numFmtId="165" fontId="5" fillId="0" borderId="26" xfId="0" applyNumberFormat="1" applyFont="1" applyBorder="1" applyAlignment="1">
      <alignment horizontal="center"/>
    </xf>
    <xf numFmtId="165" fontId="5" fillId="0" borderId="25" xfId="0" applyNumberFormat="1" applyFont="1" applyBorder="1" applyAlignment="1">
      <alignment horizontal="center"/>
    </xf>
    <xf numFmtId="167" fontId="1" fillId="0" borderId="7" xfId="0" applyNumberFormat="1" applyFont="1" applyBorder="1" applyAlignment="1">
      <alignment horizontal="center"/>
    </xf>
    <xf numFmtId="167" fontId="1" fillId="0" borderId="13" xfId="0" applyNumberFormat="1" applyFont="1" applyBorder="1" applyAlignment="1">
      <alignment horizontal="center"/>
    </xf>
    <xf numFmtId="165" fontId="1" fillId="0" borderId="22" xfId="2" applyNumberFormat="1" applyFont="1" applyBorder="1" applyAlignment="1">
      <alignment horizontal="center"/>
    </xf>
    <xf numFmtId="0" fontId="1" fillId="0" borderId="0" xfId="0" applyFont="1" applyBorder="1"/>
    <xf numFmtId="0" fontId="1" fillId="3" borderId="0" xfId="0" applyFont="1" applyFill="1"/>
    <xf numFmtId="0" fontId="1" fillId="3" borderId="0" xfId="0" applyFont="1" applyFill="1" applyBorder="1"/>
    <xf numFmtId="165" fontId="1" fillId="0" borderId="0" xfId="2" applyNumberFormat="1" applyFont="1" applyFill="1" applyBorder="1" applyAlignment="1">
      <alignment horizontal="center"/>
    </xf>
    <xf numFmtId="165" fontId="0" fillId="0" borderId="26" xfId="0" applyNumberFormat="1" applyFill="1" applyBorder="1" applyAlignment="1">
      <alignment horizontal="center"/>
    </xf>
    <xf numFmtId="165" fontId="0" fillId="0" borderId="8" xfId="0" applyNumberFormat="1" applyFill="1" applyBorder="1" applyAlignment="1">
      <alignment horizontal="center"/>
    </xf>
    <xf numFmtId="165" fontId="0" fillId="0" borderId="9" xfId="0" applyNumberFormat="1" applyFill="1" applyBorder="1" applyAlignment="1">
      <alignment horizontal="center"/>
    </xf>
    <xf numFmtId="165" fontId="1" fillId="0" borderId="2" xfId="0" applyNumberFormat="1" applyFont="1" applyFill="1" applyBorder="1" applyAlignment="1">
      <alignment horizontal="center"/>
    </xf>
    <xf numFmtId="165" fontId="0" fillId="0" borderId="2" xfId="0" applyNumberFormat="1" applyFill="1" applyBorder="1" applyAlignment="1">
      <alignment horizontal="center"/>
    </xf>
    <xf numFmtId="165" fontId="1" fillId="0" borderId="9" xfId="0" applyNumberFormat="1" applyFont="1" applyFill="1" applyBorder="1" applyAlignment="1">
      <alignment horizontal="center"/>
    </xf>
    <xf numFmtId="165" fontId="0" fillId="0" borderId="22" xfId="0" applyNumberFormat="1" applyFill="1" applyBorder="1" applyAlignment="1">
      <alignment horizontal="center"/>
    </xf>
    <xf numFmtId="165" fontId="0" fillId="0" borderId="6" xfId="0" applyNumberFormat="1" applyFill="1" applyBorder="1" applyAlignment="1">
      <alignment horizontal="center"/>
    </xf>
    <xf numFmtId="165" fontId="8" fillId="4" borderId="9" xfId="0" applyNumberFormat="1" applyFont="1" applyFill="1" applyBorder="1" applyAlignment="1">
      <alignment horizontal="center"/>
    </xf>
    <xf numFmtId="0" fontId="4" fillId="0" borderId="0" xfId="0" applyFont="1"/>
    <xf numFmtId="0" fontId="5" fillId="0" borderId="0" xfId="0" applyFont="1"/>
    <xf numFmtId="0" fontId="5" fillId="0" borderId="0" xfId="0" applyFont="1" applyFill="1"/>
    <xf numFmtId="0" fontId="5" fillId="3" borderId="0" xfId="0" applyFont="1" applyFill="1" applyBorder="1"/>
    <xf numFmtId="1" fontId="5" fillId="0" borderId="13" xfId="0" applyNumberFormat="1" applyFont="1" applyBorder="1" applyAlignment="1">
      <alignment horizontal="center"/>
    </xf>
    <xf numFmtId="165" fontId="5" fillId="0" borderId="7" xfId="0" applyNumberFormat="1" applyFont="1" applyBorder="1" applyAlignment="1">
      <alignment horizontal="center"/>
    </xf>
    <xf numFmtId="0" fontId="7" fillId="0" borderId="16" xfId="0" applyFont="1" applyFill="1" applyBorder="1" applyAlignment="1">
      <alignment horizontal="right"/>
    </xf>
    <xf numFmtId="0" fontId="7" fillId="0" borderId="16" xfId="0" applyFont="1" applyBorder="1" applyAlignment="1">
      <alignment horizontal="right"/>
    </xf>
    <xf numFmtId="165" fontId="5" fillId="0" borderId="11" xfId="0" applyNumberFormat="1" applyFont="1" applyFill="1" applyBorder="1" applyAlignment="1">
      <alignment horizontal="center"/>
    </xf>
    <xf numFmtId="0" fontId="5" fillId="0" borderId="15" xfId="0" applyFont="1" applyBorder="1"/>
    <xf numFmtId="4" fontId="8" fillId="4" borderId="10" xfId="0" applyNumberFormat="1" applyFont="1" applyFill="1" applyBorder="1" applyAlignment="1">
      <alignment horizontal="center"/>
    </xf>
    <xf numFmtId="4" fontId="8" fillId="4" borderId="11" xfId="0" applyNumberFormat="1" applyFont="1" applyFill="1" applyBorder="1" applyAlignment="1">
      <alignment horizontal="center"/>
    </xf>
    <xf numFmtId="4" fontId="8" fillId="4" borderId="9" xfId="0" applyNumberFormat="1" applyFont="1" applyFill="1" applyBorder="1" applyAlignment="1">
      <alignment horizontal="center"/>
    </xf>
    <xf numFmtId="2" fontId="0" fillId="0" borderId="7" xfId="0" applyNumberFormat="1" applyFill="1" applyBorder="1" applyAlignment="1">
      <alignment horizontal="center"/>
    </xf>
    <xf numFmtId="2" fontId="1" fillId="0" borderId="0" xfId="0" applyNumberFormat="1" applyFont="1" applyFill="1" applyBorder="1" applyAlignment="1">
      <alignment horizontal="center"/>
    </xf>
    <xf numFmtId="1" fontId="5" fillId="0" borderId="11" xfId="0" applyNumberFormat="1" applyFont="1" applyBorder="1" applyAlignment="1">
      <alignment horizontal="center"/>
    </xf>
    <xf numFmtId="1" fontId="1" fillId="0" borderId="13" xfId="0" applyNumberFormat="1" applyFont="1" applyFill="1" applyBorder="1" applyAlignment="1">
      <alignment horizontal="center"/>
    </xf>
    <xf numFmtId="0" fontId="8" fillId="0" borderId="0" xfId="0" applyFont="1" applyBorder="1" applyAlignment="1">
      <alignment horizontal="center"/>
    </xf>
    <xf numFmtId="1" fontId="8" fillId="0" borderId="0" xfId="0" applyNumberFormat="1"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1" fontId="8" fillId="0" borderId="11" xfId="0" applyNumberFormat="1" applyFont="1" applyBorder="1" applyAlignment="1"/>
    <xf numFmtId="0" fontId="1" fillId="0" borderId="0" xfId="0" applyFont="1" applyBorder="1" applyAlignment="1">
      <alignment horizontal="center"/>
    </xf>
    <xf numFmtId="1" fontId="8" fillId="6" borderId="11" xfId="0" applyNumberFormat="1" applyFont="1" applyFill="1" applyBorder="1" applyAlignment="1">
      <alignment horizontal="center"/>
    </xf>
    <xf numFmtId="0" fontId="8" fillId="0" borderId="31" xfId="0" applyFont="1" applyBorder="1" applyAlignment="1">
      <alignment horizontal="center"/>
    </xf>
    <xf numFmtId="0" fontId="0" fillId="0" borderId="0" xfId="0" applyBorder="1" applyAlignment="1">
      <alignment horizontal="center"/>
    </xf>
    <xf numFmtId="0" fontId="6" fillId="0" borderId="0" xfId="0" applyFont="1" applyBorder="1" applyAlignment="1">
      <alignment horizontal="center"/>
    </xf>
    <xf numFmtId="0" fontId="4" fillId="0" borderId="2" xfId="0" applyFont="1" applyFill="1" applyBorder="1" applyAlignment="1">
      <alignment horizontal="right"/>
    </xf>
    <xf numFmtId="0" fontId="11" fillId="0" borderId="0" xfId="0" applyFont="1" applyBorder="1" applyAlignment="1">
      <alignment horizontal="right"/>
    </xf>
    <xf numFmtId="0" fontId="1" fillId="3" borderId="5" xfId="0" applyFont="1" applyFill="1" applyBorder="1"/>
    <xf numFmtId="0" fontId="0" fillId="0" borderId="0" xfId="0" applyBorder="1" applyAlignment="1">
      <alignment horizontal="right"/>
    </xf>
    <xf numFmtId="164" fontId="1" fillId="0" borderId="14" xfId="0" applyNumberFormat="1" applyFont="1" applyBorder="1" applyAlignment="1">
      <alignment horizontal="center"/>
    </xf>
    <xf numFmtId="164" fontId="1" fillId="0" borderId="20" xfId="0" applyNumberFormat="1" applyFont="1" applyBorder="1" applyAlignment="1">
      <alignment horizontal="center"/>
    </xf>
    <xf numFmtId="164" fontId="1" fillId="3" borderId="20" xfId="0" applyNumberFormat="1" applyFont="1" applyFill="1" applyBorder="1" applyAlignment="1">
      <alignment horizontal="center"/>
    </xf>
    <xf numFmtId="1" fontId="8" fillId="0" borderId="0" xfId="0" applyNumberFormat="1" applyFont="1" applyBorder="1" applyAlignment="1">
      <alignment horizontal="center"/>
    </xf>
    <xf numFmtId="3" fontId="5" fillId="0" borderId="11" xfId="0" applyNumberFormat="1" applyFont="1" applyBorder="1" applyAlignment="1">
      <alignment horizontal="center"/>
    </xf>
    <xf numFmtId="0" fontId="0" fillId="0" borderId="0" xfId="0" applyBorder="1" applyAlignment="1">
      <alignment horizontal="center"/>
    </xf>
    <xf numFmtId="3" fontId="0" fillId="0" borderId="4" xfId="0" applyNumberFormat="1" applyBorder="1" applyAlignment="1">
      <alignment horizontal="center"/>
    </xf>
    <xf numFmtId="3" fontId="0" fillId="0" borderId="13" xfId="0" applyNumberFormat="1" applyBorder="1" applyAlignment="1">
      <alignment horizontal="center"/>
    </xf>
    <xf numFmtId="3" fontId="0" fillId="0" borderId="14" xfId="0" applyNumberFormat="1" applyBorder="1" applyAlignment="1">
      <alignment horizontal="center"/>
    </xf>
    <xf numFmtId="3" fontId="0" fillId="3" borderId="13" xfId="0" applyNumberFormat="1" applyFill="1" applyBorder="1" applyAlignment="1">
      <alignment horizontal="center"/>
    </xf>
    <xf numFmtId="3" fontId="0" fillId="3" borderId="14" xfId="0" applyNumberFormat="1" applyFill="1" applyBorder="1" applyAlignment="1">
      <alignment horizontal="center"/>
    </xf>
    <xf numFmtId="3" fontId="0" fillId="0" borderId="0" xfId="0" applyNumberFormat="1" applyBorder="1" applyAlignment="1">
      <alignment horizontal="center"/>
    </xf>
    <xf numFmtId="3" fontId="5" fillId="0" borderId="0" xfId="0" applyNumberFormat="1" applyFont="1" applyBorder="1" applyAlignment="1">
      <alignment horizontal="center"/>
    </xf>
    <xf numFmtId="1" fontId="5" fillId="0" borderId="0" xfId="0" applyNumberFormat="1" applyFont="1" applyBorder="1" applyAlignment="1">
      <alignment horizontal="center"/>
    </xf>
    <xf numFmtId="3" fontId="0" fillId="3" borderId="31" xfId="0" applyNumberFormat="1" applyFill="1" applyBorder="1" applyAlignment="1">
      <alignment horizontal="center"/>
    </xf>
    <xf numFmtId="3" fontId="0" fillId="3" borderId="21" xfId="0" applyNumberFormat="1" applyFill="1" applyBorder="1" applyAlignment="1">
      <alignment horizontal="center"/>
    </xf>
    <xf numFmtId="3" fontId="0" fillId="3" borderId="6" xfId="0" applyNumberFormat="1" applyFill="1" applyBorder="1" applyAlignment="1">
      <alignment horizontal="center"/>
    </xf>
    <xf numFmtId="4" fontId="0" fillId="3" borderId="13" xfId="0" applyNumberFormat="1" applyFill="1" applyBorder="1" applyAlignment="1">
      <alignment horizontal="center"/>
    </xf>
    <xf numFmtId="2" fontId="0" fillId="3" borderId="31" xfId="0" applyNumberFormat="1" applyFill="1" applyBorder="1" applyAlignment="1">
      <alignment horizontal="center"/>
    </xf>
    <xf numFmtId="2" fontId="0" fillId="3" borderId="21" xfId="0" applyNumberFormat="1" applyFill="1" applyBorder="1" applyAlignment="1">
      <alignment horizontal="center"/>
    </xf>
    <xf numFmtId="1" fontId="0" fillId="3" borderId="0" xfId="0" applyNumberFormat="1" applyFill="1" applyBorder="1" applyAlignment="1">
      <alignment horizontal="center"/>
    </xf>
    <xf numFmtId="164" fontId="1" fillId="3" borderId="0" xfId="0" applyNumberFormat="1" applyFont="1" applyFill="1" applyBorder="1" applyAlignment="1">
      <alignment horizontal="center"/>
    </xf>
    <xf numFmtId="3" fontId="1" fillId="0" borderId="21" xfId="0" applyNumberFormat="1" applyFont="1" applyBorder="1" applyAlignment="1">
      <alignment horizontal="center"/>
    </xf>
    <xf numFmtId="3" fontId="5" fillId="0" borderId="11" xfId="0" applyNumberFormat="1" applyFont="1" applyBorder="1" applyAlignment="1">
      <alignment horizontal="center"/>
    </xf>
    <xf numFmtId="3" fontId="1" fillId="0" borderId="13" xfId="0" applyNumberFormat="1" applyFont="1" applyBorder="1" applyAlignment="1">
      <alignment horizontal="center"/>
    </xf>
    <xf numFmtId="3" fontId="1" fillId="3" borderId="13" xfId="0" applyNumberFormat="1" applyFont="1" applyFill="1" applyBorder="1" applyAlignment="1">
      <alignment horizontal="center"/>
    </xf>
    <xf numFmtId="164" fontId="1" fillId="0" borderId="14" xfId="0" applyNumberFormat="1" applyFont="1" applyBorder="1" applyAlignment="1">
      <alignment horizontal="center"/>
    </xf>
    <xf numFmtId="164" fontId="1" fillId="0" borderId="20" xfId="0" applyNumberFormat="1" applyFont="1" applyBorder="1" applyAlignment="1">
      <alignment horizontal="center"/>
    </xf>
    <xf numFmtId="3" fontId="1" fillId="0" borderId="0" xfId="0" applyNumberFormat="1" applyFont="1" applyBorder="1" applyAlignment="1">
      <alignment horizontal="center"/>
    </xf>
    <xf numFmtId="3" fontId="5" fillId="0" borderId="9" xfId="0" applyNumberFormat="1" applyFont="1" applyBorder="1" applyAlignment="1">
      <alignment horizontal="center"/>
    </xf>
    <xf numFmtId="3" fontId="1" fillId="0" borderId="0" xfId="0" applyNumberFormat="1" applyFont="1" applyFill="1" applyBorder="1" applyAlignment="1">
      <alignment horizontal="center"/>
    </xf>
    <xf numFmtId="3" fontId="1" fillId="0" borderId="13" xfId="0" applyNumberFormat="1" applyFont="1" applyFill="1" applyBorder="1" applyAlignment="1">
      <alignment horizontal="center"/>
    </xf>
    <xf numFmtId="0" fontId="8" fillId="0" borderId="6" xfId="0" applyFont="1" applyBorder="1" applyAlignment="1">
      <alignment horizontal="center"/>
    </xf>
    <xf numFmtId="0" fontId="8" fillId="0" borderId="31" xfId="0" applyFont="1" applyBorder="1" applyAlignment="1">
      <alignment horizontal="center"/>
    </xf>
    <xf numFmtId="3" fontId="8" fillId="6" borderId="11" xfId="0" applyNumberFormat="1" applyFont="1" applyFill="1" applyBorder="1" applyAlignment="1">
      <alignment horizontal="center"/>
    </xf>
    <xf numFmtId="3" fontId="8" fillId="6" borderId="9" xfId="0" applyNumberFormat="1" applyFont="1" applyFill="1" applyBorder="1" applyAlignment="1">
      <alignment horizontal="center"/>
    </xf>
    <xf numFmtId="3" fontId="1" fillId="0" borderId="14" xfId="0" applyNumberFormat="1" applyFont="1" applyBorder="1" applyAlignment="1">
      <alignment horizontal="center"/>
    </xf>
    <xf numFmtId="0" fontId="1" fillId="0" borderId="0" xfId="0" applyFont="1" applyBorder="1" applyAlignment="1">
      <alignment horizontal="center"/>
    </xf>
    <xf numFmtId="3" fontId="5" fillId="0" borderId="0" xfId="0" applyNumberFormat="1" applyFont="1" applyBorder="1" applyAlignment="1">
      <alignment horizontal="center"/>
    </xf>
    <xf numFmtId="3" fontId="8" fillId="0" borderId="0" xfId="0" applyNumberFormat="1" applyFont="1" applyBorder="1" applyAlignment="1">
      <alignment horizontal="center"/>
    </xf>
    <xf numFmtId="3" fontId="8" fillId="0" borderId="6" xfId="0" applyNumberFormat="1" applyFont="1" applyBorder="1" applyAlignment="1">
      <alignment horizontal="center"/>
    </xf>
    <xf numFmtId="4" fontId="5" fillId="0" borderId="11" xfId="0" applyNumberFormat="1" applyFont="1" applyBorder="1" applyAlignment="1">
      <alignment horizontal="center"/>
    </xf>
    <xf numFmtId="3" fontId="8" fillId="4" borderId="11" xfId="0" applyNumberFormat="1" applyFont="1" applyFill="1" applyBorder="1" applyAlignment="1">
      <alignment horizontal="center"/>
    </xf>
    <xf numFmtId="165" fontId="1" fillId="3" borderId="14" xfId="0" applyNumberFormat="1" applyFont="1" applyFill="1" applyBorder="1" applyAlignment="1">
      <alignment horizontal="center"/>
    </xf>
    <xf numFmtId="3" fontId="1" fillId="0" borderId="13" xfId="0" applyNumberFormat="1" applyFont="1" applyBorder="1" applyAlignment="1">
      <alignment horizontal="center"/>
    </xf>
    <xf numFmtId="3" fontId="1" fillId="0" borderId="0" xfId="0" applyNumberFormat="1" applyFont="1" applyBorder="1" applyAlignment="1">
      <alignment horizontal="center"/>
    </xf>
    <xf numFmtId="3" fontId="1" fillId="3" borderId="13" xfId="0" applyNumberFormat="1" applyFont="1" applyFill="1" applyBorder="1" applyAlignment="1">
      <alignment horizontal="center"/>
    </xf>
    <xf numFmtId="3" fontId="5" fillId="0" borderId="9" xfId="0" applyNumberFormat="1" applyFont="1" applyBorder="1" applyAlignment="1">
      <alignment horizontal="center"/>
    </xf>
    <xf numFmtId="1" fontId="5" fillId="0" borderId="9" xfId="0" applyNumberFormat="1" applyFont="1" applyBorder="1" applyAlignment="1">
      <alignment horizontal="center"/>
    </xf>
    <xf numFmtId="1" fontId="5" fillId="0" borderId="11" xfId="0" applyNumberFormat="1" applyFont="1" applyBorder="1" applyAlignment="1">
      <alignment horizontal="center"/>
    </xf>
    <xf numFmtId="3" fontId="1" fillId="0" borderId="0" xfId="0" applyNumberFormat="1" applyFont="1" applyFill="1" applyBorder="1" applyAlignment="1">
      <alignment horizontal="center"/>
    </xf>
    <xf numFmtId="0" fontId="8" fillId="0" borderId="0" xfId="0" applyFont="1" applyBorder="1" applyAlignment="1">
      <alignment horizontal="center"/>
    </xf>
    <xf numFmtId="1" fontId="8" fillId="0" borderId="0" xfId="0" applyNumberFormat="1"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3" fontId="5" fillId="0" borderId="10" xfId="0" applyNumberFormat="1" applyFont="1" applyBorder="1" applyAlignment="1">
      <alignment horizontal="center"/>
    </xf>
    <xf numFmtId="3" fontId="5" fillId="0" borderId="11" xfId="0" applyNumberFormat="1" applyFont="1" applyBorder="1" applyAlignment="1">
      <alignment horizontal="center"/>
    </xf>
    <xf numFmtId="3" fontId="1" fillId="0" borderId="2" xfId="0" applyNumberFormat="1" applyFont="1" applyBorder="1" applyAlignment="1">
      <alignment horizontal="center"/>
    </xf>
    <xf numFmtId="1" fontId="5" fillId="0" borderId="10" xfId="0" applyNumberFormat="1" applyFont="1" applyBorder="1" applyAlignment="1">
      <alignment horizontal="center"/>
    </xf>
    <xf numFmtId="1" fontId="1" fillId="0" borderId="0" xfId="0" applyNumberFormat="1" applyFont="1" applyBorder="1" applyAlignment="1">
      <alignment horizontal="center"/>
    </xf>
    <xf numFmtId="3" fontId="8" fillId="6" borderId="11" xfId="0" applyNumberFormat="1" applyFont="1" applyFill="1" applyBorder="1" applyAlignment="1">
      <alignment horizontal="center"/>
    </xf>
    <xf numFmtId="0" fontId="8" fillId="0" borderId="31" xfId="0" applyFont="1" applyBorder="1" applyAlignment="1">
      <alignment horizontal="center"/>
    </xf>
    <xf numFmtId="3" fontId="5" fillId="0" borderId="25" xfId="0" applyNumberFormat="1" applyFont="1" applyBorder="1" applyAlignment="1">
      <alignment horizontal="center"/>
    </xf>
    <xf numFmtId="3" fontId="0" fillId="0" borderId="13" xfId="0" applyNumberFormat="1" applyBorder="1" applyAlignment="1">
      <alignment horizontal="center"/>
    </xf>
    <xf numFmtId="3" fontId="0" fillId="3" borderId="13" xfId="0" applyNumberFormat="1" applyFill="1" applyBorder="1" applyAlignment="1">
      <alignment horizontal="center"/>
    </xf>
    <xf numFmtId="2" fontId="0" fillId="3" borderId="13" xfId="0" applyNumberFormat="1" applyFill="1" applyBorder="1" applyAlignment="1">
      <alignment horizontal="center"/>
    </xf>
    <xf numFmtId="1" fontId="0" fillId="0" borderId="0" xfId="0" applyNumberFormat="1" applyBorder="1" applyAlignment="1">
      <alignment horizontal="center"/>
    </xf>
    <xf numFmtId="1" fontId="0" fillId="0" borderId="13" xfId="0" applyNumberFormat="1" applyBorder="1" applyAlignment="1">
      <alignment horizontal="center"/>
    </xf>
    <xf numFmtId="3" fontId="0" fillId="0" borderId="13" xfId="0" applyNumberFormat="1" applyFill="1" applyBorder="1" applyAlignment="1">
      <alignment horizontal="center"/>
    </xf>
    <xf numFmtId="1" fontId="0" fillId="0" borderId="11" xfId="0" applyNumberFormat="1" applyBorder="1" applyAlignment="1"/>
    <xf numFmtId="3" fontId="0" fillId="0" borderId="0" xfId="0" applyNumberFormat="1" applyBorder="1" applyAlignment="1">
      <alignment horizontal="center"/>
    </xf>
    <xf numFmtId="1" fontId="5" fillId="0" borderId="13" xfId="0" applyNumberFormat="1" applyFont="1" applyBorder="1" applyAlignment="1">
      <alignment horizontal="center"/>
    </xf>
    <xf numFmtId="1" fontId="5" fillId="0" borderId="21" xfId="0" applyNumberFormat="1" applyFont="1" applyBorder="1" applyAlignment="1">
      <alignment horizontal="center"/>
    </xf>
    <xf numFmtId="1" fontId="0" fillId="0" borderId="0" xfId="0" applyNumberFormat="1" applyFill="1" applyBorder="1" applyAlignment="1">
      <alignment horizontal="center"/>
    </xf>
    <xf numFmtId="1" fontId="0" fillId="0" borderId="13" xfId="0" applyNumberFormat="1" applyFill="1" applyBorder="1" applyAlignment="1">
      <alignment horizontal="center"/>
    </xf>
    <xf numFmtId="3" fontId="0" fillId="0" borderId="0" xfId="0" applyNumberFormat="1" applyFill="1" applyBorder="1" applyAlignment="1">
      <alignment horizontal="center"/>
    </xf>
    <xf numFmtId="1" fontId="0" fillId="3" borderId="14" xfId="0" applyNumberFormat="1" applyFill="1" applyBorder="1" applyAlignment="1">
      <alignment horizontal="center"/>
    </xf>
    <xf numFmtId="1" fontId="0" fillId="3" borderId="13" xfId="0" applyNumberFormat="1" applyFill="1" applyBorder="1" applyAlignment="1">
      <alignment horizontal="center"/>
    </xf>
    <xf numFmtId="3" fontId="0" fillId="3" borderId="0" xfId="0" applyNumberFormat="1" applyFill="1" applyBorder="1" applyAlignment="1">
      <alignment horizontal="center"/>
    </xf>
    <xf numFmtId="2" fontId="0" fillId="0" borderId="11" xfId="0" applyNumberFormat="1" applyBorder="1" applyAlignment="1"/>
    <xf numFmtId="1" fontId="0" fillId="3" borderId="0" xfId="0" applyNumberFormat="1" applyFill="1" applyBorder="1" applyAlignment="1">
      <alignment horizontal="center"/>
    </xf>
    <xf numFmtId="0" fontId="18" fillId="0" borderId="14" xfId="0" applyFont="1" applyBorder="1" applyAlignment="1">
      <alignment horizontal="center"/>
    </xf>
    <xf numFmtId="3" fontId="5" fillId="0" borderId="21" xfId="0" applyNumberFormat="1" applyFont="1" applyBorder="1" applyAlignment="1">
      <alignment horizontal="center"/>
    </xf>
    <xf numFmtId="0" fontId="1" fillId="0" borderId="29" xfId="0" applyFont="1" applyBorder="1"/>
    <xf numFmtId="3" fontId="1" fillId="0" borderId="11" xfId="0" applyNumberFormat="1" applyFont="1" applyBorder="1" applyAlignment="1"/>
    <xf numFmtId="2" fontId="1" fillId="3" borderId="31" xfId="0" applyNumberFormat="1" applyFont="1" applyFill="1" applyBorder="1" applyAlignment="1">
      <alignment horizontal="center"/>
    </xf>
    <xf numFmtId="2" fontId="1" fillId="3" borderId="21" xfId="0" applyNumberFormat="1" applyFont="1" applyFill="1" applyBorder="1" applyAlignment="1">
      <alignment horizontal="center"/>
    </xf>
    <xf numFmtId="3" fontId="1" fillId="9" borderId="13" xfId="0" applyNumberFormat="1" applyFont="1" applyFill="1" applyBorder="1" applyAlignment="1">
      <alignment horizontal="center"/>
    </xf>
    <xf numFmtId="165" fontId="1" fillId="9" borderId="7" xfId="0" applyNumberFormat="1" applyFont="1" applyFill="1" applyBorder="1" applyAlignment="1">
      <alignment horizontal="center"/>
    </xf>
    <xf numFmtId="165" fontId="1" fillId="9" borderId="0" xfId="0" applyNumberFormat="1" applyFont="1" applyFill="1" applyBorder="1" applyAlignment="1">
      <alignment horizontal="center"/>
    </xf>
    <xf numFmtId="3" fontId="1" fillId="7" borderId="7" xfId="0" applyNumberFormat="1" applyFont="1" applyFill="1" applyBorder="1" applyAlignment="1">
      <alignment horizontal="center"/>
    </xf>
    <xf numFmtId="3" fontId="1" fillId="3" borderId="7" xfId="0" applyNumberFormat="1" applyFont="1" applyFill="1" applyBorder="1" applyAlignment="1">
      <alignment horizontal="center"/>
    </xf>
    <xf numFmtId="0" fontId="1" fillId="0" borderId="1" xfId="0" applyFont="1" applyBorder="1"/>
    <xf numFmtId="3" fontId="1" fillId="0" borderId="21" xfId="0" applyNumberFormat="1" applyFont="1" applyBorder="1" applyAlignment="1"/>
    <xf numFmtId="3" fontId="1" fillId="0" borderId="22" xfId="0" applyNumberFormat="1" applyFont="1" applyBorder="1"/>
    <xf numFmtId="3" fontId="1" fillId="0" borderId="6" xfId="0" applyNumberFormat="1" applyFont="1" applyBorder="1"/>
    <xf numFmtId="2" fontId="1" fillId="0" borderId="0" xfId="0" applyNumberFormat="1" applyFont="1"/>
    <xf numFmtId="3" fontId="1" fillId="0" borderId="0" xfId="0" applyNumberFormat="1" applyFont="1"/>
    <xf numFmtId="0" fontId="1" fillId="0" borderId="10" xfId="0" applyFont="1" applyBorder="1"/>
    <xf numFmtId="0" fontId="1" fillId="0" borderId="11" xfId="0" applyFont="1" applyBorder="1"/>
    <xf numFmtId="2" fontId="1" fillId="0" borderId="10" xfId="0" applyNumberFormat="1" applyFont="1" applyBorder="1"/>
    <xf numFmtId="2" fontId="1" fillId="0" borderId="11" xfId="0" applyNumberFormat="1" applyFont="1" applyBorder="1"/>
    <xf numFmtId="3" fontId="1" fillId="0" borderId="11" xfId="0" applyNumberFormat="1" applyFont="1" applyBorder="1"/>
    <xf numFmtId="0" fontId="1" fillId="0" borderId="8" xfId="0" applyFont="1" applyBorder="1"/>
    <xf numFmtId="2" fontId="1" fillId="0" borderId="0" xfId="0" applyNumberFormat="1" applyFont="1" applyFill="1"/>
    <xf numFmtId="3" fontId="1" fillId="0" borderId="0" xfId="0" applyNumberFormat="1" applyFont="1" applyFill="1"/>
    <xf numFmtId="167" fontId="5" fillId="0" borderId="11" xfId="0" applyNumberFormat="1" applyFont="1" applyBorder="1" applyAlignment="1">
      <alignment horizontal="center"/>
    </xf>
    <xf numFmtId="165" fontId="0" fillId="0" borderId="2" xfId="0" applyNumberFormat="1" applyBorder="1" applyAlignment="1">
      <alignment horizontal="center"/>
    </xf>
    <xf numFmtId="1" fontId="0" fillId="0" borderId="9" xfId="0" applyNumberFormat="1" applyBorder="1" applyAlignment="1">
      <alignment horizontal="center"/>
    </xf>
    <xf numFmtId="0" fontId="6" fillId="0" borderId="1" xfId="0" applyFont="1" applyBorder="1"/>
    <xf numFmtId="0" fontId="0" fillId="0" borderId="5" xfId="0" applyFill="1" applyBorder="1"/>
    <xf numFmtId="0" fontId="0" fillId="0" borderId="5" xfId="0" applyBorder="1"/>
    <xf numFmtId="0" fontId="0" fillId="0" borderId="32" xfId="0" applyBorder="1"/>
    <xf numFmtId="0" fontId="0" fillId="0" borderId="25" xfId="0" applyBorder="1"/>
    <xf numFmtId="1" fontId="0" fillId="0" borderId="32" xfId="0" applyNumberFormat="1" applyBorder="1"/>
    <xf numFmtId="1" fontId="0" fillId="0" borderId="25" xfId="0" applyNumberFormat="1" applyBorder="1"/>
    <xf numFmtId="0" fontId="0" fillId="0" borderId="26" xfId="0" applyBorder="1"/>
    <xf numFmtId="0" fontId="0" fillId="0" borderId="2" xfId="0" applyBorder="1"/>
    <xf numFmtId="0" fontId="0" fillId="0" borderId="3" xfId="0" applyBorder="1"/>
    <xf numFmtId="165" fontId="5" fillId="0" borderId="21" xfId="0" applyNumberFormat="1" applyFont="1" applyBorder="1" applyAlignment="1">
      <alignment horizontal="center"/>
    </xf>
    <xf numFmtId="3" fontId="8" fillId="6" borderId="6" xfId="0" applyNumberFormat="1" applyFont="1" applyFill="1" applyBorder="1" applyAlignment="1">
      <alignment horizontal="center"/>
    </xf>
    <xf numFmtId="4" fontId="8" fillId="6" borderId="6" xfId="0" applyNumberFormat="1" applyFont="1" applyFill="1" applyBorder="1" applyAlignment="1">
      <alignment horizontal="center"/>
    </xf>
    <xf numFmtId="4" fontId="8" fillId="6" borderId="7" xfId="0" applyNumberFormat="1" applyFont="1" applyFill="1" applyBorder="1" applyAlignment="1">
      <alignment horizontal="center"/>
    </xf>
    <xf numFmtId="3" fontId="5" fillId="0" borderId="7" xfId="0" applyNumberFormat="1" applyFont="1" applyBorder="1" applyAlignment="1">
      <alignment horizontal="center"/>
    </xf>
    <xf numFmtId="1" fontId="1" fillId="0" borderId="7" xfId="0" applyNumberFormat="1" applyFont="1" applyBorder="1" applyAlignment="1">
      <alignment horizontal="center"/>
    </xf>
    <xf numFmtId="0" fontId="1" fillId="0" borderId="5" xfId="0" applyFont="1" applyFill="1" applyBorder="1"/>
    <xf numFmtId="0" fontId="6" fillId="0" borderId="5" xfId="0" applyFont="1" applyFill="1" applyBorder="1"/>
    <xf numFmtId="3" fontId="1" fillId="0" borderId="26" xfId="0" applyNumberFormat="1" applyFont="1" applyBorder="1" applyAlignment="1">
      <alignment horizontal="center"/>
    </xf>
    <xf numFmtId="0" fontId="6" fillId="0" borderId="17" xfId="0" applyFont="1" applyFill="1" applyBorder="1"/>
    <xf numFmtId="3" fontId="5" fillId="3" borderId="8" xfId="0" applyNumberFormat="1" applyFont="1" applyFill="1" applyBorder="1" applyAlignment="1">
      <alignment horizontal="center"/>
    </xf>
    <xf numFmtId="0" fontId="7" fillId="0" borderId="17" xfId="0" applyFont="1" applyFill="1" applyBorder="1" applyAlignment="1">
      <alignment horizontal="right"/>
    </xf>
    <xf numFmtId="0" fontId="18" fillId="0" borderId="0" xfId="0" applyFont="1" applyBorder="1" applyAlignment="1">
      <alignment horizontal="center"/>
    </xf>
    <xf numFmtId="0" fontId="18" fillId="0" borderId="13" xfId="0" applyFont="1" applyBorder="1" applyAlignment="1">
      <alignment horizontal="center"/>
    </xf>
    <xf numFmtId="165" fontId="21" fillId="0" borderId="21" xfId="0" applyNumberFormat="1" applyFont="1" applyBorder="1" applyAlignment="1">
      <alignment horizontal="center"/>
    </xf>
    <xf numFmtId="165" fontId="20" fillId="3" borderId="21" xfId="0" applyNumberFormat="1" applyFont="1" applyFill="1" applyBorder="1" applyAlignment="1">
      <alignment horizontal="center"/>
    </xf>
    <xf numFmtId="167" fontId="20" fillId="3" borderId="21" xfId="0" applyNumberFormat="1" applyFont="1" applyFill="1" applyBorder="1" applyAlignment="1">
      <alignment horizontal="center"/>
    </xf>
    <xf numFmtId="167" fontId="20" fillId="3" borderId="6" xfId="0" applyNumberFormat="1" applyFont="1" applyFill="1" applyBorder="1" applyAlignment="1">
      <alignment horizontal="center"/>
    </xf>
    <xf numFmtId="37" fontId="5" fillId="0" borderId="11" xfId="1" applyNumberFormat="1" applyFont="1" applyBorder="1" applyAlignment="1">
      <alignment horizontal="center"/>
    </xf>
    <xf numFmtId="3" fontId="1" fillId="0" borderId="13" xfId="0" applyNumberFormat="1" applyFont="1" applyBorder="1" applyAlignment="1">
      <alignment horizontal="center"/>
    </xf>
    <xf numFmtId="3" fontId="1" fillId="0" borderId="0" xfId="0" applyNumberFormat="1" applyFont="1" applyBorder="1" applyAlignment="1">
      <alignment horizontal="center"/>
    </xf>
    <xf numFmtId="1" fontId="5" fillId="0" borderId="9" xfId="0" applyNumberFormat="1" applyFont="1" applyBorder="1" applyAlignment="1">
      <alignment horizontal="center"/>
    </xf>
    <xf numFmtId="1" fontId="5" fillId="0" borderId="11" xfId="0" applyNumberFormat="1" applyFont="1" applyBorder="1" applyAlignment="1">
      <alignment horizontal="center"/>
    </xf>
    <xf numFmtId="3" fontId="1" fillId="0" borderId="13" xfId="0" applyNumberFormat="1" applyFont="1" applyFill="1" applyBorder="1" applyAlignment="1">
      <alignment horizontal="center"/>
    </xf>
    <xf numFmtId="3" fontId="1" fillId="0" borderId="0" xfId="0" applyNumberFormat="1" applyFont="1" applyFill="1" applyBorder="1" applyAlignment="1">
      <alignment horizontal="center"/>
    </xf>
    <xf numFmtId="3" fontId="5" fillId="0" borderId="11" xfId="0" applyNumberFormat="1" applyFont="1" applyBorder="1" applyAlignment="1">
      <alignment horizontal="center"/>
    </xf>
    <xf numFmtId="3" fontId="8" fillId="6" borderId="11" xfId="0" applyNumberFormat="1" applyFont="1" applyFill="1" applyBorder="1" applyAlignment="1">
      <alignment horizontal="center"/>
    </xf>
    <xf numFmtId="3" fontId="0" fillId="0" borderId="13" xfId="0" applyNumberFormat="1" applyBorder="1" applyAlignment="1">
      <alignment horizontal="center"/>
    </xf>
    <xf numFmtId="3" fontId="0" fillId="3" borderId="13" xfId="0" applyNumberFormat="1" applyFill="1" applyBorder="1" applyAlignment="1">
      <alignment horizontal="center"/>
    </xf>
    <xf numFmtId="1" fontId="0" fillId="0" borderId="13" xfId="0" applyNumberFormat="1" applyBorder="1" applyAlignment="1">
      <alignment horizontal="center"/>
    </xf>
    <xf numFmtId="4" fontId="0" fillId="0" borderId="13" xfId="0" applyNumberFormat="1" applyBorder="1" applyAlignment="1">
      <alignment horizontal="center"/>
    </xf>
    <xf numFmtId="2" fontId="0" fillId="0" borderId="13" xfId="0" applyNumberFormat="1" applyFill="1" applyBorder="1" applyAlignment="1">
      <alignment horizontal="center"/>
    </xf>
    <xf numFmtId="3" fontId="0" fillId="0" borderId="25" xfId="0" applyNumberFormat="1" applyBorder="1" applyAlignment="1">
      <alignment horizontal="center"/>
    </xf>
    <xf numFmtId="3" fontId="0" fillId="0" borderId="0" xfId="0" applyNumberFormat="1" applyBorder="1" applyAlignment="1">
      <alignment horizontal="center"/>
    </xf>
    <xf numFmtId="1" fontId="0" fillId="0" borderId="13" xfId="0" applyNumberFormat="1" applyFill="1" applyBorder="1" applyAlignment="1">
      <alignment horizontal="center"/>
    </xf>
    <xf numFmtId="4" fontId="1" fillId="0" borderId="13" xfId="0" applyNumberFormat="1" applyFont="1" applyBorder="1" applyAlignment="1">
      <alignment horizontal="center"/>
    </xf>
    <xf numFmtId="3" fontId="8" fillId="4" borderId="9" xfId="0" applyNumberFormat="1" applyFont="1" applyFill="1" applyBorder="1" applyAlignment="1">
      <alignment horizontal="center"/>
    </xf>
    <xf numFmtId="168" fontId="8" fillId="0" borderId="0" xfId="0" applyNumberFormat="1" applyFont="1"/>
    <xf numFmtId="0" fontId="8" fillId="0" borderId="0" xfId="0" applyFont="1" applyBorder="1" applyAlignment="1">
      <alignment horizontal="center"/>
    </xf>
    <xf numFmtId="3" fontId="5" fillId="0" borderId="11" xfId="0" applyNumberFormat="1" applyFont="1" applyBorder="1" applyAlignment="1">
      <alignment horizontal="center"/>
    </xf>
    <xf numFmtId="1" fontId="5" fillId="0" borderId="11" xfId="0" applyNumberFormat="1" applyFont="1" applyBorder="1" applyAlignment="1">
      <alignment horizontal="center"/>
    </xf>
    <xf numFmtId="1" fontId="8" fillId="0" borderId="0" xfId="0" applyNumberFormat="1"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0" fontId="8" fillId="0" borderId="31" xfId="0" applyFont="1" applyBorder="1" applyAlignment="1">
      <alignment horizontal="center"/>
    </xf>
    <xf numFmtId="2" fontId="1" fillId="0" borderId="13" xfId="0" applyNumberFormat="1" applyFont="1" applyFill="1" applyBorder="1" applyAlignment="1">
      <alignment horizontal="center"/>
    </xf>
    <xf numFmtId="0" fontId="1" fillId="0" borderId="0" xfId="0" applyFont="1" applyBorder="1" applyAlignment="1">
      <alignment horizontal="center"/>
    </xf>
    <xf numFmtId="0" fontId="0" fillId="0" borderId="0" xfId="0" applyBorder="1" applyAlignment="1">
      <alignment horizontal="center"/>
    </xf>
    <xf numFmtId="2" fontId="8" fillId="0" borderId="0" xfId="0" applyNumberFormat="1" applyFont="1" applyBorder="1" applyAlignment="1">
      <alignment horizontal="center"/>
    </xf>
    <xf numFmtId="2" fontId="8" fillId="0" borderId="6" xfId="0" applyNumberFormat="1" applyFont="1" applyBorder="1" applyAlignment="1">
      <alignment horizontal="center"/>
    </xf>
    <xf numFmtId="4" fontId="0" fillId="0" borderId="13" xfId="0" applyNumberFormat="1" applyFill="1" applyBorder="1" applyAlignment="1">
      <alignment horizontal="center"/>
    </xf>
    <xf numFmtId="4" fontId="1" fillId="0" borderId="13" xfId="0" applyNumberFormat="1" applyFont="1" applyBorder="1" applyAlignment="1">
      <alignment horizontal="center"/>
    </xf>
    <xf numFmtId="3" fontId="8" fillId="0" borderId="0" xfId="0" applyNumberFormat="1" applyFont="1" applyBorder="1" applyAlignment="1">
      <alignment horizontal="center"/>
    </xf>
    <xf numFmtId="3" fontId="8" fillId="0" borderId="6" xfId="0" applyNumberFormat="1" applyFont="1" applyBorder="1" applyAlignment="1">
      <alignment horizontal="center"/>
    </xf>
    <xf numFmtId="3" fontId="8" fillId="0" borderId="2" xfId="0" applyNumberFormat="1" applyFont="1" applyBorder="1"/>
    <xf numFmtId="0" fontId="0" fillId="0" borderId="6" xfId="0" applyBorder="1"/>
    <xf numFmtId="0" fontId="5" fillId="0" borderId="2" xfId="0" applyFont="1" applyFill="1" applyBorder="1" applyAlignment="1">
      <alignment horizontal="right"/>
    </xf>
    <xf numFmtId="3" fontId="5" fillId="0" borderId="11" xfId="0" applyNumberFormat="1" applyFont="1" applyBorder="1" applyAlignment="1">
      <alignment horizontal="center"/>
    </xf>
    <xf numFmtId="3" fontId="5" fillId="0" borderId="10" xfId="0" applyNumberFormat="1" applyFont="1" applyBorder="1" applyAlignment="1">
      <alignment horizontal="center"/>
    </xf>
    <xf numFmtId="0" fontId="0" fillId="0" borderId="0" xfId="0" applyBorder="1" applyAlignment="1">
      <alignment horizontal="center"/>
    </xf>
    <xf numFmtId="0" fontId="0" fillId="0" borderId="6" xfId="0" applyBorder="1" applyAlignment="1">
      <alignment horizontal="center"/>
    </xf>
    <xf numFmtId="2" fontId="0" fillId="0" borderId="11" xfId="0" applyNumberFormat="1" applyBorder="1" applyAlignment="1"/>
    <xf numFmtId="0" fontId="0" fillId="0" borderId="2" xfId="0" applyBorder="1" applyAlignment="1">
      <alignment horizontal="center"/>
    </xf>
    <xf numFmtId="0" fontId="3" fillId="0" borderId="0" xfId="0" applyFont="1" applyBorder="1" applyAlignment="1">
      <alignment horizontal="right"/>
    </xf>
    <xf numFmtId="0" fontId="5" fillId="0" borderId="0" xfId="0" applyFont="1" applyFill="1" applyBorder="1"/>
    <xf numFmtId="0" fontId="5" fillId="0" borderId="3" xfId="0" applyFont="1" applyFill="1" applyBorder="1" applyAlignment="1">
      <alignment horizontal="right"/>
    </xf>
    <xf numFmtId="0" fontId="5" fillId="0" borderId="19" xfId="0" applyFont="1" applyFill="1" applyBorder="1" applyAlignment="1">
      <alignment horizontal="right"/>
    </xf>
    <xf numFmtId="0" fontId="8" fillId="0" borderId="0" xfId="0" applyFont="1" applyBorder="1" applyAlignment="1">
      <alignment horizontal="center"/>
    </xf>
    <xf numFmtId="3" fontId="5" fillId="0" borderId="11" xfId="0" applyNumberFormat="1" applyFont="1" applyBorder="1" applyAlignment="1">
      <alignment horizontal="center"/>
    </xf>
    <xf numFmtId="1" fontId="1" fillId="0" borderId="13" xfId="0" applyNumberFormat="1" applyFont="1" applyBorder="1" applyAlignment="1">
      <alignment horizontal="center"/>
    </xf>
    <xf numFmtId="1" fontId="1" fillId="0" borderId="13" xfId="0" applyNumberFormat="1" applyFont="1" applyFill="1" applyBorder="1" applyAlignment="1">
      <alignment horizontal="center"/>
    </xf>
    <xf numFmtId="2" fontId="1" fillId="0" borderId="13" xfId="0" applyNumberFormat="1" applyFont="1" applyFill="1" applyBorder="1" applyAlignment="1">
      <alignment horizontal="center"/>
    </xf>
    <xf numFmtId="3" fontId="1" fillId="0" borderId="13" xfId="0" applyNumberFormat="1" applyFont="1" applyFill="1" applyBorder="1" applyAlignment="1">
      <alignment horizontal="center"/>
    </xf>
    <xf numFmtId="1" fontId="8" fillId="0" borderId="0" xfId="0" applyNumberFormat="1"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0" fontId="8" fillId="0" borderId="31" xfId="0" applyFont="1" applyBorder="1" applyAlignment="1">
      <alignment horizontal="center"/>
    </xf>
    <xf numFmtId="0" fontId="1" fillId="0" borderId="0" xfId="0" applyFont="1" applyBorder="1" applyAlignment="1">
      <alignment horizontal="center"/>
    </xf>
    <xf numFmtId="3" fontId="0" fillId="0" borderId="13" xfId="0" applyNumberFormat="1" applyBorder="1" applyAlignment="1">
      <alignment horizontal="center"/>
    </xf>
    <xf numFmtId="3" fontId="0" fillId="3" borderId="13" xfId="0" applyNumberFormat="1" applyFill="1" applyBorder="1" applyAlignment="1">
      <alignment horizontal="center"/>
    </xf>
    <xf numFmtId="1" fontId="0" fillId="0" borderId="13" xfId="0" applyNumberFormat="1" applyFill="1" applyBorder="1" applyAlignment="1">
      <alignment horizontal="center"/>
    </xf>
    <xf numFmtId="1" fontId="0" fillId="0" borderId="13" xfId="0" applyNumberFormat="1" applyBorder="1" applyAlignment="1">
      <alignment horizontal="center"/>
    </xf>
    <xf numFmtId="2" fontId="0" fillId="0" borderId="13" xfId="0" applyNumberFormat="1" applyFill="1" applyBorder="1" applyAlignment="1">
      <alignment horizontal="center"/>
    </xf>
    <xf numFmtId="3" fontId="0" fillId="0" borderId="13" xfId="0" applyNumberFormat="1" applyFill="1" applyBorder="1" applyAlignment="1">
      <alignment horizontal="center"/>
    </xf>
    <xf numFmtId="1" fontId="0" fillId="0" borderId="25" xfId="0" applyNumberFormat="1" applyBorder="1" applyAlignment="1"/>
    <xf numFmtId="0" fontId="0" fillId="0" borderId="0" xfId="0" applyBorder="1" applyAlignment="1">
      <alignment horizontal="center"/>
    </xf>
    <xf numFmtId="0" fontId="0" fillId="0" borderId="6" xfId="0" applyBorder="1" applyAlignment="1">
      <alignment horizontal="center"/>
    </xf>
    <xf numFmtId="1" fontId="5" fillId="0" borderId="0" xfId="0" applyNumberFormat="1" applyFont="1" applyBorder="1" applyAlignment="1">
      <alignment horizontal="center"/>
    </xf>
    <xf numFmtId="3" fontId="5" fillId="0" borderId="0" xfId="0" applyNumberFormat="1" applyFont="1" applyBorder="1" applyAlignment="1">
      <alignment horizontal="center"/>
    </xf>
    <xf numFmtId="1" fontId="1" fillId="0" borderId="11" xfId="0" applyNumberFormat="1" applyFont="1" applyFill="1" applyBorder="1" applyAlignment="1">
      <alignment horizontal="center"/>
    </xf>
    <xf numFmtId="4" fontId="0" fillId="0" borderId="13" xfId="0" applyNumberFormat="1" applyFill="1" applyBorder="1" applyAlignment="1">
      <alignment horizontal="center"/>
    </xf>
    <xf numFmtId="2" fontId="8" fillId="0" borderId="0" xfId="0" applyNumberFormat="1" applyFont="1" applyBorder="1" applyAlignment="1">
      <alignment horizontal="center"/>
    </xf>
    <xf numFmtId="2" fontId="8" fillId="0" borderId="6" xfId="0" applyNumberFormat="1" applyFont="1" applyBorder="1" applyAlignment="1">
      <alignment horizontal="center"/>
    </xf>
    <xf numFmtId="2" fontId="0" fillId="0" borderId="11" xfId="0" applyNumberFormat="1" applyBorder="1" applyAlignment="1"/>
    <xf numFmtId="0" fontId="0" fillId="0" borderId="2" xfId="0" applyBorder="1" applyAlignment="1">
      <alignment horizontal="center"/>
    </xf>
    <xf numFmtId="3" fontId="5" fillId="0" borderId="25" xfId="0" applyNumberFormat="1" applyFont="1" applyBorder="1" applyAlignment="1">
      <alignment horizontal="center"/>
    </xf>
    <xf numFmtId="0" fontId="0" fillId="0" borderId="0" xfId="0" applyBorder="1" applyAlignment="1">
      <alignment horizontal="center"/>
    </xf>
    <xf numFmtId="1" fontId="5" fillId="0" borderId="0" xfId="0" applyNumberFormat="1" applyFont="1" applyBorder="1" applyAlignment="1">
      <alignment horizontal="center"/>
    </xf>
    <xf numFmtId="3" fontId="1" fillId="0" borderId="4" xfId="0" applyNumberFormat="1" applyFont="1" applyBorder="1" applyAlignment="1">
      <alignment horizontal="center"/>
    </xf>
    <xf numFmtId="3" fontId="1" fillId="0" borderId="13" xfId="0" applyNumberFormat="1" applyFont="1" applyBorder="1" applyAlignment="1">
      <alignment horizontal="center"/>
    </xf>
    <xf numFmtId="3" fontId="1" fillId="3" borderId="0" xfId="0" applyNumberFormat="1" applyFont="1" applyFill="1" applyBorder="1" applyAlignment="1">
      <alignment horizontal="center"/>
    </xf>
    <xf numFmtId="3" fontId="1" fillId="3" borderId="13" xfId="0" applyNumberFormat="1" applyFont="1" applyFill="1" applyBorder="1" applyAlignment="1">
      <alignment horizontal="center"/>
    </xf>
    <xf numFmtId="164" fontId="1" fillId="0" borderId="14" xfId="0" applyNumberFormat="1" applyFont="1" applyBorder="1" applyAlignment="1">
      <alignment horizontal="center"/>
    </xf>
    <xf numFmtId="164" fontId="1" fillId="0" borderId="20" xfId="0" applyNumberFormat="1" applyFont="1" applyBorder="1" applyAlignment="1">
      <alignment horizontal="center"/>
    </xf>
    <xf numFmtId="3" fontId="5" fillId="0" borderId="11" xfId="0" applyNumberFormat="1" applyFont="1" applyBorder="1" applyAlignment="1">
      <alignment horizontal="center"/>
    </xf>
    <xf numFmtId="1" fontId="1" fillId="0" borderId="13" xfId="0" applyNumberFormat="1" applyFont="1" applyBorder="1" applyAlignment="1">
      <alignment horizontal="center"/>
    </xf>
    <xf numFmtId="1" fontId="1" fillId="3" borderId="14" xfId="0" applyNumberFormat="1" applyFont="1" applyFill="1" applyBorder="1" applyAlignment="1">
      <alignment horizontal="center"/>
    </xf>
    <xf numFmtId="1" fontId="1" fillId="3" borderId="13" xfId="0" applyNumberFormat="1" applyFont="1" applyFill="1" applyBorder="1" applyAlignment="1">
      <alignment horizontal="center"/>
    </xf>
    <xf numFmtId="1" fontId="1" fillId="0" borderId="13" xfId="0" applyNumberFormat="1" applyFont="1" applyFill="1" applyBorder="1" applyAlignment="1">
      <alignment horizontal="center"/>
    </xf>
    <xf numFmtId="3" fontId="1" fillId="0" borderId="0" xfId="0" applyNumberFormat="1" applyFont="1" applyFill="1" applyBorder="1" applyAlignment="1">
      <alignment horizontal="center"/>
    </xf>
    <xf numFmtId="3" fontId="5" fillId="0" borderId="9" xfId="0" applyNumberFormat="1" applyFont="1" applyBorder="1" applyAlignment="1">
      <alignment horizontal="center"/>
    </xf>
    <xf numFmtId="1" fontId="5" fillId="0" borderId="11" xfId="0" applyNumberFormat="1" applyFont="1" applyBorder="1" applyAlignment="1">
      <alignment horizontal="center"/>
    </xf>
    <xf numFmtId="1" fontId="8" fillId="0" borderId="0" xfId="0" applyNumberFormat="1"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0" fontId="8" fillId="0" borderId="31" xfId="0" applyFont="1" applyBorder="1" applyAlignment="1">
      <alignment horizontal="center"/>
    </xf>
    <xf numFmtId="3" fontId="5" fillId="0" borderId="25" xfId="0" applyNumberFormat="1" applyFont="1" applyBorder="1" applyAlignment="1">
      <alignment horizontal="center"/>
    </xf>
    <xf numFmtId="3" fontId="8" fillId="6" borderId="11" xfId="0" applyNumberFormat="1" applyFont="1" applyFill="1" applyBorder="1" applyAlignment="1">
      <alignment horizontal="center"/>
    </xf>
    <xf numFmtId="3" fontId="8" fillId="6" borderId="9" xfId="0" applyNumberFormat="1" applyFont="1" applyFill="1" applyBorder="1" applyAlignment="1">
      <alignment horizontal="center"/>
    </xf>
    <xf numFmtId="1" fontId="8" fillId="6" borderId="10" xfId="0" applyNumberFormat="1" applyFont="1" applyFill="1" applyBorder="1" applyAlignment="1">
      <alignment horizontal="center"/>
    </xf>
    <xf numFmtId="1" fontId="8" fillId="6" borderId="11" xfId="0" applyNumberFormat="1" applyFont="1" applyFill="1" applyBorder="1" applyAlignment="1">
      <alignment horizontal="center"/>
    </xf>
    <xf numFmtId="3" fontId="1" fillId="0" borderId="11" xfId="0" applyNumberFormat="1" applyFont="1" applyBorder="1" applyAlignment="1">
      <alignment horizontal="center"/>
    </xf>
    <xf numFmtId="3" fontId="0" fillId="3" borderId="6" xfId="0" applyNumberFormat="1" applyFill="1" applyBorder="1" applyAlignment="1">
      <alignment horizontal="center"/>
    </xf>
    <xf numFmtId="3" fontId="0" fillId="0" borderId="13" xfId="0" applyNumberFormat="1" applyBorder="1" applyAlignment="1">
      <alignment horizontal="center"/>
    </xf>
    <xf numFmtId="3" fontId="0" fillId="0" borderId="0" xfId="0" applyNumberFormat="1" applyBorder="1" applyAlignment="1">
      <alignment horizontal="center"/>
    </xf>
    <xf numFmtId="1" fontId="0" fillId="0" borderId="13" xfId="0" applyNumberFormat="1" applyBorder="1" applyAlignment="1">
      <alignment horizontal="center"/>
    </xf>
    <xf numFmtId="3" fontId="0" fillId="3" borderId="0" xfId="0" applyNumberFormat="1" applyFill="1" applyBorder="1" applyAlignment="1">
      <alignment horizontal="center"/>
    </xf>
    <xf numFmtId="3" fontId="0" fillId="3" borderId="13" xfId="0" applyNumberFormat="1" applyFill="1" applyBorder="1" applyAlignment="1">
      <alignment horizontal="center"/>
    </xf>
    <xf numFmtId="1" fontId="0" fillId="3" borderId="13" xfId="0" applyNumberFormat="1" applyFill="1" applyBorder="1" applyAlignment="1">
      <alignment horizontal="center"/>
    </xf>
    <xf numFmtId="1" fontId="0" fillId="0" borderId="13" xfId="0" applyNumberFormat="1" applyFill="1" applyBorder="1" applyAlignment="1">
      <alignment horizontal="center"/>
    </xf>
    <xf numFmtId="3" fontId="0" fillId="0" borderId="13" xfId="0" applyNumberFormat="1" applyFill="1" applyBorder="1" applyAlignment="1">
      <alignment horizontal="center"/>
    </xf>
    <xf numFmtId="3" fontId="0" fillId="0" borderId="0" xfId="0" applyNumberFormat="1" applyFill="1" applyBorder="1" applyAlignment="1">
      <alignment horizontal="center"/>
    </xf>
    <xf numFmtId="2" fontId="0" fillId="0" borderId="13" xfId="0" applyNumberFormat="1" applyFill="1" applyBorder="1" applyAlignment="1">
      <alignment horizontal="center"/>
    </xf>
    <xf numFmtId="3" fontId="0" fillId="0" borderId="25" xfId="0" applyNumberFormat="1" applyBorder="1" applyAlignment="1"/>
    <xf numFmtId="1" fontId="0" fillId="0" borderId="25" xfId="0" applyNumberFormat="1" applyBorder="1" applyAlignment="1"/>
    <xf numFmtId="3" fontId="0" fillId="3" borderId="14" xfId="0" applyNumberFormat="1" applyFill="1" applyBorder="1" applyAlignment="1">
      <alignment horizontal="center"/>
    </xf>
    <xf numFmtId="3" fontId="0" fillId="0" borderId="11" xfId="0" applyNumberFormat="1" applyBorder="1" applyAlignment="1"/>
    <xf numFmtId="1" fontId="0" fillId="0" borderId="11" xfId="0" applyNumberFormat="1" applyBorder="1" applyAlignment="1"/>
    <xf numFmtId="0" fontId="0" fillId="0" borderId="0" xfId="0" applyBorder="1" applyAlignment="1">
      <alignment horizontal="center"/>
    </xf>
    <xf numFmtId="2" fontId="0" fillId="0" borderId="13" xfId="0" applyNumberFormat="1" applyBorder="1" applyAlignment="1">
      <alignment horizontal="center"/>
    </xf>
    <xf numFmtId="3" fontId="0" fillId="0" borderId="2" xfId="0" applyNumberFormat="1" applyBorder="1" applyAlignment="1">
      <alignment horizontal="center"/>
    </xf>
    <xf numFmtId="1" fontId="5" fillId="0" borderId="0" xfId="0" applyNumberFormat="1" applyFont="1" applyBorder="1" applyAlignment="1">
      <alignment horizontal="center"/>
    </xf>
    <xf numFmtId="1" fontId="5" fillId="0" borderId="25" xfId="0" applyNumberFormat="1" applyFont="1" applyBorder="1" applyAlignment="1">
      <alignment horizontal="center"/>
    </xf>
    <xf numFmtId="1" fontId="0" fillId="3" borderId="0" xfId="0" applyNumberFormat="1" applyFill="1" applyBorder="1" applyAlignment="1">
      <alignment horizontal="center"/>
    </xf>
    <xf numFmtId="4" fontId="0" fillId="0" borderId="13" xfId="0" applyNumberFormat="1" applyFill="1" applyBorder="1" applyAlignment="1">
      <alignment horizontal="center"/>
    </xf>
    <xf numFmtId="2" fontId="8" fillId="0" borderId="0" xfId="0" applyNumberFormat="1" applyFont="1" applyBorder="1" applyAlignment="1">
      <alignment horizontal="center"/>
    </xf>
    <xf numFmtId="2" fontId="8" fillId="0" borderId="6" xfId="0" applyNumberFormat="1" applyFont="1" applyBorder="1" applyAlignment="1">
      <alignment horizontal="center"/>
    </xf>
    <xf numFmtId="2" fontId="0" fillId="0" borderId="11" xfId="0" applyNumberFormat="1" applyBorder="1" applyAlignment="1"/>
    <xf numFmtId="4" fontId="0" fillId="0" borderId="25" xfId="0" applyNumberFormat="1" applyBorder="1" applyAlignment="1">
      <alignment horizontal="center"/>
    </xf>
    <xf numFmtId="4" fontId="8" fillId="6" borderId="11" xfId="0" applyNumberFormat="1" applyFont="1" applyFill="1" applyBorder="1" applyAlignment="1">
      <alignment horizontal="center"/>
    </xf>
    <xf numFmtId="4" fontId="0" fillId="0" borderId="21" xfId="0" applyNumberFormat="1" applyBorder="1" applyAlignment="1">
      <alignment horizontal="center"/>
    </xf>
    <xf numFmtId="4" fontId="0" fillId="0" borderId="0" xfId="0" applyNumberFormat="1" applyFill="1" applyBorder="1" applyAlignment="1">
      <alignment horizontal="center"/>
    </xf>
    <xf numFmtId="4" fontId="0" fillId="0" borderId="13" xfId="0" applyNumberFormat="1" applyBorder="1" applyAlignment="1">
      <alignment horizontal="center"/>
    </xf>
    <xf numFmtId="4" fontId="0" fillId="0" borderId="0" xfId="0" applyNumberFormat="1" applyBorder="1" applyAlignment="1">
      <alignment horizontal="center"/>
    </xf>
    <xf numFmtId="2" fontId="0" fillId="0" borderId="21" xfId="0" applyNumberFormat="1" applyBorder="1" applyAlignment="1"/>
    <xf numFmtId="3" fontId="0" fillId="0" borderId="21" xfId="0" applyNumberFormat="1" applyBorder="1" applyAlignment="1"/>
    <xf numFmtId="3" fontId="5" fillId="0" borderId="11" xfId="0" applyNumberFormat="1" applyFont="1" applyFill="1" applyBorder="1" applyAlignment="1">
      <alignment horizontal="center"/>
    </xf>
    <xf numFmtId="4" fontId="1" fillId="0" borderId="13" xfId="0" applyNumberFormat="1" applyFont="1" applyBorder="1" applyAlignment="1">
      <alignment horizontal="center"/>
    </xf>
    <xf numFmtId="3" fontId="1" fillId="0" borderId="9" xfId="0" applyNumberFormat="1" applyFont="1" applyBorder="1" applyAlignment="1">
      <alignment horizontal="center"/>
    </xf>
    <xf numFmtId="3" fontId="8" fillId="0" borderId="0" xfId="0" applyNumberFormat="1" applyFont="1" applyBorder="1" applyAlignment="1">
      <alignment horizontal="center"/>
    </xf>
    <xf numFmtId="3" fontId="8" fillId="0" borderId="6" xfId="0" applyNumberFormat="1" applyFont="1" applyBorder="1" applyAlignment="1">
      <alignment horizontal="center"/>
    </xf>
    <xf numFmtId="3" fontId="0" fillId="9" borderId="13" xfId="0" applyNumberFormat="1" applyFill="1" applyBorder="1" applyAlignment="1">
      <alignment horizontal="center"/>
    </xf>
    <xf numFmtId="4" fontId="1" fillId="0" borderId="13" xfId="0" applyNumberFormat="1" applyFont="1" applyFill="1" applyBorder="1" applyAlignment="1">
      <alignment horizontal="center"/>
    </xf>
    <xf numFmtId="164" fontId="8" fillId="6" borderId="10" xfId="0" applyNumberFormat="1" applyFont="1" applyFill="1" applyBorder="1" applyAlignment="1">
      <alignment horizontal="center"/>
    </xf>
    <xf numFmtId="164" fontId="8" fillId="6" borderId="12" xfId="0" applyNumberFormat="1" applyFont="1" applyFill="1" applyBorder="1" applyAlignment="1">
      <alignment horizontal="center"/>
    </xf>
    <xf numFmtId="4" fontId="1" fillId="0" borderId="0" xfId="0" applyNumberFormat="1" applyFont="1" applyBorder="1" applyAlignment="1">
      <alignment horizontal="center"/>
    </xf>
    <xf numFmtId="3" fontId="1" fillId="3" borderId="11" xfId="0" applyNumberFormat="1" applyFont="1" applyFill="1" applyBorder="1" applyAlignment="1">
      <alignment horizontal="center"/>
    </xf>
    <xf numFmtId="3" fontId="8" fillId="4" borderId="11" xfId="0" applyNumberFormat="1" applyFont="1" applyFill="1" applyBorder="1" applyAlignment="1">
      <alignment horizontal="center"/>
    </xf>
    <xf numFmtId="0" fontId="0" fillId="0" borderId="40" xfId="0" applyBorder="1"/>
    <xf numFmtId="0" fontId="0" fillId="0" borderId="40" xfId="0" applyBorder="1" applyAlignment="1">
      <alignment horizontal="center"/>
    </xf>
    <xf numFmtId="1" fontId="5" fillId="0" borderId="40" xfId="0" applyNumberFormat="1" applyFont="1" applyBorder="1" applyAlignment="1">
      <alignment horizontal="center"/>
    </xf>
    <xf numFmtId="165" fontId="5" fillId="0" borderId="40" xfId="0" applyNumberFormat="1" applyFont="1" applyBorder="1" applyAlignment="1">
      <alignment horizontal="center"/>
    </xf>
    <xf numFmtId="0" fontId="8" fillId="0" borderId="40" xfId="0" applyFont="1" applyBorder="1"/>
    <xf numFmtId="0" fontId="8" fillId="0" borderId="40" xfId="0" applyFont="1" applyBorder="1" applyAlignment="1">
      <alignment horizontal="center" wrapText="1"/>
    </xf>
    <xf numFmtId="1" fontId="4" fillId="0" borderId="40" xfId="0" applyNumberFormat="1" applyFont="1" applyBorder="1" applyAlignment="1">
      <alignment horizontal="center"/>
    </xf>
    <xf numFmtId="165" fontId="4" fillId="0" borderId="40" xfId="0" applyNumberFormat="1" applyFont="1" applyBorder="1" applyAlignment="1">
      <alignment horizontal="center"/>
    </xf>
    <xf numFmtId="0" fontId="8" fillId="0" borderId="40" xfId="0" applyFont="1" applyBorder="1" applyAlignment="1">
      <alignment horizontal="center"/>
    </xf>
    <xf numFmtId="165" fontId="5" fillId="0" borderId="25" xfId="2" applyNumberFormat="1" applyFont="1" applyBorder="1" applyAlignment="1">
      <alignment horizontal="center"/>
    </xf>
    <xf numFmtId="165" fontId="5" fillId="0" borderId="26" xfId="2" applyNumberFormat="1" applyFont="1" applyBorder="1" applyAlignment="1">
      <alignment horizontal="center"/>
    </xf>
    <xf numFmtId="2" fontId="0" fillId="0" borderId="25" xfId="0" applyNumberFormat="1" applyBorder="1" applyAlignment="1"/>
    <xf numFmtId="165" fontId="5" fillId="0" borderId="2" xfId="2" applyNumberFormat="1" applyFont="1" applyBorder="1" applyAlignment="1">
      <alignment horizontal="center"/>
    </xf>
    <xf numFmtId="1" fontId="8" fillId="0" borderId="25" xfId="0" applyNumberFormat="1" applyFont="1" applyBorder="1" applyAlignment="1"/>
    <xf numFmtId="3" fontId="8" fillId="0" borderId="26" xfId="0" applyNumberFormat="1" applyFont="1" applyBorder="1"/>
    <xf numFmtId="3" fontId="1" fillId="0" borderId="13" xfId="0" applyNumberFormat="1" applyFont="1" applyBorder="1" applyAlignment="1">
      <alignment horizontal="center"/>
    </xf>
    <xf numFmtId="3" fontId="1" fillId="0" borderId="13" xfId="0" applyNumberFormat="1" applyFont="1" applyFill="1" applyBorder="1" applyAlignment="1">
      <alignment horizontal="center"/>
    </xf>
    <xf numFmtId="0" fontId="8" fillId="0" borderId="6" xfId="0" applyFont="1" applyBorder="1" applyAlignment="1">
      <alignment horizontal="center"/>
    </xf>
    <xf numFmtId="0" fontId="8" fillId="0" borderId="31" xfId="0" applyFont="1" applyBorder="1" applyAlignment="1">
      <alignment horizontal="center"/>
    </xf>
    <xf numFmtId="0" fontId="1" fillId="0" borderId="0" xfId="0" applyFont="1" applyBorder="1" applyAlignment="1">
      <alignment horizontal="center"/>
    </xf>
    <xf numFmtId="3" fontId="1" fillId="0" borderId="25" xfId="0" applyNumberFormat="1" applyFont="1" applyBorder="1" applyAlignment="1">
      <alignment horizontal="center"/>
    </xf>
    <xf numFmtId="0" fontId="0" fillId="0" borderId="0" xfId="0" applyBorder="1" applyAlignment="1">
      <alignment horizontal="center"/>
    </xf>
    <xf numFmtId="4" fontId="1" fillId="0" borderId="21" xfId="0" applyNumberFormat="1" applyFont="1" applyFill="1" applyBorder="1" applyAlignment="1">
      <alignment horizontal="center"/>
    </xf>
    <xf numFmtId="3" fontId="8" fillId="0" borderId="0" xfId="0" applyNumberFormat="1" applyFont="1" applyBorder="1" applyAlignment="1">
      <alignment horizontal="center"/>
    </xf>
    <xf numFmtId="3" fontId="8" fillId="0" borderId="6" xfId="0" applyNumberFormat="1" applyFont="1" applyBorder="1" applyAlignment="1">
      <alignment horizontal="center"/>
    </xf>
    <xf numFmtId="3" fontId="1" fillId="0" borderId="11" xfId="0" applyNumberFormat="1" applyFont="1" applyBorder="1" applyAlignment="1"/>
    <xf numFmtId="1" fontId="5" fillId="0" borderId="26" xfId="0" applyNumberFormat="1" applyFont="1" applyBorder="1" applyAlignment="1">
      <alignment horizontal="center"/>
    </xf>
    <xf numFmtId="3" fontId="1" fillId="0" borderId="13" xfId="0" applyNumberFormat="1" applyFont="1" applyBorder="1"/>
    <xf numFmtId="3" fontId="4" fillId="0" borderId="2" xfId="0" applyNumberFormat="1" applyFont="1" applyFill="1" applyBorder="1" applyAlignment="1">
      <alignment horizontal="center"/>
    </xf>
    <xf numFmtId="0" fontId="4" fillId="0" borderId="2" xfId="0" applyFont="1" applyFill="1" applyBorder="1" applyAlignment="1">
      <alignment horizontal="center"/>
    </xf>
    <xf numFmtId="165" fontId="4" fillId="0" borderId="2" xfId="0" applyNumberFormat="1" applyFont="1" applyFill="1" applyBorder="1" applyAlignment="1">
      <alignment horizontal="center"/>
    </xf>
    <xf numFmtId="0" fontId="8" fillId="0" borderId="2" xfId="0" applyFont="1" applyFill="1" applyBorder="1" applyAlignment="1">
      <alignment horizontal="center"/>
    </xf>
    <xf numFmtId="0" fontId="4" fillId="0" borderId="0" xfId="0" applyFont="1" applyFill="1" applyBorder="1" applyAlignment="1">
      <alignment horizontal="center"/>
    </xf>
    <xf numFmtId="0" fontId="8" fillId="0" borderId="0" xfId="0" applyFont="1" applyFill="1" applyBorder="1" applyAlignment="1">
      <alignment horizontal="center"/>
    </xf>
    <xf numFmtId="165" fontId="0" fillId="0" borderId="6" xfId="0" applyNumberFormat="1" applyBorder="1" applyAlignment="1">
      <alignment horizontal="center"/>
    </xf>
    <xf numFmtId="165" fontId="1" fillId="0" borderId="22" xfId="0" applyNumberFormat="1" applyFont="1" applyFill="1" applyBorder="1" applyAlignment="1">
      <alignment horizontal="center"/>
    </xf>
    <xf numFmtId="1" fontId="1" fillId="0" borderId="13" xfId="0" applyNumberFormat="1" applyFont="1" applyFill="1" applyBorder="1" applyAlignment="1">
      <alignment horizontal="center"/>
    </xf>
    <xf numFmtId="1" fontId="0" fillId="0" borderId="13" xfId="0" applyNumberFormat="1" applyFill="1" applyBorder="1" applyAlignment="1">
      <alignment horizontal="center"/>
    </xf>
    <xf numFmtId="1" fontId="5" fillId="0" borderId="25" xfId="0" applyNumberFormat="1" applyFont="1" applyFill="1" applyBorder="1" applyAlignment="1">
      <alignment horizontal="center"/>
    </xf>
    <xf numFmtId="165" fontId="5" fillId="0" borderId="2" xfId="2" applyNumberFormat="1" applyFont="1" applyFill="1" applyBorder="1" applyAlignment="1">
      <alignment horizontal="center"/>
    </xf>
    <xf numFmtId="2" fontId="1" fillId="0" borderId="13" xfId="0" applyNumberFormat="1" applyFont="1" applyFill="1" applyBorder="1" applyAlignment="1">
      <alignment horizontal="center"/>
    </xf>
    <xf numFmtId="1" fontId="5" fillId="0" borderId="11" xfId="0" applyNumberFormat="1" applyFont="1" applyBorder="1" applyAlignment="1">
      <alignment horizontal="center"/>
    </xf>
    <xf numFmtId="2" fontId="0" fillId="0" borderId="13" xfId="0" applyNumberFormat="1" applyFill="1" applyBorder="1" applyAlignment="1">
      <alignment horizontal="center"/>
    </xf>
    <xf numFmtId="2" fontId="0" fillId="0" borderId="13" xfId="0" applyNumberFormat="1" applyBorder="1" applyAlignment="1">
      <alignment horizontal="center"/>
    </xf>
    <xf numFmtId="2" fontId="5" fillId="0" borderId="11" xfId="0" applyNumberFormat="1" applyFont="1" applyBorder="1" applyAlignment="1">
      <alignment horizontal="center"/>
    </xf>
    <xf numFmtId="2" fontId="0" fillId="0" borderId="7" xfId="0" applyNumberFormat="1" applyBorder="1" applyAlignment="1">
      <alignment horizontal="center"/>
    </xf>
    <xf numFmtId="165" fontId="0" fillId="0" borderId="0" xfId="2" applyNumberFormat="1" applyFont="1" applyFill="1" applyBorder="1" applyAlignment="1">
      <alignment horizontal="center"/>
    </xf>
    <xf numFmtId="1" fontId="1" fillId="0" borderId="13" xfId="0" applyNumberFormat="1" applyFont="1" applyFill="1" applyBorder="1" applyAlignment="1">
      <alignment horizontal="center"/>
    </xf>
    <xf numFmtId="3" fontId="0" fillId="0" borderId="13" xfId="0" applyNumberFormat="1" applyFill="1" applyBorder="1" applyAlignment="1">
      <alignment horizontal="center"/>
    </xf>
    <xf numFmtId="1" fontId="1" fillId="0" borderId="13" xfId="0" applyNumberFormat="1" applyFont="1" applyFill="1" applyBorder="1" applyAlignment="1">
      <alignment horizontal="center"/>
    </xf>
    <xf numFmtId="2" fontId="1" fillId="0" borderId="13" xfId="0" applyNumberFormat="1" applyFont="1" applyBorder="1" applyAlignment="1">
      <alignment horizontal="center"/>
    </xf>
    <xf numFmtId="3" fontId="0" fillId="0" borderId="13" xfId="0" applyNumberFormat="1" applyFill="1" applyBorder="1" applyAlignment="1">
      <alignment horizontal="center"/>
    </xf>
    <xf numFmtId="1" fontId="0" fillId="0" borderId="13" xfId="0" applyNumberFormat="1" applyFill="1" applyBorder="1" applyAlignment="1">
      <alignment horizontal="center"/>
    </xf>
    <xf numFmtId="3" fontId="1" fillId="0" borderId="13" xfId="0" applyNumberFormat="1" applyFont="1" applyBorder="1" applyAlignment="1">
      <alignment horizontal="center"/>
    </xf>
    <xf numFmtId="3" fontId="1" fillId="0" borderId="0" xfId="0" applyNumberFormat="1" applyFont="1" applyFill="1" applyBorder="1" applyAlignment="1">
      <alignment horizontal="center"/>
    </xf>
    <xf numFmtId="3" fontId="1" fillId="0" borderId="13" xfId="0" applyNumberFormat="1" applyFont="1" applyFill="1" applyBorder="1" applyAlignment="1">
      <alignment horizontal="center"/>
    </xf>
    <xf numFmtId="1" fontId="1" fillId="0" borderId="13" xfId="0" applyNumberFormat="1" applyFont="1" applyFill="1" applyBorder="1" applyAlignment="1">
      <alignment horizontal="center"/>
    </xf>
    <xf numFmtId="3" fontId="5" fillId="0" borderId="11" xfId="0" applyNumberFormat="1" applyFont="1" applyBorder="1" applyAlignment="1">
      <alignment horizontal="center"/>
    </xf>
    <xf numFmtId="2" fontId="1" fillId="0" borderId="13" xfId="0" applyNumberFormat="1" applyFont="1" applyFill="1" applyBorder="1" applyAlignment="1">
      <alignment horizontal="center"/>
    </xf>
    <xf numFmtId="0" fontId="8" fillId="0" borderId="6" xfId="0" applyFont="1" applyBorder="1" applyAlignment="1">
      <alignment horizontal="center"/>
    </xf>
    <xf numFmtId="0" fontId="8" fillId="0" borderId="31" xfId="0" applyFont="1" applyBorder="1" applyAlignment="1">
      <alignment horizontal="center"/>
    </xf>
    <xf numFmtId="3" fontId="5" fillId="0" borderId="25" xfId="0" applyNumberFormat="1" applyFont="1" applyBorder="1" applyAlignment="1">
      <alignment horizontal="center"/>
    </xf>
    <xf numFmtId="1" fontId="5" fillId="0" borderId="11" xfId="0" applyNumberFormat="1" applyFont="1" applyBorder="1" applyAlignment="1">
      <alignment horizontal="center"/>
    </xf>
    <xf numFmtId="3" fontId="1" fillId="3" borderId="0" xfId="0" applyNumberFormat="1" applyFont="1" applyFill="1" applyBorder="1" applyAlignment="1">
      <alignment horizontal="center"/>
    </xf>
    <xf numFmtId="3" fontId="1" fillId="3" borderId="13" xfId="0" applyNumberFormat="1" applyFont="1" applyFill="1" applyBorder="1" applyAlignment="1">
      <alignment horizontal="center"/>
    </xf>
    <xf numFmtId="3" fontId="0" fillId="0" borderId="0" xfId="0" applyNumberFormat="1" applyFill="1" applyBorder="1" applyAlignment="1">
      <alignment horizontal="center"/>
    </xf>
    <xf numFmtId="3" fontId="0" fillId="0" borderId="13" xfId="0" applyNumberFormat="1" applyBorder="1" applyAlignment="1">
      <alignment horizontal="center"/>
    </xf>
    <xf numFmtId="3" fontId="0" fillId="0" borderId="0" xfId="0" applyNumberFormat="1" applyBorder="1" applyAlignment="1">
      <alignment horizontal="center"/>
    </xf>
    <xf numFmtId="2" fontId="0" fillId="0" borderId="13" xfId="0" applyNumberFormat="1" applyFill="1" applyBorder="1" applyAlignment="1">
      <alignment horizontal="center"/>
    </xf>
    <xf numFmtId="1" fontId="0" fillId="0" borderId="13" xfId="0" applyNumberFormat="1" applyBorder="1" applyAlignment="1">
      <alignment horizontal="center"/>
    </xf>
    <xf numFmtId="3" fontId="0" fillId="0" borderId="25" xfId="0" applyNumberFormat="1" applyBorder="1" applyAlignment="1"/>
    <xf numFmtId="3" fontId="0" fillId="3" borderId="0" xfId="0" applyNumberFormat="1" applyFill="1" applyBorder="1" applyAlignment="1">
      <alignment horizontal="center"/>
    </xf>
    <xf numFmtId="2" fontId="0" fillId="0" borderId="13" xfId="0" applyNumberFormat="1" applyBorder="1" applyAlignment="1">
      <alignment horizontal="center"/>
    </xf>
    <xf numFmtId="4" fontId="0" fillId="0" borderId="13" xfId="0" applyNumberFormat="1" applyFill="1" applyBorder="1" applyAlignment="1">
      <alignment horizontal="center"/>
    </xf>
    <xf numFmtId="4" fontId="0" fillId="0" borderId="0" xfId="0" applyNumberFormat="1" applyFill="1" applyBorder="1" applyAlignment="1">
      <alignment horizontal="center"/>
    </xf>
    <xf numFmtId="3" fontId="8" fillId="0" borderId="0" xfId="0" applyNumberFormat="1" applyFont="1" applyBorder="1" applyAlignment="1">
      <alignment horizontal="center"/>
    </xf>
    <xf numFmtId="3" fontId="8" fillId="0" borderId="6" xfId="0" applyNumberFormat="1" applyFont="1" applyBorder="1" applyAlignment="1">
      <alignment horizontal="center"/>
    </xf>
    <xf numFmtId="3" fontId="1" fillId="0" borderId="25" xfId="0" applyNumberFormat="1" applyFont="1" applyBorder="1" applyAlignment="1"/>
    <xf numFmtId="3" fontId="1" fillId="0" borderId="13" xfId="0" applyNumberFormat="1" applyFont="1" applyBorder="1" applyAlignment="1">
      <alignment horizontal="center"/>
    </xf>
    <xf numFmtId="1" fontId="1" fillId="0" borderId="13" xfId="0" applyNumberFormat="1" applyFont="1" applyFill="1" applyBorder="1" applyAlignment="1">
      <alignment horizontal="center"/>
    </xf>
    <xf numFmtId="2" fontId="1" fillId="0" borderId="13" xfId="0" applyNumberFormat="1" applyFont="1" applyBorder="1" applyAlignment="1">
      <alignment horizontal="center"/>
    </xf>
    <xf numFmtId="1" fontId="8" fillId="0" borderId="0" xfId="0" applyNumberFormat="1"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2" fontId="1" fillId="0" borderId="0" xfId="0" applyNumberFormat="1" applyFont="1" applyBorder="1" applyAlignment="1">
      <alignment horizontal="center"/>
    </xf>
    <xf numFmtId="2" fontId="1" fillId="0" borderId="13" xfId="0" applyNumberFormat="1" applyFont="1" applyFill="1" applyBorder="1" applyAlignment="1">
      <alignment horizontal="center"/>
    </xf>
    <xf numFmtId="3" fontId="5" fillId="0" borderId="11" xfId="0" applyNumberFormat="1" applyFont="1" applyBorder="1" applyAlignment="1">
      <alignment horizontal="center"/>
    </xf>
    <xf numFmtId="0" fontId="8" fillId="0" borderId="31" xfId="0" applyFont="1" applyBorder="1" applyAlignment="1">
      <alignment horizontal="center"/>
    </xf>
    <xf numFmtId="2" fontId="1" fillId="0" borderId="0" xfId="0" applyNumberFormat="1" applyFont="1" applyFill="1" applyBorder="1" applyAlignment="1">
      <alignment horizontal="center"/>
    </xf>
    <xf numFmtId="3" fontId="0" fillId="0" borderId="13" xfId="0" applyNumberFormat="1" applyBorder="1" applyAlignment="1">
      <alignment horizontal="center"/>
    </xf>
    <xf numFmtId="2" fontId="0" fillId="0" borderId="0" xfId="0" applyNumberFormat="1" applyBorder="1" applyAlignment="1">
      <alignment horizontal="center"/>
    </xf>
    <xf numFmtId="2" fontId="0" fillId="0" borderId="13" xfId="0" applyNumberFormat="1" applyBorder="1" applyAlignment="1">
      <alignment horizontal="center"/>
    </xf>
    <xf numFmtId="3" fontId="0" fillId="0" borderId="13" xfId="0" applyNumberFormat="1" applyFill="1" applyBorder="1" applyAlignment="1">
      <alignment horizontal="center"/>
    </xf>
    <xf numFmtId="0" fontId="0" fillId="0" borderId="0" xfId="0" applyBorder="1" applyAlignment="1">
      <alignment horizontal="center"/>
    </xf>
    <xf numFmtId="2" fontId="0" fillId="0" borderId="13" xfId="0" applyNumberFormat="1" applyFill="1" applyBorder="1" applyAlignment="1">
      <alignment horizontal="center"/>
    </xf>
    <xf numFmtId="1" fontId="0" fillId="0" borderId="11" xfId="0" applyNumberFormat="1" applyBorder="1" applyAlignment="1"/>
    <xf numFmtId="1" fontId="5" fillId="0" borderId="0" xfId="0" applyNumberFormat="1" applyFont="1" applyBorder="1" applyAlignment="1">
      <alignment horizontal="center"/>
    </xf>
    <xf numFmtId="3" fontId="0" fillId="0" borderId="21" xfId="0" applyNumberFormat="1" applyBorder="1" applyAlignment="1">
      <alignment horizontal="center"/>
    </xf>
    <xf numFmtId="1" fontId="0" fillId="0" borderId="21" xfId="0" applyNumberFormat="1" applyBorder="1" applyAlignment="1">
      <alignment horizontal="center"/>
    </xf>
    <xf numFmtId="2" fontId="0" fillId="0" borderId="25" xfId="0" applyNumberFormat="1" applyFill="1" applyBorder="1" applyAlignment="1">
      <alignment horizontal="center"/>
    </xf>
    <xf numFmtId="3" fontId="0" fillId="3" borderId="21" xfId="0" applyNumberFormat="1" applyFill="1" applyBorder="1" applyAlignment="1">
      <alignment horizontal="center"/>
    </xf>
    <xf numFmtId="4" fontId="0" fillId="0" borderId="21" xfId="0" applyNumberFormat="1" applyFill="1" applyBorder="1" applyAlignment="1">
      <alignment horizontal="center"/>
    </xf>
    <xf numFmtId="2" fontId="8" fillId="0" borderId="0" xfId="0" applyNumberFormat="1" applyFont="1" applyBorder="1" applyAlignment="1">
      <alignment horizontal="center"/>
    </xf>
    <xf numFmtId="2" fontId="8" fillId="0" borderId="6" xfId="0" applyNumberFormat="1" applyFont="1" applyBorder="1" applyAlignment="1">
      <alignment horizontal="center"/>
    </xf>
    <xf numFmtId="2" fontId="0" fillId="0" borderId="11" xfId="0" applyNumberFormat="1" applyBorder="1" applyAlignment="1"/>
    <xf numFmtId="4" fontId="1" fillId="0" borderId="13" xfId="0" applyNumberFormat="1" applyFont="1" applyBorder="1" applyAlignment="1">
      <alignment horizontal="center"/>
    </xf>
    <xf numFmtId="4" fontId="0" fillId="0" borderId="13" xfId="0" applyNumberFormat="1" applyFill="1" applyBorder="1" applyAlignment="1">
      <alignment horizontal="center"/>
    </xf>
    <xf numFmtId="4" fontId="0" fillId="0" borderId="13" xfId="0" applyNumberFormat="1" applyBorder="1" applyAlignment="1">
      <alignment horizontal="center"/>
    </xf>
    <xf numFmtId="4" fontId="0" fillId="0" borderId="25" xfId="0" applyNumberFormat="1" applyBorder="1" applyAlignment="1">
      <alignment horizontal="center"/>
    </xf>
    <xf numFmtId="4" fontId="0" fillId="0" borderId="21" xfId="0" applyNumberFormat="1" applyBorder="1" applyAlignment="1">
      <alignment horizontal="center"/>
    </xf>
    <xf numFmtId="2" fontId="0" fillId="3" borderId="13" xfId="0" applyNumberFormat="1" applyFill="1" applyBorder="1" applyAlignment="1">
      <alignment horizontal="center"/>
    </xf>
    <xf numFmtId="2" fontId="1" fillId="3" borderId="21" xfId="0" applyNumberFormat="1" applyFont="1" applyFill="1" applyBorder="1" applyAlignment="1">
      <alignment horizontal="center"/>
    </xf>
    <xf numFmtId="4" fontId="1" fillId="0" borderId="13" xfId="0" applyNumberFormat="1" applyFont="1" applyFill="1" applyBorder="1" applyAlignment="1">
      <alignment horizontal="center"/>
    </xf>
    <xf numFmtId="4" fontId="1" fillId="0" borderId="25" xfId="0" applyNumberFormat="1" applyFont="1" applyBorder="1" applyAlignment="1">
      <alignment horizontal="center"/>
    </xf>
    <xf numFmtId="1" fontId="0" fillId="0" borderId="21" xfId="0" applyNumberFormat="1" applyBorder="1" applyAlignment="1"/>
    <xf numFmtId="2" fontId="0" fillId="0" borderId="21" xfId="0" applyNumberFormat="1" applyBorder="1" applyAlignment="1">
      <alignment horizontal="center"/>
    </xf>
    <xf numFmtId="4" fontId="0" fillId="3" borderId="13" xfId="0" applyNumberFormat="1" applyFill="1" applyBorder="1" applyAlignment="1">
      <alignment horizontal="center"/>
    </xf>
    <xf numFmtId="2" fontId="1" fillId="3" borderId="13" xfId="0" applyNumberFormat="1" applyFont="1" applyFill="1" applyBorder="1" applyAlignment="1">
      <alignment horizontal="center"/>
    </xf>
    <xf numFmtId="3" fontId="5" fillId="0" borderId="25" xfId="1" applyNumberFormat="1" applyFont="1" applyBorder="1" applyAlignment="1">
      <alignment horizontal="center" vertical="center"/>
    </xf>
    <xf numFmtId="3" fontId="0" fillId="0" borderId="13" xfId="0" applyNumberFormat="1" applyBorder="1" applyAlignment="1">
      <alignment horizontal="center"/>
    </xf>
    <xf numFmtId="170" fontId="0" fillId="0" borderId="13" xfId="0" applyNumberFormat="1" applyBorder="1" applyAlignment="1">
      <alignment horizontal="center"/>
    </xf>
    <xf numFmtId="2" fontId="0" fillId="0" borderId="11" xfId="0" applyNumberFormat="1" applyFill="1" applyBorder="1" applyAlignment="1">
      <alignment horizontal="center"/>
    </xf>
    <xf numFmtId="2" fontId="1" fillId="0" borderId="25" xfId="0" applyNumberFormat="1" applyFont="1" applyFill="1" applyBorder="1" applyAlignment="1">
      <alignment horizontal="center"/>
    </xf>
    <xf numFmtId="2" fontId="1" fillId="0" borderId="11" xfId="0" applyNumberFormat="1" applyFont="1" applyFill="1" applyBorder="1" applyAlignment="1">
      <alignment horizontal="center"/>
    </xf>
    <xf numFmtId="166" fontId="0" fillId="0" borderId="13" xfId="0" applyNumberFormat="1" applyBorder="1" applyAlignment="1">
      <alignment horizontal="center"/>
    </xf>
    <xf numFmtId="4" fontId="0" fillId="0" borderId="7" xfId="0" applyNumberFormat="1" applyFill="1" applyBorder="1" applyAlignment="1">
      <alignment horizontal="center"/>
    </xf>
    <xf numFmtId="4" fontId="1" fillId="0" borderId="7" xfId="0" applyNumberFormat="1" applyFont="1" applyFill="1" applyBorder="1" applyAlignment="1">
      <alignment horizontal="center"/>
    </xf>
    <xf numFmtId="165" fontId="1" fillId="0" borderId="6" xfId="0" applyNumberFormat="1" applyFont="1" applyBorder="1" applyAlignment="1">
      <alignment horizontal="center"/>
    </xf>
    <xf numFmtId="171" fontId="0" fillId="0" borderId="13" xfId="0" applyNumberFormat="1" applyBorder="1" applyAlignment="1">
      <alignment horizontal="center"/>
    </xf>
    <xf numFmtId="2" fontId="0" fillId="0" borderId="25" xfId="0" applyNumberFormat="1" applyBorder="1" applyAlignment="1">
      <alignment horizontal="center"/>
    </xf>
    <xf numFmtId="2" fontId="0" fillId="0" borderId="26" xfId="0" applyNumberFormat="1" applyBorder="1" applyAlignment="1">
      <alignment horizontal="center"/>
    </xf>
    <xf numFmtId="2" fontId="0" fillId="0" borderId="2" xfId="0" applyNumberFormat="1" applyBorder="1" applyAlignment="1">
      <alignment horizontal="center"/>
    </xf>
    <xf numFmtId="0" fontId="8" fillId="0" borderId="6" xfId="0" applyFont="1" applyBorder="1"/>
    <xf numFmtId="0" fontId="8" fillId="3" borderId="6" xfId="0" applyFont="1" applyFill="1" applyBorder="1"/>
    <xf numFmtId="0" fontId="3" fillId="0" borderId="6" xfId="0" applyFont="1" applyBorder="1" applyAlignment="1">
      <alignment horizontal="right"/>
    </xf>
    <xf numFmtId="0" fontId="0" fillId="3" borderId="6" xfId="0" applyFill="1" applyBorder="1"/>
    <xf numFmtId="0" fontId="4" fillId="0" borderId="6" xfId="0" applyFont="1" applyFill="1" applyBorder="1" applyAlignment="1">
      <alignment horizontal="right"/>
    </xf>
    <xf numFmtId="3" fontId="5" fillId="0" borderId="2" xfId="0" applyNumberFormat="1" applyFont="1" applyBorder="1" applyAlignment="1">
      <alignment horizontal="center"/>
    </xf>
    <xf numFmtId="165" fontId="5" fillId="0" borderId="32" xfId="2" applyNumberFormat="1" applyFont="1" applyFill="1" applyBorder="1" applyAlignment="1">
      <alignment horizontal="center"/>
    </xf>
    <xf numFmtId="3" fontId="1" fillId="3" borderId="13" xfId="0" applyNumberFormat="1" applyFont="1" applyFill="1" applyBorder="1" applyAlignment="1">
      <alignment horizontal="center"/>
    </xf>
    <xf numFmtId="3" fontId="1" fillId="0" borderId="13" xfId="0" applyNumberFormat="1" applyFont="1" applyFill="1" applyBorder="1" applyAlignment="1">
      <alignment horizontal="center"/>
    </xf>
    <xf numFmtId="3" fontId="5" fillId="0" borderId="11" xfId="0" applyNumberFormat="1" applyFont="1" applyBorder="1" applyAlignment="1">
      <alignment horizontal="center"/>
    </xf>
    <xf numFmtId="3" fontId="5" fillId="0" borderId="25" xfId="0" applyNumberFormat="1" applyFont="1" applyBorder="1" applyAlignment="1">
      <alignment horizontal="center"/>
    </xf>
    <xf numFmtId="3" fontId="0" fillId="0" borderId="13" xfId="0" applyNumberFormat="1" applyBorder="1" applyAlignment="1">
      <alignment horizontal="center"/>
    </xf>
    <xf numFmtId="3" fontId="0" fillId="0" borderId="13" xfId="0" applyNumberFormat="1" applyFill="1" applyBorder="1" applyAlignment="1">
      <alignment horizontal="center"/>
    </xf>
    <xf numFmtId="3" fontId="0" fillId="3" borderId="13" xfId="0" applyNumberFormat="1" applyFill="1" applyBorder="1" applyAlignment="1">
      <alignment horizontal="center"/>
    </xf>
    <xf numFmtId="165" fontId="5" fillId="0" borderId="25" xfId="2" applyNumberFormat="1" applyFont="1" applyBorder="1" applyAlignment="1">
      <alignment horizontal="center"/>
    </xf>
    <xf numFmtId="165" fontId="14" fillId="6" borderId="9" xfId="0" applyNumberFormat="1" applyFont="1" applyFill="1" applyBorder="1" applyAlignment="1">
      <alignment horizontal="center"/>
    </xf>
    <xf numFmtId="165" fontId="14" fillId="6" borderId="12" xfId="0" applyNumberFormat="1" applyFont="1" applyFill="1" applyBorder="1" applyAlignment="1">
      <alignment horizontal="center"/>
    </xf>
    <xf numFmtId="0" fontId="1" fillId="0" borderId="0" xfId="0" applyFont="1" applyBorder="1" applyAlignment="1">
      <alignment horizontal="center"/>
    </xf>
    <xf numFmtId="3" fontId="1" fillId="0" borderId="13" xfId="0" applyNumberFormat="1" applyFont="1" applyFill="1" applyBorder="1" applyAlignment="1">
      <alignment horizontal="center"/>
    </xf>
    <xf numFmtId="3" fontId="5" fillId="0" borderId="11" xfId="0" applyNumberFormat="1" applyFont="1" applyBorder="1" applyAlignment="1">
      <alignment horizontal="center"/>
    </xf>
    <xf numFmtId="0" fontId="8" fillId="0" borderId="0" xfId="0" applyFont="1" applyBorder="1" applyAlignment="1">
      <alignment horizontal="center"/>
    </xf>
    <xf numFmtId="1" fontId="8" fillId="0" borderId="0" xfId="0" applyNumberFormat="1" applyFont="1" applyBorder="1" applyAlignment="1">
      <alignment horizontal="center"/>
    </xf>
    <xf numFmtId="0" fontId="8" fillId="0" borderId="14" xfId="0"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0" fontId="8" fillId="0" borderId="31" xfId="0" applyFont="1" applyBorder="1" applyAlignment="1">
      <alignment horizontal="center"/>
    </xf>
    <xf numFmtId="1" fontId="8" fillId="0" borderId="25" xfId="0" applyNumberFormat="1" applyFont="1" applyBorder="1" applyAlignment="1"/>
    <xf numFmtId="0" fontId="8" fillId="0" borderId="3" xfId="0" applyFont="1" applyBorder="1" applyAlignment="1"/>
    <xf numFmtId="3" fontId="5" fillId="0" borderId="25" xfId="0" applyNumberFormat="1" applyFont="1" applyBorder="1" applyAlignment="1">
      <alignment horizontal="center"/>
    </xf>
    <xf numFmtId="3" fontId="1" fillId="3" borderId="13" xfId="0" applyNumberFormat="1" applyFont="1" applyFill="1" applyBorder="1" applyAlignment="1">
      <alignment horizontal="center"/>
    </xf>
    <xf numFmtId="0" fontId="0" fillId="0" borderId="0" xfId="0" applyBorder="1" applyAlignment="1">
      <alignment horizontal="center"/>
    </xf>
    <xf numFmtId="3" fontId="0" fillId="0" borderId="13" xfId="0" applyNumberFormat="1" applyFill="1" applyBorder="1" applyAlignment="1">
      <alignment horizontal="center"/>
    </xf>
    <xf numFmtId="3" fontId="0" fillId="0" borderId="13" xfId="0" applyNumberFormat="1" applyBorder="1" applyAlignment="1">
      <alignment horizontal="center"/>
    </xf>
    <xf numFmtId="1" fontId="0" fillId="0" borderId="25" xfId="0" applyNumberFormat="1" applyBorder="1" applyAlignment="1"/>
    <xf numFmtId="3" fontId="0" fillId="3" borderId="13" xfId="0" applyNumberFormat="1" applyFill="1" applyBorder="1" applyAlignment="1">
      <alignment horizontal="center"/>
    </xf>
    <xf numFmtId="0" fontId="0" fillId="0" borderId="11" xfId="0" applyBorder="1" applyAlignment="1"/>
    <xf numFmtId="3" fontId="0" fillId="0" borderId="10" xfId="0" applyNumberFormat="1" applyBorder="1" applyAlignment="1"/>
    <xf numFmtId="3" fontId="0" fillId="0" borderId="11" xfId="0" applyNumberFormat="1" applyBorder="1" applyAlignment="1"/>
    <xf numFmtId="1" fontId="0" fillId="0" borderId="11" xfId="0" applyNumberFormat="1" applyBorder="1" applyAlignment="1"/>
    <xf numFmtId="0" fontId="1" fillId="0" borderId="10" xfId="0" applyFont="1" applyBorder="1" applyAlignment="1"/>
    <xf numFmtId="0" fontId="1" fillId="0" borderId="12" xfId="0" applyFont="1" applyBorder="1" applyAlignment="1"/>
    <xf numFmtId="0" fontId="0" fillId="0" borderId="6" xfId="0" applyBorder="1" applyAlignment="1">
      <alignment horizontal="center"/>
    </xf>
    <xf numFmtId="0" fontId="0" fillId="0" borderId="10" xfId="0" applyBorder="1" applyAlignment="1"/>
    <xf numFmtId="0" fontId="0" fillId="0" borderId="12" xfId="0" applyBorder="1" applyAlignment="1"/>
    <xf numFmtId="1" fontId="5" fillId="0" borderId="0" xfId="0" applyNumberFormat="1" applyFont="1" applyBorder="1" applyAlignment="1">
      <alignment horizontal="center"/>
    </xf>
    <xf numFmtId="3" fontId="5" fillId="0" borderId="0" xfId="0" applyNumberFormat="1" applyFont="1" applyBorder="1" applyAlignment="1">
      <alignment horizontal="center"/>
    </xf>
    <xf numFmtId="2" fontId="8" fillId="0" borderId="0" xfId="0" applyNumberFormat="1" applyFont="1" applyBorder="1" applyAlignment="1">
      <alignment horizontal="center"/>
    </xf>
    <xf numFmtId="2" fontId="8" fillId="0" borderId="6" xfId="0" applyNumberFormat="1" applyFont="1" applyBorder="1" applyAlignment="1">
      <alignment horizontal="center"/>
    </xf>
    <xf numFmtId="2" fontId="0" fillId="0" borderId="25" xfId="0" applyNumberFormat="1" applyBorder="1" applyAlignment="1"/>
    <xf numFmtId="0" fontId="0" fillId="0" borderId="27" xfId="0" applyBorder="1" applyAlignment="1"/>
    <xf numFmtId="2" fontId="0" fillId="0" borderId="10" xfId="0" applyNumberFormat="1" applyBorder="1" applyAlignment="1"/>
    <xf numFmtId="2" fontId="0" fillId="0" borderId="11" xfId="0" applyNumberFormat="1" applyBorder="1" applyAlignment="1"/>
    <xf numFmtId="2" fontId="0" fillId="0" borderId="9" xfId="0" applyNumberFormat="1" applyBorder="1" applyAlignment="1"/>
    <xf numFmtId="3" fontId="8" fillId="0" borderId="0" xfId="0" applyNumberFormat="1" applyFont="1" applyBorder="1" applyAlignment="1">
      <alignment horizontal="center"/>
    </xf>
    <xf numFmtId="3" fontId="8" fillId="0" borderId="6" xfId="0" applyNumberFormat="1" applyFont="1" applyBorder="1" applyAlignment="1">
      <alignment horizontal="center"/>
    </xf>
    <xf numFmtId="3" fontId="1" fillId="0" borderId="25" xfId="0" applyNumberFormat="1" applyFont="1" applyBorder="1" applyAlignment="1"/>
    <xf numFmtId="0" fontId="0" fillId="0" borderId="2" xfId="0" applyBorder="1" applyAlignment="1">
      <alignment horizontal="center"/>
    </xf>
    <xf numFmtId="1" fontId="0" fillId="0" borderId="21" xfId="0" applyNumberFormat="1" applyBorder="1" applyAlignment="1"/>
    <xf numFmtId="165" fontId="5" fillId="0" borderId="25" xfId="2" applyNumberFormat="1" applyFont="1" applyBorder="1" applyAlignment="1">
      <alignment horizontal="center"/>
    </xf>
    <xf numFmtId="1" fontId="1" fillId="0" borderId="11" xfId="0" applyNumberFormat="1" applyFont="1" applyFill="1" applyBorder="1" applyAlignment="1">
      <alignment horizontal="center"/>
    </xf>
    <xf numFmtId="0" fontId="1" fillId="0" borderId="0" xfId="0" applyFont="1" applyBorder="1" applyAlignment="1">
      <alignment horizontal="center" wrapText="1"/>
    </xf>
    <xf numFmtId="0" fontId="8" fillId="0" borderId="2" xfId="0" applyFont="1" applyBorder="1" applyAlignment="1"/>
    <xf numFmtId="2" fontId="0" fillId="0" borderId="8" xfId="0" applyNumberFormat="1" applyBorder="1" applyAlignment="1"/>
    <xf numFmtId="1" fontId="5" fillId="0" borderId="25" xfId="2" applyNumberFormat="1" applyFont="1" applyBorder="1" applyAlignment="1">
      <alignment horizontal="center"/>
    </xf>
    <xf numFmtId="0" fontId="4" fillId="12" borderId="27" xfId="0" applyFont="1" applyFill="1" applyBorder="1"/>
    <xf numFmtId="0" fontId="4" fillId="12" borderId="15" xfId="0" applyFont="1" applyFill="1" applyBorder="1"/>
    <xf numFmtId="3" fontId="8" fillId="12" borderId="8" xfId="0" applyNumberFormat="1" applyFont="1" applyFill="1" applyBorder="1" applyAlignment="1">
      <alignment horizontal="center"/>
    </xf>
    <xf numFmtId="0" fontId="1" fillId="0" borderId="4" xfId="3" applyFont="1" applyBorder="1"/>
    <xf numFmtId="3" fontId="25" fillId="0" borderId="13" xfId="3" applyNumberFormat="1" applyBorder="1" applyAlignment="1">
      <alignment horizontal="center"/>
    </xf>
    <xf numFmtId="165" fontId="1" fillId="3" borderId="7" xfId="3" applyNumberFormat="1" applyFont="1" applyFill="1" applyBorder="1" applyAlignment="1">
      <alignment horizontal="center"/>
    </xf>
    <xf numFmtId="165" fontId="1" fillId="0" borderId="7" xfId="3" applyNumberFormat="1" applyFont="1" applyFill="1" applyBorder="1" applyAlignment="1">
      <alignment horizontal="center"/>
    </xf>
    <xf numFmtId="165" fontId="1" fillId="0" borderId="7" xfId="3" applyNumberFormat="1" applyFont="1" applyBorder="1" applyAlignment="1">
      <alignment horizontal="center"/>
    </xf>
    <xf numFmtId="165" fontId="1" fillId="0" borderId="0" xfId="3" applyNumberFormat="1" applyFont="1" applyFill="1" applyBorder="1" applyAlignment="1">
      <alignment horizontal="center"/>
    </xf>
    <xf numFmtId="0" fontId="25" fillId="0" borderId="0" xfId="3"/>
    <xf numFmtId="3" fontId="25" fillId="0" borderId="13" xfId="3" applyNumberFormat="1" applyFill="1" applyBorder="1" applyAlignment="1">
      <alignment horizontal="center"/>
    </xf>
    <xf numFmtId="0" fontId="1" fillId="0" borderId="4" xfId="3" applyFont="1" applyFill="1" applyBorder="1"/>
    <xf numFmtId="3" fontId="1" fillId="0" borderId="13" xfId="3" applyNumberFormat="1" applyFont="1" applyFill="1" applyBorder="1" applyAlignment="1">
      <alignment horizontal="center"/>
    </xf>
    <xf numFmtId="0" fontId="1" fillId="3" borderId="4" xfId="3" applyFont="1" applyFill="1" applyBorder="1"/>
    <xf numFmtId="0" fontId="7" fillId="0" borderId="15" xfId="3" applyFont="1" applyFill="1" applyBorder="1" applyAlignment="1">
      <alignment horizontal="right"/>
    </xf>
    <xf numFmtId="3" fontId="5" fillId="0" borderId="25" xfId="3" applyNumberFormat="1" applyFont="1" applyBorder="1" applyAlignment="1">
      <alignment horizontal="center"/>
    </xf>
    <xf numFmtId="165" fontId="5" fillId="0" borderId="25" xfId="4" applyNumberFormat="1" applyFont="1" applyBorder="1" applyAlignment="1">
      <alignment horizontal="center"/>
    </xf>
    <xf numFmtId="0" fontId="25" fillId="0" borderId="0" xfId="3" applyBorder="1"/>
    <xf numFmtId="0" fontId="25" fillId="0" borderId="4" xfId="3" applyBorder="1"/>
    <xf numFmtId="0" fontId="25" fillId="3" borderId="0" xfId="3" applyFill="1"/>
    <xf numFmtId="3" fontId="25" fillId="3" borderId="13" xfId="3" applyNumberFormat="1" applyFill="1" applyBorder="1" applyAlignment="1">
      <alignment horizontal="center"/>
    </xf>
    <xf numFmtId="3" fontId="1" fillId="3" borderId="13" xfId="3" applyNumberFormat="1" applyFont="1" applyFill="1" applyBorder="1" applyAlignment="1">
      <alignment horizontal="center"/>
    </xf>
    <xf numFmtId="0" fontId="1" fillId="0" borderId="16" xfId="3" applyFont="1" applyFill="1" applyBorder="1"/>
    <xf numFmtId="3" fontId="1" fillId="0" borderId="13" xfId="0" applyNumberFormat="1" applyFont="1" applyFill="1" applyBorder="1" applyAlignment="1">
      <alignment horizontal="center"/>
    </xf>
    <xf numFmtId="0" fontId="8" fillId="0" borderId="6" xfId="0" applyFont="1" applyBorder="1" applyAlignment="1">
      <alignment horizontal="center"/>
    </xf>
    <xf numFmtId="0" fontId="8" fillId="0" borderId="31" xfId="0" applyFont="1" applyBorder="1" applyAlignment="1">
      <alignment horizontal="center"/>
    </xf>
    <xf numFmtId="3" fontId="25" fillId="0" borderId="13" xfId="3" applyNumberFormat="1" applyBorder="1" applyAlignment="1">
      <alignment horizontal="center"/>
    </xf>
    <xf numFmtId="3" fontId="25" fillId="0" borderId="13" xfId="3" applyNumberFormat="1" applyFill="1" applyBorder="1" applyAlignment="1">
      <alignment horizontal="center"/>
    </xf>
    <xf numFmtId="3" fontId="1" fillId="0" borderId="13" xfId="3" applyNumberFormat="1" applyFont="1" applyFill="1" applyBorder="1" applyAlignment="1">
      <alignment horizontal="center"/>
    </xf>
    <xf numFmtId="3" fontId="5" fillId="0" borderId="25" xfId="3" applyNumberFormat="1" applyFont="1" applyBorder="1" applyAlignment="1">
      <alignment horizontal="center"/>
    </xf>
    <xf numFmtId="3" fontId="25" fillId="3" borderId="13" xfId="3" applyNumberFormat="1" applyFill="1" applyBorder="1" applyAlignment="1">
      <alignment horizontal="center"/>
    </xf>
    <xf numFmtId="3" fontId="1" fillId="3" borderId="13" xfId="3" applyNumberFormat="1" applyFont="1" applyFill="1" applyBorder="1" applyAlignment="1">
      <alignment horizontal="center"/>
    </xf>
    <xf numFmtId="3" fontId="0" fillId="0" borderId="13" xfId="0" applyNumberFormat="1" applyFill="1" applyBorder="1" applyAlignment="1">
      <alignment horizontal="center"/>
    </xf>
    <xf numFmtId="0" fontId="0" fillId="0" borderId="0" xfId="0" applyBorder="1" applyAlignment="1">
      <alignment horizontal="center"/>
    </xf>
    <xf numFmtId="3" fontId="5" fillId="0" borderId="0" xfId="0" applyNumberFormat="1" applyFont="1" applyBorder="1" applyAlignment="1">
      <alignment horizontal="center"/>
    </xf>
    <xf numFmtId="1" fontId="0" fillId="0" borderId="13" xfId="0" applyNumberFormat="1" applyFill="1" applyBorder="1" applyAlignment="1">
      <alignment horizontal="center"/>
    </xf>
    <xf numFmtId="3" fontId="0" fillId="0" borderId="25" xfId="0" applyNumberFormat="1" applyBorder="1" applyAlignment="1"/>
    <xf numFmtId="3" fontId="8" fillId="0" borderId="0" xfId="0" applyNumberFormat="1" applyFont="1" applyBorder="1" applyAlignment="1">
      <alignment horizontal="center"/>
    </xf>
    <xf numFmtId="3" fontId="8" fillId="0" borderId="6" xfId="0" applyNumberFormat="1" applyFont="1" applyBorder="1" applyAlignment="1">
      <alignment horizontal="center"/>
    </xf>
    <xf numFmtId="1" fontId="5" fillId="0" borderId="25" xfId="0" applyNumberFormat="1" applyFont="1" applyBorder="1" applyAlignment="1">
      <alignment horizontal="center"/>
    </xf>
    <xf numFmtId="4" fontId="0" fillId="0" borderId="13" xfId="0" applyNumberFormat="1" applyBorder="1" applyAlignment="1">
      <alignment horizontal="center"/>
    </xf>
    <xf numFmtId="0" fontId="25" fillId="0" borderId="0" xfId="3" applyFill="1"/>
    <xf numFmtId="165" fontId="1" fillId="0" borderId="13" xfId="3" applyNumberFormat="1" applyFont="1" applyFill="1" applyBorder="1" applyAlignment="1">
      <alignment horizontal="center"/>
    </xf>
    <xf numFmtId="165" fontId="1" fillId="0" borderId="7" xfId="4" applyNumberFormat="1" applyFont="1" applyFill="1" applyBorder="1" applyAlignment="1">
      <alignment horizontal="center"/>
    </xf>
    <xf numFmtId="3" fontId="5" fillId="0" borderId="25" xfId="3" applyNumberFormat="1" applyFont="1" applyFill="1" applyBorder="1" applyAlignment="1">
      <alignment horizontal="center"/>
    </xf>
    <xf numFmtId="165" fontId="5" fillId="0" borderId="25" xfId="4" applyNumberFormat="1" applyFont="1" applyFill="1" applyBorder="1" applyAlignment="1">
      <alignment horizontal="center"/>
    </xf>
    <xf numFmtId="1" fontId="0" fillId="12" borderId="0" xfId="0" applyNumberFormat="1" applyFill="1" applyBorder="1" applyAlignment="1">
      <alignment horizontal="right"/>
    </xf>
    <xf numFmtId="0" fontId="0" fillId="12" borderId="2" xfId="0" applyFill="1" applyBorder="1"/>
    <xf numFmtId="0" fontId="0" fillId="12" borderId="0" xfId="0" applyFill="1" applyBorder="1"/>
    <xf numFmtId="0" fontId="6" fillId="12" borderId="0" xfId="0" applyFont="1" applyFill="1" applyBorder="1"/>
    <xf numFmtId="0" fontId="0" fillId="12" borderId="5" xfId="0" applyFill="1" applyBorder="1"/>
    <xf numFmtId="0" fontId="0" fillId="12" borderId="6" xfId="0" applyFill="1" applyBorder="1"/>
    <xf numFmtId="0" fontId="0" fillId="12" borderId="19" xfId="0" applyFill="1" applyBorder="1"/>
    <xf numFmtId="1" fontId="0" fillId="12" borderId="1" xfId="0" applyNumberFormat="1" applyFill="1" applyBorder="1" applyAlignment="1">
      <alignment horizontal="right"/>
    </xf>
    <xf numFmtId="1" fontId="0" fillId="12" borderId="2" xfId="0" applyNumberFormat="1" applyFill="1" applyBorder="1" applyAlignment="1">
      <alignment horizontal="right"/>
    </xf>
    <xf numFmtId="0" fontId="0" fillId="12" borderId="3" xfId="0" applyFill="1" applyBorder="1"/>
    <xf numFmtId="1" fontId="0" fillId="12" borderId="4" xfId="0" applyNumberFormat="1" applyFill="1" applyBorder="1" applyAlignment="1">
      <alignment horizontal="right"/>
    </xf>
    <xf numFmtId="1" fontId="0" fillId="12" borderId="20" xfId="0" applyNumberFormat="1" applyFill="1" applyBorder="1" applyAlignment="1">
      <alignment horizontal="right"/>
    </xf>
    <xf numFmtId="0" fontId="0" fillId="12" borderId="20" xfId="0" applyFill="1" applyBorder="1"/>
    <xf numFmtId="1" fontId="0" fillId="12" borderId="5" xfId="0" applyNumberFormat="1" applyFill="1" applyBorder="1" applyAlignment="1">
      <alignment horizontal="right"/>
    </xf>
    <xf numFmtId="1" fontId="0" fillId="12" borderId="6" xfId="0" applyNumberFormat="1" applyFill="1" applyBorder="1" applyAlignment="1">
      <alignment horizontal="right"/>
    </xf>
    <xf numFmtId="1" fontId="5" fillId="0" borderId="7" xfId="0" applyNumberFormat="1" applyFont="1" applyBorder="1" applyAlignment="1">
      <alignment horizontal="center"/>
    </xf>
    <xf numFmtId="1" fontId="0" fillId="12" borderId="3" xfId="0" applyNumberFormat="1" applyFill="1" applyBorder="1" applyAlignment="1">
      <alignment horizontal="right"/>
    </xf>
    <xf numFmtId="1" fontId="0" fillId="12" borderId="19" xfId="0" applyNumberFormat="1" applyFill="1" applyBorder="1" applyAlignment="1">
      <alignment horizontal="right"/>
    </xf>
    <xf numFmtId="1" fontId="0" fillId="12" borderId="9" xfId="0" applyNumberFormat="1" applyFill="1" applyBorder="1" applyAlignment="1">
      <alignment horizontal="right"/>
    </xf>
    <xf numFmtId="1" fontId="0" fillId="12" borderId="27" xfId="0" applyNumberFormat="1" applyFill="1" applyBorder="1" applyAlignment="1">
      <alignment horizontal="right"/>
    </xf>
    <xf numFmtId="1" fontId="0" fillId="12" borderId="12" xfId="0" applyNumberFormat="1" applyFill="1" applyBorder="1" applyAlignment="1">
      <alignment horizontal="right"/>
    </xf>
    <xf numFmtId="3" fontId="1" fillId="3" borderId="13" xfId="0" applyNumberFormat="1" applyFont="1" applyFill="1" applyBorder="1" applyAlignment="1">
      <alignment horizontal="center"/>
    </xf>
    <xf numFmtId="3" fontId="8" fillId="12" borderId="9" xfId="0" applyNumberFormat="1" applyFont="1" applyFill="1" applyBorder="1" applyAlignment="1">
      <alignment horizontal="center"/>
    </xf>
    <xf numFmtId="3" fontId="1" fillId="0" borderId="13" xfId="0" applyNumberFormat="1" applyFont="1" applyFill="1" applyBorder="1" applyAlignment="1">
      <alignment horizontal="center"/>
    </xf>
    <xf numFmtId="1" fontId="8" fillId="0" borderId="0" xfId="0" applyNumberFormat="1"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3" fontId="5" fillId="0" borderId="11" xfId="0" applyNumberFormat="1" applyFont="1" applyBorder="1" applyAlignment="1">
      <alignment horizontal="center"/>
    </xf>
    <xf numFmtId="0" fontId="8" fillId="0" borderId="14" xfId="0" applyFont="1" applyBorder="1" applyAlignment="1">
      <alignment horizontal="center"/>
    </xf>
    <xf numFmtId="0" fontId="8" fillId="0" borderId="31" xfId="0" applyFont="1" applyBorder="1" applyAlignment="1">
      <alignment horizontal="center"/>
    </xf>
    <xf numFmtId="3" fontId="5" fillId="0" borderId="25" xfId="0" applyNumberFormat="1" applyFont="1" applyBorder="1" applyAlignment="1">
      <alignment horizontal="center"/>
    </xf>
    <xf numFmtId="3" fontId="0" fillId="0" borderId="13" xfId="0" applyNumberFormat="1" applyBorder="1" applyAlignment="1">
      <alignment horizontal="center"/>
    </xf>
    <xf numFmtId="3" fontId="0" fillId="0" borderId="13" xfId="0" applyNumberFormat="1" applyFill="1" applyBorder="1" applyAlignment="1">
      <alignment horizontal="center"/>
    </xf>
    <xf numFmtId="0" fontId="0" fillId="0" borderId="0" xfId="0" applyBorder="1" applyAlignment="1">
      <alignment horizontal="center"/>
    </xf>
    <xf numFmtId="1" fontId="0" fillId="0" borderId="11" xfId="0" applyNumberFormat="1" applyBorder="1" applyAlignment="1"/>
    <xf numFmtId="3" fontId="5" fillId="0" borderId="0" xfId="0" applyNumberFormat="1" applyFont="1" applyBorder="1" applyAlignment="1">
      <alignment horizontal="center"/>
    </xf>
    <xf numFmtId="1" fontId="5" fillId="0" borderId="0" xfId="0" applyNumberFormat="1" applyFont="1" applyBorder="1" applyAlignment="1">
      <alignment horizontal="center"/>
    </xf>
    <xf numFmtId="0" fontId="0" fillId="0" borderId="6" xfId="0" applyBorder="1" applyAlignment="1">
      <alignment horizontal="center"/>
    </xf>
    <xf numFmtId="3" fontId="0" fillId="3" borderId="13" xfId="0" applyNumberFormat="1" applyFill="1" applyBorder="1" applyAlignment="1">
      <alignment horizontal="center"/>
    </xf>
    <xf numFmtId="0" fontId="0" fillId="0" borderId="2" xfId="0" applyBorder="1" applyAlignment="1">
      <alignment horizontal="center"/>
    </xf>
    <xf numFmtId="165" fontId="5" fillId="0" borderId="25" xfId="2" applyNumberFormat="1" applyFont="1" applyBorder="1" applyAlignment="1">
      <alignment horizontal="center"/>
    </xf>
    <xf numFmtId="165" fontId="14" fillId="12" borderId="9" xfId="0" applyNumberFormat="1" applyFont="1" applyFill="1" applyBorder="1" applyAlignment="1">
      <alignment horizontal="center"/>
    </xf>
    <xf numFmtId="165" fontId="14" fillId="12" borderId="12" xfId="0" applyNumberFormat="1" applyFont="1" applyFill="1" applyBorder="1" applyAlignment="1">
      <alignment horizontal="center"/>
    </xf>
    <xf numFmtId="1" fontId="1" fillId="0" borderId="11" xfId="0" applyNumberFormat="1" applyFont="1" applyFill="1" applyBorder="1" applyAlignment="1">
      <alignment horizontal="center"/>
    </xf>
    <xf numFmtId="0" fontId="8" fillId="0" borderId="13" xfId="0" applyFont="1" applyBorder="1"/>
    <xf numFmtId="0" fontId="8" fillId="0" borderId="27" xfId="0" applyFont="1" applyBorder="1"/>
    <xf numFmtId="1" fontId="8" fillId="0" borderId="9" xfId="0" applyNumberFormat="1" applyFont="1" applyBorder="1"/>
    <xf numFmtId="0" fontId="8" fillId="0" borderId="12" xfId="0" applyFont="1" applyBorder="1"/>
    <xf numFmtId="1" fontId="1" fillId="12" borderId="0" xfId="0" applyNumberFormat="1" applyFont="1" applyFill="1" applyBorder="1" applyAlignment="1">
      <alignment horizontal="right"/>
    </xf>
    <xf numFmtId="3" fontId="8" fillId="6" borderId="9" xfId="0" applyNumberFormat="1" applyFont="1" applyFill="1" applyBorder="1" applyAlignment="1">
      <alignment horizontal="center"/>
    </xf>
    <xf numFmtId="3" fontId="8" fillId="6" borderId="11" xfId="0" applyNumberFormat="1" applyFont="1" applyFill="1" applyBorder="1" applyAlignment="1">
      <alignment horizontal="center"/>
    </xf>
    <xf numFmtId="3" fontId="8" fillId="6" borderId="27" xfId="0" applyNumberFormat="1" applyFont="1" applyFill="1" applyBorder="1" applyAlignment="1">
      <alignment horizontal="center"/>
    </xf>
    <xf numFmtId="1" fontId="8" fillId="6" borderId="10" xfId="0" applyNumberFormat="1" applyFont="1" applyFill="1" applyBorder="1" applyAlignment="1">
      <alignment horizontal="center"/>
    </xf>
    <xf numFmtId="1" fontId="8" fillId="6" borderId="11" xfId="0" applyNumberFormat="1" applyFont="1" applyFill="1" applyBorder="1" applyAlignment="1">
      <alignment horizontal="center"/>
    </xf>
    <xf numFmtId="164" fontId="14" fillId="6" borderId="10" xfId="0" applyNumberFormat="1" applyFont="1" applyFill="1" applyBorder="1" applyAlignment="1">
      <alignment horizontal="center"/>
    </xf>
    <xf numFmtId="164" fontId="14" fillId="6" borderId="12" xfId="0" applyNumberFormat="1" applyFont="1" applyFill="1" applyBorder="1" applyAlignment="1">
      <alignment horizontal="center"/>
    </xf>
    <xf numFmtId="3" fontId="8" fillId="6" borderId="10" xfId="0" applyNumberFormat="1" applyFont="1" applyFill="1" applyBorder="1" applyAlignment="1">
      <alignment horizontal="center"/>
    </xf>
    <xf numFmtId="164" fontId="14" fillId="6" borderId="9" xfId="0" applyNumberFormat="1" applyFont="1" applyFill="1" applyBorder="1" applyAlignment="1">
      <alignment horizontal="center"/>
    </xf>
    <xf numFmtId="0" fontId="8" fillId="6" borderId="11" xfId="0" applyFont="1" applyFill="1" applyBorder="1" applyAlignment="1">
      <alignment horizontal="center"/>
    </xf>
    <xf numFmtId="4" fontId="8" fillId="6" borderId="10" xfId="0" applyNumberFormat="1" applyFont="1" applyFill="1" applyBorder="1" applyAlignment="1">
      <alignment horizontal="center"/>
    </xf>
    <xf numFmtId="4" fontId="8" fillId="6" borderId="11" xfId="0" applyNumberFormat="1" applyFont="1" applyFill="1" applyBorder="1" applyAlignment="1">
      <alignment horizontal="center"/>
    </xf>
    <xf numFmtId="4" fontId="8" fillId="6" borderId="9" xfId="0" applyNumberFormat="1" applyFont="1" applyFill="1" applyBorder="1" applyAlignment="1">
      <alignment horizontal="center"/>
    </xf>
    <xf numFmtId="164" fontId="8" fillId="6" borderId="10" xfId="0" applyNumberFormat="1" applyFont="1" applyFill="1" applyBorder="1" applyAlignment="1">
      <alignment horizontal="center"/>
    </xf>
    <xf numFmtId="164" fontId="8" fillId="6" borderId="12" xfId="0" applyNumberFormat="1" applyFont="1" applyFill="1" applyBorder="1" applyAlignment="1">
      <alignment horizontal="center"/>
    </xf>
    <xf numFmtId="2" fontId="8" fillId="6" borderId="10" xfId="0" applyNumberFormat="1" applyFont="1" applyFill="1" applyBorder="1" applyAlignment="1">
      <alignment horizontal="center"/>
    </xf>
    <xf numFmtId="2" fontId="8" fillId="6" borderId="11" xfId="0" applyNumberFormat="1" applyFont="1" applyFill="1" applyBorder="1" applyAlignment="1">
      <alignment horizontal="center"/>
    </xf>
    <xf numFmtId="1" fontId="8" fillId="6" borderId="9" xfId="0" applyNumberFormat="1" applyFont="1" applyFill="1" applyBorder="1" applyAlignment="1">
      <alignment horizontal="center"/>
    </xf>
    <xf numFmtId="3" fontId="8" fillId="6" borderId="25" xfId="0" applyNumberFormat="1" applyFont="1" applyFill="1" applyBorder="1" applyAlignment="1">
      <alignment horizontal="center"/>
    </xf>
    <xf numFmtId="3" fontId="8" fillId="6" borderId="2" xfId="0" applyNumberFormat="1" applyFont="1" applyFill="1" applyBorder="1" applyAlignment="1">
      <alignment horizontal="center"/>
    </xf>
    <xf numFmtId="0" fontId="8" fillId="6" borderId="0" xfId="0" applyFont="1" applyFill="1"/>
    <xf numFmtId="165" fontId="14" fillId="6" borderId="10" xfId="0" applyNumberFormat="1" applyFont="1" applyFill="1" applyBorder="1" applyAlignment="1">
      <alignment horizontal="center"/>
    </xf>
    <xf numFmtId="0" fontId="4" fillId="6" borderId="15" xfId="0" applyFont="1" applyFill="1" applyBorder="1" applyAlignment="1">
      <alignment horizontal="right"/>
    </xf>
    <xf numFmtId="3" fontId="4" fillId="6" borderId="11" xfId="0" applyNumberFormat="1" applyFont="1" applyFill="1" applyBorder="1" applyAlignment="1">
      <alignment horizontal="center"/>
    </xf>
    <xf numFmtId="165" fontId="4" fillId="6" borderId="11" xfId="2" applyNumberFormat="1" applyFont="1" applyFill="1" applyBorder="1" applyAlignment="1">
      <alignment horizontal="center"/>
    </xf>
    <xf numFmtId="1" fontId="8" fillId="6" borderId="8" xfId="0" applyNumberFormat="1" applyFont="1" applyFill="1" applyBorder="1"/>
    <xf numFmtId="0" fontId="14" fillId="6" borderId="8" xfId="0" applyFont="1" applyFill="1" applyBorder="1"/>
    <xf numFmtId="0" fontId="0" fillId="6" borderId="0" xfId="0" applyFill="1"/>
    <xf numFmtId="165" fontId="4" fillId="6" borderId="11" xfId="0" applyNumberFormat="1" applyFont="1" applyFill="1" applyBorder="1" applyAlignment="1">
      <alignment horizontal="center"/>
    </xf>
    <xf numFmtId="0" fontId="4" fillId="6" borderId="24" xfId="0" applyFont="1" applyFill="1" applyBorder="1"/>
    <xf numFmtId="0" fontId="4" fillId="6" borderId="24" xfId="0" applyFont="1" applyFill="1" applyBorder="1" applyAlignment="1">
      <alignment horizontal="right"/>
    </xf>
    <xf numFmtId="3" fontId="18" fillId="6" borderId="8" xfId="0" applyNumberFormat="1" applyFont="1" applyFill="1" applyBorder="1" applyAlignment="1">
      <alignment horizontal="center"/>
    </xf>
    <xf numFmtId="3" fontId="18" fillId="6" borderId="9" xfId="0" applyNumberFormat="1" applyFont="1" applyFill="1" applyBorder="1" applyAlignment="1">
      <alignment horizontal="center"/>
    </xf>
    <xf numFmtId="165" fontId="22" fillId="6" borderId="11" xfId="0" applyNumberFormat="1" applyFont="1" applyFill="1" applyBorder="1" applyAlignment="1">
      <alignment horizontal="center"/>
    </xf>
    <xf numFmtId="165" fontId="4" fillId="6" borderId="8" xfId="0" applyNumberFormat="1" applyFont="1" applyFill="1" applyBorder="1" applyAlignment="1">
      <alignment horizontal="center"/>
    </xf>
    <xf numFmtId="3" fontId="8" fillId="6" borderId="8" xfId="0" applyNumberFormat="1" applyFont="1" applyFill="1" applyBorder="1"/>
    <xf numFmtId="3" fontId="4" fillId="6" borderId="8" xfId="1" applyNumberFormat="1" applyFont="1" applyFill="1" applyBorder="1" applyAlignment="1">
      <alignment horizontal="center"/>
    </xf>
    <xf numFmtId="0" fontId="8" fillId="6" borderId="8" xfId="0" applyFont="1" applyFill="1" applyBorder="1"/>
    <xf numFmtId="3" fontId="4" fillId="6" borderId="8" xfId="0" applyNumberFormat="1" applyFont="1" applyFill="1" applyBorder="1" applyAlignment="1">
      <alignment horizontal="center"/>
    </xf>
    <xf numFmtId="3" fontId="4" fillId="6" borderId="9" xfId="0" applyNumberFormat="1" applyFont="1" applyFill="1" applyBorder="1" applyAlignment="1">
      <alignment horizontal="center"/>
    </xf>
    <xf numFmtId="165" fontId="4" fillId="6" borderId="10" xfId="0" applyNumberFormat="1" applyFont="1" applyFill="1" applyBorder="1" applyAlignment="1">
      <alignment horizontal="center"/>
    </xf>
    <xf numFmtId="0" fontId="4" fillId="6" borderId="27" xfId="0" applyFont="1" applyFill="1" applyBorder="1" applyAlignment="1">
      <alignment horizontal="right"/>
    </xf>
    <xf numFmtId="0" fontId="4" fillId="6" borderId="5" xfId="0" applyFont="1" applyFill="1" applyBorder="1" applyAlignment="1">
      <alignment horizontal="right"/>
    </xf>
    <xf numFmtId="3" fontId="4" fillId="6" borderId="6" xfId="0" applyNumberFormat="1" applyFont="1" applyFill="1" applyBorder="1" applyAlignment="1">
      <alignment horizontal="center"/>
    </xf>
    <xf numFmtId="165" fontId="4" fillId="6" borderId="22" xfId="2" applyNumberFormat="1" applyFont="1" applyFill="1" applyBorder="1" applyAlignment="1">
      <alignment horizontal="center"/>
    </xf>
    <xf numFmtId="0" fontId="4" fillId="6" borderId="18" xfId="0" applyFont="1" applyFill="1" applyBorder="1" applyAlignment="1">
      <alignment horizontal="right"/>
    </xf>
    <xf numFmtId="3" fontId="4" fillId="6" borderId="21" xfId="0" applyNumberFormat="1" applyFont="1" applyFill="1" applyBorder="1" applyAlignment="1">
      <alignment horizontal="center"/>
    </xf>
    <xf numFmtId="165" fontId="4" fillId="6" borderId="22" xfId="0" applyNumberFormat="1" applyFont="1" applyFill="1" applyBorder="1" applyAlignment="1">
      <alignment horizontal="center"/>
    </xf>
    <xf numFmtId="3" fontId="4" fillId="6" borderId="22" xfId="0" applyNumberFormat="1" applyFont="1" applyFill="1" applyBorder="1" applyAlignment="1">
      <alignment horizontal="center"/>
    </xf>
    <xf numFmtId="167" fontId="14" fillId="6" borderId="12" xfId="0" applyNumberFormat="1" applyFont="1" applyFill="1" applyBorder="1" applyAlignment="1">
      <alignment horizontal="center"/>
    </xf>
    <xf numFmtId="0" fontId="0" fillId="6" borderId="29" xfId="0" applyFill="1" applyBorder="1"/>
    <xf numFmtId="3" fontId="0" fillId="6" borderId="13" xfId="0" applyNumberFormat="1" applyFill="1" applyBorder="1" applyAlignment="1">
      <alignment horizontal="center"/>
    </xf>
    <xf numFmtId="165" fontId="1" fillId="6" borderId="7" xfId="0" applyNumberFormat="1" applyFont="1" applyFill="1" applyBorder="1" applyAlignment="1">
      <alignment horizontal="center"/>
    </xf>
    <xf numFmtId="165" fontId="1" fillId="6" borderId="0" xfId="0" applyNumberFormat="1" applyFont="1" applyFill="1" applyBorder="1" applyAlignment="1">
      <alignment horizontal="center"/>
    </xf>
    <xf numFmtId="0" fontId="1" fillId="6" borderId="0" xfId="0" applyFont="1" applyFill="1" applyAlignment="1">
      <alignment horizontal="center"/>
    </xf>
    <xf numFmtId="0" fontId="8" fillId="6" borderId="0" xfId="0" applyFont="1" applyFill="1" applyBorder="1"/>
    <xf numFmtId="0" fontId="1" fillId="6" borderId="16" xfId="0" applyFont="1" applyFill="1" applyBorder="1"/>
    <xf numFmtId="0" fontId="6" fillId="6" borderId="16" xfId="0" applyFont="1" applyFill="1" applyBorder="1"/>
    <xf numFmtId="3" fontId="5" fillId="6" borderId="11" xfId="0" applyNumberFormat="1" applyFont="1" applyFill="1" applyBorder="1" applyAlignment="1">
      <alignment horizontal="center"/>
    </xf>
    <xf numFmtId="1" fontId="0" fillId="6" borderId="13" xfId="0" applyNumberFormat="1" applyFill="1" applyBorder="1" applyAlignment="1">
      <alignment horizontal="center"/>
    </xf>
    <xf numFmtId="1" fontId="4" fillId="6" borderId="11" xfId="0" applyNumberFormat="1" applyFont="1" applyFill="1" applyBorder="1" applyAlignment="1">
      <alignment horizontal="center"/>
    </xf>
    <xf numFmtId="0" fontId="0" fillId="6" borderId="0" xfId="0" applyFill="1" applyBorder="1"/>
    <xf numFmtId="0" fontId="7" fillId="6" borderId="27" xfId="0" applyFont="1" applyFill="1" applyBorder="1" applyAlignment="1">
      <alignment horizontal="right"/>
    </xf>
    <xf numFmtId="165" fontId="5" fillId="6" borderId="9" xfId="0" applyNumberFormat="1" applyFont="1" applyFill="1" applyBorder="1" applyAlignment="1">
      <alignment horizontal="center"/>
    </xf>
    <xf numFmtId="165" fontId="5" fillId="6" borderId="11" xfId="2" applyNumberFormat="1" applyFont="1" applyFill="1" applyBorder="1" applyAlignment="1">
      <alignment horizontal="center"/>
    </xf>
    <xf numFmtId="165" fontId="15" fillId="6" borderId="7" xfId="0" applyNumberFormat="1" applyFont="1" applyFill="1" applyBorder="1" applyAlignment="1">
      <alignment horizontal="center"/>
    </xf>
    <xf numFmtId="165" fontId="15" fillId="6" borderId="0" xfId="0" applyNumberFormat="1" applyFont="1" applyFill="1" applyBorder="1" applyAlignment="1">
      <alignment horizontal="center"/>
    </xf>
    <xf numFmtId="0" fontId="1" fillId="6" borderId="0" xfId="0" applyFont="1" applyFill="1"/>
    <xf numFmtId="167" fontId="8" fillId="6" borderId="9" xfId="0" applyNumberFormat="1" applyFont="1" applyFill="1" applyBorder="1" applyAlignment="1">
      <alignment horizontal="center"/>
    </xf>
    <xf numFmtId="3" fontId="8" fillId="6" borderId="26" xfId="0" applyNumberFormat="1" applyFont="1" applyFill="1" applyBorder="1" applyAlignment="1">
      <alignment horizontal="center"/>
    </xf>
    <xf numFmtId="3" fontId="1" fillId="6" borderId="0" xfId="0" applyNumberFormat="1" applyFont="1" applyFill="1"/>
    <xf numFmtId="2" fontId="8" fillId="6" borderId="9" xfId="0" applyNumberFormat="1" applyFont="1" applyFill="1" applyBorder="1" applyAlignment="1">
      <alignment horizontal="center"/>
    </xf>
    <xf numFmtId="165" fontId="14" fillId="6" borderId="11" xfId="0" applyNumberFormat="1" applyFont="1" applyFill="1" applyBorder="1" applyAlignment="1">
      <alignment horizontal="center"/>
    </xf>
    <xf numFmtId="0" fontId="4" fillId="6" borderId="18" xfId="0" applyFont="1" applyFill="1" applyBorder="1"/>
    <xf numFmtId="1" fontId="8" fillId="6" borderId="21" xfId="0" applyNumberFormat="1" applyFont="1" applyFill="1" applyBorder="1" applyAlignment="1"/>
    <xf numFmtId="3" fontId="8" fillId="6" borderId="22" xfId="0" applyNumberFormat="1" applyFont="1" applyFill="1" applyBorder="1"/>
    <xf numFmtId="3" fontId="8" fillId="6" borderId="6" xfId="0" applyNumberFormat="1" applyFont="1" applyFill="1" applyBorder="1"/>
    <xf numFmtId="1" fontId="4" fillId="6" borderId="8" xfId="0" applyNumberFormat="1" applyFont="1" applyFill="1" applyBorder="1" applyAlignment="1">
      <alignment horizontal="center"/>
    </xf>
    <xf numFmtId="165" fontId="4" fillId="6" borderId="24" xfId="0" applyNumberFormat="1" applyFont="1" applyFill="1" applyBorder="1" applyAlignment="1">
      <alignment horizontal="center"/>
    </xf>
    <xf numFmtId="165" fontId="4" fillId="6" borderId="12" xfId="0" applyNumberFormat="1" applyFont="1" applyFill="1" applyBorder="1" applyAlignment="1">
      <alignment horizontal="center"/>
    </xf>
    <xf numFmtId="1" fontId="8" fillId="6" borderId="11" xfId="0" applyNumberFormat="1" applyFont="1" applyFill="1" applyBorder="1" applyAlignment="1"/>
    <xf numFmtId="0" fontId="0" fillId="0" borderId="0" xfId="0" applyFill="1" applyBorder="1"/>
    <xf numFmtId="3" fontId="0" fillId="0" borderId="0" xfId="0" applyNumberFormat="1" applyFill="1"/>
    <xf numFmtId="0" fontId="4" fillId="6" borderId="27" xfId="3" applyFont="1" applyFill="1" applyBorder="1"/>
    <xf numFmtId="3" fontId="8" fillId="6" borderId="9" xfId="3" applyNumberFormat="1" applyFont="1" applyFill="1" applyBorder="1" applyAlignment="1">
      <alignment horizontal="center"/>
    </xf>
    <xf numFmtId="167" fontId="14" fillId="6" borderId="9" xfId="3" applyNumberFormat="1" applyFont="1" applyFill="1" applyBorder="1" applyAlignment="1">
      <alignment horizontal="center"/>
    </xf>
    <xf numFmtId="167" fontId="14" fillId="6" borderId="12" xfId="3" applyNumberFormat="1" applyFont="1" applyFill="1" applyBorder="1" applyAlignment="1">
      <alignment horizontal="center"/>
    </xf>
    <xf numFmtId="0" fontId="8" fillId="6" borderId="0" xfId="3" applyFont="1" applyFill="1"/>
    <xf numFmtId="165" fontId="14" fillId="6" borderId="9" xfId="3" applyNumberFormat="1" applyFont="1" applyFill="1" applyBorder="1" applyAlignment="1">
      <alignment horizontal="center"/>
    </xf>
    <xf numFmtId="165" fontId="14" fillId="6" borderId="12" xfId="3" applyNumberFormat="1" applyFont="1" applyFill="1" applyBorder="1" applyAlignment="1">
      <alignment horizontal="center"/>
    </xf>
    <xf numFmtId="167" fontId="14" fillId="6" borderId="10" xfId="0" applyNumberFormat="1" applyFont="1" applyFill="1" applyBorder="1" applyAlignment="1">
      <alignment horizontal="center"/>
    </xf>
    <xf numFmtId="165" fontId="8" fillId="6" borderId="10" xfId="0" applyNumberFormat="1" applyFont="1" applyFill="1" applyBorder="1" applyAlignment="1">
      <alignment horizontal="center"/>
    </xf>
    <xf numFmtId="167" fontId="8" fillId="6" borderId="8" xfId="0" applyNumberFormat="1" applyFont="1" applyFill="1" applyBorder="1" applyAlignment="1">
      <alignment horizontal="center"/>
    </xf>
    <xf numFmtId="165" fontId="4" fillId="6" borderId="6" xfId="2" applyNumberFormat="1" applyFont="1" applyFill="1" applyBorder="1" applyAlignment="1">
      <alignment horizontal="center"/>
    </xf>
    <xf numFmtId="165" fontId="4" fillId="6" borderId="8" xfId="2" applyNumberFormat="1" applyFont="1" applyFill="1" applyBorder="1" applyAlignment="1">
      <alignment horizontal="center"/>
    </xf>
    <xf numFmtId="165" fontId="4" fillId="6" borderId="10" xfId="2" applyNumberFormat="1" applyFont="1" applyFill="1" applyBorder="1" applyAlignment="1">
      <alignment horizontal="center"/>
    </xf>
    <xf numFmtId="165" fontId="14" fillId="6" borderId="6" xfId="0" applyNumberFormat="1" applyFont="1" applyFill="1" applyBorder="1" applyAlignment="1">
      <alignment horizontal="center"/>
    </xf>
    <xf numFmtId="165" fontId="4" fillId="6" borderId="21" xfId="0" applyNumberFormat="1" applyFont="1" applyFill="1" applyBorder="1" applyAlignment="1">
      <alignment horizontal="center"/>
    </xf>
    <xf numFmtId="0" fontId="5" fillId="6" borderId="15" xfId="0" applyFont="1" applyFill="1" applyBorder="1"/>
    <xf numFmtId="0" fontId="8" fillId="6" borderId="9" xfId="0" applyFont="1" applyFill="1" applyBorder="1" applyAlignment="1">
      <alignment horizontal="center"/>
    </xf>
    <xf numFmtId="3" fontId="14" fillId="6" borderId="10" xfId="0" applyNumberFormat="1" applyFont="1" applyFill="1" applyBorder="1" applyAlignment="1">
      <alignment horizontal="center"/>
    </xf>
    <xf numFmtId="3" fontId="14" fillId="6" borderId="11" xfId="0" applyNumberFormat="1" applyFont="1" applyFill="1" applyBorder="1" applyAlignment="1">
      <alignment horizontal="center"/>
    </xf>
    <xf numFmtId="1" fontId="4" fillId="6" borderId="9" xfId="0" applyNumberFormat="1" applyFont="1" applyFill="1" applyBorder="1" applyAlignment="1">
      <alignment horizontal="center"/>
    </xf>
    <xf numFmtId="0" fontId="13" fillId="6" borderId="15" xfId="0" applyFont="1" applyFill="1" applyBorder="1"/>
    <xf numFmtId="0" fontId="1" fillId="6" borderId="0" xfId="0" applyFont="1" applyFill="1" applyBorder="1"/>
    <xf numFmtId="0" fontId="12" fillId="6" borderId="15" xfId="0" applyFont="1" applyFill="1" applyBorder="1"/>
    <xf numFmtId="165" fontId="4" fillId="6" borderId="9" xfId="0" applyNumberFormat="1" applyFont="1" applyFill="1" applyBorder="1" applyAlignment="1">
      <alignment horizontal="center"/>
    </xf>
    <xf numFmtId="1" fontId="1" fillId="6" borderId="11" xfId="0" applyNumberFormat="1" applyFont="1" applyFill="1" applyBorder="1" applyAlignment="1">
      <alignment horizontal="center"/>
    </xf>
    <xf numFmtId="165" fontId="1" fillId="6" borderId="8" xfId="0" applyNumberFormat="1" applyFont="1" applyFill="1" applyBorder="1" applyAlignment="1">
      <alignment horizontal="center"/>
    </xf>
    <xf numFmtId="165" fontId="1" fillId="6" borderId="9" xfId="0" applyNumberFormat="1" applyFont="1" applyFill="1" applyBorder="1" applyAlignment="1">
      <alignment horizontal="center"/>
    </xf>
    <xf numFmtId="0" fontId="13" fillId="6" borderId="27" xfId="0" applyFont="1" applyFill="1" applyBorder="1"/>
    <xf numFmtId="0" fontId="4" fillId="6" borderId="15" xfId="0" applyFont="1" applyFill="1" applyBorder="1" applyAlignment="1">
      <alignment horizontal="left"/>
    </xf>
    <xf numFmtId="1" fontId="4" fillId="6" borderId="31" xfId="0" applyNumberFormat="1" applyFont="1" applyFill="1" applyBorder="1" applyAlignment="1">
      <alignment horizontal="center"/>
    </xf>
    <xf numFmtId="1" fontId="4" fillId="6" borderId="21" xfId="0" applyNumberFormat="1" applyFont="1" applyFill="1" applyBorder="1" applyAlignment="1">
      <alignment horizontal="center"/>
    </xf>
    <xf numFmtId="1" fontId="8" fillId="6" borderId="25" xfId="0" applyNumberFormat="1" applyFont="1" applyFill="1" applyBorder="1" applyAlignment="1">
      <alignment horizontal="center"/>
    </xf>
    <xf numFmtId="0" fontId="12" fillId="6" borderId="27" xfId="0" applyFont="1" applyFill="1" applyBorder="1"/>
    <xf numFmtId="0" fontId="4" fillId="6" borderId="27" xfId="0" applyFont="1" applyFill="1" applyBorder="1" applyAlignment="1">
      <alignment horizontal="left"/>
    </xf>
    <xf numFmtId="1" fontId="5" fillId="6" borderId="9" xfId="0" applyNumberFormat="1" applyFont="1" applyFill="1" applyBorder="1" applyAlignment="1">
      <alignment horizontal="center"/>
    </xf>
    <xf numFmtId="1" fontId="4" fillId="6" borderId="22" xfId="0" applyNumberFormat="1" applyFont="1" applyFill="1" applyBorder="1" applyAlignment="1">
      <alignment horizontal="center"/>
    </xf>
    <xf numFmtId="0" fontId="5" fillId="6" borderId="15" xfId="0" applyFont="1" applyFill="1" applyBorder="1" applyAlignment="1">
      <alignment horizontal="right"/>
    </xf>
    <xf numFmtId="2" fontId="8" fillId="6" borderId="8" xfId="0" applyNumberFormat="1" applyFont="1" applyFill="1" applyBorder="1" applyAlignment="1">
      <alignment horizontal="center"/>
    </xf>
    <xf numFmtId="0" fontId="8" fillId="6" borderId="8" xfId="0" applyFont="1" applyFill="1" applyBorder="1" applyAlignment="1">
      <alignment horizontal="center"/>
    </xf>
    <xf numFmtId="164" fontId="17" fillId="6" borderId="10" xfId="0" applyNumberFormat="1" applyFont="1" applyFill="1" applyBorder="1" applyAlignment="1">
      <alignment horizontal="center"/>
    </xf>
    <xf numFmtId="0" fontId="17" fillId="6" borderId="12" xfId="0" applyFont="1" applyFill="1" applyBorder="1" applyAlignment="1">
      <alignment horizontal="center"/>
    </xf>
    <xf numFmtId="3" fontId="4" fillId="6" borderId="10" xfId="0" applyNumberFormat="1" applyFont="1" applyFill="1" applyBorder="1" applyAlignment="1">
      <alignment horizontal="center"/>
    </xf>
    <xf numFmtId="164" fontId="17" fillId="6" borderId="31" xfId="0" applyNumberFormat="1" applyFont="1" applyFill="1" applyBorder="1" applyAlignment="1">
      <alignment horizontal="center"/>
    </xf>
    <xf numFmtId="0" fontId="17" fillId="6" borderId="19" xfId="0" applyFont="1" applyFill="1" applyBorder="1" applyAlignment="1">
      <alignment horizontal="center"/>
    </xf>
    <xf numFmtId="164" fontId="8" fillId="6" borderId="32" xfId="0" applyNumberFormat="1" applyFont="1" applyFill="1" applyBorder="1" applyAlignment="1">
      <alignment horizontal="center"/>
    </xf>
    <xf numFmtId="164" fontId="8" fillId="6" borderId="3" xfId="0" applyNumberFormat="1" applyFont="1" applyFill="1" applyBorder="1" applyAlignment="1">
      <alignment horizontal="center"/>
    </xf>
    <xf numFmtId="164" fontId="8" fillId="6" borderId="2" xfId="0" applyNumberFormat="1" applyFont="1" applyFill="1" applyBorder="1" applyAlignment="1">
      <alignment horizontal="center"/>
    </xf>
    <xf numFmtId="164" fontId="8" fillId="6" borderId="0" xfId="0" applyNumberFormat="1" applyFont="1" applyFill="1" applyBorder="1" applyAlignment="1">
      <alignment horizontal="center"/>
    </xf>
    <xf numFmtId="164" fontId="8" fillId="6" borderId="20" xfId="0" applyNumberFormat="1" applyFont="1" applyFill="1" applyBorder="1" applyAlignment="1">
      <alignment horizontal="center"/>
    </xf>
    <xf numFmtId="164" fontId="4" fillId="6" borderId="6" xfId="0" applyNumberFormat="1" applyFont="1" applyFill="1" applyBorder="1" applyAlignment="1">
      <alignment horizontal="center"/>
    </xf>
    <xf numFmtId="0" fontId="4" fillId="6" borderId="19" xfId="0" applyFont="1" applyFill="1" applyBorder="1" applyAlignment="1">
      <alignment horizontal="center"/>
    </xf>
    <xf numFmtId="164" fontId="4" fillId="6" borderId="10" xfId="0" applyNumberFormat="1" applyFont="1" applyFill="1" applyBorder="1" applyAlignment="1">
      <alignment horizontal="center"/>
    </xf>
    <xf numFmtId="0" fontId="4" fillId="6" borderId="12" xfId="0" applyFont="1" applyFill="1" applyBorder="1" applyAlignment="1">
      <alignment horizontal="center"/>
    </xf>
    <xf numFmtId="3" fontId="8" fillId="6" borderId="9" xfId="0" applyNumberFormat="1" applyFont="1" applyFill="1" applyBorder="1" applyAlignment="1">
      <alignment horizontal="center"/>
    </xf>
    <xf numFmtId="1" fontId="8" fillId="6" borderId="9" xfId="0" applyNumberFormat="1" applyFont="1" applyFill="1" applyBorder="1" applyAlignment="1">
      <alignment horizontal="center"/>
    </xf>
    <xf numFmtId="164" fontId="8" fillId="6" borderId="12" xfId="0" applyNumberFormat="1" applyFont="1" applyFill="1" applyBorder="1" applyAlignment="1">
      <alignment horizontal="center"/>
    </xf>
    <xf numFmtId="3" fontId="8" fillId="6" borderId="11" xfId="0" applyNumberFormat="1" applyFont="1" applyFill="1" applyBorder="1" applyAlignment="1">
      <alignment horizontal="center"/>
    </xf>
    <xf numFmtId="1" fontId="8" fillId="6" borderId="11" xfId="0" applyNumberFormat="1" applyFont="1" applyFill="1" applyBorder="1" applyAlignment="1">
      <alignment horizontal="center"/>
    </xf>
    <xf numFmtId="164" fontId="8" fillId="6" borderId="10" xfId="0" applyNumberFormat="1" applyFont="1" applyFill="1" applyBorder="1" applyAlignment="1">
      <alignment horizontal="center"/>
    </xf>
    <xf numFmtId="3" fontId="0" fillId="0" borderId="13" xfId="0" applyNumberFormat="1" applyFill="1" applyBorder="1" applyAlignment="1">
      <alignment horizontal="center"/>
    </xf>
    <xf numFmtId="3" fontId="0" fillId="0" borderId="13" xfId="0" applyNumberFormat="1" applyFill="1" applyBorder="1" applyAlignment="1">
      <alignment horizontal="center"/>
    </xf>
    <xf numFmtId="3" fontId="0" fillId="0" borderId="13" xfId="0" applyNumberFormat="1" applyFill="1" applyBorder="1" applyAlignment="1">
      <alignment horizontal="center"/>
    </xf>
    <xf numFmtId="3" fontId="1" fillId="0" borderId="13" xfId="0" applyNumberFormat="1" applyFont="1" applyFill="1" applyBorder="1" applyAlignment="1">
      <alignment horizontal="center"/>
    </xf>
    <xf numFmtId="3" fontId="0" fillId="0" borderId="13" xfId="0" applyNumberFormat="1" applyFill="1" applyBorder="1" applyAlignment="1">
      <alignment horizontal="center"/>
    </xf>
    <xf numFmtId="3" fontId="0" fillId="0" borderId="13" xfId="0" applyNumberFormat="1" applyBorder="1" applyAlignment="1">
      <alignment horizontal="center"/>
    </xf>
    <xf numFmtId="3" fontId="0" fillId="0" borderId="13" xfId="0" applyNumberFormat="1" applyFill="1" applyBorder="1" applyAlignment="1">
      <alignment horizontal="center"/>
    </xf>
    <xf numFmtId="3" fontId="1" fillId="0" borderId="13" xfId="0" applyNumberFormat="1" applyFont="1" applyFill="1" applyBorder="1" applyAlignment="1">
      <alignment horizontal="center"/>
    </xf>
    <xf numFmtId="3" fontId="0" fillId="0" borderId="13" xfId="0" applyNumberFormat="1" applyFill="1" applyBorder="1" applyAlignment="1">
      <alignment horizontal="center"/>
    </xf>
    <xf numFmtId="3" fontId="0" fillId="0" borderId="13" xfId="0" applyNumberFormat="1" applyFill="1" applyBorder="1" applyAlignment="1">
      <alignment horizontal="center"/>
    </xf>
    <xf numFmtId="3" fontId="4" fillId="6" borderId="11" xfId="0" applyNumberFormat="1" applyFont="1" applyFill="1" applyBorder="1" applyAlignment="1">
      <alignment horizontal="center"/>
    </xf>
    <xf numFmtId="3" fontId="0" fillId="0" borderId="13" xfId="0" applyNumberFormat="1" applyFill="1" applyBorder="1" applyAlignment="1">
      <alignment horizontal="center"/>
    </xf>
    <xf numFmtId="3" fontId="1" fillId="0" borderId="0" xfId="0" applyNumberFormat="1" applyFont="1" applyFill="1" applyBorder="1" applyAlignment="1">
      <alignment horizontal="center"/>
    </xf>
    <xf numFmtId="3" fontId="8" fillId="6" borderId="9" xfId="0" applyNumberFormat="1" applyFont="1" applyFill="1" applyBorder="1" applyAlignment="1">
      <alignment horizontal="center"/>
    </xf>
    <xf numFmtId="164" fontId="8" fillId="6" borderId="12" xfId="0" applyNumberFormat="1" applyFont="1" applyFill="1" applyBorder="1" applyAlignment="1">
      <alignment horizontal="center"/>
    </xf>
    <xf numFmtId="1" fontId="4" fillId="6" borderId="11" xfId="0" applyNumberFormat="1" applyFont="1" applyFill="1" applyBorder="1" applyAlignment="1">
      <alignment horizontal="center"/>
    </xf>
    <xf numFmtId="3" fontId="8" fillId="6" borderId="11" xfId="0" applyNumberFormat="1" applyFont="1" applyFill="1" applyBorder="1" applyAlignment="1">
      <alignment horizontal="center"/>
    </xf>
    <xf numFmtId="1" fontId="8" fillId="6" borderId="10" xfId="0" applyNumberFormat="1" applyFont="1" applyFill="1" applyBorder="1" applyAlignment="1">
      <alignment horizontal="center"/>
    </xf>
    <xf numFmtId="1" fontId="8" fillId="6" borderId="11" xfId="0" applyNumberFormat="1" applyFont="1" applyFill="1" applyBorder="1" applyAlignment="1">
      <alignment horizontal="center"/>
    </xf>
    <xf numFmtId="164" fontId="8" fillId="6" borderId="10" xfId="0" applyNumberFormat="1" applyFont="1" applyFill="1" applyBorder="1" applyAlignment="1">
      <alignment horizontal="center"/>
    </xf>
    <xf numFmtId="2" fontId="1" fillId="0" borderId="13" xfId="0" applyNumberFormat="1" applyFont="1" applyFill="1" applyBorder="1" applyAlignment="1">
      <alignment horizontal="center"/>
    </xf>
    <xf numFmtId="3" fontId="8" fillId="6" borderId="10" xfId="0" applyNumberFormat="1" applyFont="1" applyFill="1" applyBorder="1" applyAlignment="1">
      <alignment horizontal="center"/>
    </xf>
    <xf numFmtId="3" fontId="4" fillId="6" borderId="21" xfId="0" applyNumberFormat="1" applyFont="1" applyFill="1" applyBorder="1" applyAlignment="1">
      <alignment horizontal="center"/>
    </xf>
    <xf numFmtId="2" fontId="0" fillId="0" borderId="13" xfId="0" applyNumberFormat="1" applyFill="1" applyBorder="1" applyAlignment="1">
      <alignment horizontal="center"/>
    </xf>
    <xf numFmtId="1" fontId="0" fillId="0" borderId="13" xfId="0" applyNumberFormat="1" applyFill="1" applyBorder="1" applyAlignment="1">
      <alignment horizontal="center"/>
    </xf>
    <xf numFmtId="3" fontId="5" fillId="0" borderId="25" xfId="0" applyNumberFormat="1" applyFont="1" applyFill="1" applyBorder="1" applyAlignment="1">
      <alignment horizontal="center"/>
    </xf>
    <xf numFmtId="4" fontId="1" fillId="0" borderId="13" xfId="0" applyNumberFormat="1" applyFont="1" applyFill="1" applyBorder="1" applyAlignment="1">
      <alignment horizontal="center"/>
    </xf>
    <xf numFmtId="3" fontId="5" fillId="0" borderId="11" xfId="0" applyNumberFormat="1" applyFont="1" applyFill="1" applyBorder="1" applyAlignment="1">
      <alignment horizontal="center"/>
    </xf>
    <xf numFmtId="165" fontId="14" fillId="6" borderId="9" xfId="0" applyNumberFormat="1" applyFont="1" applyFill="1" applyBorder="1" applyAlignment="1">
      <alignment horizontal="center"/>
    </xf>
    <xf numFmtId="3" fontId="4" fillId="6" borderId="11" xfId="0" applyNumberFormat="1" applyFont="1" applyFill="1" applyBorder="1" applyAlignment="1">
      <alignment horizontal="center"/>
    </xf>
    <xf numFmtId="3" fontId="5" fillId="0" borderId="11" xfId="0" applyNumberFormat="1" applyFont="1" applyBorder="1" applyAlignment="1">
      <alignment horizontal="center"/>
    </xf>
    <xf numFmtId="1" fontId="8" fillId="0" borderId="0" xfId="0" applyNumberFormat="1" applyFont="1" applyBorder="1" applyAlignment="1">
      <alignment horizontal="center"/>
    </xf>
    <xf numFmtId="0" fontId="8" fillId="0" borderId="14" xfId="0"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0" fontId="8" fillId="0" borderId="31" xfId="0" applyFont="1" applyBorder="1" applyAlignment="1">
      <alignment horizontal="center"/>
    </xf>
    <xf numFmtId="3" fontId="8" fillId="6" borderId="9" xfId="0" applyNumberFormat="1" applyFont="1" applyFill="1" applyBorder="1" applyAlignment="1">
      <alignment horizontal="center"/>
    </xf>
    <xf numFmtId="1" fontId="8" fillId="6" borderId="9" xfId="0" applyNumberFormat="1" applyFont="1" applyFill="1" applyBorder="1" applyAlignment="1">
      <alignment horizontal="center"/>
    </xf>
    <xf numFmtId="3" fontId="1" fillId="0" borderId="13" xfId="0" applyNumberFormat="1" applyFont="1" applyFill="1" applyBorder="1" applyAlignment="1">
      <alignment horizontal="center"/>
    </xf>
    <xf numFmtId="3" fontId="5" fillId="0" borderId="25" xfId="0" applyNumberFormat="1" applyFont="1" applyBorder="1" applyAlignment="1">
      <alignment horizontal="center"/>
    </xf>
    <xf numFmtId="3" fontId="1" fillId="3" borderId="13" xfId="0" applyNumberFormat="1" applyFont="1" applyFill="1" applyBorder="1" applyAlignment="1">
      <alignment horizontal="center"/>
    </xf>
    <xf numFmtId="1" fontId="0" fillId="0" borderId="11" xfId="0" applyNumberFormat="1" applyBorder="1" applyAlignment="1"/>
    <xf numFmtId="3" fontId="0" fillId="0" borderId="13" xfId="0" applyNumberFormat="1" applyFill="1" applyBorder="1" applyAlignment="1">
      <alignment horizontal="center"/>
    </xf>
    <xf numFmtId="3" fontId="0" fillId="0" borderId="13" xfId="0" applyNumberFormat="1" applyBorder="1" applyAlignment="1">
      <alignment horizontal="center"/>
    </xf>
    <xf numFmtId="3" fontId="8" fillId="12" borderId="9" xfId="0" applyNumberFormat="1" applyFont="1" applyFill="1" applyBorder="1" applyAlignment="1">
      <alignment horizontal="center"/>
    </xf>
    <xf numFmtId="0" fontId="0" fillId="0" borderId="0" xfId="0" applyBorder="1" applyAlignment="1">
      <alignment horizontal="center"/>
    </xf>
    <xf numFmtId="3" fontId="0" fillId="3" borderId="13" xfId="0" applyNumberFormat="1" applyFill="1" applyBorder="1" applyAlignment="1">
      <alignment horizontal="center"/>
    </xf>
    <xf numFmtId="0" fontId="0" fillId="0" borderId="6" xfId="0" applyBorder="1" applyAlignment="1">
      <alignment horizontal="center"/>
    </xf>
    <xf numFmtId="1" fontId="5" fillId="0" borderId="0" xfId="0" applyNumberFormat="1" applyFont="1" applyBorder="1" applyAlignment="1">
      <alignment horizontal="center"/>
    </xf>
    <xf numFmtId="3" fontId="5" fillId="0" borderId="0" xfId="0" applyNumberFormat="1" applyFont="1" applyBorder="1" applyAlignment="1">
      <alignment horizontal="center"/>
    </xf>
    <xf numFmtId="0" fontId="0" fillId="0" borderId="2" xfId="0" applyBorder="1" applyAlignment="1">
      <alignment horizontal="center"/>
    </xf>
    <xf numFmtId="165" fontId="14" fillId="6" borderId="9" xfId="0" applyNumberFormat="1" applyFont="1" applyFill="1" applyBorder="1" applyAlignment="1">
      <alignment horizontal="center"/>
    </xf>
    <xf numFmtId="165" fontId="14" fillId="6" borderId="12" xfId="0" applyNumberFormat="1" applyFont="1" applyFill="1" applyBorder="1" applyAlignment="1">
      <alignment horizontal="center"/>
    </xf>
    <xf numFmtId="165" fontId="5" fillId="0" borderId="11" xfId="2" applyNumberFormat="1" applyFont="1" applyBorder="1" applyAlignment="1">
      <alignment horizontal="center"/>
    </xf>
    <xf numFmtId="165" fontId="5" fillId="0" borderId="25" xfId="2" applyNumberFormat="1" applyFont="1" applyBorder="1" applyAlignment="1">
      <alignment horizontal="center"/>
    </xf>
    <xf numFmtId="1" fontId="1" fillId="0" borderId="11" xfId="0" applyNumberFormat="1" applyFont="1" applyFill="1" applyBorder="1" applyAlignment="1">
      <alignment horizontal="center"/>
    </xf>
    <xf numFmtId="1" fontId="0" fillId="0" borderId="11" xfId="0" applyNumberFormat="1" applyFill="1" applyBorder="1" applyAlignment="1"/>
    <xf numFmtId="3" fontId="1" fillId="0" borderId="8" xfId="0" applyNumberFormat="1" applyFont="1" applyFill="1" applyBorder="1"/>
    <xf numFmtId="3" fontId="1" fillId="0" borderId="9" xfId="0" applyNumberFormat="1" applyFont="1" applyFill="1" applyBorder="1"/>
    <xf numFmtId="165" fontId="5" fillId="0" borderId="25" xfId="2" applyNumberFormat="1" applyFont="1" applyFill="1" applyBorder="1" applyAlignment="1">
      <alignment horizontal="center"/>
    </xf>
    <xf numFmtId="165" fontId="5" fillId="0" borderId="11" xfId="2" applyNumberFormat="1" applyFont="1" applyFill="1" applyBorder="1" applyAlignment="1">
      <alignment horizontal="center"/>
    </xf>
    <xf numFmtId="165" fontId="5" fillId="0" borderId="8" xfId="2" applyNumberFormat="1" applyFont="1" applyFill="1" applyBorder="1" applyAlignment="1">
      <alignment horizontal="center"/>
    </xf>
    <xf numFmtId="0" fontId="8" fillId="0" borderId="5" xfId="0" applyFont="1" applyFill="1" applyBorder="1"/>
    <xf numFmtId="1" fontId="8" fillId="0" borderId="6" xfId="0" applyNumberFormat="1" applyFont="1" applyFill="1" applyBorder="1" applyAlignment="1">
      <alignment horizontal="center"/>
    </xf>
    <xf numFmtId="0" fontId="8" fillId="0" borderId="31" xfId="0" applyFont="1" applyFill="1" applyBorder="1" applyAlignment="1">
      <alignment horizontal="center"/>
    </xf>
    <xf numFmtId="0" fontId="8" fillId="0" borderId="6" xfId="0" applyFont="1" applyFill="1" applyBorder="1" applyAlignment="1">
      <alignment horizontal="center"/>
    </xf>
    <xf numFmtId="0" fontId="8" fillId="0" borderId="21" xfId="0" applyFont="1" applyFill="1" applyBorder="1" applyAlignment="1">
      <alignment horizontal="center"/>
    </xf>
    <xf numFmtId="1" fontId="5" fillId="0" borderId="11" xfId="0" applyNumberFormat="1" applyFont="1" applyFill="1" applyBorder="1" applyAlignment="1">
      <alignment horizontal="center"/>
    </xf>
    <xf numFmtId="165" fontId="5" fillId="0" borderId="8" xfId="0" applyNumberFormat="1" applyFont="1" applyFill="1" applyBorder="1" applyAlignment="1">
      <alignment horizontal="center"/>
    </xf>
    <xf numFmtId="3" fontId="0" fillId="0" borderId="8" xfId="0" applyNumberFormat="1" applyFill="1" applyBorder="1"/>
    <xf numFmtId="3" fontId="0" fillId="0" borderId="9" xfId="0" applyNumberFormat="1" applyFill="1" applyBorder="1"/>
    <xf numFmtId="4" fontId="4" fillId="0" borderId="0" xfId="0" applyNumberFormat="1" applyFont="1" applyFill="1" applyBorder="1" applyAlignment="1">
      <alignment horizontal="center"/>
    </xf>
    <xf numFmtId="164" fontId="4" fillId="0" borderId="0" xfId="0" applyNumberFormat="1" applyFont="1" applyFill="1" applyBorder="1" applyAlignment="1">
      <alignment horizontal="center"/>
    </xf>
    <xf numFmtId="3" fontId="5" fillId="0" borderId="8" xfId="0" applyNumberFormat="1" applyFont="1" applyFill="1" applyBorder="1" applyAlignment="1">
      <alignment horizontal="center"/>
    </xf>
    <xf numFmtId="0" fontId="3" fillId="0" borderId="0" xfId="0" applyFont="1" applyFill="1" applyAlignment="1">
      <alignment horizontal="right"/>
    </xf>
    <xf numFmtId="3" fontId="8" fillId="0" borderId="11" xfId="0" applyNumberFormat="1" applyFont="1" applyFill="1" applyBorder="1" applyAlignment="1">
      <alignment horizontal="center"/>
    </xf>
    <xf numFmtId="3" fontId="8" fillId="0" borderId="8" xfId="0" applyNumberFormat="1" applyFont="1" applyFill="1" applyBorder="1" applyAlignment="1">
      <alignment horizontal="center"/>
    </xf>
    <xf numFmtId="3" fontId="8" fillId="0" borderId="9" xfId="0" applyNumberFormat="1" applyFont="1" applyFill="1" applyBorder="1" applyAlignment="1">
      <alignment horizontal="center"/>
    </xf>
    <xf numFmtId="0" fontId="1" fillId="0" borderId="0" xfId="0" applyFont="1" applyFill="1" applyBorder="1"/>
    <xf numFmtId="0" fontId="8" fillId="0" borderId="38" xfId="0" applyFont="1" applyFill="1" applyBorder="1"/>
    <xf numFmtId="0" fontId="8" fillId="0" borderId="29" xfId="0" applyFont="1" applyFill="1" applyBorder="1"/>
    <xf numFmtId="2" fontId="8" fillId="0" borderId="29" xfId="0" applyNumberFormat="1" applyFont="1" applyFill="1" applyBorder="1"/>
    <xf numFmtId="3" fontId="8" fillId="0" borderId="29" xfId="0" applyNumberFormat="1" applyFont="1" applyFill="1" applyBorder="1"/>
    <xf numFmtId="0" fontId="8" fillId="0" borderId="35" xfId="0" applyFont="1" applyFill="1" applyBorder="1"/>
    <xf numFmtId="0" fontId="1" fillId="0" borderId="29" xfId="0" applyFont="1" applyFill="1" applyBorder="1"/>
    <xf numFmtId="0" fontId="8" fillId="0" borderId="4" xfId="0" applyFont="1" applyFill="1" applyBorder="1"/>
    <xf numFmtId="3" fontId="8" fillId="0" borderId="0" xfId="0" applyNumberFormat="1" applyFont="1" applyFill="1" applyBorder="1" applyAlignment="1">
      <alignment horizontal="center"/>
    </xf>
    <xf numFmtId="0" fontId="8" fillId="0" borderId="33" xfId="0" applyFont="1" applyFill="1" applyBorder="1" applyAlignment="1">
      <alignment horizontal="center"/>
    </xf>
    <xf numFmtId="0" fontId="8" fillId="0" borderId="0" xfId="0" applyFont="1" applyFill="1" applyBorder="1"/>
    <xf numFmtId="0" fontId="8" fillId="0" borderId="34" xfId="0" applyFont="1" applyFill="1" applyBorder="1"/>
    <xf numFmtId="0" fontId="12" fillId="0" borderId="27" xfId="0" applyFont="1" applyFill="1" applyBorder="1"/>
    <xf numFmtId="3" fontId="8" fillId="0" borderId="6" xfId="0" applyNumberFormat="1" applyFont="1" applyFill="1" applyBorder="1" applyAlignment="1">
      <alignment horizontal="center"/>
    </xf>
    <xf numFmtId="5" fontId="4" fillId="6" borderId="22" xfId="2" applyNumberFormat="1" applyFont="1" applyFill="1" applyBorder="1" applyAlignment="1">
      <alignment horizontal="center"/>
    </xf>
    <xf numFmtId="3" fontId="4" fillId="6" borderId="11" xfId="0" applyNumberFormat="1" applyFont="1" applyFill="1" applyBorder="1" applyAlignment="1">
      <alignment horizontal="center"/>
    </xf>
    <xf numFmtId="3" fontId="0" fillId="0" borderId="13" xfId="0" applyNumberFormat="1" applyBorder="1" applyAlignment="1">
      <alignment horizontal="center"/>
    </xf>
    <xf numFmtId="3" fontId="8" fillId="12" borderId="9" xfId="0" applyNumberFormat="1" applyFont="1" applyFill="1" applyBorder="1" applyAlignment="1">
      <alignment horizontal="center"/>
    </xf>
    <xf numFmtId="3" fontId="0" fillId="0" borderId="13" xfId="0" applyNumberFormat="1" applyFill="1" applyBorder="1" applyAlignment="1">
      <alignment horizontal="center"/>
    </xf>
    <xf numFmtId="3" fontId="5" fillId="0" borderId="11" xfId="0" applyNumberFormat="1" applyFont="1" applyBorder="1" applyAlignment="1">
      <alignment horizontal="center"/>
    </xf>
    <xf numFmtId="3" fontId="1" fillId="0" borderId="13" xfId="0" applyNumberFormat="1" applyFont="1" applyFill="1" applyBorder="1" applyAlignment="1">
      <alignment horizontal="center"/>
    </xf>
    <xf numFmtId="3" fontId="5" fillId="0" borderId="25" xfId="0" applyNumberFormat="1" applyFont="1" applyBorder="1" applyAlignment="1">
      <alignment horizontal="center"/>
    </xf>
    <xf numFmtId="3" fontId="8" fillId="6" borderId="9" xfId="0" applyNumberFormat="1" applyFont="1" applyFill="1" applyBorder="1" applyAlignment="1">
      <alignment horizontal="center"/>
    </xf>
    <xf numFmtId="1" fontId="8" fillId="0" borderId="0" xfId="0" applyNumberFormat="1"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0" fontId="8" fillId="0" borderId="31" xfId="0" applyFont="1" applyBorder="1" applyAlignment="1">
      <alignment horizontal="center"/>
    </xf>
    <xf numFmtId="1" fontId="0" fillId="0" borderId="11" xfId="0" applyNumberFormat="1" applyBorder="1" applyAlignment="1"/>
    <xf numFmtId="1" fontId="8" fillId="6" borderId="9" xfId="0" applyNumberFormat="1" applyFont="1" applyFill="1" applyBorder="1" applyAlignment="1">
      <alignment horizontal="center"/>
    </xf>
    <xf numFmtId="3" fontId="1" fillId="3" borderId="13" xfId="0" applyNumberFormat="1" applyFont="1" applyFill="1" applyBorder="1" applyAlignment="1">
      <alignment horizontal="center"/>
    </xf>
    <xf numFmtId="0" fontId="0" fillId="0" borderId="0" xfId="0" applyBorder="1" applyAlignment="1">
      <alignment horizontal="center"/>
    </xf>
    <xf numFmtId="3" fontId="5" fillId="0" borderId="0" xfId="0" applyNumberFormat="1" applyFont="1" applyBorder="1" applyAlignment="1">
      <alignment horizontal="center"/>
    </xf>
    <xf numFmtId="1" fontId="5" fillId="0" borderId="0" xfId="0" applyNumberFormat="1" applyFont="1" applyBorder="1" applyAlignment="1">
      <alignment horizontal="center"/>
    </xf>
    <xf numFmtId="3" fontId="0" fillId="3" borderId="13" xfId="0" applyNumberFormat="1" applyFill="1" applyBorder="1" applyAlignment="1">
      <alignment horizontal="center"/>
    </xf>
    <xf numFmtId="165" fontId="14" fillId="6" borderId="9" xfId="0" applyNumberFormat="1" applyFont="1" applyFill="1" applyBorder="1" applyAlignment="1">
      <alignment horizontal="center"/>
    </xf>
    <xf numFmtId="165" fontId="14" fillId="6" borderId="12" xfId="0" applyNumberFormat="1" applyFont="1" applyFill="1" applyBorder="1" applyAlignment="1">
      <alignment horizontal="center"/>
    </xf>
    <xf numFmtId="165" fontId="5" fillId="0" borderId="11" xfId="2" applyNumberFormat="1" applyFont="1" applyBorder="1" applyAlignment="1">
      <alignment horizontal="center"/>
    </xf>
    <xf numFmtId="0" fontId="0" fillId="0" borderId="29" xfId="0" applyFill="1" applyBorder="1"/>
    <xf numFmtId="0" fontId="8" fillId="0" borderId="0" xfId="3" applyFont="1" applyFill="1"/>
    <xf numFmtId="0" fontId="25" fillId="0" borderId="0" xfId="3" applyFill="1" applyBorder="1"/>
    <xf numFmtId="0" fontId="4" fillId="0" borderId="0" xfId="0" applyFont="1" applyFill="1"/>
    <xf numFmtId="167" fontId="0" fillId="0" borderId="13" xfId="0" applyNumberFormat="1" applyBorder="1" applyAlignment="1">
      <alignment horizontal="center"/>
    </xf>
    <xf numFmtId="167" fontId="0" fillId="0" borderId="0" xfId="0" applyNumberFormat="1" applyBorder="1" applyAlignment="1">
      <alignment horizontal="center"/>
    </xf>
    <xf numFmtId="3" fontId="1" fillId="0" borderId="13" xfId="0" applyNumberFormat="1" applyFont="1" applyFill="1" applyBorder="1" applyAlignment="1">
      <alignment horizontal="center"/>
    </xf>
    <xf numFmtId="165" fontId="25" fillId="0" borderId="0" xfId="3" applyNumberFormat="1" applyAlignment="1">
      <alignment horizontal="center"/>
    </xf>
    <xf numFmtId="3" fontId="0" fillId="0" borderId="13" xfId="0" applyNumberFormat="1" applyBorder="1" applyAlignment="1">
      <alignment horizontal="center"/>
    </xf>
    <xf numFmtId="3" fontId="1" fillId="0" borderId="13" xfId="0" applyNumberFormat="1" applyFont="1" applyFill="1" applyBorder="1" applyAlignment="1">
      <alignment horizontal="center"/>
    </xf>
    <xf numFmtId="3" fontId="5" fillId="0" borderId="25" xfId="0" applyNumberFormat="1" applyFont="1" applyBorder="1" applyAlignment="1">
      <alignment horizontal="center"/>
    </xf>
    <xf numFmtId="165" fontId="5" fillId="0" borderId="25" xfId="2" applyNumberFormat="1" applyFont="1" applyBorder="1" applyAlignment="1">
      <alignment horizontal="center"/>
    </xf>
    <xf numFmtId="3" fontId="1" fillId="0" borderId="13" xfId="0" applyNumberFormat="1" applyFont="1" applyFill="1" applyBorder="1" applyAlignment="1">
      <alignment horizontal="center"/>
    </xf>
    <xf numFmtId="167" fontId="5" fillId="0" borderId="25" xfId="0" applyNumberFormat="1" applyFont="1" applyBorder="1" applyAlignment="1">
      <alignment horizontal="center"/>
    </xf>
    <xf numFmtId="0" fontId="0" fillId="7" borderId="4" xfId="0" applyFill="1" applyBorder="1"/>
    <xf numFmtId="3" fontId="0" fillId="0" borderId="13" xfId="0" applyNumberFormat="1" applyFill="1" applyBorder="1" applyAlignment="1">
      <alignment horizontal="center"/>
    </xf>
    <xf numFmtId="3" fontId="4" fillId="6" borderId="27" xfId="0" applyNumberFormat="1" applyFont="1" applyFill="1" applyBorder="1" applyAlignment="1">
      <alignment horizontal="center"/>
    </xf>
    <xf numFmtId="3" fontId="4" fillId="6" borderId="11" xfId="0" applyNumberFormat="1" applyFont="1" applyFill="1" applyBorder="1" applyAlignment="1">
      <alignment horizontal="center"/>
    </xf>
    <xf numFmtId="3" fontId="4" fillId="6" borderId="10" xfId="0" applyNumberFormat="1" applyFont="1" applyFill="1" applyBorder="1" applyAlignment="1">
      <alignment horizontal="center"/>
    </xf>
    <xf numFmtId="164" fontId="17" fillId="6" borderId="10" xfId="0" applyNumberFormat="1" applyFont="1" applyFill="1" applyBorder="1" applyAlignment="1">
      <alignment horizontal="center"/>
    </xf>
    <xf numFmtId="164" fontId="17" fillId="6" borderId="12" xfId="0" applyNumberFormat="1" applyFont="1" applyFill="1" applyBorder="1" applyAlignment="1">
      <alignment horizontal="center"/>
    </xf>
    <xf numFmtId="0" fontId="6" fillId="0" borderId="0" xfId="0" applyFont="1" applyBorder="1" applyAlignment="1">
      <alignment horizontal="center"/>
    </xf>
    <xf numFmtId="0" fontId="0" fillId="0" borderId="29" xfId="0" applyBorder="1" applyAlignment="1">
      <alignment horizontal="center"/>
    </xf>
    <xf numFmtId="3" fontId="0" fillId="0" borderId="4" xfId="0" applyNumberFormat="1" applyBorder="1" applyAlignment="1">
      <alignment horizontal="center"/>
    </xf>
    <xf numFmtId="3" fontId="0" fillId="0" borderId="13" xfId="0" applyNumberFormat="1" applyBorder="1" applyAlignment="1">
      <alignment horizontal="center"/>
    </xf>
    <xf numFmtId="3" fontId="1" fillId="0" borderId="14" xfId="0" applyNumberFormat="1" applyFont="1" applyBorder="1" applyAlignment="1">
      <alignment horizontal="center"/>
    </xf>
    <xf numFmtId="3" fontId="1" fillId="0" borderId="13" xfId="0" applyNumberFormat="1" applyFont="1" applyBorder="1" applyAlignment="1">
      <alignment horizontal="center"/>
    </xf>
    <xf numFmtId="3" fontId="25" fillId="0" borderId="0" xfId="3" applyNumberFormat="1" applyBorder="1" applyAlignment="1">
      <alignment horizontal="center"/>
    </xf>
    <xf numFmtId="3" fontId="25" fillId="0" borderId="13" xfId="3" applyNumberFormat="1" applyBorder="1" applyAlignment="1">
      <alignment horizontal="center"/>
    </xf>
    <xf numFmtId="164" fontId="1" fillId="0" borderId="14" xfId="0" applyNumberFormat="1" applyFont="1" applyFill="1" applyBorder="1" applyAlignment="1">
      <alignment horizontal="center"/>
    </xf>
    <xf numFmtId="164" fontId="1" fillId="0" borderId="20" xfId="0" applyNumberFormat="1" applyFont="1" applyFill="1" applyBorder="1" applyAlignment="1">
      <alignment horizontal="center"/>
    </xf>
    <xf numFmtId="3" fontId="0" fillId="0" borderId="5" xfId="0" applyNumberFormat="1" applyBorder="1" applyAlignment="1">
      <alignment horizontal="center"/>
    </xf>
    <xf numFmtId="3" fontId="0" fillId="0" borderId="21" xfId="0" applyNumberFormat="1" applyBorder="1" applyAlignment="1">
      <alignment horizontal="center"/>
    </xf>
    <xf numFmtId="3" fontId="0" fillId="0" borderId="14" xfId="0" applyNumberFormat="1" applyBorder="1" applyAlignment="1">
      <alignment horizontal="center"/>
    </xf>
    <xf numFmtId="3" fontId="0" fillId="0" borderId="0" xfId="0" applyNumberFormat="1" applyFill="1" applyBorder="1" applyAlignment="1">
      <alignment horizontal="center"/>
    </xf>
    <xf numFmtId="3" fontId="0" fillId="0" borderId="13" xfId="0" applyNumberFormat="1" applyFill="1" applyBorder="1" applyAlignment="1">
      <alignment horizontal="center"/>
    </xf>
    <xf numFmtId="3" fontId="8" fillId="12" borderId="9" xfId="0" applyNumberFormat="1" applyFont="1" applyFill="1" applyBorder="1" applyAlignment="1">
      <alignment horizontal="center"/>
    </xf>
    <xf numFmtId="3" fontId="0" fillId="0" borderId="4" xfId="0" applyNumberFormat="1" applyFill="1" applyBorder="1" applyAlignment="1">
      <alignment horizontal="center"/>
    </xf>
    <xf numFmtId="3" fontId="0" fillId="0" borderId="6" xfId="0" applyNumberFormat="1" applyFill="1" applyBorder="1" applyAlignment="1">
      <alignment horizontal="center"/>
    </xf>
    <xf numFmtId="3" fontId="0" fillId="0" borderId="21" xfId="0" applyNumberFormat="1" applyFill="1" applyBorder="1" applyAlignment="1">
      <alignment horizontal="center"/>
    </xf>
    <xf numFmtId="3" fontId="5" fillId="0" borderId="27" xfId="0" applyNumberFormat="1" applyFont="1" applyBorder="1" applyAlignment="1">
      <alignment horizontal="center"/>
    </xf>
    <xf numFmtId="3" fontId="5" fillId="0" borderId="11" xfId="0" applyNumberFormat="1" applyFont="1" applyBorder="1" applyAlignment="1">
      <alignment horizontal="center"/>
    </xf>
    <xf numFmtId="3" fontId="5" fillId="0" borderId="9" xfId="0" applyNumberFormat="1" applyFont="1" applyBorder="1" applyAlignment="1">
      <alignment horizontal="center"/>
    </xf>
    <xf numFmtId="3" fontId="5" fillId="0" borderId="10" xfId="0" applyNumberFormat="1" applyFont="1" applyBorder="1" applyAlignment="1">
      <alignment horizontal="center"/>
    </xf>
    <xf numFmtId="164" fontId="16" fillId="0" borderId="10" xfId="0" applyNumberFormat="1" applyFont="1" applyFill="1" applyBorder="1" applyAlignment="1">
      <alignment horizontal="center"/>
    </xf>
    <xf numFmtId="164" fontId="16" fillId="0" borderId="12" xfId="0" applyNumberFormat="1" applyFont="1" applyFill="1" applyBorder="1" applyAlignment="1">
      <alignment horizontal="center"/>
    </xf>
    <xf numFmtId="3" fontId="0" fillId="0" borderId="0" xfId="0" applyNumberFormat="1" applyBorder="1" applyAlignment="1">
      <alignment horizontal="center"/>
    </xf>
    <xf numFmtId="3" fontId="0" fillId="3" borderId="0" xfId="0" applyNumberFormat="1" applyFill="1" applyBorder="1" applyAlignment="1">
      <alignment horizontal="center"/>
    </xf>
    <xf numFmtId="3" fontId="0" fillId="3" borderId="13" xfId="0" applyNumberFormat="1" applyFill="1" applyBorder="1" applyAlignment="1">
      <alignment horizontal="center"/>
    </xf>
    <xf numFmtId="3" fontId="1" fillId="0" borderId="14" xfId="0" applyNumberFormat="1" applyFont="1" applyFill="1" applyBorder="1" applyAlignment="1">
      <alignment horizontal="center"/>
    </xf>
    <xf numFmtId="3" fontId="1" fillId="0" borderId="13" xfId="0" applyNumberFormat="1" applyFont="1" applyFill="1" applyBorder="1" applyAlignment="1">
      <alignment horizontal="center"/>
    </xf>
    <xf numFmtId="4" fontId="0" fillId="0" borderId="0" xfId="0" applyNumberFormat="1" applyBorder="1" applyAlignment="1">
      <alignment horizontal="center"/>
    </xf>
    <xf numFmtId="4" fontId="0" fillId="0" borderId="13" xfId="0" applyNumberFormat="1" applyBorder="1" applyAlignment="1">
      <alignment horizontal="center"/>
    </xf>
    <xf numFmtId="3" fontId="1" fillId="0" borderId="0" xfId="0" applyNumberFormat="1" applyFont="1" applyFill="1" applyBorder="1" applyAlignment="1">
      <alignment horizontal="center"/>
    </xf>
    <xf numFmtId="3" fontId="5" fillId="0" borderId="2" xfId="0" applyNumberFormat="1" applyFont="1" applyBorder="1" applyAlignment="1">
      <alignment horizontal="center"/>
    </xf>
    <xf numFmtId="3" fontId="5" fillId="0" borderId="25" xfId="0" applyNumberFormat="1" applyFont="1" applyBorder="1" applyAlignment="1">
      <alignment horizontal="center"/>
    </xf>
    <xf numFmtId="164" fontId="1" fillId="0" borderId="9" xfId="0" applyNumberFormat="1" applyFont="1" applyBorder="1" applyAlignment="1">
      <alignment horizontal="center"/>
    </xf>
    <xf numFmtId="164" fontId="1" fillId="0" borderId="12" xfId="0" applyNumberFormat="1" applyFont="1" applyBorder="1" applyAlignment="1">
      <alignment horizontal="center"/>
    </xf>
    <xf numFmtId="3" fontId="8" fillId="6" borderId="27" xfId="0" applyNumberFormat="1" applyFont="1" applyFill="1" applyBorder="1" applyAlignment="1">
      <alignment horizontal="center"/>
    </xf>
    <xf numFmtId="3" fontId="8" fillId="6" borderId="9" xfId="0" applyNumberFormat="1" applyFont="1" applyFill="1" applyBorder="1" applyAlignment="1">
      <alignment horizontal="center"/>
    </xf>
    <xf numFmtId="3" fontId="1" fillId="0" borderId="31" xfId="0" applyNumberFormat="1" applyFont="1" applyFill="1" applyBorder="1" applyAlignment="1">
      <alignment horizontal="center"/>
    </xf>
    <xf numFmtId="3" fontId="1" fillId="0" borderId="21" xfId="0" applyNumberFormat="1" applyFont="1" applyFill="1" applyBorder="1" applyAlignment="1">
      <alignment horizontal="center"/>
    </xf>
    <xf numFmtId="3" fontId="25" fillId="0" borderId="14" xfId="3" applyNumberFormat="1" applyFill="1" applyBorder="1" applyAlignment="1">
      <alignment horizontal="center"/>
    </xf>
    <xf numFmtId="3" fontId="25" fillId="0" borderId="13" xfId="3" applyNumberFormat="1" applyFill="1" applyBorder="1" applyAlignment="1">
      <alignment horizontal="center"/>
    </xf>
    <xf numFmtId="3" fontId="0" fillId="0" borderId="5" xfId="0" applyNumberFormat="1" applyFill="1" applyBorder="1" applyAlignment="1">
      <alignment horizontal="center"/>
    </xf>
    <xf numFmtId="3" fontId="0" fillId="0" borderId="33" xfId="0" applyNumberFormat="1" applyFill="1" applyBorder="1" applyAlignment="1">
      <alignment horizontal="center"/>
    </xf>
    <xf numFmtId="3" fontId="0" fillId="0" borderId="34" xfId="0" applyNumberFormat="1" applyFill="1" applyBorder="1" applyAlignment="1">
      <alignment horizontal="center"/>
    </xf>
    <xf numFmtId="3" fontId="0" fillId="0" borderId="1" xfId="0" applyNumberFormat="1" applyFill="1" applyBorder="1" applyAlignment="1">
      <alignment horizontal="center"/>
    </xf>
    <xf numFmtId="3" fontId="0" fillId="0" borderId="25" xfId="0" applyNumberFormat="1" applyFill="1" applyBorder="1" applyAlignment="1">
      <alignment horizontal="center"/>
    </xf>
    <xf numFmtId="3" fontId="0" fillId="0" borderId="14" xfId="0" applyNumberFormat="1" applyFill="1" applyBorder="1" applyAlignment="1">
      <alignment horizontal="center"/>
    </xf>
    <xf numFmtId="0" fontId="8" fillId="0" borderId="30" xfId="0" applyFont="1" applyBorder="1" applyAlignment="1">
      <alignment horizontal="center"/>
    </xf>
    <xf numFmtId="0" fontId="8" fillId="0" borderId="0" xfId="0" applyFont="1" applyBorder="1" applyAlignment="1">
      <alignment horizontal="center"/>
    </xf>
    <xf numFmtId="1" fontId="8" fillId="0" borderId="0" xfId="0" applyNumberFormat="1" applyFont="1" applyBorder="1" applyAlignment="1">
      <alignment horizontal="center"/>
    </xf>
    <xf numFmtId="0" fontId="8" fillId="0" borderId="0" xfId="0" applyFont="1" applyBorder="1" applyAlignment="1">
      <alignment horizontal="center" wrapText="1"/>
    </xf>
    <xf numFmtId="0" fontId="8" fillId="0" borderId="20" xfId="0" applyFont="1" applyBorder="1" applyAlignment="1">
      <alignment horizontal="center" wrapText="1"/>
    </xf>
    <xf numFmtId="0" fontId="8" fillId="0" borderId="6" xfId="0" applyFont="1" applyBorder="1" applyAlignment="1">
      <alignment horizontal="center"/>
    </xf>
    <xf numFmtId="1" fontId="8" fillId="0" borderId="6" xfId="0" applyNumberFormat="1" applyFont="1" applyBorder="1" applyAlignment="1">
      <alignment horizontal="center"/>
    </xf>
    <xf numFmtId="0" fontId="8" fillId="0" borderId="19" xfId="0" applyFont="1" applyBorder="1" applyAlignment="1">
      <alignment horizontal="center"/>
    </xf>
    <xf numFmtId="0" fontId="0" fillId="0" borderId="27" xfId="0" applyBorder="1" applyAlignment="1"/>
    <xf numFmtId="0" fontId="0" fillId="0" borderId="11" xfId="0" applyBorder="1" applyAlignment="1"/>
    <xf numFmtId="3" fontId="0" fillId="0" borderId="10" xfId="0" applyNumberFormat="1" applyBorder="1" applyAlignment="1"/>
    <xf numFmtId="3" fontId="0" fillId="0" borderId="11" xfId="0" applyNumberFormat="1" applyBorder="1" applyAlignment="1"/>
    <xf numFmtId="1" fontId="0" fillId="0" borderId="10" xfId="0" applyNumberFormat="1" applyBorder="1" applyAlignment="1"/>
    <xf numFmtId="1" fontId="0" fillId="0" borderId="11" xfId="0" applyNumberFormat="1" applyBorder="1" applyAlignment="1"/>
    <xf numFmtId="0" fontId="1" fillId="0" borderId="10" xfId="0" applyFont="1" applyBorder="1" applyAlignment="1"/>
    <xf numFmtId="0" fontId="1" fillId="0" borderId="12" xfId="0" applyFont="1" applyBorder="1" applyAlignment="1"/>
    <xf numFmtId="1" fontId="8" fillId="6" borderId="9" xfId="0" applyNumberFormat="1" applyFont="1" applyFill="1" applyBorder="1" applyAlignment="1">
      <alignment horizontal="center"/>
    </xf>
    <xf numFmtId="164" fontId="8" fillId="6" borderId="9" xfId="0" applyNumberFormat="1" applyFont="1" applyFill="1" applyBorder="1" applyAlignment="1">
      <alignment horizontal="center"/>
    </xf>
    <xf numFmtId="164" fontId="8" fillId="6" borderId="12" xfId="0" applyNumberFormat="1" applyFont="1" applyFill="1" applyBorder="1" applyAlignment="1">
      <alignment horizontal="center"/>
    </xf>
    <xf numFmtId="1" fontId="4" fillId="6" borderId="10" xfId="0" applyNumberFormat="1" applyFont="1" applyFill="1" applyBorder="1" applyAlignment="1">
      <alignment horizontal="center"/>
    </xf>
    <xf numFmtId="1" fontId="4" fillId="6" borderId="11" xfId="0" applyNumberFormat="1" applyFont="1" applyFill="1" applyBorder="1" applyAlignment="1">
      <alignment horizontal="center"/>
    </xf>
    <xf numFmtId="0" fontId="1" fillId="0" borderId="0" xfId="0" applyFont="1" applyBorder="1" applyAlignment="1">
      <alignment horizontal="center"/>
    </xf>
    <xf numFmtId="0" fontId="1" fillId="0" borderId="29" xfId="0" applyFont="1" applyBorder="1" applyAlignment="1">
      <alignment horizontal="center" wrapText="1"/>
    </xf>
    <xf numFmtId="3" fontId="25" fillId="0" borderId="4" xfId="3" applyNumberFormat="1" applyBorder="1" applyAlignment="1">
      <alignment horizontal="center"/>
    </xf>
    <xf numFmtId="3" fontId="1" fillId="0" borderId="14" xfId="3" applyNumberFormat="1" applyFont="1" applyBorder="1" applyAlignment="1">
      <alignment horizontal="center"/>
    </xf>
    <xf numFmtId="3" fontId="1" fillId="0" borderId="13" xfId="3" applyNumberFormat="1" applyFont="1" applyBorder="1" applyAlignment="1">
      <alignment horizontal="center"/>
    </xf>
    <xf numFmtId="3" fontId="1" fillId="0" borderId="0" xfId="3" applyNumberFormat="1" applyFont="1" applyFill="1" applyBorder="1" applyAlignment="1">
      <alignment horizontal="center"/>
    </xf>
    <xf numFmtId="3" fontId="1" fillId="0" borderId="13" xfId="3" applyNumberFormat="1" applyFont="1" applyFill="1" applyBorder="1" applyAlignment="1">
      <alignment horizontal="center"/>
    </xf>
    <xf numFmtId="164" fontId="1" fillId="0" borderId="14" xfId="3" applyNumberFormat="1" applyFont="1" applyBorder="1" applyAlignment="1">
      <alignment horizontal="center"/>
    </xf>
    <xf numFmtId="164" fontId="1" fillId="0" borderId="20" xfId="3" applyNumberFormat="1" applyFont="1" applyBorder="1" applyAlignment="1">
      <alignment horizontal="center"/>
    </xf>
    <xf numFmtId="3" fontId="1" fillId="3" borderId="0" xfId="3" applyNumberFormat="1" applyFont="1" applyFill="1" applyBorder="1" applyAlignment="1">
      <alignment horizontal="center"/>
    </xf>
    <xf numFmtId="3" fontId="1" fillId="3" borderId="13" xfId="3" applyNumberFormat="1" applyFont="1" applyFill="1" applyBorder="1" applyAlignment="1">
      <alignment horizontal="center"/>
    </xf>
    <xf numFmtId="3" fontId="25" fillId="0" borderId="14" xfId="3" applyNumberFormat="1" applyBorder="1" applyAlignment="1">
      <alignment horizontal="center"/>
    </xf>
    <xf numFmtId="3" fontId="25" fillId="0" borderId="0" xfId="3" applyNumberFormat="1" applyFill="1" applyBorder="1" applyAlignment="1">
      <alignment horizontal="center"/>
    </xf>
    <xf numFmtId="3" fontId="8" fillId="6" borderId="9" xfId="3" applyNumberFormat="1" applyFont="1" applyFill="1" applyBorder="1" applyAlignment="1">
      <alignment horizontal="center"/>
    </xf>
    <xf numFmtId="3" fontId="25" fillId="0" borderId="4" xfId="3" applyNumberFormat="1" applyFill="1" applyBorder="1" applyAlignment="1">
      <alignment horizontal="center"/>
    </xf>
    <xf numFmtId="3" fontId="25" fillId="0" borderId="6" xfId="3" applyNumberFormat="1" applyFill="1" applyBorder="1" applyAlignment="1">
      <alignment horizontal="center"/>
    </xf>
    <xf numFmtId="3" fontId="25" fillId="0" borderId="21" xfId="3" applyNumberFormat="1" applyFill="1" applyBorder="1" applyAlignment="1">
      <alignment horizontal="center"/>
    </xf>
    <xf numFmtId="3" fontId="25" fillId="0" borderId="31" xfId="3" applyNumberFormat="1" applyFill="1" applyBorder="1" applyAlignment="1">
      <alignment horizontal="center"/>
    </xf>
    <xf numFmtId="164" fontId="1" fillId="0" borderId="14" xfId="3" applyNumberFormat="1" applyFont="1" applyFill="1" applyBorder="1" applyAlignment="1">
      <alignment horizontal="center"/>
    </xf>
    <xf numFmtId="164" fontId="1" fillId="0" borderId="20" xfId="3" applyNumberFormat="1" applyFont="1" applyFill="1" applyBorder="1" applyAlignment="1">
      <alignment horizontal="center"/>
    </xf>
    <xf numFmtId="3" fontId="25" fillId="3" borderId="0" xfId="3" applyNumberFormat="1" applyFill="1" applyBorder="1" applyAlignment="1">
      <alignment horizontal="center"/>
    </xf>
    <xf numFmtId="3" fontId="25" fillId="3" borderId="13" xfId="3" applyNumberFormat="1" applyFill="1" applyBorder="1" applyAlignment="1">
      <alignment horizontal="center"/>
    </xf>
    <xf numFmtId="1" fontId="5" fillId="0" borderId="10" xfId="0" applyNumberFormat="1" applyFont="1" applyBorder="1" applyAlignment="1">
      <alignment horizontal="center"/>
    </xf>
    <xf numFmtId="1" fontId="5" fillId="0" borderId="9" xfId="0" applyNumberFormat="1" applyFont="1" applyBorder="1" applyAlignment="1">
      <alignment horizontal="center"/>
    </xf>
    <xf numFmtId="4" fontId="25" fillId="0" borderId="0" xfId="3" applyNumberFormat="1" applyBorder="1" applyAlignment="1">
      <alignment horizontal="center"/>
    </xf>
    <xf numFmtId="4" fontId="25" fillId="0" borderId="13" xfId="3" applyNumberFormat="1" applyBorder="1" applyAlignment="1">
      <alignment horizontal="center"/>
    </xf>
    <xf numFmtId="3" fontId="1" fillId="0" borderId="14" xfId="3" applyNumberFormat="1" applyFont="1" applyFill="1" applyBorder="1" applyAlignment="1">
      <alignment horizontal="center"/>
    </xf>
    <xf numFmtId="3" fontId="1" fillId="0" borderId="31" xfId="3" applyNumberFormat="1" applyFont="1" applyFill="1" applyBorder="1" applyAlignment="1">
      <alignment horizontal="center"/>
    </xf>
    <xf numFmtId="3" fontId="1" fillId="0" borderId="21" xfId="3" applyNumberFormat="1" applyFont="1" applyFill="1" applyBorder="1" applyAlignment="1">
      <alignment horizontal="center"/>
    </xf>
    <xf numFmtId="3" fontId="1" fillId="0" borderId="6" xfId="3" applyNumberFormat="1" applyFont="1" applyFill="1" applyBorder="1" applyAlignment="1">
      <alignment horizontal="center"/>
    </xf>
    <xf numFmtId="3" fontId="5" fillId="0" borderId="2" xfId="3" applyNumberFormat="1" applyFont="1" applyBorder="1" applyAlignment="1">
      <alignment horizontal="center"/>
    </xf>
    <xf numFmtId="3" fontId="5" fillId="0" borderId="25" xfId="3" applyNumberFormat="1" applyFont="1" applyBorder="1" applyAlignment="1">
      <alignment horizontal="center"/>
    </xf>
    <xf numFmtId="3" fontId="5" fillId="0" borderId="32" xfId="3" applyNumberFormat="1" applyFont="1" applyBorder="1" applyAlignment="1">
      <alignment horizontal="center"/>
    </xf>
    <xf numFmtId="164" fontId="1" fillId="0" borderId="9" xfId="3" applyNumberFormat="1" applyFont="1" applyBorder="1" applyAlignment="1">
      <alignment horizontal="center"/>
    </xf>
    <xf numFmtId="164" fontId="1" fillId="0" borderId="12" xfId="3" applyNumberFormat="1" applyFont="1" applyBorder="1" applyAlignment="1">
      <alignment horizontal="center"/>
    </xf>
    <xf numFmtId="3" fontId="8" fillId="6" borderId="27" xfId="3" applyNumberFormat="1" applyFont="1" applyFill="1" applyBorder="1" applyAlignment="1">
      <alignment horizontal="center"/>
    </xf>
    <xf numFmtId="0" fontId="8" fillId="0" borderId="14" xfId="0" applyFont="1" applyBorder="1" applyAlignment="1">
      <alignment horizontal="center"/>
    </xf>
    <xf numFmtId="0" fontId="8" fillId="0" borderId="20" xfId="0" applyFont="1" applyBorder="1" applyAlignment="1">
      <alignment horizontal="center"/>
    </xf>
    <xf numFmtId="0" fontId="8" fillId="0" borderId="31" xfId="0" applyFont="1" applyBorder="1" applyAlignment="1">
      <alignment horizontal="center"/>
    </xf>
    <xf numFmtId="0" fontId="8" fillId="0" borderId="1" xfId="0" applyFont="1" applyBorder="1" applyAlignment="1"/>
    <xf numFmtId="0" fontId="8" fillId="0" borderId="25" xfId="0" applyFont="1" applyBorder="1" applyAlignment="1"/>
    <xf numFmtId="3" fontId="8" fillId="0" borderId="32" xfId="0" applyNumberFormat="1" applyFont="1" applyBorder="1" applyAlignment="1"/>
    <xf numFmtId="3" fontId="8" fillId="0" borderId="25" xfId="0" applyNumberFormat="1" applyFont="1" applyBorder="1" applyAlignment="1"/>
    <xf numFmtId="1" fontId="8" fillId="0" borderId="32" xfId="0" applyNumberFormat="1" applyFont="1" applyBorder="1" applyAlignment="1"/>
    <xf numFmtId="1" fontId="8" fillId="0" borderId="25" xfId="0" applyNumberFormat="1" applyFont="1" applyBorder="1" applyAlignment="1"/>
    <xf numFmtId="0" fontId="8" fillId="0" borderId="32" xfId="0" applyFont="1" applyBorder="1" applyAlignment="1"/>
    <xf numFmtId="0" fontId="8" fillId="0" borderId="3" xfId="0" applyFont="1" applyBorder="1" applyAlignment="1"/>
    <xf numFmtId="3" fontId="1" fillId="0" borderId="0" xfId="0" applyNumberFormat="1" applyFont="1" applyBorder="1" applyAlignment="1">
      <alignment horizontal="center"/>
    </xf>
    <xf numFmtId="1" fontId="1" fillId="0" borderId="14" xfId="0" applyNumberFormat="1" applyFont="1" applyFill="1" applyBorder="1" applyAlignment="1">
      <alignment horizontal="center"/>
    </xf>
    <xf numFmtId="1" fontId="1" fillId="0" borderId="13" xfId="0" applyNumberFormat="1" applyFont="1" applyFill="1" applyBorder="1" applyAlignment="1">
      <alignment horizontal="center"/>
    </xf>
    <xf numFmtId="164" fontId="1" fillId="0" borderId="14" xfId="0" applyNumberFormat="1" applyFont="1" applyBorder="1" applyAlignment="1">
      <alignment horizontal="center"/>
    </xf>
    <xf numFmtId="164" fontId="1" fillId="0" borderId="20" xfId="0" applyNumberFormat="1" applyFont="1" applyBorder="1" applyAlignment="1">
      <alignment horizontal="center"/>
    </xf>
    <xf numFmtId="164" fontId="14" fillId="6" borderId="9" xfId="0" applyNumberFormat="1" applyFont="1" applyFill="1" applyBorder="1" applyAlignment="1">
      <alignment horizontal="center"/>
    </xf>
    <xf numFmtId="164" fontId="14" fillId="6" borderId="12" xfId="0" applyNumberFormat="1" applyFont="1" applyFill="1" applyBorder="1" applyAlignment="1">
      <alignment horizontal="center"/>
    </xf>
    <xf numFmtId="3" fontId="1" fillId="0" borderId="31" xfId="0" applyNumberFormat="1" applyFont="1" applyBorder="1" applyAlignment="1">
      <alignment horizontal="center"/>
    </xf>
    <xf numFmtId="3" fontId="1" fillId="0" borderId="21" xfId="0" applyNumberFormat="1" applyFont="1" applyBorder="1" applyAlignment="1">
      <alignment horizontal="center"/>
    </xf>
    <xf numFmtId="1" fontId="1" fillId="0" borderId="31" xfId="0" applyNumberFormat="1" applyFont="1" applyBorder="1" applyAlignment="1">
      <alignment horizontal="center"/>
    </xf>
    <xf numFmtId="1" fontId="1" fillId="0" borderId="21" xfId="0" applyNumberFormat="1" applyFont="1" applyBorder="1" applyAlignment="1">
      <alignment horizontal="center"/>
    </xf>
    <xf numFmtId="1" fontId="1" fillId="0" borderId="14" xfId="0" applyNumberFormat="1" applyFont="1" applyBorder="1" applyAlignment="1">
      <alignment horizontal="center"/>
    </xf>
    <xf numFmtId="1" fontId="1" fillId="0" borderId="13" xfId="0" applyNumberFormat="1" applyFont="1" applyBorder="1" applyAlignment="1">
      <alignment horizontal="center"/>
    </xf>
    <xf numFmtId="2" fontId="1" fillId="0" borderId="14" xfId="0" applyNumberFormat="1" applyFont="1" applyBorder="1" applyAlignment="1">
      <alignment horizontal="center"/>
    </xf>
    <xf numFmtId="2" fontId="1" fillId="0" borderId="13" xfId="0" applyNumberFormat="1" applyFont="1" applyBorder="1" applyAlignment="1">
      <alignment horizontal="center"/>
    </xf>
    <xf numFmtId="2" fontId="1" fillId="0" borderId="6" xfId="0" applyNumberFormat="1" applyFont="1" applyFill="1" applyBorder="1" applyAlignment="1">
      <alignment horizontal="center"/>
    </xf>
    <xf numFmtId="2" fontId="1" fillId="0" borderId="21" xfId="0" applyNumberFormat="1" applyFont="1" applyFill="1" applyBorder="1" applyAlignment="1">
      <alignment horizontal="center"/>
    </xf>
    <xf numFmtId="1" fontId="5" fillId="0" borderId="32" xfId="0" applyNumberFormat="1" applyFont="1" applyBorder="1" applyAlignment="1">
      <alignment horizontal="center"/>
    </xf>
    <xf numFmtId="1" fontId="5" fillId="0" borderId="25" xfId="0" applyNumberFormat="1" applyFont="1" applyBorder="1" applyAlignment="1">
      <alignment horizontal="center"/>
    </xf>
    <xf numFmtId="3" fontId="4" fillId="0" borderId="32" xfId="0" applyNumberFormat="1" applyFont="1" applyBorder="1" applyAlignment="1">
      <alignment horizontal="center"/>
    </xf>
    <xf numFmtId="3" fontId="4" fillId="0" borderId="3" xfId="0" applyNumberFormat="1" applyFont="1" applyBorder="1" applyAlignment="1">
      <alignment horizontal="center"/>
    </xf>
    <xf numFmtId="2" fontId="1" fillId="0" borderId="14" xfId="0" applyNumberFormat="1" applyFont="1" applyFill="1" applyBorder="1" applyAlignment="1">
      <alignment horizontal="center"/>
    </xf>
    <xf numFmtId="2" fontId="1" fillId="0" borderId="13" xfId="0" applyNumberFormat="1" applyFont="1" applyFill="1" applyBorder="1" applyAlignment="1">
      <alignment horizontal="center"/>
    </xf>
    <xf numFmtId="0" fontId="1" fillId="0" borderId="29" xfId="0" applyFont="1" applyBorder="1" applyAlignment="1">
      <alignment horizontal="center"/>
    </xf>
    <xf numFmtId="3" fontId="1" fillId="0" borderId="5" xfId="0" applyNumberFormat="1" applyFont="1" applyBorder="1" applyAlignment="1">
      <alignment horizontal="center"/>
    </xf>
    <xf numFmtId="164" fontId="1" fillId="0" borderId="31" xfId="0" applyNumberFormat="1" applyFont="1" applyBorder="1" applyAlignment="1">
      <alignment horizontal="center"/>
    </xf>
    <xf numFmtId="164" fontId="1" fillId="0" borderId="19" xfId="0" applyNumberFormat="1" applyFont="1" applyBorder="1" applyAlignment="1">
      <alignment horizontal="center"/>
    </xf>
    <xf numFmtId="3" fontId="1" fillId="0" borderId="4" xfId="0" applyNumberFormat="1" applyFont="1" applyBorder="1" applyAlignment="1">
      <alignment horizontal="center"/>
    </xf>
    <xf numFmtId="3" fontId="5" fillId="0" borderId="1" xfId="0" applyNumberFormat="1" applyFont="1" applyBorder="1" applyAlignment="1">
      <alignment horizontal="center"/>
    </xf>
    <xf numFmtId="0" fontId="8" fillId="0" borderId="28" xfId="0" applyFont="1" applyBorder="1" applyAlignment="1">
      <alignment horizontal="center"/>
    </xf>
    <xf numFmtId="0" fontId="1" fillId="0" borderId="28" xfId="0" applyFont="1" applyBorder="1" applyAlignment="1">
      <alignment horizontal="center"/>
    </xf>
    <xf numFmtId="3" fontId="8" fillId="6" borderId="10" xfId="0" applyNumberFormat="1" applyFont="1" applyFill="1" applyBorder="1" applyAlignment="1">
      <alignment horizontal="center"/>
    </xf>
    <xf numFmtId="1" fontId="8" fillId="6" borderId="42" xfId="0" applyNumberFormat="1" applyFont="1" applyFill="1" applyBorder="1" applyAlignment="1">
      <alignment horizontal="center"/>
    </xf>
    <xf numFmtId="1" fontId="8" fillId="6" borderId="43" xfId="0" applyNumberFormat="1" applyFont="1" applyFill="1" applyBorder="1" applyAlignment="1">
      <alignment horizontal="center"/>
    </xf>
    <xf numFmtId="3" fontId="1" fillId="0" borderId="6" xfId="0" applyNumberFormat="1" applyFont="1" applyBorder="1" applyAlignment="1">
      <alignment horizontal="center"/>
    </xf>
    <xf numFmtId="2" fontId="1" fillId="0" borderId="31" xfId="0" applyNumberFormat="1" applyFont="1" applyBorder="1" applyAlignment="1">
      <alignment horizontal="center"/>
    </xf>
    <xf numFmtId="2" fontId="1" fillId="0" borderId="21" xfId="0" applyNumberFormat="1" applyFont="1" applyBorder="1" applyAlignment="1">
      <alignment horizontal="center"/>
    </xf>
    <xf numFmtId="3" fontId="5" fillId="0" borderId="9" xfId="1" applyNumberFormat="1" applyFont="1" applyBorder="1" applyAlignment="1">
      <alignment horizontal="center"/>
    </xf>
    <xf numFmtId="3" fontId="5" fillId="0" borderId="11" xfId="1" applyNumberFormat="1" applyFont="1" applyBorder="1" applyAlignment="1">
      <alignment horizontal="center"/>
    </xf>
    <xf numFmtId="1" fontId="5" fillId="0" borderId="11" xfId="0" applyNumberFormat="1" applyFont="1" applyBorder="1" applyAlignment="1">
      <alignment horizontal="center"/>
    </xf>
    <xf numFmtId="164" fontId="17" fillId="0" borderId="10" xfId="0" applyNumberFormat="1" applyFont="1" applyFill="1" applyBorder="1" applyAlignment="1">
      <alignment horizontal="center"/>
    </xf>
    <xf numFmtId="164" fontId="17" fillId="0" borderId="12" xfId="0" applyNumberFormat="1" applyFont="1" applyFill="1" applyBorder="1" applyAlignment="1">
      <alignment horizontal="center"/>
    </xf>
    <xf numFmtId="3" fontId="1" fillId="3" borderId="0" xfId="0" applyNumberFormat="1" applyFont="1" applyFill="1" applyBorder="1" applyAlignment="1">
      <alignment horizontal="center"/>
    </xf>
    <xf numFmtId="3" fontId="1" fillId="3" borderId="13" xfId="0" applyNumberFormat="1" applyFont="1" applyFill="1" applyBorder="1" applyAlignment="1">
      <alignment horizontal="center"/>
    </xf>
    <xf numFmtId="2" fontId="1" fillId="3" borderId="14" xfId="0" applyNumberFormat="1" applyFont="1" applyFill="1" applyBorder="1" applyAlignment="1">
      <alignment horizontal="center"/>
    </xf>
    <xf numFmtId="2" fontId="1" fillId="3" borderId="13" xfId="0" applyNumberFormat="1" applyFont="1" applyFill="1" applyBorder="1" applyAlignment="1">
      <alignment horizontal="center"/>
    </xf>
    <xf numFmtId="3" fontId="1" fillId="3" borderId="6" xfId="0" applyNumberFormat="1" applyFont="1" applyFill="1" applyBorder="1" applyAlignment="1">
      <alignment horizontal="center"/>
    </xf>
    <xf numFmtId="3" fontId="1" fillId="3" borderId="21" xfId="0" applyNumberFormat="1" applyFont="1" applyFill="1" applyBorder="1" applyAlignment="1">
      <alignment horizontal="center"/>
    </xf>
    <xf numFmtId="2" fontId="1" fillId="3" borderId="31" xfId="0" applyNumberFormat="1" applyFont="1" applyFill="1" applyBorder="1" applyAlignment="1">
      <alignment horizontal="center"/>
    </xf>
    <xf numFmtId="2" fontId="1" fillId="3" borderId="21" xfId="0" applyNumberFormat="1" applyFont="1" applyFill="1" applyBorder="1" applyAlignment="1">
      <alignment horizontal="center"/>
    </xf>
    <xf numFmtId="3" fontId="8" fillId="6" borderId="11" xfId="0" applyNumberFormat="1" applyFont="1" applyFill="1" applyBorder="1" applyAlignment="1">
      <alignment horizontal="center"/>
    </xf>
    <xf numFmtId="1" fontId="8" fillId="6" borderId="10" xfId="0" applyNumberFormat="1" applyFont="1" applyFill="1" applyBorder="1" applyAlignment="1">
      <alignment horizontal="center"/>
    </xf>
    <xf numFmtId="1" fontId="8" fillId="6" borderId="11" xfId="0" applyNumberFormat="1" applyFont="1" applyFill="1" applyBorder="1" applyAlignment="1">
      <alignment horizontal="center"/>
    </xf>
    <xf numFmtId="164" fontId="8" fillId="6" borderId="42" xfId="0" applyNumberFormat="1" applyFont="1" applyFill="1" applyBorder="1" applyAlignment="1">
      <alignment horizontal="center"/>
    </xf>
    <xf numFmtId="164" fontId="8" fillId="6" borderId="41" xfId="0" applyNumberFormat="1" applyFont="1" applyFill="1" applyBorder="1" applyAlignment="1">
      <alignment horizontal="center"/>
    </xf>
    <xf numFmtId="3" fontId="4" fillId="0" borderId="10" xfId="0" applyNumberFormat="1" applyFont="1" applyBorder="1" applyAlignment="1">
      <alignment horizontal="center"/>
    </xf>
    <xf numFmtId="3" fontId="4" fillId="0" borderId="12" xfId="0" applyNumberFormat="1" applyFont="1" applyBorder="1" applyAlignment="1">
      <alignment horizontal="center"/>
    </xf>
    <xf numFmtId="164" fontId="14" fillId="6" borderId="10" xfId="0" applyNumberFormat="1" applyFont="1" applyFill="1" applyBorder="1" applyAlignment="1">
      <alignment horizontal="center"/>
    </xf>
    <xf numFmtId="3" fontId="1" fillId="0" borderId="1" xfId="0" applyNumberFormat="1" applyFont="1" applyBorder="1" applyAlignment="1">
      <alignment horizontal="center"/>
    </xf>
    <xf numFmtId="3" fontId="1" fillId="0" borderId="25" xfId="0" applyNumberFormat="1" applyFont="1" applyBorder="1" applyAlignment="1">
      <alignment horizontal="center"/>
    </xf>
    <xf numFmtId="3" fontId="1" fillId="0" borderId="2" xfId="0" applyNumberFormat="1" applyFont="1" applyBorder="1" applyAlignment="1">
      <alignment horizontal="center"/>
    </xf>
    <xf numFmtId="1" fontId="1" fillId="0" borderId="32" xfId="0" applyNumberFormat="1" applyFont="1" applyFill="1" applyBorder="1" applyAlignment="1">
      <alignment horizontal="center"/>
    </xf>
    <xf numFmtId="1" fontId="1" fillId="0" borderId="25" xfId="0" applyNumberFormat="1" applyFont="1" applyFill="1" applyBorder="1" applyAlignment="1">
      <alignment horizontal="center"/>
    </xf>
    <xf numFmtId="164" fontId="1" fillId="0" borderId="32" xfId="0" applyNumberFormat="1" applyFont="1" applyBorder="1" applyAlignment="1">
      <alignment horizontal="center"/>
    </xf>
    <xf numFmtId="164" fontId="1" fillId="0" borderId="3" xfId="0" applyNumberFormat="1" applyFont="1" applyBorder="1" applyAlignment="1">
      <alignment horizontal="center"/>
    </xf>
    <xf numFmtId="1" fontId="1" fillId="0" borderId="31" xfId="0" applyNumberFormat="1" applyFont="1" applyFill="1" applyBorder="1" applyAlignment="1">
      <alignment horizontal="center"/>
    </xf>
    <xf numFmtId="1" fontId="1" fillId="0" borderId="21" xfId="0" applyNumberFormat="1" applyFont="1" applyFill="1" applyBorder="1" applyAlignment="1">
      <alignment horizontal="center"/>
    </xf>
    <xf numFmtId="3" fontId="5" fillId="0" borderId="3" xfId="0" applyNumberFormat="1" applyFont="1" applyBorder="1" applyAlignment="1">
      <alignment horizontal="center"/>
    </xf>
    <xf numFmtId="1" fontId="5" fillId="0" borderId="1" xfId="0" applyNumberFormat="1" applyFont="1" applyBorder="1" applyAlignment="1">
      <alignment horizontal="center"/>
    </xf>
    <xf numFmtId="164" fontId="5" fillId="0" borderId="32" xfId="0" applyNumberFormat="1" applyFont="1" applyFill="1" applyBorder="1" applyAlignment="1">
      <alignment horizontal="center"/>
    </xf>
    <xf numFmtId="164" fontId="5" fillId="0" borderId="3" xfId="0" applyNumberFormat="1" applyFont="1" applyFill="1" applyBorder="1" applyAlignment="1">
      <alignment horizontal="center"/>
    </xf>
    <xf numFmtId="3" fontId="5" fillId="0" borderId="9" xfId="0" applyNumberFormat="1" applyFont="1" applyFill="1" applyBorder="1" applyAlignment="1">
      <alignment horizontal="center"/>
    </xf>
    <xf numFmtId="0" fontId="5" fillId="0" borderId="11" xfId="0" applyFont="1" applyFill="1" applyBorder="1" applyAlignment="1">
      <alignment horizontal="center"/>
    </xf>
    <xf numFmtId="0" fontId="5" fillId="0" borderId="11" xfId="0" applyFont="1" applyBorder="1" applyAlignment="1">
      <alignment horizontal="center"/>
    </xf>
    <xf numFmtId="164" fontId="5" fillId="0" borderId="10" xfId="0" applyNumberFormat="1" applyFont="1" applyFill="1" applyBorder="1" applyAlignment="1">
      <alignment horizontal="center"/>
    </xf>
    <xf numFmtId="0" fontId="5" fillId="0" borderId="12" xfId="0" applyFont="1" applyFill="1" applyBorder="1" applyAlignment="1">
      <alignment horizontal="center"/>
    </xf>
    <xf numFmtId="3" fontId="4" fillId="6" borderId="9" xfId="0" applyNumberFormat="1" applyFont="1" applyFill="1" applyBorder="1" applyAlignment="1">
      <alignment horizontal="center"/>
    </xf>
    <xf numFmtId="1" fontId="4" fillId="6" borderId="9" xfId="0" applyNumberFormat="1" applyFont="1" applyFill="1" applyBorder="1" applyAlignment="1">
      <alignment horizontal="center"/>
    </xf>
    <xf numFmtId="0" fontId="17" fillId="6" borderId="12" xfId="0" applyFont="1" applyFill="1" applyBorder="1" applyAlignment="1">
      <alignment horizontal="center"/>
    </xf>
    <xf numFmtId="0" fontId="1" fillId="0" borderId="0" xfId="0" applyFont="1" applyBorder="1" applyAlignment="1"/>
    <xf numFmtId="3" fontId="1" fillId="3" borderId="31" xfId="0" applyNumberFormat="1" applyFont="1" applyFill="1" applyBorder="1" applyAlignment="1">
      <alignment horizontal="center"/>
    </xf>
    <xf numFmtId="164" fontId="8" fillId="6" borderId="10" xfId="0" applyNumberFormat="1" applyFont="1" applyFill="1" applyBorder="1" applyAlignment="1">
      <alignment horizontal="center"/>
    </xf>
    <xf numFmtId="1" fontId="5" fillId="0" borderId="27" xfId="0" applyNumberFormat="1" applyFont="1" applyBorder="1" applyAlignment="1">
      <alignment horizontal="center"/>
    </xf>
    <xf numFmtId="2" fontId="8" fillId="6" borderId="10" xfId="0" applyNumberFormat="1" applyFont="1" applyFill="1" applyBorder="1" applyAlignment="1">
      <alignment horizontal="center"/>
    </xf>
    <xf numFmtId="2" fontId="8" fillId="6" borderId="11" xfId="0" applyNumberFormat="1" applyFont="1" applyFill="1" applyBorder="1" applyAlignment="1">
      <alignment horizontal="center"/>
    </xf>
    <xf numFmtId="0" fontId="5" fillId="0" borderId="9" xfId="0" applyFont="1" applyBorder="1" applyAlignment="1">
      <alignment horizontal="center"/>
    </xf>
    <xf numFmtId="0" fontId="5" fillId="0" borderId="12" xfId="0" applyFont="1" applyBorder="1" applyAlignment="1">
      <alignment horizontal="center"/>
    </xf>
    <xf numFmtId="0" fontId="8" fillId="0" borderId="9" xfId="0" applyFont="1" applyBorder="1" applyAlignment="1"/>
    <xf numFmtId="0" fontId="8" fillId="0" borderId="11" xfId="0" applyFont="1" applyBorder="1" applyAlignment="1"/>
    <xf numFmtId="3" fontId="8" fillId="0" borderId="10" xfId="0" applyNumberFormat="1" applyFont="1" applyBorder="1" applyAlignment="1"/>
    <xf numFmtId="3" fontId="8" fillId="0" borderId="11" xfId="0" applyNumberFormat="1" applyFont="1" applyBorder="1" applyAlignment="1"/>
    <xf numFmtId="1" fontId="8" fillId="0" borderId="10" xfId="0" applyNumberFormat="1" applyFont="1" applyBorder="1" applyAlignment="1"/>
    <xf numFmtId="1" fontId="8" fillId="0" borderId="11" xfId="0" applyNumberFormat="1" applyFont="1" applyBorder="1" applyAlignment="1"/>
    <xf numFmtId="0" fontId="8" fillId="0" borderId="10" xfId="0" applyFont="1" applyBorder="1" applyAlignment="1"/>
    <xf numFmtId="0" fontId="8" fillId="0" borderId="12" xfId="0" applyFont="1" applyBorder="1" applyAlignment="1"/>
    <xf numFmtId="164" fontId="4" fillId="6" borderId="10" xfId="0" applyNumberFormat="1" applyFont="1" applyFill="1" applyBorder="1" applyAlignment="1">
      <alignment horizontal="center"/>
    </xf>
    <xf numFmtId="164" fontId="4" fillId="6" borderId="12" xfId="0" applyNumberFormat="1" applyFont="1" applyFill="1" applyBorder="1" applyAlignment="1">
      <alignment horizontal="center"/>
    </xf>
    <xf numFmtId="2" fontId="1" fillId="0" borderId="0" xfId="0" applyNumberFormat="1" applyFont="1" applyBorder="1" applyAlignment="1">
      <alignment horizontal="center"/>
    </xf>
    <xf numFmtId="164" fontId="1" fillId="0" borderId="0" xfId="0" applyNumberFormat="1" applyFont="1" applyBorder="1" applyAlignment="1">
      <alignment horizontal="center"/>
    </xf>
    <xf numFmtId="2" fontId="1" fillId="0" borderId="0" xfId="0" applyNumberFormat="1" applyFont="1" applyFill="1" applyBorder="1" applyAlignment="1">
      <alignment horizontal="center"/>
    </xf>
    <xf numFmtId="164" fontId="5" fillId="0" borderId="12" xfId="0" applyNumberFormat="1" applyFont="1" applyFill="1" applyBorder="1" applyAlignment="1">
      <alignment horizontal="center"/>
    </xf>
    <xf numFmtId="164" fontId="5" fillId="0" borderId="9" xfId="0" applyNumberFormat="1" applyFont="1" applyFill="1" applyBorder="1" applyAlignment="1">
      <alignment horizontal="center"/>
    </xf>
    <xf numFmtId="164" fontId="1" fillId="0" borderId="6" xfId="0" applyNumberFormat="1" applyFont="1" applyBorder="1" applyAlignment="1">
      <alignment horizontal="center"/>
    </xf>
    <xf numFmtId="164" fontId="4" fillId="6" borderId="9" xfId="0" applyNumberFormat="1" applyFont="1" applyFill="1" applyBorder="1" applyAlignment="1">
      <alignment horizontal="center"/>
    </xf>
    <xf numFmtId="0" fontId="4" fillId="6" borderId="12" xfId="0" applyFont="1" applyFill="1" applyBorder="1" applyAlignment="1">
      <alignment horizontal="center"/>
    </xf>
    <xf numFmtId="0" fontId="1" fillId="0" borderId="28" xfId="0" applyFont="1" applyBorder="1" applyAlignment="1"/>
    <xf numFmtId="1" fontId="1" fillId="0" borderId="0" xfId="0" applyNumberFormat="1" applyFont="1" applyBorder="1" applyAlignment="1">
      <alignment horizontal="center"/>
    </xf>
    <xf numFmtId="3" fontId="1" fillId="0" borderId="5" xfId="0" applyNumberFormat="1" applyFont="1" applyFill="1" applyBorder="1" applyAlignment="1">
      <alignment horizontal="center"/>
    </xf>
    <xf numFmtId="3" fontId="1" fillId="0" borderId="4" xfId="0" applyNumberFormat="1" applyFont="1" applyFill="1" applyBorder="1" applyAlignment="1">
      <alignment horizontal="center"/>
    </xf>
    <xf numFmtId="3" fontId="1" fillId="0" borderId="27" xfId="0" applyNumberFormat="1" applyFont="1" applyBorder="1" applyAlignment="1">
      <alignment horizontal="center"/>
    </xf>
    <xf numFmtId="3" fontId="1" fillId="0" borderId="11" xfId="0" applyNumberFormat="1" applyFont="1" applyBorder="1" applyAlignment="1">
      <alignment horizontal="center"/>
    </xf>
    <xf numFmtId="3" fontId="8" fillId="6" borderId="1" xfId="0" applyNumberFormat="1" applyFont="1" applyFill="1" applyBorder="1" applyAlignment="1">
      <alignment horizontal="center"/>
    </xf>
    <xf numFmtId="3" fontId="8" fillId="6" borderId="25" xfId="0" applyNumberFormat="1" applyFont="1" applyFill="1" applyBorder="1" applyAlignment="1">
      <alignment horizontal="center"/>
    </xf>
    <xf numFmtId="0" fontId="1" fillId="0" borderId="13" xfId="0" applyFont="1" applyBorder="1" applyAlignment="1">
      <alignment horizontal="center"/>
    </xf>
    <xf numFmtId="2" fontId="1" fillId="0" borderId="6" xfId="0" applyNumberFormat="1" applyFont="1" applyBorder="1" applyAlignment="1">
      <alignment horizontal="center"/>
    </xf>
    <xf numFmtId="0" fontId="1" fillId="0" borderId="14" xfId="0" applyFont="1" applyBorder="1" applyAlignment="1">
      <alignment horizontal="center"/>
    </xf>
    <xf numFmtId="0" fontId="1" fillId="0" borderId="20" xfId="0" applyFont="1" applyBorder="1" applyAlignment="1">
      <alignment horizontal="center"/>
    </xf>
    <xf numFmtId="3" fontId="1" fillId="6" borderId="9" xfId="0" applyNumberFormat="1" applyFont="1" applyFill="1" applyBorder="1" applyAlignment="1">
      <alignment horizontal="center"/>
    </xf>
    <xf numFmtId="3" fontId="1" fillId="6" borderId="11" xfId="0" applyNumberFormat="1" applyFont="1" applyFill="1" applyBorder="1" applyAlignment="1">
      <alignment horizontal="center"/>
    </xf>
    <xf numFmtId="1" fontId="1" fillId="6" borderId="9" xfId="0" applyNumberFormat="1" applyFont="1" applyFill="1" applyBorder="1" applyAlignment="1">
      <alignment horizontal="center"/>
    </xf>
    <xf numFmtId="1" fontId="1" fillId="6" borderId="11" xfId="0" applyNumberFormat="1" applyFont="1" applyFill="1" applyBorder="1" applyAlignment="1">
      <alignment horizontal="center"/>
    </xf>
    <xf numFmtId="164" fontId="5" fillId="0" borderId="10" xfId="0" applyNumberFormat="1" applyFont="1" applyBorder="1" applyAlignment="1">
      <alignment horizontal="center"/>
    </xf>
    <xf numFmtId="164" fontId="1" fillId="6" borderId="10" xfId="0" applyNumberFormat="1" applyFont="1" applyFill="1" applyBorder="1" applyAlignment="1">
      <alignment horizontal="center"/>
    </xf>
    <xf numFmtId="164" fontId="1" fillId="6" borderId="12" xfId="0" applyNumberFormat="1" applyFont="1" applyFill="1" applyBorder="1" applyAlignment="1">
      <alignment horizontal="center"/>
    </xf>
    <xf numFmtId="3" fontId="1" fillId="6" borderId="10" xfId="0" applyNumberFormat="1" applyFont="1" applyFill="1" applyBorder="1" applyAlignment="1">
      <alignment horizontal="center"/>
    </xf>
    <xf numFmtId="0" fontId="1" fillId="6" borderId="31" xfId="0" applyFont="1" applyFill="1" applyBorder="1" applyAlignment="1">
      <alignment horizontal="center"/>
    </xf>
    <xf numFmtId="0" fontId="1" fillId="6" borderId="19" xfId="0" applyFont="1" applyFill="1" applyBorder="1" applyAlignment="1">
      <alignment horizontal="center"/>
    </xf>
    <xf numFmtId="3" fontId="4" fillId="6" borderId="6" xfId="0" applyNumberFormat="1" applyFont="1" applyFill="1" applyBorder="1" applyAlignment="1">
      <alignment horizontal="center"/>
    </xf>
    <xf numFmtId="3" fontId="4" fillId="6" borderId="21" xfId="0" applyNumberFormat="1" applyFont="1" applyFill="1" applyBorder="1" applyAlignment="1">
      <alignment horizontal="center"/>
    </xf>
    <xf numFmtId="3" fontId="4" fillId="6" borderId="31" xfId="0" applyNumberFormat="1" applyFont="1" applyFill="1" applyBorder="1" applyAlignment="1">
      <alignment horizontal="center"/>
    </xf>
    <xf numFmtId="1" fontId="4" fillId="6" borderId="31" xfId="0" applyNumberFormat="1" applyFont="1" applyFill="1" applyBorder="1" applyAlignment="1">
      <alignment horizontal="center"/>
    </xf>
    <xf numFmtId="1" fontId="4" fillId="6" borderId="21" xfId="0" applyNumberFormat="1" applyFont="1" applyFill="1" applyBorder="1" applyAlignment="1">
      <alignment horizontal="center"/>
    </xf>
    <xf numFmtId="0" fontId="8" fillId="6" borderId="31" xfId="0" applyFont="1" applyFill="1" applyBorder="1" applyAlignment="1">
      <alignment horizontal="center"/>
    </xf>
    <xf numFmtId="0" fontId="8" fillId="6" borderId="19" xfId="0" applyFont="1" applyFill="1" applyBorder="1" applyAlignment="1">
      <alignment horizontal="center"/>
    </xf>
    <xf numFmtId="164" fontId="4" fillId="0" borderId="10" xfId="0" applyNumberFormat="1" applyFont="1" applyBorder="1" applyAlignment="1">
      <alignment horizontal="center"/>
    </xf>
    <xf numFmtId="0" fontId="4" fillId="0" borderId="12" xfId="0" applyFont="1" applyBorder="1" applyAlignment="1">
      <alignment horizontal="center"/>
    </xf>
    <xf numFmtId="0" fontId="8" fillId="6" borderId="10" xfId="0" applyFont="1" applyFill="1" applyBorder="1" applyAlignment="1">
      <alignment horizontal="center"/>
    </xf>
    <xf numFmtId="0" fontId="8" fillId="6" borderId="12" xfId="0" applyFont="1" applyFill="1" applyBorder="1" applyAlignment="1">
      <alignment horizontal="center"/>
    </xf>
    <xf numFmtId="0" fontId="8" fillId="0" borderId="6" xfId="0" applyFont="1" applyBorder="1" applyAlignment="1"/>
    <xf numFmtId="0" fontId="8" fillId="0" borderId="21" xfId="0" applyFont="1" applyBorder="1" applyAlignment="1"/>
    <xf numFmtId="3" fontId="8" fillId="0" borderId="31" xfId="0" applyNumberFormat="1" applyFont="1" applyBorder="1" applyAlignment="1"/>
    <xf numFmtId="3" fontId="8" fillId="0" borderId="21" xfId="0" applyNumberFormat="1" applyFont="1" applyBorder="1" applyAlignment="1"/>
    <xf numFmtId="1" fontId="8" fillId="0" borderId="31" xfId="0" applyNumberFormat="1" applyFont="1" applyBorder="1" applyAlignment="1"/>
    <xf numFmtId="1" fontId="8" fillId="0" borderId="21" xfId="0" applyNumberFormat="1" applyFont="1" applyBorder="1" applyAlignment="1"/>
    <xf numFmtId="0" fontId="8" fillId="0" borderId="31" xfId="0" applyFont="1" applyBorder="1" applyAlignment="1"/>
    <xf numFmtId="0" fontId="8" fillId="0" borderId="19" xfId="0" applyFont="1" applyBorder="1" applyAlignment="1"/>
    <xf numFmtId="0" fontId="4" fillId="6" borderId="11" xfId="0" applyFont="1" applyFill="1" applyBorder="1" applyAlignment="1">
      <alignment horizontal="center"/>
    </xf>
    <xf numFmtId="0" fontId="1" fillId="0" borderId="25" xfId="0" applyFont="1" applyBorder="1" applyAlignment="1">
      <alignment horizontal="center"/>
    </xf>
    <xf numFmtId="0" fontId="4" fillId="6" borderId="21" xfId="0" applyFont="1" applyFill="1" applyBorder="1" applyAlignment="1">
      <alignment horizontal="center"/>
    </xf>
    <xf numFmtId="0" fontId="1" fillId="0" borderId="6" xfId="0" applyFont="1" applyBorder="1" applyAlignment="1">
      <alignment horizontal="center"/>
    </xf>
    <xf numFmtId="0" fontId="1" fillId="0" borderId="21" xfId="0" applyFont="1" applyBorder="1" applyAlignment="1">
      <alignment horizontal="center"/>
    </xf>
    <xf numFmtId="0" fontId="8" fillId="0" borderId="27" xfId="0" applyFont="1" applyBorder="1" applyAlignment="1"/>
    <xf numFmtId="164" fontId="1" fillId="0" borderId="0" xfId="0" applyNumberFormat="1" applyFont="1" applyFill="1" applyBorder="1" applyAlignment="1">
      <alignment horizontal="center"/>
    </xf>
    <xf numFmtId="164" fontId="1" fillId="3" borderId="14" xfId="0" applyNumberFormat="1" applyFont="1" applyFill="1" applyBorder="1" applyAlignment="1">
      <alignment horizontal="center"/>
    </xf>
    <xf numFmtId="164" fontId="1" fillId="3" borderId="20" xfId="0" applyNumberFormat="1" applyFont="1" applyFill="1" applyBorder="1" applyAlignment="1">
      <alignment horizontal="center"/>
    </xf>
    <xf numFmtId="3" fontId="1" fillId="3" borderId="4" xfId="0" applyNumberFormat="1" applyFont="1" applyFill="1" applyBorder="1" applyAlignment="1">
      <alignment horizontal="center"/>
    </xf>
    <xf numFmtId="1" fontId="1" fillId="0" borderId="6" xfId="0" applyNumberFormat="1" applyFont="1" applyFill="1" applyBorder="1" applyAlignment="1">
      <alignment horizontal="center"/>
    </xf>
    <xf numFmtId="3" fontId="1" fillId="0" borderId="6" xfId="0" applyNumberFormat="1" applyFont="1" applyFill="1" applyBorder="1" applyAlignment="1">
      <alignment horizontal="center"/>
    </xf>
    <xf numFmtId="3" fontId="5" fillId="0" borderId="32" xfId="0" applyNumberFormat="1" applyFont="1" applyBorder="1" applyAlignment="1">
      <alignment horizontal="center"/>
    </xf>
    <xf numFmtId="0" fontId="6" fillId="0" borderId="28" xfId="0" applyFont="1" applyBorder="1" applyAlignment="1">
      <alignment horizontal="center"/>
    </xf>
    <xf numFmtId="0" fontId="0" fillId="0" borderId="0" xfId="0" applyBorder="1" applyAlignment="1">
      <alignment horizontal="center"/>
    </xf>
    <xf numFmtId="3" fontId="5" fillId="0" borderId="2" xfId="3" applyNumberFormat="1" applyFont="1" applyFill="1" applyBorder="1" applyAlignment="1">
      <alignment horizontal="center"/>
    </xf>
    <xf numFmtId="3" fontId="5" fillId="0" borderId="25" xfId="3" applyNumberFormat="1" applyFont="1" applyFill="1" applyBorder="1" applyAlignment="1">
      <alignment horizontal="center"/>
    </xf>
    <xf numFmtId="3" fontId="5" fillId="0" borderId="32" xfId="3" applyNumberFormat="1" applyFont="1" applyFill="1" applyBorder="1" applyAlignment="1">
      <alignment horizontal="center"/>
    </xf>
    <xf numFmtId="164" fontId="1" fillId="0" borderId="9" xfId="3" applyNumberFormat="1" applyFont="1" applyFill="1" applyBorder="1" applyAlignment="1">
      <alignment horizontal="center"/>
    </xf>
    <xf numFmtId="164" fontId="1" fillId="0" borderId="12" xfId="3" applyNumberFormat="1" applyFont="1" applyFill="1" applyBorder="1" applyAlignment="1">
      <alignment horizontal="center"/>
    </xf>
    <xf numFmtId="0" fontId="0" fillId="0" borderId="1" xfId="0" applyBorder="1" applyAlignment="1"/>
    <xf numFmtId="0" fontId="0" fillId="0" borderId="25" xfId="0" applyBorder="1" applyAlignment="1"/>
    <xf numFmtId="3" fontId="0" fillId="0" borderId="32" xfId="0" applyNumberFormat="1" applyBorder="1" applyAlignment="1"/>
    <xf numFmtId="3" fontId="0" fillId="0" borderId="25" xfId="0" applyNumberFormat="1" applyBorder="1" applyAlignment="1"/>
    <xf numFmtId="1" fontId="0" fillId="0" borderId="32" xfId="0" applyNumberFormat="1" applyBorder="1" applyAlignment="1"/>
    <xf numFmtId="1" fontId="0" fillId="0" borderId="25" xfId="0" applyNumberFormat="1" applyBorder="1" applyAlignment="1"/>
    <xf numFmtId="0" fontId="1" fillId="0" borderId="32" xfId="0" applyFont="1" applyBorder="1" applyAlignment="1"/>
    <xf numFmtId="0" fontId="1" fillId="0" borderId="3" xfId="0" applyFont="1" applyBorder="1" applyAlignment="1"/>
    <xf numFmtId="1" fontId="0" fillId="0" borderId="14" xfId="0" applyNumberFormat="1" applyFill="1" applyBorder="1" applyAlignment="1">
      <alignment horizontal="center"/>
    </xf>
    <xf numFmtId="1" fontId="0" fillId="0" borderId="13" xfId="0" applyNumberFormat="1" applyFill="1" applyBorder="1" applyAlignment="1">
      <alignment horizontal="center"/>
    </xf>
    <xf numFmtId="1" fontId="0" fillId="0" borderId="0" xfId="0" applyNumberFormat="1" applyFill="1" applyBorder="1" applyAlignment="1">
      <alignment horizontal="center"/>
    </xf>
    <xf numFmtId="1" fontId="1" fillId="0" borderId="0" xfId="0" applyNumberFormat="1" applyFont="1" applyFill="1" applyBorder="1" applyAlignment="1">
      <alignment horizontal="center"/>
    </xf>
    <xf numFmtId="3" fontId="5" fillId="0" borderId="32" xfId="0" applyNumberFormat="1" applyFont="1" applyFill="1" applyBorder="1" applyAlignment="1">
      <alignment horizontal="center"/>
    </xf>
    <xf numFmtId="3" fontId="5" fillId="0" borderId="25" xfId="0" applyNumberFormat="1" applyFont="1" applyFill="1" applyBorder="1" applyAlignment="1">
      <alignment horizontal="center"/>
    </xf>
    <xf numFmtId="1" fontId="5" fillId="0" borderId="2" xfId="0" applyNumberFormat="1" applyFont="1" applyFill="1" applyBorder="1" applyAlignment="1">
      <alignment horizontal="center"/>
    </xf>
    <xf numFmtId="1" fontId="5" fillId="0" borderId="25" xfId="0" applyNumberFormat="1" applyFont="1" applyFill="1" applyBorder="1" applyAlignment="1">
      <alignment horizontal="center"/>
    </xf>
    <xf numFmtId="2" fontId="0" fillId="0" borderId="14" xfId="0" applyNumberFormat="1" applyFill="1" applyBorder="1" applyAlignment="1">
      <alignment horizontal="center"/>
    </xf>
    <xf numFmtId="2" fontId="0" fillId="0" borderId="13" xfId="0" applyNumberFormat="1" applyFill="1" applyBorder="1" applyAlignment="1">
      <alignment horizontal="center"/>
    </xf>
    <xf numFmtId="1" fontId="0" fillId="0" borderId="14" xfId="0" applyNumberFormat="1" applyBorder="1" applyAlignment="1">
      <alignment horizontal="center"/>
    </xf>
    <xf numFmtId="1" fontId="0" fillId="0" borderId="13" xfId="0" applyNumberFormat="1" applyBorder="1" applyAlignment="1">
      <alignment horizontal="center"/>
    </xf>
    <xf numFmtId="165" fontId="8" fillId="0" borderId="2" xfId="0" applyNumberFormat="1" applyFont="1" applyBorder="1" applyAlignment="1">
      <alignment horizontal="center"/>
    </xf>
    <xf numFmtId="1" fontId="0" fillId="3" borderId="14" xfId="0" applyNumberFormat="1" applyFill="1" applyBorder="1" applyAlignment="1">
      <alignment horizontal="center"/>
    </xf>
    <xf numFmtId="1" fontId="0" fillId="3" borderId="13" xfId="0" applyNumberFormat="1" applyFill="1" applyBorder="1" applyAlignment="1">
      <alignment horizontal="center"/>
    </xf>
    <xf numFmtId="3" fontId="0" fillId="3" borderId="6" xfId="0" applyNumberFormat="1" applyFill="1" applyBorder="1" applyAlignment="1">
      <alignment horizontal="center"/>
    </xf>
    <xf numFmtId="3" fontId="0" fillId="3" borderId="21" xfId="0" applyNumberFormat="1" applyFill="1" applyBorder="1" applyAlignment="1">
      <alignment horizontal="center"/>
    </xf>
    <xf numFmtId="1" fontId="0" fillId="0" borderId="0" xfId="0" applyNumberFormat="1" applyBorder="1" applyAlignment="1">
      <alignment horizontal="center"/>
    </xf>
    <xf numFmtId="1" fontId="0" fillId="3" borderId="31" xfId="0" applyNumberFormat="1" applyFill="1" applyBorder="1" applyAlignment="1">
      <alignment horizontal="center"/>
    </xf>
    <xf numFmtId="1" fontId="0" fillId="3" borderId="21" xfId="0" applyNumberFormat="1" applyFill="1" applyBorder="1" applyAlignment="1">
      <alignment horizontal="center"/>
    </xf>
    <xf numFmtId="3" fontId="5" fillId="0" borderId="12" xfId="0" applyNumberFormat="1" applyFont="1" applyBorder="1" applyAlignment="1">
      <alignment horizontal="center"/>
    </xf>
    <xf numFmtId="3" fontId="0" fillId="0" borderId="1" xfId="0" applyNumberFormat="1" applyBorder="1" applyAlignment="1">
      <alignment horizontal="center"/>
    </xf>
    <xf numFmtId="3" fontId="0" fillId="0" borderId="25" xfId="0" applyNumberFormat="1" applyBorder="1" applyAlignment="1">
      <alignment horizontal="center"/>
    </xf>
    <xf numFmtId="0" fontId="0" fillId="0" borderId="0" xfId="0" applyBorder="1" applyAlignment="1"/>
    <xf numFmtId="3" fontId="0" fillId="0" borderId="31" xfId="0" applyNumberFormat="1" applyBorder="1" applyAlignment="1">
      <alignment horizontal="center"/>
    </xf>
    <xf numFmtId="0" fontId="16" fillId="0" borderId="12" xfId="0" applyFont="1" applyFill="1" applyBorder="1" applyAlignment="1">
      <alignment horizontal="center"/>
    </xf>
    <xf numFmtId="3" fontId="0" fillId="3" borderId="14" xfId="0" applyNumberFormat="1" applyFill="1" applyBorder="1" applyAlignment="1">
      <alignment horizontal="center"/>
    </xf>
    <xf numFmtId="3" fontId="0" fillId="3" borderId="31" xfId="0" applyNumberFormat="1" applyFill="1" applyBorder="1" applyAlignment="1">
      <alignment horizontal="center"/>
    </xf>
    <xf numFmtId="164" fontId="0" fillId="3" borderId="6" xfId="0" applyNumberFormat="1" applyFill="1" applyBorder="1" applyAlignment="1">
      <alignment horizontal="center"/>
    </xf>
    <xf numFmtId="164" fontId="0" fillId="3" borderId="21" xfId="0" applyNumberFormat="1" applyFill="1" applyBorder="1" applyAlignment="1">
      <alignment horizontal="center"/>
    </xf>
    <xf numFmtId="0" fontId="5" fillId="0" borderId="25" xfId="0" applyFont="1" applyBorder="1" applyAlignment="1">
      <alignment horizontal="center"/>
    </xf>
    <xf numFmtId="164" fontId="5" fillId="0" borderId="2" xfId="0" applyNumberFormat="1" applyFont="1" applyFill="1" applyBorder="1" applyAlignment="1">
      <alignment horizontal="center"/>
    </xf>
    <xf numFmtId="0" fontId="5" fillId="0" borderId="3" xfId="0" applyFont="1" applyFill="1" applyBorder="1" applyAlignment="1">
      <alignment horizontal="center"/>
    </xf>
    <xf numFmtId="0" fontId="0" fillId="0" borderId="13" xfId="0" applyBorder="1" applyAlignment="1">
      <alignment horizontal="center"/>
    </xf>
    <xf numFmtId="3" fontId="0" fillId="0" borderId="31" xfId="0" applyNumberFormat="1" applyFill="1" applyBorder="1" applyAlignment="1">
      <alignment horizontal="center"/>
    </xf>
    <xf numFmtId="0" fontId="0" fillId="0" borderId="21" xfId="0" applyBorder="1" applyAlignment="1">
      <alignment horizontal="center"/>
    </xf>
    <xf numFmtId="1" fontId="0" fillId="0" borderId="31" xfId="0" applyNumberFormat="1" applyFill="1" applyBorder="1" applyAlignment="1">
      <alignment horizontal="center"/>
    </xf>
    <xf numFmtId="1" fontId="0" fillId="0" borderId="21" xfId="0" applyNumberFormat="1" applyBorder="1" applyAlignment="1">
      <alignment horizontal="center"/>
    </xf>
    <xf numFmtId="164" fontId="0" fillId="0" borderId="14" xfId="0" applyNumberFormat="1" applyFill="1" applyBorder="1" applyAlignment="1">
      <alignment horizontal="center"/>
    </xf>
    <xf numFmtId="164" fontId="0" fillId="0" borderId="0" xfId="0" applyNumberFormat="1" applyFill="1" applyBorder="1" applyAlignment="1">
      <alignment horizontal="center"/>
    </xf>
    <xf numFmtId="0" fontId="0" fillId="0" borderId="2" xfId="0" applyBorder="1" applyAlignment="1"/>
    <xf numFmtId="0" fontId="0" fillId="0" borderId="9" xfId="0" applyBorder="1" applyAlignment="1"/>
    <xf numFmtId="2" fontId="0" fillId="0" borderId="6" xfId="0" applyNumberFormat="1" applyFill="1" applyBorder="1" applyAlignment="1">
      <alignment horizontal="center"/>
    </xf>
    <xf numFmtId="2" fontId="0" fillId="0" borderId="21" xfId="0" applyNumberFormat="1" applyFill="1" applyBorder="1" applyAlignment="1">
      <alignment horizontal="center"/>
    </xf>
    <xf numFmtId="164" fontId="0" fillId="0" borderId="31" xfId="0" applyNumberFormat="1" applyBorder="1" applyAlignment="1">
      <alignment horizontal="center"/>
    </xf>
    <xf numFmtId="164" fontId="0" fillId="0" borderId="19" xfId="0" applyNumberFormat="1" applyBorder="1" applyAlignment="1">
      <alignment horizontal="center"/>
    </xf>
    <xf numFmtId="2" fontId="0" fillId="0" borderId="14" xfId="0" applyNumberFormat="1" applyBorder="1" applyAlignment="1">
      <alignment horizontal="center"/>
    </xf>
    <xf numFmtId="2" fontId="0" fillId="0" borderId="13" xfId="0" applyNumberFormat="1" applyBorder="1" applyAlignment="1">
      <alignment horizontal="center"/>
    </xf>
    <xf numFmtId="164" fontId="0" fillId="0" borderId="14" xfId="0" applyNumberFormat="1" applyBorder="1" applyAlignment="1">
      <alignment horizontal="center"/>
    </xf>
    <xf numFmtId="164" fontId="0" fillId="0" borderId="20" xfId="0" applyNumberFormat="1" applyBorder="1" applyAlignment="1">
      <alignment horizontal="center"/>
    </xf>
    <xf numFmtId="2" fontId="0" fillId="0" borderId="0" xfId="0" applyNumberFormat="1" applyBorder="1" applyAlignment="1">
      <alignment horizontal="center"/>
    </xf>
    <xf numFmtId="0" fontId="0" fillId="0" borderId="6" xfId="0" applyBorder="1" applyAlignment="1">
      <alignment horizontal="center"/>
    </xf>
    <xf numFmtId="2" fontId="0" fillId="0" borderId="31" xfId="0" applyNumberFormat="1" applyFill="1" applyBorder="1" applyAlignment="1">
      <alignment horizontal="center"/>
    </xf>
    <xf numFmtId="2" fontId="0" fillId="0" borderId="21" xfId="0" applyNumberFormat="1" applyBorder="1" applyAlignment="1">
      <alignment horizontal="center"/>
    </xf>
    <xf numFmtId="0" fontId="0" fillId="0" borderId="10" xfId="0" applyBorder="1" applyAlignment="1"/>
    <xf numFmtId="0" fontId="0" fillId="0" borderId="12" xfId="0" applyBorder="1" applyAlignment="1"/>
    <xf numFmtId="2" fontId="0" fillId="0" borderId="6" xfId="0" applyNumberFormat="1" applyBorder="1" applyAlignment="1">
      <alignment horizontal="center"/>
    </xf>
    <xf numFmtId="3" fontId="0" fillId="0" borderId="2" xfId="0" applyNumberFormat="1" applyBorder="1" applyAlignment="1">
      <alignment horizontal="center"/>
    </xf>
    <xf numFmtId="3" fontId="0" fillId="0" borderId="6" xfId="0" applyNumberFormat="1" applyBorder="1" applyAlignment="1">
      <alignment horizontal="center"/>
    </xf>
    <xf numFmtId="3" fontId="0" fillId="0" borderId="27" xfId="0" applyNumberFormat="1" applyBorder="1" applyAlignment="1">
      <alignment horizontal="center"/>
    </xf>
    <xf numFmtId="3" fontId="0" fillId="0" borderId="11" xfId="0" applyNumberFormat="1" applyBorder="1" applyAlignment="1">
      <alignment horizontal="center"/>
    </xf>
    <xf numFmtId="2" fontId="0" fillId="0" borderId="0" xfId="0" applyNumberFormat="1" applyFill="1" applyBorder="1" applyAlignment="1">
      <alignment horizontal="center"/>
    </xf>
    <xf numFmtId="164" fontId="5" fillId="0" borderId="32" xfId="0" applyNumberFormat="1" applyFont="1" applyBorder="1" applyAlignment="1">
      <alignment horizontal="center"/>
    </xf>
    <xf numFmtId="0" fontId="5" fillId="0" borderId="3" xfId="0" applyFont="1" applyBorder="1" applyAlignment="1">
      <alignment horizontal="center"/>
    </xf>
    <xf numFmtId="0" fontId="8" fillId="6" borderId="10" xfId="0" applyFont="1" applyFill="1" applyBorder="1" applyAlignment="1"/>
    <xf numFmtId="0" fontId="8" fillId="6" borderId="12" xfId="0" applyFont="1" applyFill="1" applyBorder="1" applyAlignment="1"/>
    <xf numFmtId="1" fontId="0" fillId="0" borderId="6" xfId="0" applyNumberFormat="1" applyBorder="1" applyAlignment="1">
      <alignment horizontal="center"/>
    </xf>
    <xf numFmtId="1" fontId="8" fillId="6" borderId="10" xfId="0" applyNumberFormat="1" applyFont="1" applyFill="1" applyBorder="1" applyAlignment="1"/>
    <xf numFmtId="1" fontId="8" fillId="6" borderId="11" xfId="0" applyNumberFormat="1" applyFont="1" applyFill="1" applyBorder="1" applyAlignment="1"/>
    <xf numFmtId="3" fontId="5" fillId="0" borderId="14" xfId="0" applyNumberFormat="1" applyFont="1" applyBorder="1" applyAlignment="1">
      <alignment horizontal="center"/>
    </xf>
    <xf numFmtId="3" fontId="5" fillId="0" borderId="13" xfId="0" applyNumberFormat="1" applyFont="1" applyBorder="1" applyAlignment="1">
      <alignment horizontal="center"/>
    </xf>
    <xf numFmtId="1" fontId="5" fillId="0" borderId="0" xfId="0" applyNumberFormat="1" applyFont="1" applyBorder="1" applyAlignment="1">
      <alignment horizontal="center"/>
    </xf>
    <xf numFmtId="1" fontId="5" fillId="0" borderId="13" xfId="0" applyNumberFormat="1" applyFont="1" applyBorder="1" applyAlignment="1">
      <alignment horizontal="center"/>
    </xf>
    <xf numFmtId="164" fontId="5" fillId="0" borderId="14" xfId="0" applyNumberFormat="1" applyFont="1" applyBorder="1" applyAlignment="1">
      <alignment horizontal="center"/>
    </xf>
    <xf numFmtId="164" fontId="5" fillId="0" borderId="20" xfId="0" applyNumberFormat="1" applyFont="1" applyBorder="1" applyAlignment="1">
      <alignment horizontal="center"/>
    </xf>
    <xf numFmtId="1" fontId="5" fillId="0" borderId="2" xfId="0" applyNumberFormat="1" applyFont="1" applyBorder="1" applyAlignment="1">
      <alignment horizontal="center"/>
    </xf>
    <xf numFmtId="0" fontId="6" fillId="0" borderId="13" xfId="0" applyFont="1" applyBorder="1" applyAlignment="1">
      <alignment horizontal="center"/>
    </xf>
    <xf numFmtId="3" fontId="6" fillId="0" borderId="14" xfId="0" applyNumberFormat="1" applyFont="1" applyBorder="1" applyAlignment="1">
      <alignment horizontal="center"/>
    </xf>
    <xf numFmtId="0" fontId="0" fillId="0" borderId="14" xfId="0" applyBorder="1" applyAlignment="1">
      <alignment horizontal="center"/>
    </xf>
    <xf numFmtId="0" fontId="0" fillId="0" borderId="20" xfId="0" applyBorder="1" applyAlignment="1">
      <alignment horizontal="center"/>
    </xf>
    <xf numFmtId="164" fontId="5" fillId="0" borderId="12" xfId="0" applyNumberFormat="1" applyFont="1" applyBorder="1" applyAlignment="1">
      <alignment horizontal="center"/>
    </xf>
    <xf numFmtId="1" fontId="4" fillId="6" borderId="6" xfId="0" applyNumberFormat="1" applyFont="1" applyFill="1" applyBorder="1" applyAlignment="1">
      <alignment horizontal="center"/>
    </xf>
    <xf numFmtId="164" fontId="0" fillId="0" borderId="32" xfId="0" applyNumberFormat="1" applyBorder="1" applyAlignment="1">
      <alignment horizontal="center"/>
    </xf>
    <xf numFmtId="164" fontId="0" fillId="0" borderId="3" xfId="0" applyNumberFormat="1" applyBorder="1" applyAlignment="1">
      <alignment horizontal="center"/>
    </xf>
    <xf numFmtId="3" fontId="0" fillId="0" borderId="2" xfId="0" applyNumberFormat="1" applyFill="1" applyBorder="1" applyAlignment="1">
      <alignment horizontal="center"/>
    </xf>
    <xf numFmtId="3" fontId="0" fillId="0" borderId="32" xfId="0" applyNumberFormat="1" applyFill="1" applyBorder="1" applyAlignment="1">
      <alignment horizontal="center"/>
    </xf>
    <xf numFmtId="2" fontId="0" fillId="0" borderId="2" xfId="0" applyNumberFormat="1" applyFill="1" applyBorder="1" applyAlignment="1">
      <alignment horizontal="center"/>
    </xf>
    <xf numFmtId="2" fontId="0" fillId="0" borderId="25" xfId="0" applyNumberFormat="1" applyFill="1" applyBorder="1" applyAlignment="1">
      <alignment horizontal="center"/>
    </xf>
    <xf numFmtId="164" fontId="0" fillId="0" borderId="32" xfId="0" applyNumberFormat="1" applyFill="1" applyBorder="1" applyAlignment="1">
      <alignment horizontal="center"/>
    </xf>
    <xf numFmtId="164" fontId="0" fillId="0" borderId="3" xfId="0" applyNumberFormat="1" applyFill="1" applyBorder="1" applyAlignment="1">
      <alignment horizontal="center"/>
    </xf>
    <xf numFmtId="3" fontId="5" fillId="6" borderId="9" xfId="0" applyNumberFormat="1" applyFont="1" applyFill="1" applyBorder="1" applyAlignment="1">
      <alignment horizontal="center"/>
    </xf>
    <xf numFmtId="0" fontId="5" fillId="6" borderId="9" xfId="0" applyFont="1" applyFill="1" applyBorder="1" applyAlignment="1">
      <alignment horizontal="center"/>
    </xf>
    <xf numFmtId="1" fontId="5" fillId="6" borderId="9" xfId="0" applyNumberFormat="1" applyFont="1" applyFill="1" applyBorder="1" applyAlignment="1">
      <alignment horizontal="center"/>
    </xf>
    <xf numFmtId="0" fontId="4" fillId="6" borderId="9" xfId="0" applyFont="1" applyFill="1" applyBorder="1" applyAlignment="1">
      <alignment horizontal="center"/>
    </xf>
    <xf numFmtId="3" fontId="0" fillId="0" borderId="10" xfId="0" applyNumberFormat="1" applyFill="1" applyBorder="1" applyAlignment="1">
      <alignment horizontal="center"/>
    </xf>
    <xf numFmtId="3" fontId="0" fillId="0" borderId="11" xfId="0" applyNumberFormat="1" applyFill="1" applyBorder="1" applyAlignment="1">
      <alignment horizontal="center"/>
    </xf>
    <xf numFmtId="3" fontId="0" fillId="0" borderId="9" xfId="0" applyNumberFormat="1" applyFill="1" applyBorder="1" applyAlignment="1">
      <alignment horizontal="center"/>
    </xf>
    <xf numFmtId="164" fontId="1" fillId="0" borderId="32" xfId="0" applyNumberFormat="1" applyFont="1" applyFill="1" applyBorder="1" applyAlignment="1">
      <alignment horizontal="center"/>
    </xf>
    <xf numFmtId="164" fontId="1" fillId="0" borderId="3" xfId="0" applyNumberFormat="1" applyFont="1" applyFill="1" applyBorder="1" applyAlignment="1">
      <alignment horizontal="center"/>
    </xf>
    <xf numFmtId="0" fontId="8" fillId="6" borderId="6" xfId="0" applyFont="1" applyFill="1" applyBorder="1" applyAlignment="1"/>
    <xf numFmtId="0" fontId="8" fillId="6" borderId="21" xfId="0" applyFont="1" applyFill="1" applyBorder="1" applyAlignment="1"/>
    <xf numFmtId="3" fontId="8" fillId="6" borderId="31" xfId="0" applyNumberFormat="1" applyFont="1" applyFill="1" applyBorder="1" applyAlignment="1"/>
    <xf numFmtId="3" fontId="8" fillId="6" borderId="21" xfId="0" applyNumberFormat="1" applyFont="1" applyFill="1" applyBorder="1" applyAlignment="1"/>
    <xf numFmtId="1" fontId="8" fillId="6" borderId="31" xfId="0" applyNumberFormat="1" applyFont="1" applyFill="1" applyBorder="1" applyAlignment="1"/>
    <xf numFmtId="1" fontId="8" fillId="6" borderId="21" xfId="0" applyNumberFormat="1" applyFont="1" applyFill="1" applyBorder="1" applyAlignment="1"/>
    <xf numFmtId="164" fontId="0" fillId="0" borderId="20" xfId="0" applyNumberFormat="1" applyFill="1" applyBorder="1" applyAlignment="1">
      <alignment horizontal="center"/>
    </xf>
    <xf numFmtId="0" fontId="8" fillId="6" borderId="31" xfId="0" applyFont="1" applyFill="1" applyBorder="1" applyAlignment="1"/>
    <xf numFmtId="0" fontId="8" fillId="6" borderId="19" xfId="0" applyFont="1" applyFill="1" applyBorder="1" applyAlignment="1"/>
    <xf numFmtId="0" fontId="0" fillId="0" borderId="19" xfId="0" applyBorder="1" applyAlignment="1">
      <alignment horizontal="center"/>
    </xf>
    <xf numFmtId="2" fontId="1" fillId="0" borderId="2" xfId="0" applyNumberFormat="1" applyFont="1" applyFill="1" applyBorder="1" applyAlignment="1">
      <alignment horizontal="center"/>
    </xf>
    <xf numFmtId="2" fontId="1" fillId="0" borderId="25" xfId="0" applyNumberFormat="1" applyFont="1" applyFill="1" applyBorder="1" applyAlignment="1">
      <alignment horizontal="center"/>
    </xf>
    <xf numFmtId="0" fontId="0" fillId="0" borderId="28" xfId="0" applyBorder="1" applyAlignment="1"/>
    <xf numFmtId="0" fontId="6" fillId="0" borderId="29" xfId="0" applyFont="1" applyBorder="1" applyAlignment="1">
      <alignment horizontal="center"/>
    </xf>
    <xf numFmtId="3" fontId="1" fillId="0" borderId="2" xfId="0" applyNumberFormat="1" applyFont="1" applyFill="1" applyBorder="1" applyAlignment="1">
      <alignment horizontal="center"/>
    </xf>
    <xf numFmtId="3" fontId="1" fillId="0" borderId="25" xfId="0" applyNumberFormat="1" applyFont="1" applyFill="1" applyBorder="1" applyAlignment="1">
      <alignment horizontal="center"/>
    </xf>
    <xf numFmtId="3" fontId="1" fillId="0" borderId="32" xfId="0" applyNumberFormat="1" applyFont="1" applyFill="1" applyBorder="1" applyAlignment="1">
      <alignment horizontal="center"/>
    </xf>
    <xf numFmtId="2" fontId="0" fillId="0" borderId="32" xfId="0" applyNumberFormat="1" applyFill="1" applyBorder="1" applyAlignment="1">
      <alignment horizontal="center"/>
    </xf>
    <xf numFmtId="3" fontId="5" fillId="0" borderId="0" xfId="0" applyNumberFormat="1" applyFont="1" applyBorder="1" applyAlignment="1">
      <alignment horizontal="center"/>
    </xf>
    <xf numFmtId="2" fontId="0" fillId="0" borderId="9" xfId="0" applyNumberFormat="1" applyFill="1" applyBorder="1" applyAlignment="1">
      <alignment horizontal="center"/>
    </xf>
    <xf numFmtId="2" fontId="0" fillId="0" borderId="11" xfId="0" applyNumberFormat="1" applyFill="1" applyBorder="1" applyAlignment="1">
      <alignment horizontal="center"/>
    </xf>
    <xf numFmtId="164" fontId="0" fillId="0" borderId="10" xfId="0" applyNumberFormat="1" applyFill="1" applyBorder="1" applyAlignment="1">
      <alignment horizontal="center"/>
    </xf>
    <xf numFmtId="164" fontId="0" fillId="0" borderId="12" xfId="0" applyNumberFormat="1" applyFill="1" applyBorder="1" applyAlignment="1">
      <alignment horizontal="center"/>
    </xf>
    <xf numFmtId="2" fontId="1" fillId="0" borderId="9" xfId="0" applyNumberFormat="1" applyFont="1" applyFill="1" applyBorder="1" applyAlignment="1">
      <alignment horizontal="center"/>
    </xf>
    <xf numFmtId="2" fontId="1" fillId="0" borderId="11" xfId="0" applyNumberFormat="1" applyFont="1" applyFill="1" applyBorder="1" applyAlignment="1">
      <alignment horizontal="center"/>
    </xf>
    <xf numFmtId="164" fontId="1" fillId="0" borderId="10" xfId="0" applyNumberFormat="1" applyFont="1" applyFill="1" applyBorder="1" applyAlignment="1">
      <alignment horizontal="center"/>
    </xf>
    <xf numFmtId="164" fontId="1" fillId="0" borderId="12" xfId="0" applyNumberFormat="1" applyFont="1" applyFill="1" applyBorder="1" applyAlignment="1">
      <alignment horizontal="center"/>
    </xf>
    <xf numFmtId="0" fontId="8" fillId="6" borderId="9" xfId="0" applyFont="1" applyFill="1" applyBorder="1" applyAlignment="1"/>
    <xf numFmtId="0" fontId="8" fillId="6" borderId="11" xfId="0" applyFont="1" applyFill="1" applyBorder="1" applyAlignment="1"/>
    <xf numFmtId="3" fontId="5" fillId="0" borderId="0" xfId="0" applyNumberFormat="1" applyFont="1" applyFill="1" applyBorder="1" applyAlignment="1">
      <alignment horizontal="center"/>
    </xf>
    <xf numFmtId="0" fontId="5" fillId="0" borderId="0" xfId="0" applyFont="1" applyFill="1" applyBorder="1" applyAlignment="1">
      <alignment horizontal="center"/>
    </xf>
    <xf numFmtId="1" fontId="5" fillId="0" borderId="0" xfId="0" applyNumberFormat="1" applyFont="1" applyFill="1" applyBorder="1" applyAlignment="1">
      <alignment horizontal="center"/>
    </xf>
    <xf numFmtId="3" fontId="1" fillId="0" borderId="9" xfId="0" applyNumberFormat="1" applyFont="1" applyFill="1" applyBorder="1" applyAlignment="1">
      <alignment horizontal="center"/>
    </xf>
    <xf numFmtId="3" fontId="1" fillId="0" borderId="11" xfId="0" applyNumberFormat="1" applyFont="1" applyFill="1" applyBorder="1" applyAlignment="1">
      <alignment horizontal="center"/>
    </xf>
    <xf numFmtId="3" fontId="1" fillId="0" borderId="10" xfId="0" applyNumberFormat="1" applyFont="1" applyFill="1" applyBorder="1" applyAlignment="1">
      <alignment horizontal="center"/>
    </xf>
    <xf numFmtId="164" fontId="5" fillId="6" borderId="9" xfId="0" applyNumberFormat="1" applyFont="1" applyFill="1" applyBorder="1" applyAlignment="1">
      <alignment horizontal="center"/>
    </xf>
    <xf numFmtId="0" fontId="5" fillId="6" borderId="12" xfId="0" applyFont="1" applyFill="1" applyBorder="1" applyAlignment="1">
      <alignment horizontal="center"/>
    </xf>
    <xf numFmtId="0" fontId="5" fillId="0" borderId="0" xfId="0" applyFont="1" applyBorder="1" applyAlignment="1">
      <alignment horizontal="center"/>
    </xf>
    <xf numFmtId="0" fontId="5" fillId="0" borderId="13" xfId="0" applyFont="1" applyBorder="1" applyAlignment="1">
      <alignment horizontal="center"/>
    </xf>
    <xf numFmtId="0" fontId="0" fillId="0" borderId="0" xfId="0" applyFill="1" applyBorder="1" applyAlignment="1">
      <alignment horizontal="center"/>
    </xf>
    <xf numFmtId="3" fontId="8" fillId="6" borderId="10" xfId="0" applyNumberFormat="1" applyFont="1" applyFill="1" applyBorder="1" applyAlignment="1"/>
    <xf numFmtId="3" fontId="8" fillId="6" borderId="11" xfId="0" applyNumberFormat="1" applyFont="1" applyFill="1" applyBorder="1" applyAlignment="1"/>
    <xf numFmtId="0" fontId="0" fillId="0" borderId="2" xfId="0" applyFill="1" applyBorder="1" applyAlignment="1">
      <alignment horizontal="center"/>
    </xf>
    <xf numFmtId="3" fontId="5" fillId="0" borderId="2" xfId="0" applyNumberFormat="1" applyFont="1" applyFill="1" applyBorder="1" applyAlignment="1">
      <alignment horizontal="center"/>
    </xf>
    <xf numFmtId="0" fontId="8" fillId="0" borderId="2" xfId="0" applyFont="1" applyBorder="1" applyAlignment="1">
      <alignment horizontal="center"/>
    </xf>
    <xf numFmtId="2" fontId="8" fillId="6" borderId="9" xfId="0" applyNumberFormat="1" applyFont="1" applyFill="1" applyBorder="1" applyAlignment="1">
      <alignment horizontal="center"/>
    </xf>
    <xf numFmtId="3" fontId="0" fillId="0" borderId="32" xfId="0" applyNumberFormat="1" applyBorder="1" applyAlignment="1">
      <alignment horizontal="center"/>
    </xf>
    <xf numFmtId="164" fontId="5" fillId="0" borderId="9" xfId="0" applyNumberFormat="1" applyFont="1" applyBorder="1" applyAlignment="1">
      <alignment horizontal="center"/>
    </xf>
    <xf numFmtId="2" fontId="5" fillId="0" borderId="9" xfId="0" applyNumberFormat="1" applyFont="1" applyBorder="1" applyAlignment="1">
      <alignment horizontal="center"/>
    </xf>
    <xf numFmtId="2" fontId="5" fillId="0" borderId="11" xfId="0" applyNumberFormat="1" applyFont="1" applyBorder="1" applyAlignment="1">
      <alignment horizontal="center"/>
    </xf>
    <xf numFmtId="164" fontId="0" fillId="3" borderId="14" xfId="0" applyNumberFormat="1" applyFill="1" applyBorder="1" applyAlignment="1">
      <alignment horizontal="center"/>
    </xf>
    <xf numFmtId="164" fontId="0" fillId="3" borderId="20" xfId="0" applyNumberFormat="1" applyFill="1" applyBorder="1" applyAlignment="1">
      <alignment horizontal="center"/>
    </xf>
    <xf numFmtId="1" fontId="1" fillId="3" borderId="0" xfId="0" applyNumberFormat="1" applyFont="1" applyFill="1" applyBorder="1" applyAlignment="1">
      <alignment horizontal="center"/>
    </xf>
    <xf numFmtId="1" fontId="1" fillId="3" borderId="13" xfId="0" applyNumberFormat="1" applyFont="1" applyFill="1" applyBorder="1" applyAlignment="1">
      <alignment horizontal="center"/>
    </xf>
    <xf numFmtId="2" fontId="8" fillId="0" borderId="0" xfId="0" applyNumberFormat="1" applyFont="1" applyBorder="1" applyAlignment="1">
      <alignment horizontal="center"/>
    </xf>
    <xf numFmtId="2" fontId="8" fillId="0" borderId="6" xfId="0" applyNumberFormat="1" applyFont="1" applyBorder="1" applyAlignment="1">
      <alignment horizontal="center"/>
    </xf>
    <xf numFmtId="2" fontId="0" fillId="0" borderId="32" xfId="0" applyNumberFormat="1" applyBorder="1" applyAlignment="1"/>
    <xf numFmtId="2" fontId="0" fillId="0" borderId="25" xfId="0" applyNumberFormat="1" applyBorder="1" applyAlignment="1"/>
    <xf numFmtId="1" fontId="0" fillId="0" borderId="31" xfId="0" applyNumberFormat="1" applyBorder="1" applyAlignment="1">
      <alignment horizontal="center"/>
    </xf>
    <xf numFmtId="3" fontId="1" fillId="3" borderId="14" xfId="0" applyNumberFormat="1" applyFont="1" applyFill="1" applyBorder="1" applyAlignment="1">
      <alignment horizontal="center"/>
    </xf>
    <xf numFmtId="169" fontId="0" fillId="0" borderId="14" xfId="0" applyNumberFormat="1" applyFill="1" applyBorder="1" applyAlignment="1">
      <alignment horizontal="center"/>
    </xf>
    <xf numFmtId="169" fontId="0" fillId="0" borderId="13" xfId="0" applyNumberFormat="1" applyFill="1" applyBorder="1" applyAlignment="1">
      <alignment horizontal="center"/>
    </xf>
    <xf numFmtId="4" fontId="0" fillId="0" borderId="14" xfId="0" applyNumberFormat="1" applyBorder="1" applyAlignment="1">
      <alignment horizontal="center"/>
    </xf>
    <xf numFmtId="3" fontId="0" fillId="0" borderId="10" xfId="0" applyNumberFormat="1" applyBorder="1" applyAlignment="1">
      <alignment horizontal="center"/>
    </xf>
    <xf numFmtId="1" fontId="0" fillId="0" borderId="10" xfId="0" applyNumberFormat="1" applyBorder="1" applyAlignment="1">
      <alignment horizontal="center"/>
    </xf>
    <xf numFmtId="1" fontId="0" fillId="0" borderId="11" xfId="0" applyNumberFormat="1" applyBorder="1" applyAlignment="1">
      <alignment horizontal="center"/>
    </xf>
    <xf numFmtId="164" fontId="1" fillId="0" borderId="10" xfId="0" applyNumberFormat="1" applyFont="1" applyBorder="1" applyAlignment="1">
      <alignment horizontal="center"/>
    </xf>
    <xf numFmtId="4" fontId="0" fillId="0" borderId="14" xfId="0" applyNumberFormat="1" applyFill="1" applyBorder="1" applyAlignment="1">
      <alignment horizontal="center"/>
    </xf>
    <xf numFmtId="4" fontId="0" fillId="0" borderId="13" xfId="0" applyNumberFormat="1" applyFill="1" applyBorder="1" applyAlignment="1">
      <alignment horizontal="center"/>
    </xf>
    <xf numFmtId="2" fontId="0" fillId="0" borderId="10" xfId="0" applyNumberFormat="1" applyBorder="1" applyAlignment="1"/>
    <xf numFmtId="2" fontId="0" fillId="0" borderId="11" xfId="0" applyNumberFormat="1" applyBorder="1" applyAlignment="1"/>
    <xf numFmtId="164" fontId="1" fillId="0" borderId="31" xfId="0" applyNumberFormat="1" applyFont="1" applyFill="1" applyBorder="1" applyAlignment="1">
      <alignment horizontal="center"/>
    </xf>
    <xf numFmtId="164" fontId="1" fillId="0" borderId="19" xfId="0" applyNumberFormat="1" applyFont="1" applyFill="1" applyBorder="1" applyAlignment="1">
      <alignment horizontal="center"/>
    </xf>
    <xf numFmtId="4" fontId="8" fillId="6" borderId="9" xfId="0" applyNumberFormat="1" applyFont="1" applyFill="1" applyBorder="1" applyAlignment="1">
      <alignment horizontal="center"/>
    </xf>
    <xf numFmtId="4" fontId="8" fillId="6" borderId="11" xfId="0" applyNumberFormat="1" applyFont="1" applyFill="1" applyBorder="1" applyAlignment="1">
      <alignment horizontal="center"/>
    </xf>
    <xf numFmtId="4" fontId="0" fillId="0" borderId="2" xfId="0" applyNumberFormat="1" applyBorder="1" applyAlignment="1">
      <alignment horizontal="center"/>
    </xf>
    <xf numFmtId="4" fontId="0" fillId="0" borderId="25" xfId="0" applyNumberFormat="1" applyBorder="1" applyAlignment="1">
      <alignment horizontal="center"/>
    </xf>
    <xf numFmtId="4" fontId="0" fillId="0" borderId="6" xfId="0" applyNumberFormat="1" applyBorder="1" applyAlignment="1">
      <alignment horizontal="center"/>
    </xf>
    <xf numFmtId="4" fontId="0" fillId="0" borderId="21" xfId="0" applyNumberFormat="1" applyBorder="1" applyAlignment="1">
      <alignment horizontal="center"/>
    </xf>
    <xf numFmtId="166" fontId="0" fillId="0" borderId="14" xfId="0" applyNumberFormat="1" applyFill="1" applyBorder="1" applyAlignment="1">
      <alignment horizontal="center"/>
    </xf>
    <xf numFmtId="166" fontId="0" fillId="0" borderId="13" xfId="0" applyNumberFormat="1" applyFill="1" applyBorder="1" applyAlignment="1">
      <alignment horizontal="center"/>
    </xf>
    <xf numFmtId="3" fontId="0" fillId="0" borderId="9" xfId="0" applyNumberFormat="1" applyBorder="1" applyAlignment="1"/>
    <xf numFmtId="0" fontId="15" fillId="0" borderId="10" xfId="0" applyFont="1" applyBorder="1" applyAlignment="1"/>
    <xf numFmtId="0" fontId="15" fillId="0" borderId="12" xfId="0" applyFont="1" applyBorder="1" applyAlignment="1"/>
    <xf numFmtId="164" fontId="16" fillId="0" borderId="10" xfId="0" applyNumberFormat="1" applyFont="1" applyBorder="1" applyAlignment="1">
      <alignment horizontal="center"/>
    </xf>
    <xf numFmtId="164" fontId="16" fillId="0" borderId="12" xfId="0" applyNumberFormat="1" applyFont="1" applyBorder="1" applyAlignment="1">
      <alignment horizontal="center"/>
    </xf>
    <xf numFmtId="4" fontId="0" fillId="3" borderId="31" xfId="0" applyNumberFormat="1" applyFill="1" applyBorder="1" applyAlignment="1">
      <alignment horizontal="center"/>
    </xf>
    <xf numFmtId="4" fontId="0" fillId="3" borderId="21" xfId="0" applyNumberFormat="1" applyFill="1" applyBorder="1" applyAlignment="1">
      <alignment horizontal="center"/>
    </xf>
    <xf numFmtId="4" fontId="0" fillId="3" borderId="14" xfId="0" applyNumberFormat="1" applyFill="1" applyBorder="1" applyAlignment="1">
      <alignment horizontal="center"/>
    </xf>
    <xf numFmtId="4" fontId="0" fillId="3" borderId="13" xfId="0" applyNumberFormat="1" applyFill="1" applyBorder="1" applyAlignment="1">
      <alignment horizontal="center"/>
    </xf>
    <xf numFmtId="4" fontId="0" fillId="0" borderId="32" xfId="0" applyNumberFormat="1" applyBorder="1" applyAlignment="1">
      <alignment horizontal="center"/>
    </xf>
    <xf numFmtId="4" fontId="8" fillId="6" borderId="10" xfId="0" applyNumberFormat="1" applyFont="1" applyFill="1" applyBorder="1" applyAlignment="1">
      <alignment horizontal="center"/>
    </xf>
    <xf numFmtId="4" fontId="0" fillId="0" borderId="31" xfId="0" applyNumberFormat="1" applyBorder="1" applyAlignment="1">
      <alignment horizontal="center"/>
    </xf>
    <xf numFmtId="4" fontId="0" fillId="0" borderId="0" xfId="0" applyNumberFormat="1" applyFill="1" applyBorder="1" applyAlignment="1">
      <alignment horizontal="center"/>
    </xf>
    <xf numFmtId="4" fontId="1" fillId="0" borderId="14" xfId="0" applyNumberFormat="1" applyFont="1" applyFill="1" applyBorder="1" applyAlignment="1">
      <alignment horizontal="center"/>
    </xf>
    <xf numFmtId="4" fontId="1" fillId="0" borderId="13" xfId="0" applyNumberFormat="1" applyFont="1" applyFill="1" applyBorder="1" applyAlignment="1">
      <alignment horizontal="center"/>
    </xf>
    <xf numFmtId="4" fontId="0" fillId="0" borderId="31" xfId="0" applyNumberFormat="1" applyFill="1" applyBorder="1" applyAlignment="1">
      <alignment horizontal="center"/>
    </xf>
    <xf numFmtId="4" fontId="0" fillId="0" borderId="21" xfId="0" applyNumberFormat="1" applyFill="1" applyBorder="1" applyAlignment="1">
      <alignment horizontal="center"/>
    </xf>
    <xf numFmtId="4" fontId="1" fillId="0" borderId="6" xfId="0" applyNumberFormat="1" applyFont="1" applyFill="1" applyBorder="1" applyAlignment="1">
      <alignment horizontal="center"/>
    </xf>
    <xf numFmtId="4" fontId="1" fillId="0" borderId="21" xfId="0" applyNumberFormat="1" applyFont="1" applyFill="1" applyBorder="1" applyAlignment="1">
      <alignment horizontal="center"/>
    </xf>
    <xf numFmtId="164" fontId="0" fillId="0" borderId="6" xfId="0" applyNumberFormat="1" applyBorder="1" applyAlignment="1">
      <alignment horizontal="center"/>
    </xf>
    <xf numFmtId="4" fontId="0" fillId="0" borderId="6" xfId="0" applyNumberFormat="1" applyFill="1" applyBorder="1" applyAlignment="1">
      <alignment horizontal="center"/>
    </xf>
    <xf numFmtId="4" fontId="1" fillId="0" borderId="6" xfId="0" applyNumberFormat="1" applyFont="1" applyBorder="1" applyAlignment="1">
      <alignment horizontal="center"/>
    </xf>
    <xf numFmtId="4" fontId="1" fillId="0" borderId="21" xfId="0" applyNumberFormat="1" applyFont="1" applyBorder="1" applyAlignment="1">
      <alignment horizontal="center"/>
    </xf>
    <xf numFmtId="0" fontId="8" fillId="6" borderId="11" xfId="0" applyFont="1" applyFill="1" applyBorder="1" applyAlignment="1">
      <alignment horizontal="center"/>
    </xf>
    <xf numFmtId="2" fontId="0" fillId="0" borderId="9" xfId="0" applyNumberFormat="1" applyBorder="1" applyAlignment="1"/>
    <xf numFmtId="0" fontId="0" fillId="0" borderId="25" xfId="0" applyBorder="1" applyAlignment="1">
      <alignment horizontal="center"/>
    </xf>
    <xf numFmtId="166" fontId="0" fillId="0" borderId="0" xfId="0" applyNumberFormat="1" applyBorder="1" applyAlignment="1">
      <alignment horizontal="center"/>
    </xf>
    <xf numFmtId="166" fontId="0" fillId="0" borderId="13" xfId="0" applyNumberFormat="1" applyBorder="1" applyAlignment="1">
      <alignment horizontal="center"/>
    </xf>
    <xf numFmtId="2" fontId="0" fillId="0" borderId="31" xfId="0" applyNumberFormat="1" applyBorder="1" applyAlignment="1"/>
    <xf numFmtId="2" fontId="0" fillId="0" borderId="21" xfId="0" applyNumberFormat="1" applyBorder="1" applyAlignment="1"/>
    <xf numFmtId="0" fontId="0" fillId="0" borderId="31" xfId="0" applyBorder="1" applyAlignment="1"/>
    <xf numFmtId="0" fontId="0" fillId="0" borderId="19" xfId="0" applyBorder="1" applyAlignment="1"/>
    <xf numFmtId="0" fontId="0" fillId="0" borderId="6" xfId="0" applyBorder="1" applyAlignment="1"/>
    <xf numFmtId="0" fontId="0" fillId="0" borderId="21" xfId="0" applyBorder="1" applyAlignment="1"/>
    <xf numFmtId="3" fontId="0" fillId="0" borderId="31" xfId="0" applyNumberFormat="1" applyBorder="1" applyAlignment="1"/>
    <xf numFmtId="3" fontId="0" fillId="0" borderId="21" xfId="0" applyNumberFormat="1" applyBorder="1" applyAlignment="1"/>
    <xf numFmtId="0" fontId="6" fillId="0" borderId="14" xfId="0" applyFont="1" applyBorder="1" applyAlignment="1">
      <alignment horizontal="center"/>
    </xf>
    <xf numFmtId="0" fontId="6" fillId="0" borderId="20" xfId="0" applyFont="1" applyBorder="1" applyAlignment="1">
      <alignment horizontal="center"/>
    </xf>
    <xf numFmtId="164" fontId="6" fillId="0" borderId="14" xfId="0" applyNumberFormat="1" applyFont="1" applyBorder="1" applyAlignment="1">
      <alignment horizontal="center"/>
    </xf>
    <xf numFmtId="164" fontId="6" fillId="0" borderId="20" xfId="0" applyNumberFormat="1" applyFont="1" applyBorder="1" applyAlignment="1">
      <alignment horizontal="center"/>
    </xf>
    <xf numFmtId="0" fontId="0" fillId="0" borderId="13" xfId="0" applyFill="1" applyBorder="1" applyAlignment="1">
      <alignment horizontal="center"/>
    </xf>
    <xf numFmtId="3" fontId="5" fillId="0" borderId="10" xfId="0" applyNumberFormat="1" applyFont="1" applyFill="1" applyBorder="1" applyAlignment="1">
      <alignment horizontal="center"/>
    </xf>
    <xf numFmtId="3" fontId="5" fillId="0" borderId="11" xfId="0" applyNumberFormat="1" applyFont="1" applyFill="1" applyBorder="1" applyAlignment="1">
      <alignment horizontal="center"/>
    </xf>
    <xf numFmtId="3" fontId="0" fillId="0" borderId="9" xfId="0" applyNumberFormat="1" applyBorder="1" applyAlignment="1">
      <alignment horizontal="center"/>
    </xf>
    <xf numFmtId="4" fontId="0" fillId="0" borderId="9" xfId="0" applyNumberFormat="1" applyBorder="1" applyAlignment="1">
      <alignment horizontal="center"/>
    </xf>
    <xf numFmtId="4" fontId="0" fillId="0" borderId="11" xfId="0" applyNumberFormat="1" applyBorder="1" applyAlignment="1">
      <alignment horizontal="center"/>
    </xf>
    <xf numFmtId="164" fontId="0" fillId="0" borderId="10" xfId="0" applyNumberFormat="1" applyBorder="1" applyAlignment="1">
      <alignment horizontal="center"/>
    </xf>
    <xf numFmtId="164" fontId="0" fillId="0" borderId="12" xfId="0" applyNumberFormat="1" applyBorder="1" applyAlignment="1">
      <alignment horizontal="center"/>
    </xf>
    <xf numFmtId="3" fontId="4" fillId="6" borderId="12" xfId="0" applyNumberFormat="1" applyFont="1" applyFill="1" applyBorder="1" applyAlignment="1">
      <alignment horizontal="center"/>
    </xf>
    <xf numFmtId="4" fontId="1" fillId="0" borderId="0" xfId="0" applyNumberFormat="1" applyFont="1" applyBorder="1" applyAlignment="1">
      <alignment horizontal="center"/>
    </xf>
    <xf numFmtId="4" fontId="1" fillId="0" borderId="13" xfId="0" applyNumberFormat="1" applyFont="1" applyBorder="1" applyAlignment="1">
      <alignment horizontal="center"/>
    </xf>
    <xf numFmtId="4" fontId="1" fillId="0" borderId="14" xfId="0" applyNumberFormat="1" applyFont="1" applyBorder="1" applyAlignment="1">
      <alignment horizontal="center"/>
    </xf>
    <xf numFmtId="164" fontId="0" fillId="0" borderId="2" xfId="0" applyNumberFormat="1" applyBorder="1" applyAlignment="1">
      <alignment horizontal="center"/>
    </xf>
    <xf numFmtId="164" fontId="0" fillId="0" borderId="0" xfId="0" applyNumberFormat="1" applyBorder="1" applyAlignment="1">
      <alignment horizontal="center"/>
    </xf>
    <xf numFmtId="164" fontId="0" fillId="3" borderId="0" xfId="0" applyNumberFormat="1" applyFill="1" applyBorder="1" applyAlignment="1">
      <alignment horizontal="center"/>
    </xf>
    <xf numFmtId="3" fontId="0" fillId="3" borderId="4" xfId="0" applyNumberFormat="1" applyFill="1" applyBorder="1" applyAlignment="1">
      <alignment horizontal="center"/>
    </xf>
    <xf numFmtId="166" fontId="1" fillId="0" borderId="14" xfId="0" applyNumberFormat="1" applyFont="1" applyFill="1" applyBorder="1" applyAlignment="1">
      <alignment horizontal="center"/>
    </xf>
    <xf numFmtId="166" fontId="1" fillId="0" borderId="13" xfId="0" applyNumberFormat="1" applyFont="1" applyFill="1" applyBorder="1" applyAlignment="1">
      <alignment horizontal="center"/>
    </xf>
    <xf numFmtId="3" fontId="1" fillId="3" borderId="14" xfId="3" applyNumberFormat="1" applyFont="1" applyFill="1" applyBorder="1" applyAlignment="1">
      <alignment horizontal="center"/>
    </xf>
    <xf numFmtId="3" fontId="25" fillId="0" borderId="5" xfId="3" applyNumberFormat="1" applyBorder="1" applyAlignment="1">
      <alignment horizontal="center"/>
    </xf>
    <xf numFmtId="3" fontId="25" fillId="0" borderId="21" xfId="3" applyNumberFormat="1" applyBorder="1" applyAlignment="1">
      <alignment horizontal="center"/>
    </xf>
    <xf numFmtId="3" fontId="25" fillId="0" borderId="31" xfId="3" applyNumberFormat="1" applyBorder="1" applyAlignment="1">
      <alignment horizontal="center"/>
    </xf>
    <xf numFmtId="164" fontId="1" fillId="0" borderId="31" xfId="3" applyNumberFormat="1" applyFont="1" applyBorder="1" applyAlignment="1">
      <alignment horizontal="center"/>
    </xf>
    <xf numFmtId="164" fontId="1" fillId="0" borderId="19" xfId="3" applyNumberFormat="1" applyFont="1" applyBorder="1" applyAlignment="1">
      <alignment horizontal="center"/>
    </xf>
    <xf numFmtId="3" fontId="25" fillId="0" borderId="27" xfId="3" applyNumberFormat="1" applyFill="1" applyBorder="1" applyAlignment="1">
      <alignment horizontal="center"/>
    </xf>
    <xf numFmtId="3" fontId="25" fillId="0" borderId="11" xfId="3" applyNumberFormat="1" applyFill="1" applyBorder="1" applyAlignment="1">
      <alignment horizontal="center"/>
    </xf>
    <xf numFmtId="3" fontId="25" fillId="0" borderId="10" xfId="3" applyNumberFormat="1" applyFill="1" applyBorder="1" applyAlignment="1">
      <alignment horizontal="center"/>
    </xf>
    <xf numFmtId="164" fontId="1" fillId="0" borderId="10" xfId="3" applyNumberFormat="1" applyFont="1" applyFill="1" applyBorder="1" applyAlignment="1">
      <alignment horizontal="center"/>
    </xf>
    <xf numFmtId="3" fontId="25" fillId="3" borderId="14" xfId="3" applyNumberFormat="1" applyFill="1" applyBorder="1" applyAlignment="1">
      <alignment horizontal="center"/>
    </xf>
    <xf numFmtId="3" fontId="25" fillId="0" borderId="1" xfId="3" applyNumberFormat="1" applyBorder="1" applyAlignment="1">
      <alignment horizontal="center"/>
    </xf>
    <xf numFmtId="3" fontId="25" fillId="0" borderId="25" xfId="3" applyNumberFormat="1" applyBorder="1" applyAlignment="1">
      <alignment horizontal="center"/>
    </xf>
    <xf numFmtId="3" fontId="25" fillId="0" borderId="32" xfId="3" applyNumberFormat="1" applyBorder="1" applyAlignment="1">
      <alignment horizontal="center"/>
    </xf>
    <xf numFmtId="164" fontId="1" fillId="0" borderId="32" xfId="3" applyNumberFormat="1" applyFont="1" applyBorder="1" applyAlignment="1">
      <alignment horizontal="center"/>
    </xf>
    <xf numFmtId="164" fontId="1" fillId="0" borderId="3" xfId="3" applyNumberFormat="1" applyFont="1" applyBorder="1" applyAlignment="1">
      <alignment horizontal="center"/>
    </xf>
    <xf numFmtId="4" fontId="25" fillId="0" borderId="14" xfId="3" applyNumberFormat="1" applyBorder="1" applyAlignment="1">
      <alignment horizontal="center"/>
    </xf>
    <xf numFmtId="3" fontId="25" fillId="0" borderId="5" xfId="3" applyNumberFormat="1" applyFill="1" applyBorder="1" applyAlignment="1">
      <alignment horizontal="center"/>
    </xf>
    <xf numFmtId="164" fontId="1" fillId="0" borderId="31" xfId="3" applyNumberFormat="1" applyFont="1" applyFill="1" applyBorder="1" applyAlignment="1">
      <alignment horizontal="center"/>
    </xf>
    <xf numFmtId="164" fontId="1" fillId="0" borderId="19" xfId="3" applyNumberFormat="1" applyFont="1" applyFill="1" applyBorder="1" applyAlignment="1">
      <alignment horizontal="center"/>
    </xf>
    <xf numFmtId="3" fontId="5" fillId="0" borderId="27" xfId="3" applyNumberFormat="1" applyFont="1" applyBorder="1" applyAlignment="1">
      <alignment horizontal="center"/>
    </xf>
    <xf numFmtId="3" fontId="5" fillId="0" borderId="11" xfId="3" applyNumberFormat="1" applyFont="1" applyBorder="1" applyAlignment="1">
      <alignment horizontal="center"/>
    </xf>
    <xf numFmtId="3" fontId="5" fillId="0" borderId="10" xfId="3" applyNumberFormat="1" applyFont="1" applyBorder="1" applyAlignment="1">
      <alignment horizontal="center"/>
    </xf>
    <xf numFmtId="164" fontId="1" fillId="0" borderId="10" xfId="3" applyNumberFormat="1" applyFont="1" applyBorder="1" applyAlignment="1">
      <alignment horizontal="center"/>
    </xf>
    <xf numFmtId="3" fontId="25" fillId="0" borderId="1" xfId="3" applyNumberFormat="1" applyFill="1" applyBorder="1" applyAlignment="1">
      <alignment horizontal="center"/>
    </xf>
    <xf numFmtId="3" fontId="25" fillId="0" borderId="25" xfId="3" applyNumberFormat="1" applyFill="1" applyBorder="1" applyAlignment="1">
      <alignment horizontal="center"/>
    </xf>
    <xf numFmtId="3" fontId="25" fillId="0" borderId="32" xfId="3" applyNumberFormat="1" applyFill="1" applyBorder="1" applyAlignment="1">
      <alignment horizontal="center"/>
    </xf>
    <xf numFmtId="164" fontId="1" fillId="0" borderId="32" xfId="3" applyNumberFormat="1" applyFont="1" applyFill="1" applyBorder="1" applyAlignment="1">
      <alignment horizontal="center"/>
    </xf>
    <xf numFmtId="164" fontId="1" fillId="0" borderId="3" xfId="3" applyNumberFormat="1" applyFont="1" applyFill="1" applyBorder="1" applyAlignment="1">
      <alignment horizontal="center"/>
    </xf>
    <xf numFmtId="3" fontId="8" fillId="0" borderId="0" xfId="0" applyNumberFormat="1" applyFont="1" applyBorder="1" applyAlignment="1">
      <alignment horizontal="center"/>
    </xf>
    <xf numFmtId="3" fontId="8" fillId="0" borderId="6" xfId="0" applyNumberFormat="1" applyFont="1" applyBorder="1" applyAlignment="1">
      <alignment horizontal="center"/>
    </xf>
    <xf numFmtId="164" fontId="16" fillId="0" borderId="9" xfId="0" applyNumberFormat="1" applyFont="1" applyFill="1" applyBorder="1" applyAlignment="1">
      <alignment horizontal="center"/>
    </xf>
    <xf numFmtId="3" fontId="4" fillId="6" borderId="5" xfId="0" applyNumberFormat="1" applyFont="1" applyFill="1" applyBorder="1" applyAlignment="1">
      <alignment horizontal="center"/>
    </xf>
    <xf numFmtId="0" fontId="1" fillId="0" borderId="0" xfId="0" applyFont="1" applyFill="1" applyBorder="1" applyAlignment="1">
      <alignment horizontal="center"/>
    </xf>
    <xf numFmtId="3" fontId="8" fillId="6" borderId="5" xfId="0" applyNumberFormat="1" applyFont="1" applyFill="1" applyBorder="1" applyAlignment="1">
      <alignment horizontal="center"/>
    </xf>
    <xf numFmtId="3" fontId="8" fillId="6" borderId="6" xfId="0" applyNumberFormat="1" applyFont="1" applyFill="1" applyBorder="1" applyAlignment="1">
      <alignment horizontal="center"/>
    </xf>
    <xf numFmtId="164" fontId="14" fillId="6" borderId="6" xfId="0" applyNumberFormat="1" applyFont="1" applyFill="1" applyBorder="1" applyAlignment="1">
      <alignment horizontal="center"/>
    </xf>
    <xf numFmtId="164" fontId="14" fillId="6" borderId="19" xfId="0" applyNumberFormat="1" applyFont="1" applyFill="1" applyBorder="1" applyAlignment="1">
      <alignment horizontal="center"/>
    </xf>
    <xf numFmtId="3" fontId="1" fillId="0" borderId="9" xfId="0" applyNumberFormat="1" applyFont="1" applyBorder="1" applyAlignment="1">
      <alignment horizontal="center"/>
    </xf>
    <xf numFmtId="3" fontId="1" fillId="0" borderId="10" xfId="0" applyNumberFormat="1" applyFont="1" applyBorder="1" applyAlignment="1">
      <alignment horizontal="center"/>
    </xf>
    <xf numFmtId="164" fontId="1" fillId="0" borderId="2" xfId="0" applyNumberFormat="1" applyFont="1" applyBorder="1" applyAlignment="1">
      <alignment horizontal="center"/>
    </xf>
    <xf numFmtId="3" fontId="8" fillId="6" borderId="2" xfId="0" applyNumberFormat="1" applyFont="1" applyFill="1" applyBorder="1" applyAlignment="1">
      <alignment horizontal="center"/>
    </xf>
    <xf numFmtId="164" fontId="15" fillId="0" borderId="14" xfId="0" applyNumberFormat="1" applyFont="1" applyBorder="1" applyAlignment="1">
      <alignment horizontal="center"/>
    </xf>
    <xf numFmtId="164" fontId="15" fillId="0" borderId="20" xfId="0" applyNumberFormat="1" applyFont="1" applyBorder="1" applyAlignment="1">
      <alignment horizontal="center"/>
    </xf>
    <xf numFmtId="166" fontId="0" fillId="3" borderId="14" xfId="0" applyNumberFormat="1" applyFill="1" applyBorder="1" applyAlignment="1">
      <alignment horizontal="center"/>
    </xf>
    <xf numFmtId="166" fontId="0" fillId="3" borderId="13" xfId="0" applyNumberFormat="1" applyFill="1" applyBorder="1" applyAlignment="1">
      <alignment horizontal="center"/>
    </xf>
    <xf numFmtId="3" fontId="20" fillId="0" borderId="14" xfId="0" applyNumberFormat="1" applyFont="1" applyFill="1" applyBorder="1" applyAlignment="1">
      <alignment horizontal="center"/>
    </xf>
    <xf numFmtId="3" fontId="20" fillId="0" borderId="13" xfId="0" applyNumberFormat="1" applyFont="1" applyFill="1" applyBorder="1" applyAlignment="1">
      <alignment horizontal="center"/>
    </xf>
    <xf numFmtId="164" fontId="17" fillId="6" borderId="31" xfId="0" applyNumberFormat="1" applyFont="1" applyFill="1" applyBorder="1" applyAlignment="1">
      <alignment horizontal="center"/>
    </xf>
    <xf numFmtId="0" fontId="17" fillId="6" borderId="19" xfId="0" applyFont="1" applyFill="1" applyBorder="1" applyAlignment="1">
      <alignment horizontal="center"/>
    </xf>
    <xf numFmtId="3" fontId="8" fillId="4" borderId="9" xfId="0" applyNumberFormat="1" applyFont="1" applyFill="1" applyBorder="1" applyAlignment="1">
      <alignment horizontal="center"/>
    </xf>
    <xf numFmtId="0" fontId="8" fillId="4" borderId="11" xfId="0" applyFont="1" applyFill="1" applyBorder="1" applyAlignment="1">
      <alignment horizontal="center"/>
    </xf>
    <xf numFmtId="0" fontId="0" fillId="0" borderId="4" xfId="0" applyBorder="1" applyAlignment="1">
      <alignment horizontal="center"/>
    </xf>
    <xf numFmtId="4" fontId="0" fillId="0" borderId="10" xfId="0" applyNumberFormat="1" applyBorder="1" applyAlignment="1">
      <alignment horizontal="center"/>
    </xf>
    <xf numFmtId="3" fontId="0" fillId="9" borderId="14" xfId="0" applyNumberFormat="1" applyFill="1" applyBorder="1" applyAlignment="1">
      <alignment horizontal="center"/>
    </xf>
    <xf numFmtId="3" fontId="0" fillId="9" borderId="13" xfId="0" applyNumberFormat="1" applyFill="1" applyBorder="1" applyAlignment="1">
      <alignment horizontal="center"/>
    </xf>
    <xf numFmtId="164" fontId="0" fillId="9" borderId="14" xfId="0" applyNumberFormat="1" applyFill="1" applyBorder="1" applyAlignment="1">
      <alignment horizontal="center"/>
    </xf>
    <xf numFmtId="164" fontId="0" fillId="9" borderId="20" xfId="0" applyNumberFormat="1" applyFill="1" applyBorder="1" applyAlignment="1">
      <alignment horizontal="center"/>
    </xf>
    <xf numFmtId="171" fontId="0" fillId="0" borderId="14" xfId="0" applyNumberFormat="1" applyBorder="1" applyAlignment="1">
      <alignment horizontal="center"/>
    </xf>
    <xf numFmtId="171" fontId="0" fillId="0" borderId="13" xfId="0" applyNumberFormat="1" applyBorder="1" applyAlignment="1">
      <alignment horizontal="center"/>
    </xf>
    <xf numFmtId="0" fontId="1" fillId="0" borderId="1" xfId="0" applyFont="1" applyBorder="1" applyAlignment="1"/>
    <xf numFmtId="0" fontId="1" fillId="0" borderId="25" xfId="0" applyFont="1" applyBorder="1" applyAlignment="1"/>
    <xf numFmtId="3" fontId="1" fillId="0" borderId="32" xfId="0" applyNumberFormat="1" applyFont="1" applyBorder="1" applyAlignment="1"/>
    <xf numFmtId="3" fontId="1" fillId="0" borderId="25" xfId="0" applyNumberFormat="1" applyFont="1" applyBorder="1" applyAlignment="1"/>
    <xf numFmtId="2" fontId="1" fillId="0" borderId="32" xfId="0" applyNumberFormat="1" applyFont="1" applyBorder="1" applyAlignment="1"/>
    <xf numFmtId="2" fontId="1" fillId="0" borderId="25" xfId="0" applyNumberFormat="1" applyFont="1" applyBorder="1" applyAlignment="1"/>
    <xf numFmtId="166" fontId="1" fillId="0" borderId="14" xfId="0" applyNumberFormat="1" applyFont="1" applyBorder="1" applyAlignment="1">
      <alignment horizontal="center"/>
    </xf>
    <xf numFmtId="166" fontId="1" fillId="0" borderId="13" xfId="0" applyNumberFormat="1" applyFont="1" applyBorder="1" applyAlignment="1">
      <alignment horizontal="center"/>
    </xf>
    <xf numFmtId="3" fontId="5" fillId="0" borderId="3" xfId="0" applyNumberFormat="1" applyFont="1" applyFill="1" applyBorder="1" applyAlignment="1">
      <alignment horizontal="center"/>
    </xf>
    <xf numFmtId="3" fontId="5" fillId="0" borderId="12" xfId="0" applyNumberFormat="1" applyFont="1" applyFill="1" applyBorder="1" applyAlignment="1">
      <alignment horizontal="center"/>
    </xf>
    <xf numFmtId="3" fontId="1" fillId="0" borderId="32" xfId="0" applyNumberFormat="1" applyFont="1" applyBorder="1" applyAlignment="1">
      <alignment horizontal="center"/>
    </xf>
    <xf numFmtId="4" fontId="1" fillId="0" borderId="31" xfId="0" applyNumberFormat="1" applyFont="1" applyFill="1" applyBorder="1" applyAlignment="1">
      <alignment horizontal="center"/>
    </xf>
    <xf numFmtId="0" fontId="1" fillId="0" borderId="27" xfId="0" applyFont="1" applyBorder="1" applyAlignment="1"/>
    <xf numFmtId="0" fontId="1" fillId="0" borderId="11" xfId="0" applyFont="1" applyBorder="1" applyAlignment="1"/>
    <xf numFmtId="3" fontId="1" fillId="0" borderId="10" xfId="0" applyNumberFormat="1" applyFont="1" applyBorder="1" applyAlignment="1"/>
    <xf numFmtId="3" fontId="1" fillId="0" borderId="11" xfId="0" applyNumberFormat="1" applyFont="1" applyBorder="1" applyAlignment="1"/>
    <xf numFmtId="2" fontId="1" fillId="0" borderId="10" xfId="0" applyNumberFormat="1" applyFont="1" applyBorder="1" applyAlignment="1"/>
    <xf numFmtId="2" fontId="1" fillId="0" borderId="11" xfId="0" applyNumberFormat="1" applyFont="1" applyBorder="1" applyAlignment="1"/>
    <xf numFmtId="3" fontId="8" fillId="6" borderId="32" xfId="0" applyNumberFormat="1" applyFont="1" applyFill="1" applyBorder="1" applyAlignment="1">
      <alignment horizontal="center"/>
    </xf>
    <xf numFmtId="2" fontId="8" fillId="6" borderId="32" xfId="0" applyNumberFormat="1" applyFont="1" applyFill="1" applyBorder="1" applyAlignment="1">
      <alignment horizontal="center"/>
    </xf>
    <xf numFmtId="2" fontId="8" fillId="6" borderId="25" xfId="0" applyNumberFormat="1" applyFont="1" applyFill="1" applyBorder="1" applyAlignment="1">
      <alignment horizontal="center"/>
    </xf>
    <xf numFmtId="164" fontId="8" fillId="6" borderId="32" xfId="0" applyNumberFormat="1" applyFont="1" applyFill="1" applyBorder="1" applyAlignment="1">
      <alignment horizontal="center"/>
    </xf>
    <xf numFmtId="164" fontId="8" fillId="6" borderId="3" xfId="0" applyNumberFormat="1" applyFont="1" applyFill="1" applyBorder="1" applyAlignment="1">
      <alignment horizontal="center"/>
    </xf>
    <xf numFmtId="1" fontId="1" fillId="3" borderId="14" xfId="0" applyNumberFormat="1" applyFont="1" applyFill="1" applyBorder="1" applyAlignment="1">
      <alignment horizontal="center"/>
    </xf>
    <xf numFmtId="1" fontId="1" fillId="3" borderId="31" xfId="0" applyNumberFormat="1" applyFont="1" applyFill="1" applyBorder="1" applyAlignment="1">
      <alignment horizontal="center"/>
    </xf>
    <xf numFmtId="1" fontId="1" fillId="3" borderId="21" xfId="0" applyNumberFormat="1" applyFont="1" applyFill="1" applyBorder="1" applyAlignment="1">
      <alignment horizontal="center"/>
    </xf>
    <xf numFmtId="3" fontId="1" fillId="9" borderId="1" xfId="0" applyNumberFormat="1" applyFont="1" applyFill="1" applyBorder="1" applyAlignment="1">
      <alignment horizontal="center"/>
    </xf>
    <xf numFmtId="3" fontId="1" fillId="9" borderId="25" xfId="0" applyNumberFormat="1" applyFont="1" applyFill="1" applyBorder="1" applyAlignment="1">
      <alignment horizontal="center"/>
    </xf>
    <xf numFmtId="3" fontId="1" fillId="9" borderId="32" xfId="0" applyNumberFormat="1" applyFont="1" applyFill="1" applyBorder="1" applyAlignment="1">
      <alignment horizontal="center"/>
    </xf>
    <xf numFmtId="164" fontId="1" fillId="9" borderId="32" xfId="0" applyNumberFormat="1" applyFont="1" applyFill="1" applyBorder="1" applyAlignment="1">
      <alignment horizontal="center"/>
    </xf>
    <xf numFmtId="164" fontId="1" fillId="9" borderId="3" xfId="0" applyNumberFormat="1" applyFont="1" applyFill="1" applyBorder="1" applyAlignment="1">
      <alignment horizontal="center"/>
    </xf>
    <xf numFmtId="4" fontId="1" fillId="0" borderId="32" xfId="0" applyNumberFormat="1" applyFont="1" applyBorder="1" applyAlignment="1">
      <alignment horizontal="center"/>
    </xf>
    <xf numFmtId="4" fontId="1" fillId="0" borderId="25" xfId="0" applyNumberFormat="1" applyFont="1" applyBorder="1" applyAlignment="1">
      <alignment horizontal="center"/>
    </xf>
    <xf numFmtId="4" fontId="1" fillId="0" borderId="31" xfId="0" applyNumberFormat="1" applyFont="1" applyBorder="1" applyAlignment="1">
      <alignment horizontal="center"/>
    </xf>
    <xf numFmtId="1" fontId="1" fillId="0" borderId="32" xfId="0" applyNumberFormat="1" applyFont="1" applyBorder="1" applyAlignment="1">
      <alignment horizontal="center"/>
    </xf>
    <xf numFmtId="1" fontId="1" fillId="0" borderId="25" xfId="0" applyNumberFormat="1" applyFont="1" applyBorder="1" applyAlignment="1">
      <alignment horizontal="center"/>
    </xf>
    <xf numFmtId="4" fontId="1" fillId="3" borderId="31" xfId="0" applyNumberFormat="1" applyFont="1" applyFill="1" applyBorder="1" applyAlignment="1">
      <alignment horizontal="center"/>
    </xf>
    <xf numFmtId="4" fontId="1" fillId="3" borderId="21" xfId="0" applyNumberFormat="1" applyFont="1" applyFill="1" applyBorder="1" applyAlignment="1">
      <alignment horizontal="center"/>
    </xf>
    <xf numFmtId="0" fontId="8" fillId="0" borderId="39" xfId="0" applyFont="1" applyBorder="1" applyAlignment="1">
      <alignment horizontal="center"/>
    </xf>
    <xf numFmtId="2" fontId="1" fillId="0" borderId="31" xfId="0" applyNumberFormat="1" applyFont="1" applyFill="1" applyBorder="1" applyAlignment="1">
      <alignment horizontal="center"/>
    </xf>
    <xf numFmtId="0" fontId="1" fillId="0" borderId="28" xfId="0" applyFont="1" applyFill="1" applyBorder="1" applyAlignment="1">
      <alignment horizontal="center"/>
    </xf>
    <xf numFmtId="4" fontId="1" fillId="0" borderId="0" xfId="0" applyNumberFormat="1" applyFont="1" applyFill="1" applyBorder="1" applyAlignment="1">
      <alignment horizontal="center"/>
    </xf>
    <xf numFmtId="3" fontId="5" fillId="0" borderId="27" xfId="0" applyNumberFormat="1" applyFont="1" applyFill="1" applyBorder="1" applyAlignment="1">
      <alignment horizontal="center"/>
    </xf>
    <xf numFmtId="0" fontId="1" fillId="0" borderId="29" xfId="0" applyFont="1" applyFill="1" applyBorder="1" applyAlignment="1">
      <alignment horizontal="center"/>
    </xf>
    <xf numFmtId="0" fontId="1" fillId="0" borderId="2" xfId="0" applyFont="1" applyBorder="1" applyAlignment="1">
      <alignment horizontal="center"/>
    </xf>
    <xf numFmtId="0" fontId="1" fillId="0" borderId="4" xfId="0" applyFont="1" applyBorder="1" applyAlignment="1">
      <alignment horizontal="center"/>
    </xf>
    <xf numFmtId="0" fontId="8" fillId="0" borderId="0" xfId="0" applyFont="1" applyFill="1" applyBorder="1" applyAlignment="1">
      <alignment horizontal="center"/>
    </xf>
    <xf numFmtId="2" fontId="8" fillId="0" borderId="0" xfId="0" applyNumberFormat="1" applyFont="1" applyFill="1" applyBorder="1" applyAlignment="1">
      <alignment horizontal="center"/>
    </xf>
    <xf numFmtId="0" fontId="8" fillId="0" borderId="20" xfId="0" applyFont="1" applyFill="1" applyBorder="1" applyAlignment="1">
      <alignment horizontal="center"/>
    </xf>
    <xf numFmtId="0" fontId="1" fillId="0" borderId="14" xfId="0" applyFont="1" applyFill="1" applyBorder="1" applyAlignment="1">
      <alignment horizontal="center"/>
    </xf>
    <xf numFmtId="0" fontId="1" fillId="0" borderId="20" xfId="0" applyFont="1" applyFill="1" applyBorder="1" applyAlignment="1">
      <alignment horizontal="center"/>
    </xf>
    <xf numFmtId="0" fontId="1" fillId="0" borderId="13" xfId="0" applyFont="1" applyFill="1" applyBorder="1" applyAlignment="1">
      <alignment horizontal="center"/>
    </xf>
    <xf numFmtId="2" fontId="8" fillId="0" borderId="6" xfId="0" applyNumberFormat="1" applyFont="1" applyFill="1" applyBorder="1" applyAlignment="1">
      <alignment horizontal="center"/>
    </xf>
    <xf numFmtId="0" fontId="8" fillId="0" borderId="6" xfId="0" applyFont="1" applyFill="1" applyBorder="1" applyAlignment="1">
      <alignment horizontal="center"/>
    </xf>
    <xf numFmtId="0" fontId="8" fillId="0" borderId="19" xfId="0" applyFont="1" applyFill="1" applyBorder="1" applyAlignment="1">
      <alignment horizontal="center"/>
    </xf>
    <xf numFmtId="0" fontId="1" fillId="0" borderId="4" xfId="0" applyFont="1" applyFill="1" applyBorder="1" applyAlignment="1">
      <alignment horizontal="center"/>
    </xf>
    <xf numFmtId="0" fontId="1" fillId="0" borderId="1" xfId="0" applyFont="1" applyBorder="1" applyAlignment="1">
      <alignment horizontal="center"/>
    </xf>
    <xf numFmtId="3" fontId="8" fillId="0" borderId="10" xfId="0" applyNumberFormat="1" applyFont="1" applyFill="1" applyBorder="1" applyAlignment="1">
      <alignment horizontal="center"/>
    </xf>
    <xf numFmtId="3" fontId="8" fillId="0" borderId="11" xfId="0" applyNumberFormat="1" applyFont="1" applyFill="1" applyBorder="1" applyAlignment="1">
      <alignment horizontal="center"/>
    </xf>
    <xf numFmtId="1" fontId="8" fillId="0" borderId="10" xfId="0" applyNumberFormat="1" applyFont="1" applyFill="1" applyBorder="1" applyAlignment="1">
      <alignment horizontal="center"/>
    </xf>
    <xf numFmtId="1" fontId="8" fillId="0" borderId="11" xfId="0" applyNumberFormat="1" applyFont="1" applyFill="1" applyBorder="1" applyAlignment="1">
      <alignment horizontal="center"/>
    </xf>
    <xf numFmtId="164" fontId="8" fillId="0" borderId="10" xfId="0" applyNumberFormat="1" applyFont="1" applyFill="1" applyBorder="1" applyAlignment="1">
      <alignment horizontal="center"/>
    </xf>
    <xf numFmtId="164" fontId="8" fillId="0" borderId="12" xfId="0" applyNumberFormat="1" applyFont="1" applyFill="1" applyBorder="1" applyAlignment="1">
      <alignment horizontal="center"/>
    </xf>
    <xf numFmtId="3" fontId="1" fillId="0" borderId="31" xfId="0" applyNumberFormat="1" applyFont="1" applyBorder="1" applyAlignment="1"/>
    <xf numFmtId="3" fontId="1" fillId="0" borderId="21" xfId="0" applyNumberFormat="1" applyFont="1" applyBorder="1" applyAlignment="1"/>
    <xf numFmtId="2" fontId="1" fillId="0" borderId="31" xfId="0" applyNumberFormat="1" applyFont="1" applyBorder="1" applyAlignment="1"/>
    <xf numFmtId="2" fontId="1" fillId="0" borderId="21" xfId="0" applyNumberFormat="1" applyFont="1" applyBorder="1" applyAlignment="1"/>
    <xf numFmtId="0" fontId="1" fillId="0" borderId="31" xfId="0" applyFont="1" applyBorder="1" applyAlignment="1"/>
    <xf numFmtId="0" fontId="1" fillId="0" borderId="19" xfId="0" applyFont="1" applyBorder="1" applyAlignment="1"/>
    <xf numFmtId="0" fontId="1" fillId="0" borderId="21" xfId="0" applyFont="1" applyBorder="1" applyAlignment="1"/>
    <xf numFmtId="0" fontId="8" fillId="0" borderId="39" xfId="0" applyFont="1" applyFill="1" applyBorder="1" applyAlignment="1">
      <alignment horizontal="center"/>
    </xf>
    <xf numFmtId="3" fontId="8" fillId="0" borderId="27" xfId="0" applyNumberFormat="1" applyFont="1" applyFill="1" applyBorder="1" applyAlignment="1">
      <alignment horizontal="center"/>
    </xf>
    <xf numFmtId="168" fontId="1" fillId="0" borderId="14" xfId="0" applyNumberFormat="1" applyFont="1" applyBorder="1" applyAlignment="1">
      <alignment horizontal="center"/>
    </xf>
    <xf numFmtId="168" fontId="1" fillId="0" borderId="13" xfId="0" applyNumberFormat="1" applyFont="1" applyBorder="1" applyAlignment="1">
      <alignment horizontal="center"/>
    </xf>
    <xf numFmtId="1" fontId="5" fillId="0" borderId="10" xfId="0" applyNumberFormat="1" applyFont="1" applyFill="1" applyBorder="1" applyAlignment="1">
      <alignment horizontal="center"/>
    </xf>
    <xf numFmtId="1" fontId="5" fillId="0" borderId="11" xfId="0" applyNumberFormat="1" applyFont="1" applyFill="1" applyBorder="1" applyAlignment="1">
      <alignment horizontal="center"/>
    </xf>
    <xf numFmtId="1" fontId="1" fillId="3" borderId="6" xfId="0" applyNumberFormat="1" applyFont="1" applyFill="1" applyBorder="1" applyAlignment="1">
      <alignment horizontal="center"/>
    </xf>
    <xf numFmtId="0" fontId="0" fillId="0" borderId="27" xfId="0" applyFill="1" applyBorder="1" applyAlignment="1"/>
    <xf numFmtId="0" fontId="0" fillId="0" borderId="11" xfId="0" applyFill="1" applyBorder="1" applyAlignment="1"/>
    <xf numFmtId="3" fontId="0" fillId="0" borderId="10" xfId="0" applyNumberFormat="1" applyFill="1" applyBorder="1" applyAlignment="1"/>
    <xf numFmtId="3" fontId="0" fillId="0" borderId="11" xfId="0" applyNumberFormat="1" applyFill="1" applyBorder="1" applyAlignment="1"/>
    <xf numFmtId="1" fontId="0" fillId="0" borderId="10" xfId="0" applyNumberFormat="1" applyFill="1" applyBorder="1" applyAlignment="1"/>
    <xf numFmtId="1" fontId="0" fillId="0" borderId="11" xfId="0" applyNumberFormat="1" applyFill="1" applyBorder="1" applyAlignment="1"/>
    <xf numFmtId="0" fontId="1" fillId="0" borderId="10" xfId="0" applyFont="1" applyFill="1" applyBorder="1" applyAlignment="1"/>
    <xf numFmtId="0" fontId="1" fillId="0" borderId="12" xfId="0" applyFont="1" applyFill="1" applyBorder="1" applyAlignment="1"/>
    <xf numFmtId="2" fontId="0" fillId="3" borderId="14" xfId="0" applyNumberFormat="1" applyFill="1" applyBorder="1" applyAlignment="1">
      <alignment horizontal="center"/>
    </xf>
    <xf numFmtId="2" fontId="0" fillId="3" borderId="13" xfId="0" applyNumberFormat="1" applyFill="1" applyBorder="1" applyAlignment="1">
      <alignment horizontal="center"/>
    </xf>
    <xf numFmtId="1" fontId="0" fillId="0" borderId="21" xfId="0" applyNumberFormat="1" applyFill="1" applyBorder="1" applyAlignment="1">
      <alignment horizontal="center"/>
    </xf>
    <xf numFmtId="1" fontId="5" fillId="0" borderId="9" xfId="0" applyNumberFormat="1" applyFont="1" applyFill="1" applyBorder="1" applyAlignment="1">
      <alignment horizontal="center"/>
    </xf>
    <xf numFmtId="1" fontId="0" fillId="0" borderId="2" xfId="0" applyNumberFormat="1" applyBorder="1" applyAlignment="1">
      <alignment horizontal="center"/>
    </xf>
    <xf numFmtId="1" fontId="0" fillId="0" borderId="25" xfId="0" applyNumberFormat="1" applyBorder="1" applyAlignment="1">
      <alignment horizontal="center"/>
    </xf>
    <xf numFmtId="1" fontId="0" fillId="0" borderId="32" xfId="0" applyNumberFormat="1" applyFill="1" applyBorder="1" applyAlignment="1">
      <alignment horizontal="center"/>
    </xf>
    <xf numFmtId="1" fontId="0" fillId="0" borderId="25" xfId="0" applyNumberFormat="1" applyFill="1" applyBorder="1" applyAlignment="1">
      <alignment horizontal="center"/>
    </xf>
    <xf numFmtId="1" fontId="0" fillId="0" borderId="32" xfId="0" applyNumberFormat="1" applyBorder="1" applyAlignment="1">
      <alignment horizontal="center"/>
    </xf>
    <xf numFmtId="3" fontId="5" fillId="0" borderId="36" xfId="0" applyNumberFormat="1" applyFont="1" applyBorder="1" applyAlignment="1">
      <alignment horizontal="center"/>
    </xf>
    <xf numFmtId="0" fontId="5" fillId="0" borderId="37" xfId="0" applyFont="1" applyBorder="1" applyAlignment="1">
      <alignment horizontal="center"/>
    </xf>
    <xf numFmtId="164" fontId="14" fillId="6" borderId="31" xfId="0" applyNumberFormat="1" applyFont="1" applyFill="1" applyBorder="1" applyAlignment="1">
      <alignment horizontal="center"/>
    </xf>
    <xf numFmtId="3" fontId="0" fillId="6" borderId="14" xfId="0" applyNumberFormat="1" applyFill="1" applyBorder="1" applyAlignment="1">
      <alignment horizontal="center"/>
    </xf>
    <xf numFmtId="3" fontId="0" fillId="6" borderId="13" xfId="0" applyNumberFormat="1" applyFill="1" applyBorder="1" applyAlignment="1">
      <alignment horizontal="center"/>
    </xf>
    <xf numFmtId="1" fontId="0" fillId="6" borderId="14" xfId="0" applyNumberFormat="1" applyFill="1" applyBorder="1" applyAlignment="1">
      <alignment horizontal="center"/>
    </xf>
    <xf numFmtId="1" fontId="0" fillId="6" borderId="13" xfId="0" applyNumberFormat="1" applyFill="1" applyBorder="1" applyAlignment="1">
      <alignment horizontal="center"/>
    </xf>
    <xf numFmtId="164" fontId="15" fillId="6" borderId="14" xfId="0" applyNumberFormat="1" applyFont="1" applyFill="1" applyBorder="1" applyAlignment="1">
      <alignment horizontal="center"/>
    </xf>
    <xf numFmtId="164" fontId="15" fillId="6" borderId="20" xfId="0" applyNumberFormat="1" applyFont="1" applyFill="1" applyBorder="1" applyAlignment="1">
      <alignment horizontal="center"/>
    </xf>
    <xf numFmtId="0" fontId="0" fillId="3" borderId="13" xfId="0" applyFill="1" applyBorder="1" applyAlignment="1">
      <alignment horizontal="center"/>
    </xf>
    <xf numFmtId="0" fontId="0" fillId="3" borderId="21" xfId="0" applyFill="1" applyBorder="1" applyAlignment="1">
      <alignment horizontal="center"/>
    </xf>
    <xf numFmtId="1" fontId="8" fillId="0" borderId="6" xfId="0" applyNumberFormat="1" applyFont="1" applyFill="1" applyBorder="1" applyAlignment="1">
      <alignment horizontal="center"/>
    </xf>
    <xf numFmtId="3" fontId="0" fillId="6" borderId="4" xfId="0" applyNumberFormat="1" applyFill="1" applyBorder="1" applyAlignment="1">
      <alignment horizontal="center"/>
    </xf>
    <xf numFmtId="164" fontId="1" fillId="6" borderId="14" xfId="0" applyNumberFormat="1" applyFont="1" applyFill="1" applyBorder="1" applyAlignment="1">
      <alignment horizontal="center"/>
    </xf>
    <xf numFmtId="164" fontId="1" fillId="6" borderId="20" xfId="0" applyNumberFormat="1" applyFont="1" applyFill="1" applyBorder="1" applyAlignment="1">
      <alignment horizontal="center"/>
    </xf>
    <xf numFmtId="2" fontId="0" fillId="3" borderId="0" xfId="0" applyNumberFormat="1" applyFill="1" applyBorder="1" applyAlignment="1">
      <alignment horizontal="center"/>
    </xf>
    <xf numFmtId="2" fontId="0" fillId="0" borderId="31" xfId="0" applyNumberFormat="1" applyBorder="1" applyAlignment="1">
      <alignment horizontal="center"/>
    </xf>
    <xf numFmtId="170" fontId="0" fillId="0" borderId="14" xfId="0" applyNumberFormat="1" applyBorder="1" applyAlignment="1">
      <alignment horizontal="center"/>
    </xf>
    <xf numFmtId="170" fontId="0" fillId="0" borderId="13" xfId="0" applyNumberFormat="1" applyBorder="1" applyAlignment="1">
      <alignment horizontal="center"/>
    </xf>
    <xf numFmtId="0" fontId="0" fillId="0" borderId="2" xfId="0" applyBorder="1" applyAlignment="1">
      <alignment horizontal="center"/>
    </xf>
    <xf numFmtId="2" fontId="0" fillId="0" borderId="32" xfId="0" applyNumberFormat="1" applyBorder="1" applyAlignment="1">
      <alignment horizontal="center"/>
    </xf>
    <xf numFmtId="2" fontId="0" fillId="0" borderId="25" xfId="0" applyNumberFormat="1" applyBorder="1" applyAlignment="1">
      <alignment horizontal="center"/>
    </xf>
    <xf numFmtId="1" fontId="0" fillId="0" borderId="31" xfId="0" applyNumberFormat="1" applyBorder="1" applyAlignment="1"/>
    <xf numFmtId="1" fontId="0" fillId="0" borderId="21" xfId="0" applyNumberFormat="1" applyBorder="1" applyAlignment="1"/>
    <xf numFmtId="0" fontId="0" fillId="0" borderId="1" xfId="0" applyBorder="1" applyAlignment="1">
      <alignment horizontal="center"/>
    </xf>
    <xf numFmtId="0" fontId="0" fillId="0" borderId="10" xfId="0" applyFill="1" applyBorder="1" applyAlignment="1"/>
    <xf numFmtId="0" fontId="0" fillId="0" borderId="12" xfId="0" applyFill="1" applyBorder="1" applyAlignment="1"/>
    <xf numFmtId="0" fontId="0" fillId="0" borderId="21" xfId="0" applyFill="1" applyBorder="1" applyAlignment="1">
      <alignment horizontal="center"/>
    </xf>
    <xf numFmtId="1" fontId="0" fillId="3" borderId="6" xfId="0" applyNumberFormat="1" applyFill="1" applyBorder="1" applyAlignment="1">
      <alignment horizontal="center"/>
    </xf>
    <xf numFmtId="3" fontId="5" fillId="6" borderId="27" xfId="0" applyNumberFormat="1" applyFont="1" applyFill="1" applyBorder="1" applyAlignment="1">
      <alignment horizontal="center"/>
    </xf>
    <xf numFmtId="3" fontId="5" fillId="6" borderId="11" xfId="0" applyNumberFormat="1" applyFont="1" applyFill="1" applyBorder="1" applyAlignment="1">
      <alignment horizontal="center"/>
    </xf>
    <xf numFmtId="3" fontId="5" fillId="6" borderId="10" xfId="0" applyNumberFormat="1" applyFont="1" applyFill="1" applyBorder="1" applyAlignment="1">
      <alignment horizontal="center"/>
    </xf>
    <xf numFmtId="165" fontId="14" fillId="6" borderId="9" xfId="0" applyNumberFormat="1" applyFont="1" applyFill="1" applyBorder="1" applyAlignment="1">
      <alignment horizontal="center"/>
    </xf>
    <xf numFmtId="165" fontId="14" fillId="6" borderId="12" xfId="0" applyNumberFormat="1" applyFont="1" applyFill="1" applyBorder="1" applyAlignment="1">
      <alignment horizontal="center"/>
    </xf>
    <xf numFmtId="3" fontId="0" fillId="0" borderId="27" xfId="0" applyNumberFormat="1" applyFill="1" applyBorder="1" applyAlignment="1">
      <alignment horizontal="center"/>
    </xf>
    <xf numFmtId="1" fontId="0" fillId="0" borderId="10" xfId="0" applyNumberFormat="1" applyFill="1" applyBorder="1" applyAlignment="1">
      <alignment horizontal="center"/>
    </xf>
    <xf numFmtId="1" fontId="0" fillId="0" borderId="11" xfId="0" applyNumberFormat="1" applyFill="1" applyBorder="1" applyAlignment="1">
      <alignment horizontal="center"/>
    </xf>
    <xf numFmtId="165" fontId="1" fillId="0" borderId="30" xfId="2" applyNumberFormat="1" applyFont="1" applyFill="1" applyBorder="1" applyAlignment="1">
      <alignment horizontal="center"/>
    </xf>
    <xf numFmtId="164" fontId="16" fillId="0" borderId="42" xfId="0" applyNumberFormat="1" applyFont="1" applyFill="1" applyBorder="1" applyAlignment="1">
      <alignment horizontal="center"/>
    </xf>
    <xf numFmtId="164" fontId="16" fillId="0" borderId="41" xfId="0" applyNumberFormat="1" applyFont="1" applyFill="1" applyBorder="1" applyAlignment="1">
      <alignment horizontal="center"/>
    </xf>
    <xf numFmtId="165" fontId="5" fillId="0" borderId="10" xfId="2" applyNumberFormat="1" applyFont="1" applyBorder="1" applyAlignment="1">
      <alignment horizontal="center"/>
    </xf>
    <xf numFmtId="165" fontId="5" fillId="0" borderId="11" xfId="2" applyNumberFormat="1" applyFont="1" applyBorder="1" applyAlignment="1">
      <alignment horizontal="center"/>
    </xf>
    <xf numFmtId="4" fontId="0" fillId="0" borderId="32" xfId="0" applyNumberFormat="1" applyFill="1" applyBorder="1" applyAlignment="1">
      <alignment horizontal="center"/>
    </xf>
    <xf numFmtId="4" fontId="0" fillId="0" borderId="25" xfId="0" applyNumberFormat="1" applyFill="1" applyBorder="1" applyAlignment="1">
      <alignment horizontal="center"/>
    </xf>
    <xf numFmtId="165" fontId="1" fillId="0" borderId="6" xfId="2" applyNumberFormat="1" applyFont="1" applyBorder="1" applyAlignment="1">
      <alignment horizontal="center"/>
    </xf>
    <xf numFmtId="165" fontId="5" fillId="0" borderId="32" xfId="2" applyNumberFormat="1" applyFont="1" applyBorder="1" applyAlignment="1">
      <alignment horizontal="center"/>
    </xf>
    <xf numFmtId="165" fontId="5" fillId="0" borderId="25" xfId="2" applyNumberFormat="1" applyFont="1" applyBorder="1" applyAlignment="1">
      <alignment horizontal="center"/>
    </xf>
    <xf numFmtId="3" fontId="5" fillId="0" borderId="6" xfId="0" applyNumberFormat="1" applyFont="1" applyBorder="1" applyAlignment="1">
      <alignment horizontal="center"/>
    </xf>
    <xf numFmtId="164" fontId="15" fillId="0" borderId="0" xfId="0" applyNumberFormat="1" applyFont="1" applyBorder="1" applyAlignment="1">
      <alignment horizontal="center"/>
    </xf>
    <xf numFmtId="164" fontId="1" fillId="3" borderId="0" xfId="0" applyNumberFormat="1" applyFont="1" applyFill="1" applyBorder="1" applyAlignment="1">
      <alignment horizontal="center"/>
    </xf>
    <xf numFmtId="1" fontId="0" fillId="3" borderId="0" xfId="0" applyNumberFormat="1" applyFill="1" applyBorder="1" applyAlignment="1">
      <alignment horizontal="center"/>
    </xf>
    <xf numFmtId="164" fontId="15" fillId="0" borderId="2" xfId="0" applyNumberFormat="1" applyFont="1" applyBorder="1" applyAlignment="1">
      <alignment horizontal="center"/>
    </xf>
    <xf numFmtId="164" fontId="15" fillId="0" borderId="3" xfId="0" applyNumberFormat="1" applyFont="1" applyBorder="1" applyAlignment="1">
      <alignment horizontal="center"/>
    </xf>
    <xf numFmtId="164" fontId="15" fillId="0" borderId="6" xfId="0" applyNumberFormat="1" applyFont="1" applyBorder="1" applyAlignment="1">
      <alignment horizontal="center"/>
    </xf>
    <xf numFmtId="164" fontId="15" fillId="0" borderId="19" xfId="0" applyNumberFormat="1" applyFont="1" applyBorder="1" applyAlignment="1">
      <alignment horizontal="center"/>
    </xf>
    <xf numFmtId="164" fontId="16" fillId="0" borderId="2" xfId="0" applyNumberFormat="1" applyFont="1" applyFill="1" applyBorder="1" applyAlignment="1">
      <alignment horizontal="center"/>
    </xf>
    <xf numFmtId="164" fontId="16" fillId="0" borderId="3" xfId="0" applyNumberFormat="1" applyFont="1" applyFill="1" applyBorder="1" applyAlignment="1">
      <alignment horizontal="center"/>
    </xf>
    <xf numFmtId="1" fontId="0" fillId="0" borderId="20" xfId="0" applyNumberFormat="1" applyBorder="1" applyAlignment="1">
      <alignment horizontal="center"/>
    </xf>
    <xf numFmtId="0" fontId="6" fillId="0" borderId="4" xfId="0" applyFont="1" applyBorder="1" applyAlignment="1">
      <alignment horizontal="center"/>
    </xf>
    <xf numFmtId="4" fontId="5" fillId="0" borderId="9" xfId="0" applyNumberFormat="1" applyFont="1" applyBorder="1" applyAlignment="1">
      <alignment horizontal="center"/>
    </xf>
    <xf numFmtId="4" fontId="5" fillId="0" borderId="11" xfId="0" applyNumberFormat="1" applyFont="1" applyBorder="1" applyAlignment="1">
      <alignment horizontal="center"/>
    </xf>
    <xf numFmtId="3" fontId="0" fillId="3" borderId="5" xfId="0" applyNumberFormat="1" applyFill="1" applyBorder="1" applyAlignment="1">
      <alignment horizontal="center"/>
    </xf>
    <xf numFmtId="164" fontId="0" fillId="3" borderId="19" xfId="0" applyNumberFormat="1" applyFill="1" applyBorder="1" applyAlignment="1">
      <alignment horizontal="center"/>
    </xf>
    <xf numFmtId="164" fontId="21" fillId="0" borderId="10" xfId="0" applyNumberFormat="1" applyFont="1" applyFill="1" applyBorder="1" applyAlignment="1">
      <alignment horizontal="center"/>
    </xf>
    <xf numFmtId="164" fontId="21" fillId="0" borderId="12" xfId="0" applyNumberFormat="1" applyFont="1" applyFill="1" applyBorder="1" applyAlignment="1">
      <alignment horizontal="center"/>
    </xf>
    <xf numFmtId="1" fontId="8" fillId="6" borderId="32" xfId="0" applyNumberFormat="1" applyFont="1" applyFill="1" applyBorder="1" applyAlignment="1">
      <alignment horizontal="center"/>
    </xf>
    <xf numFmtId="1" fontId="8" fillId="6" borderId="25" xfId="0" applyNumberFormat="1" applyFont="1" applyFill="1" applyBorder="1" applyAlignment="1">
      <alignment horizontal="center"/>
    </xf>
    <xf numFmtId="0" fontId="0" fillId="0" borderId="32" xfId="0" applyBorder="1" applyAlignment="1">
      <alignment horizontal="center"/>
    </xf>
    <xf numFmtId="0" fontId="0" fillId="0" borderId="3" xfId="0" applyBorder="1" applyAlignment="1">
      <alignment horizontal="center"/>
    </xf>
    <xf numFmtId="2" fontId="5" fillId="0" borderId="10" xfId="0" applyNumberFormat="1" applyFont="1" applyBorder="1" applyAlignment="1">
      <alignment horizontal="center"/>
    </xf>
    <xf numFmtId="0" fontId="0" fillId="0" borderId="5" xfId="0" applyBorder="1" applyAlignment="1">
      <alignment horizontal="center"/>
    </xf>
    <xf numFmtId="1" fontId="5" fillId="0" borderId="31" xfId="0" applyNumberFormat="1" applyFont="1" applyBorder="1" applyAlignment="1">
      <alignment horizontal="center"/>
    </xf>
    <xf numFmtId="1" fontId="5" fillId="0" borderId="21" xfId="0" applyNumberFormat="1" applyFont="1" applyBorder="1" applyAlignment="1">
      <alignment horizontal="center"/>
    </xf>
    <xf numFmtId="164" fontId="5" fillId="0" borderId="31" xfId="0" applyNumberFormat="1" applyFont="1" applyBorder="1" applyAlignment="1">
      <alignment horizontal="center"/>
    </xf>
    <xf numFmtId="0" fontId="5" fillId="0" borderId="19" xfId="0" applyFont="1" applyBorder="1" applyAlignment="1">
      <alignment horizontal="center"/>
    </xf>
    <xf numFmtId="0" fontId="0" fillId="0" borderId="31" xfId="0" applyBorder="1" applyAlignment="1">
      <alignment horizontal="center"/>
    </xf>
    <xf numFmtId="166" fontId="0" fillId="0" borderId="14" xfId="0" applyNumberFormat="1" applyBorder="1" applyAlignment="1">
      <alignment horizontal="center"/>
    </xf>
    <xf numFmtId="166" fontId="0" fillId="0" borderId="20" xfId="0" applyNumberFormat="1" applyBorder="1" applyAlignment="1">
      <alignment horizontal="center"/>
    </xf>
    <xf numFmtId="3" fontId="5" fillId="0" borderId="5" xfId="0" applyNumberFormat="1" applyFont="1" applyBorder="1" applyAlignment="1">
      <alignment horizontal="center"/>
    </xf>
    <xf numFmtId="0" fontId="5" fillId="0" borderId="21" xfId="0" applyFont="1" applyBorder="1" applyAlignment="1">
      <alignment horizontal="center"/>
    </xf>
    <xf numFmtId="0" fontId="5" fillId="0" borderId="6" xfId="0" applyFont="1" applyBorder="1" applyAlignment="1">
      <alignment horizontal="center"/>
    </xf>
    <xf numFmtId="1" fontId="0" fillId="0" borderId="6" xfId="0" applyNumberFormat="1" applyFill="1" applyBorder="1" applyAlignment="1">
      <alignment horizontal="center"/>
    </xf>
    <xf numFmtId="3" fontId="1" fillId="0" borderId="44" xfId="0" applyNumberFormat="1" applyFont="1" applyFill="1" applyBorder="1" applyAlignment="1">
      <alignment horizontal="center"/>
    </xf>
    <xf numFmtId="3" fontId="1" fillId="0" borderId="45" xfId="0" applyNumberFormat="1" applyFont="1" applyFill="1" applyBorder="1" applyAlignment="1">
      <alignment horizontal="center"/>
    </xf>
    <xf numFmtId="0" fontId="8" fillId="6" borderId="9" xfId="0" applyFont="1" applyFill="1" applyBorder="1" applyAlignment="1">
      <alignment horizontal="center"/>
    </xf>
    <xf numFmtId="0" fontId="14" fillId="6" borderId="10" xfId="0" applyFont="1" applyFill="1" applyBorder="1" applyAlignment="1">
      <alignment horizontal="center"/>
    </xf>
    <xf numFmtId="0" fontId="14" fillId="6" borderId="12" xfId="0" applyFont="1" applyFill="1" applyBorder="1" applyAlignment="1">
      <alignment horizontal="center"/>
    </xf>
    <xf numFmtId="0" fontId="0" fillId="0" borderId="9" xfId="0" applyFill="1" applyBorder="1" applyAlignment="1">
      <alignment horizontal="center"/>
    </xf>
    <xf numFmtId="0" fontId="0" fillId="0" borderId="11" xfId="0" applyFill="1" applyBorder="1" applyAlignment="1">
      <alignment horizontal="center"/>
    </xf>
    <xf numFmtId="1" fontId="1" fillId="0" borderId="10" xfId="0" applyNumberFormat="1" applyFont="1" applyFill="1" applyBorder="1" applyAlignment="1">
      <alignment horizontal="center"/>
    </xf>
    <xf numFmtId="1" fontId="1" fillId="0" borderId="11" xfId="0" applyNumberFormat="1" applyFont="1" applyFill="1" applyBorder="1" applyAlignment="1">
      <alignment horizontal="center"/>
    </xf>
    <xf numFmtId="164" fontId="1" fillId="0" borderId="13" xfId="0" applyNumberFormat="1" applyFont="1" applyFill="1" applyBorder="1" applyAlignment="1">
      <alignment horizontal="center"/>
    </xf>
    <xf numFmtId="3" fontId="8" fillId="12" borderId="10" xfId="0" applyNumberFormat="1" applyFont="1" applyFill="1" applyBorder="1" applyAlignment="1">
      <alignment horizontal="center"/>
    </xf>
    <xf numFmtId="3" fontId="8" fillId="12" borderId="11" xfId="0" applyNumberFormat="1" applyFont="1" applyFill="1" applyBorder="1" applyAlignment="1">
      <alignment horizontal="center"/>
    </xf>
    <xf numFmtId="164" fontId="14" fillId="12" borderId="10" xfId="0" applyNumberFormat="1" applyFont="1" applyFill="1" applyBorder="1" applyAlignment="1">
      <alignment horizontal="center"/>
    </xf>
    <xf numFmtId="164" fontId="14" fillId="12" borderId="12" xfId="0" applyNumberFormat="1" applyFont="1" applyFill="1" applyBorder="1" applyAlignment="1">
      <alignment horizontal="center"/>
    </xf>
    <xf numFmtId="164" fontId="5" fillId="0" borderId="3" xfId="0" applyNumberFormat="1" applyFont="1" applyBorder="1" applyAlignment="1">
      <alignment horizontal="center"/>
    </xf>
    <xf numFmtId="0" fontId="8" fillId="0" borderId="9" xfId="0" applyFont="1" applyBorder="1" applyAlignment="1">
      <alignment horizontal="center"/>
    </xf>
    <xf numFmtId="3" fontId="0" fillId="0" borderId="0" xfId="0" applyNumberFormat="1" applyBorder="1" applyAlignment="1"/>
    <xf numFmtId="3" fontId="0" fillId="0" borderId="13" xfId="0" applyNumberFormat="1" applyBorder="1" applyAlignment="1"/>
    <xf numFmtId="2" fontId="0" fillId="0" borderId="14" xfId="0" applyNumberFormat="1" applyBorder="1" applyAlignment="1"/>
    <xf numFmtId="2" fontId="0" fillId="0" borderId="13" xfId="0" applyNumberFormat="1" applyBorder="1" applyAlignment="1"/>
    <xf numFmtId="0" fontId="1" fillId="0" borderId="14" xfId="0" applyFont="1" applyBorder="1" applyAlignment="1"/>
    <xf numFmtId="0" fontId="1" fillId="0" borderId="20" xfId="0" applyFont="1" applyBorder="1" applyAlignment="1"/>
    <xf numFmtId="164" fontId="8" fillId="6" borderId="24" xfId="0" applyNumberFormat="1" applyFont="1" applyFill="1" applyBorder="1" applyAlignment="1">
      <alignment horizontal="center"/>
    </xf>
    <xf numFmtId="164" fontId="8" fillId="6" borderId="46" xfId="0" applyNumberFormat="1" applyFont="1" applyFill="1" applyBorder="1" applyAlignment="1">
      <alignment horizontal="center"/>
    </xf>
    <xf numFmtId="0" fontId="0" fillId="0" borderId="10" xfId="0" applyFill="1" applyBorder="1" applyAlignment="1">
      <alignment horizontal="center"/>
    </xf>
    <xf numFmtId="0" fontId="0" fillId="3" borderId="10" xfId="0" applyFill="1" applyBorder="1" applyAlignment="1">
      <alignment horizontal="center"/>
    </xf>
    <xf numFmtId="0" fontId="0" fillId="3" borderId="11" xfId="0" applyFill="1" applyBorder="1" applyAlignment="1">
      <alignment horizontal="center"/>
    </xf>
    <xf numFmtId="3" fontId="1" fillId="3" borderId="10" xfId="0" applyNumberFormat="1" applyFont="1" applyFill="1" applyBorder="1" applyAlignment="1">
      <alignment horizontal="center"/>
    </xf>
    <xf numFmtId="3" fontId="1" fillId="3" borderId="11" xfId="0" applyNumberFormat="1" applyFont="1" applyFill="1" applyBorder="1" applyAlignment="1">
      <alignment horizontal="center"/>
    </xf>
    <xf numFmtId="1" fontId="1" fillId="3" borderId="10" xfId="0" applyNumberFormat="1" applyFont="1" applyFill="1" applyBorder="1" applyAlignment="1">
      <alignment horizontal="center"/>
    </xf>
    <xf numFmtId="1" fontId="1" fillId="3" borderId="11" xfId="0" applyNumberFormat="1" applyFont="1" applyFill="1" applyBorder="1" applyAlignment="1">
      <alignment horizontal="center"/>
    </xf>
    <xf numFmtId="164" fontId="15" fillId="0" borderId="10" xfId="0" applyNumberFormat="1" applyFont="1" applyBorder="1" applyAlignment="1">
      <alignment horizontal="center"/>
    </xf>
    <xf numFmtId="164" fontId="15" fillId="0" borderId="12" xfId="0" applyNumberFormat="1" applyFont="1" applyBorder="1" applyAlignment="1">
      <alignment horizontal="center"/>
    </xf>
    <xf numFmtId="0" fontId="1" fillId="0" borderId="9" xfId="0" applyFont="1" applyBorder="1" applyAlignment="1"/>
    <xf numFmtId="164" fontId="18" fillId="6" borderId="10" xfId="0" applyNumberFormat="1" applyFont="1" applyFill="1" applyBorder="1" applyAlignment="1">
      <alignment horizontal="center"/>
    </xf>
    <xf numFmtId="164" fontId="18" fillId="6" borderId="12" xfId="0" applyNumberFormat="1" applyFont="1" applyFill="1" applyBorder="1" applyAlignment="1">
      <alignment horizontal="center"/>
    </xf>
    <xf numFmtId="3" fontId="0" fillId="3" borderId="32" xfId="0" applyNumberFormat="1" applyFill="1" applyBorder="1" applyAlignment="1">
      <alignment horizontal="center"/>
    </xf>
    <xf numFmtId="3" fontId="0" fillId="3" borderId="25" xfId="0" applyNumberFormat="1" applyFill="1" applyBorder="1" applyAlignment="1">
      <alignment horizontal="center"/>
    </xf>
    <xf numFmtId="164" fontId="20" fillId="0" borderId="32" xfId="0" applyNumberFormat="1" applyFont="1" applyBorder="1" applyAlignment="1">
      <alignment horizontal="center"/>
    </xf>
    <xf numFmtId="164" fontId="20" fillId="0" borderId="3" xfId="0" applyNumberFormat="1" applyFont="1" applyBorder="1" applyAlignment="1">
      <alignment horizontal="center"/>
    </xf>
    <xf numFmtId="164" fontId="20" fillId="0" borderId="14" xfId="0" applyNumberFormat="1" applyFont="1" applyBorder="1" applyAlignment="1">
      <alignment horizontal="center"/>
    </xf>
    <xf numFmtId="164" fontId="20" fillId="0" borderId="20" xfId="0" applyNumberFormat="1" applyFont="1" applyBorder="1" applyAlignment="1">
      <alignment horizontal="center"/>
    </xf>
    <xf numFmtId="164" fontId="22" fillId="6" borderId="10" xfId="0" applyNumberFormat="1" applyFont="1" applyFill="1" applyBorder="1" applyAlignment="1">
      <alignment horizontal="center"/>
    </xf>
    <xf numFmtId="164" fontId="22" fillId="6" borderId="12" xfId="0" applyNumberFormat="1" applyFont="1" applyFill="1" applyBorder="1" applyAlignment="1">
      <alignment horizontal="center"/>
    </xf>
    <xf numFmtId="3" fontId="5" fillId="0" borderId="21" xfId="0" applyNumberFormat="1" applyFont="1" applyBorder="1" applyAlignment="1">
      <alignment horizontal="center"/>
    </xf>
    <xf numFmtId="3" fontId="5" fillId="0" borderId="31" xfId="0" applyNumberFormat="1" applyFont="1" applyBorder="1" applyAlignment="1">
      <alignment horizontal="center"/>
    </xf>
    <xf numFmtId="164" fontId="21" fillId="0" borderId="31" xfId="0" applyNumberFormat="1" applyFont="1" applyFill="1" applyBorder="1" applyAlignment="1">
      <alignment horizontal="center"/>
    </xf>
    <xf numFmtId="164" fontId="21" fillId="0" borderId="19" xfId="0" applyNumberFormat="1" applyFont="1" applyFill="1" applyBorder="1" applyAlignment="1">
      <alignment horizontal="center"/>
    </xf>
    <xf numFmtId="164" fontId="18" fillId="6" borderId="32" xfId="0" applyNumberFormat="1" applyFont="1" applyFill="1" applyBorder="1" applyAlignment="1">
      <alignment horizontal="center"/>
    </xf>
    <xf numFmtId="164" fontId="18" fillId="6" borderId="3" xfId="0" applyNumberFormat="1" applyFont="1" applyFill="1" applyBorder="1" applyAlignment="1">
      <alignment horizontal="center"/>
    </xf>
    <xf numFmtId="164" fontId="20" fillId="0" borderId="31" xfId="0" applyNumberFormat="1" applyFont="1" applyBorder="1" applyAlignment="1">
      <alignment horizontal="center"/>
    </xf>
    <xf numFmtId="164" fontId="20" fillId="0" borderId="19" xfId="0" applyNumberFormat="1" applyFont="1" applyBorder="1" applyAlignment="1">
      <alignment horizontal="center"/>
    </xf>
    <xf numFmtId="0" fontId="18" fillId="0" borderId="30" xfId="0" applyFont="1" applyBorder="1" applyAlignment="1">
      <alignment horizontal="center"/>
    </xf>
    <xf numFmtId="0" fontId="18" fillId="0" borderId="14" xfId="0" applyFont="1" applyBorder="1" applyAlignment="1">
      <alignment horizontal="center"/>
    </xf>
    <xf numFmtId="0" fontId="18" fillId="0" borderId="20" xfId="0" applyFont="1" applyBorder="1" applyAlignment="1">
      <alignment horizontal="center"/>
    </xf>
    <xf numFmtId="0" fontId="20" fillId="0" borderId="10" xfId="0" applyFont="1" applyBorder="1" applyAlignment="1"/>
    <xf numFmtId="0" fontId="20" fillId="0" borderId="12" xfId="0" applyFont="1" applyBorder="1" applyAlignment="1"/>
    <xf numFmtId="2" fontId="0" fillId="3" borderId="32" xfId="0" applyNumberFormat="1" applyFill="1" applyBorder="1" applyAlignment="1">
      <alignment horizontal="center"/>
    </xf>
    <xf numFmtId="2" fontId="0" fillId="3" borderId="25" xfId="0" applyNumberFormat="1" applyFill="1" applyBorder="1" applyAlignment="1">
      <alignment horizontal="center"/>
    </xf>
    <xf numFmtId="3" fontId="1" fillId="3" borderId="9" xfId="0" applyNumberFormat="1" applyFont="1" applyFill="1"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3" fontId="8" fillId="4" borderId="11" xfId="0" applyNumberFormat="1" applyFont="1" applyFill="1" applyBorder="1" applyAlignment="1">
      <alignment horizontal="center"/>
    </xf>
    <xf numFmtId="4" fontId="1" fillId="3" borderId="14" xfId="0" applyNumberFormat="1" applyFont="1" applyFill="1" applyBorder="1" applyAlignment="1">
      <alignment horizontal="center"/>
    </xf>
    <xf numFmtId="4" fontId="1" fillId="3" borderId="13" xfId="0" applyNumberFormat="1" applyFont="1" applyFill="1" applyBorder="1" applyAlignment="1">
      <alignment horizontal="center"/>
    </xf>
    <xf numFmtId="0" fontId="8" fillId="6" borderId="6" xfId="0" applyFont="1" applyFill="1" applyBorder="1" applyAlignment="1">
      <alignment horizontal="center"/>
    </xf>
    <xf numFmtId="0" fontId="18" fillId="0" borderId="31" xfId="0" applyFont="1" applyBorder="1" applyAlignment="1">
      <alignment horizontal="center"/>
    </xf>
    <xf numFmtId="0" fontId="18" fillId="0" borderId="19" xfId="0" applyFont="1" applyBorder="1" applyAlignment="1">
      <alignment horizontal="center"/>
    </xf>
    <xf numFmtId="0" fontId="27" fillId="0" borderId="0" xfId="0" applyFont="1"/>
  </cellXfs>
  <cellStyles count="5">
    <cellStyle name="Comma" xfId="1" builtinId="3"/>
    <cellStyle name="Currency" xfId="2" builtinId="4"/>
    <cellStyle name="Currency 2" xfId="4" xr:uid="{00000000-0005-0000-0000-000002000000}"/>
    <cellStyle name="Normal" xfId="0" builtinId="0"/>
    <cellStyle name="Normal 2" xfId="3" xr:uid="{00000000-0005-0000-0000-000004000000}"/>
  </cellStyles>
  <dxfs count="0"/>
  <tableStyles count="0" defaultTableStyle="TableStyleMedium9" defaultPivotStyle="PivotStyleLight16"/>
  <colors>
    <mruColors>
      <color rgb="FF95B3D7"/>
      <color rgb="FFADC6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PL_WR3/Water%20Resources/Water%20Use%20Efficiency%20Programs/WR0X000%20IEUA%20Regional%20Conservation%20Programs%20Annual%20Report/Reports/FY%2008-09%20Report%20Info%20and%20Data/Tiff's%20docs/summary%20chart%20main%20draft/Data%20Entr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PL_WR3/Water%20Resources/Water%20Use%20Efficiency%20Programs/WR0X000%20IEUA%20Regional%20Conservation%20Programs%20Annual%20Report/Reports/FY%2008-09%20Report%20Info%20and%20Data/Tiff's%20docs/summary%20chart%20main%20draft/Data%20Entry%20(FY).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tario"/>
      <sheetName val="Chino"/>
      <sheetName val="Chino Hills"/>
      <sheetName val="MVWD"/>
      <sheetName val="Upland"/>
      <sheetName val="FWC"/>
      <sheetName val="SAWC"/>
      <sheetName val="CVWD"/>
    </sheetNames>
    <sheetDataSet>
      <sheetData sheetId="0" refreshError="1">
        <row r="4">
          <cell r="N4">
            <v>16</v>
          </cell>
        </row>
        <row r="5">
          <cell r="N5">
            <v>3</v>
          </cell>
        </row>
        <row r="6">
          <cell r="N6">
            <v>950</v>
          </cell>
        </row>
        <row r="7">
          <cell r="N7">
            <v>177</v>
          </cell>
        </row>
        <row r="8">
          <cell r="N8">
            <v>0</v>
          </cell>
        </row>
        <row r="10">
          <cell r="N10">
            <v>9</v>
          </cell>
        </row>
        <row r="11">
          <cell r="N11">
            <v>10</v>
          </cell>
        </row>
        <row r="13">
          <cell r="N13">
            <v>0</v>
          </cell>
        </row>
        <row r="14">
          <cell r="N14">
            <v>260</v>
          </cell>
        </row>
        <row r="15">
          <cell r="N15">
            <v>0</v>
          </cell>
        </row>
        <row r="16">
          <cell r="N16">
            <v>0</v>
          </cell>
        </row>
        <row r="17">
          <cell r="N17">
            <v>2</v>
          </cell>
        </row>
        <row r="18">
          <cell r="N18">
            <v>41</v>
          </cell>
        </row>
        <row r="19">
          <cell r="N19">
            <v>0</v>
          </cell>
        </row>
        <row r="20">
          <cell r="N20">
            <v>14</v>
          </cell>
        </row>
      </sheetData>
      <sheetData sheetId="1" refreshError="1">
        <row r="4">
          <cell r="N4">
            <v>11</v>
          </cell>
        </row>
        <row r="5">
          <cell r="N5">
            <v>0</v>
          </cell>
        </row>
        <row r="6">
          <cell r="N6">
            <v>944</v>
          </cell>
        </row>
        <row r="7">
          <cell r="N7">
            <v>146</v>
          </cell>
        </row>
        <row r="8">
          <cell r="N8">
            <v>0</v>
          </cell>
        </row>
        <row r="10">
          <cell r="N10">
            <v>2</v>
          </cell>
        </row>
        <row r="11">
          <cell r="N11">
            <v>28</v>
          </cell>
        </row>
        <row r="13">
          <cell r="N13">
            <v>0</v>
          </cell>
        </row>
        <row r="14">
          <cell r="N14">
            <v>0</v>
          </cell>
        </row>
        <row r="15">
          <cell r="N15">
            <v>0</v>
          </cell>
        </row>
        <row r="16">
          <cell r="N16">
            <v>1</v>
          </cell>
        </row>
        <row r="17">
          <cell r="N17">
            <v>1</v>
          </cell>
        </row>
        <row r="18">
          <cell r="N18">
            <v>24</v>
          </cell>
        </row>
        <row r="19">
          <cell r="N19">
            <v>0</v>
          </cell>
        </row>
        <row r="20">
          <cell r="N20">
            <v>2</v>
          </cell>
        </row>
      </sheetData>
      <sheetData sheetId="2" refreshError="1">
        <row r="4">
          <cell r="N4">
            <v>16</v>
          </cell>
        </row>
        <row r="5">
          <cell r="N5">
            <v>0</v>
          </cell>
        </row>
        <row r="6">
          <cell r="N6">
            <v>0</v>
          </cell>
        </row>
        <row r="7">
          <cell r="N7">
            <v>223</v>
          </cell>
        </row>
        <row r="8">
          <cell r="N8">
            <v>0</v>
          </cell>
        </row>
        <row r="10">
          <cell r="N10">
            <v>4</v>
          </cell>
        </row>
        <row r="11">
          <cell r="N11">
            <v>9</v>
          </cell>
        </row>
        <row r="13">
          <cell r="N13">
            <v>0</v>
          </cell>
        </row>
        <row r="14">
          <cell r="N14">
            <v>0</v>
          </cell>
        </row>
        <row r="15">
          <cell r="N15">
            <v>0</v>
          </cell>
        </row>
        <row r="16">
          <cell r="N16">
            <v>0</v>
          </cell>
        </row>
        <row r="17">
          <cell r="N17">
            <v>0</v>
          </cell>
        </row>
        <row r="18">
          <cell r="N18">
            <v>0</v>
          </cell>
        </row>
        <row r="19">
          <cell r="N19">
            <v>0</v>
          </cell>
        </row>
        <row r="20">
          <cell r="N20">
            <v>0</v>
          </cell>
        </row>
      </sheetData>
      <sheetData sheetId="3" refreshError="1">
        <row r="6">
          <cell r="N6">
            <v>460</v>
          </cell>
        </row>
        <row r="8">
          <cell r="N8">
            <v>0</v>
          </cell>
        </row>
        <row r="10">
          <cell r="N10">
            <v>1</v>
          </cell>
        </row>
        <row r="11">
          <cell r="N11">
            <v>34</v>
          </cell>
        </row>
        <row r="13">
          <cell r="N13">
            <v>4</v>
          </cell>
        </row>
        <row r="14">
          <cell r="N14">
            <v>119</v>
          </cell>
        </row>
        <row r="16">
          <cell r="N16">
            <v>0</v>
          </cell>
        </row>
        <row r="17">
          <cell r="N17">
            <v>0</v>
          </cell>
        </row>
        <row r="18">
          <cell r="N18">
            <v>66</v>
          </cell>
        </row>
        <row r="19">
          <cell r="N19">
            <v>1</v>
          </cell>
        </row>
        <row r="20">
          <cell r="N20">
            <v>0</v>
          </cell>
        </row>
      </sheetData>
      <sheetData sheetId="4" refreshError="1">
        <row r="4">
          <cell r="N4">
            <v>56</v>
          </cell>
        </row>
        <row r="5">
          <cell r="N5">
            <v>5</v>
          </cell>
        </row>
        <row r="6">
          <cell r="N6">
            <v>1008</v>
          </cell>
        </row>
        <row r="7">
          <cell r="N7">
            <v>238</v>
          </cell>
        </row>
        <row r="8">
          <cell r="N8">
            <v>0</v>
          </cell>
        </row>
        <row r="10">
          <cell r="N10">
            <v>2</v>
          </cell>
        </row>
        <row r="11">
          <cell r="N11">
            <v>109</v>
          </cell>
        </row>
        <row r="13">
          <cell r="N13">
            <v>0</v>
          </cell>
        </row>
        <row r="14">
          <cell r="N14">
            <v>0</v>
          </cell>
        </row>
        <row r="15">
          <cell r="N15">
            <v>0</v>
          </cell>
        </row>
        <row r="16">
          <cell r="N16">
            <v>2</v>
          </cell>
        </row>
        <row r="17">
          <cell r="N17">
            <v>1</v>
          </cell>
        </row>
        <row r="18">
          <cell r="N18">
            <v>1</v>
          </cell>
        </row>
        <row r="19">
          <cell r="N19">
            <v>0</v>
          </cell>
        </row>
        <row r="20">
          <cell r="N20">
            <v>0</v>
          </cell>
        </row>
      </sheetData>
      <sheetData sheetId="5" refreshError="1">
        <row r="4">
          <cell r="N4">
            <v>10</v>
          </cell>
        </row>
        <row r="5">
          <cell r="N5">
            <v>2</v>
          </cell>
        </row>
        <row r="6">
          <cell r="N6">
            <v>2717</v>
          </cell>
        </row>
        <row r="7">
          <cell r="N7">
            <v>154</v>
          </cell>
        </row>
        <row r="8">
          <cell r="N8">
            <v>0</v>
          </cell>
        </row>
        <row r="10">
          <cell r="N10">
            <v>0</v>
          </cell>
        </row>
        <row r="11">
          <cell r="N11">
            <v>9</v>
          </cell>
        </row>
        <row r="13">
          <cell r="N13">
            <v>0</v>
          </cell>
        </row>
        <row r="14">
          <cell r="N14">
            <v>0</v>
          </cell>
        </row>
        <row r="15">
          <cell r="N15">
            <v>1</v>
          </cell>
        </row>
        <row r="16">
          <cell r="N16">
            <v>45</v>
          </cell>
        </row>
        <row r="17">
          <cell r="N17">
            <v>0</v>
          </cell>
        </row>
        <row r="18">
          <cell r="N18">
            <v>8</v>
          </cell>
        </row>
        <row r="19">
          <cell r="N19">
            <v>0</v>
          </cell>
        </row>
        <row r="20">
          <cell r="N20">
            <v>0</v>
          </cell>
        </row>
      </sheetData>
      <sheetData sheetId="6" refreshError="1">
        <row r="4">
          <cell r="N4">
            <v>1</v>
          </cell>
        </row>
        <row r="5">
          <cell r="N5">
            <v>0</v>
          </cell>
        </row>
        <row r="6">
          <cell r="N6">
            <v>0</v>
          </cell>
        </row>
        <row r="7">
          <cell r="N7">
            <v>16</v>
          </cell>
        </row>
        <row r="8">
          <cell r="N8">
            <v>0</v>
          </cell>
        </row>
        <row r="10">
          <cell r="N10">
            <v>0</v>
          </cell>
        </row>
        <row r="13">
          <cell r="N13">
            <v>0</v>
          </cell>
        </row>
        <row r="14">
          <cell r="N14">
            <v>0</v>
          </cell>
        </row>
        <row r="15">
          <cell r="N15">
            <v>0</v>
          </cell>
        </row>
        <row r="16">
          <cell r="N16">
            <v>0</v>
          </cell>
        </row>
        <row r="17">
          <cell r="N17">
            <v>0</v>
          </cell>
        </row>
        <row r="18">
          <cell r="N18">
            <v>0</v>
          </cell>
        </row>
        <row r="19">
          <cell r="N19">
            <v>0</v>
          </cell>
        </row>
        <row r="20">
          <cell r="N20">
            <v>0</v>
          </cell>
        </row>
      </sheetData>
      <sheetData sheetId="7" refreshError="1">
        <row r="4">
          <cell r="N4">
            <v>56</v>
          </cell>
        </row>
        <row r="5">
          <cell r="N5">
            <v>4</v>
          </cell>
        </row>
        <row r="6">
          <cell r="N6">
            <v>4053</v>
          </cell>
        </row>
        <row r="7">
          <cell r="N7">
            <v>426</v>
          </cell>
        </row>
        <row r="8">
          <cell r="N8">
            <v>158</v>
          </cell>
        </row>
        <row r="10">
          <cell r="N10">
            <v>15</v>
          </cell>
        </row>
        <row r="11">
          <cell r="N11">
            <v>119</v>
          </cell>
        </row>
        <row r="13">
          <cell r="N13">
            <v>0</v>
          </cell>
        </row>
        <row r="14">
          <cell r="N14">
            <v>0</v>
          </cell>
        </row>
        <row r="15">
          <cell r="N15">
            <v>0</v>
          </cell>
        </row>
        <row r="16">
          <cell r="N16">
            <v>49</v>
          </cell>
        </row>
        <row r="17">
          <cell r="N17">
            <v>0</v>
          </cell>
        </row>
        <row r="18">
          <cell r="N18">
            <v>0</v>
          </cell>
        </row>
        <row r="19">
          <cell r="N19">
            <v>0</v>
          </cell>
        </row>
        <row r="20">
          <cell r="N20">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tario"/>
      <sheetName val="Chino"/>
      <sheetName val="Chino Hills"/>
      <sheetName val="MVWD"/>
      <sheetName val="Upland"/>
      <sheetName val="FWC"/>
      <sheetName val="SAWC"/>
      <sheetName val="CVWD"/>
    </sheetNames>
    <sheetDataSet>
      <sheetData sheetId="0"/>
      <sheetData sheetId="1"/>
      <sheetData sheetId="2"/>
      <sheetData sheetId="3">
        <row r="7">
          <cell r="N7">
            <v>76</v>
          </cell>
        </row>
      </sheetData>
      <sheetData sheetId="4"/>
      <sheetData sheetId="5"/>
      <sheetData sheetId="6">
        <row r="11">
          <cell r="N11">
            <v>12</v>
          </cell>
        </row>
      </sheetData>
      <sheetData sheetId="7"/>
    </sheetDataSet>
  </externalBook>
</externalLink>
</file>

<file path=xl/persons/person.xml><?xml version="1.0" encoding="utf-8"?>
<personList xmlns="http://schemas.microsoft.com/office/spreadsheetml/2018/threadedcomments" xmlns:x="http://schemas.openxmlformats.org/spreadsheetml/2006/main">
  <person displayName="Christopher Garcia" id="{CA780ADE-51AB-4085-87AC-E0FA4835190D}" userId="S::cgarcia@ieua.org::433403a9-7748-48d5-97bb-4e02366e3d0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F50" dT="2019-07-30T19:51:17.78" personId="{CA780ADE-51AB-4085-87AC-E0FA4835190D}" id="{D84CBD55-C20A-438A-B899-5E2926D574BE}">
    <text>Calculate using (43xsq ft removed)/325900</text>
  </threadedComment>
  <threadedComment ref="A55" dT="2019-07-30T19:52:29.96" personId="{CA780ADE-51AB-4085-87AC-E0FA4835190D}" id="{34F1D362-E4F5-4498-AE15-454FFF1BC609}">
    <text>Must calculate small site and large sites individually for each member agency</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6.bin"/><Relationship Id="rId4" Type="http://schemas.microsoft.com/office/2017/10/relationships/threadedComment" Target="../threadedComments/threadedComment1.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CC55F-7D20-8F4A-A093-71A03C46579B}">
  <dimension ref="A1:A5"/>
  <sheetViews>
    <sheetView tabSelected="1" workbookViewId="0">
      <selection activeCell="A6" sqref="A6"/>
    </sheetView>
  </sheetViews>
  <sheetFormatPr baseColWidth="10" defaultRowHeight="13"/>
  <sheetData>
    <row r="1" spans="1:1">
      <c r="A1" t="s">
        <v>471</v>
      </c>
    </row>
    <row r="2" spans="1:1" ht="18">
      <c r="A2" s="2252" t="s">
        <v>472</v>
      </c>
    </row>
    <row r="4" spans="1:1">
      <c r="A4" s="508" t="s">
        <v>473</v>
      </c>
    </row>
    <row r="5" spans="1:1">
      <c r="A5" s="508" t="s">
        <v>474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rgb="FFFFC000"/>
    <pageSetUpPr fitToPage="1"/>
  </sheetPr>
  <dimension ref="A1:N458"/>
  <sheetViews>
    <sheetView zoomScaleNormal="100" workbookViewId="0">
      <selection activeCell="A441" sqref="A441"/>
    </sheetView>
  </sheetViews>
  <sheetFormatPr baseColWidth="10" defaultColWidth="8.83203125" defaultRowHeight="13"/>
  <cols>
    <col min="1" max="1" width="48.5" bestFit="1" customWidth="1"/>
    <col min="4" max="4" width="10" bestFit="1" customWidth="1"/>
    <col min="6" max="6" width="9.6640625" customWidth="1"/>
    <col min="7" max="7" width="9.5" bestFit="1" customWidth="1"/>
    <col min="9" max="10" width="10.1640625" bestFit="1" customWidth="1"/>
    <col min="11" max="11" width="11.1640625" bestFit="1" customWidth="1"/>
  </cols>
  <sheetData>
    <row r="1" spans="1:14">
      <c r="A1" s="121"/>
    </row>
    <row r="3" spans="1:14" ht="14" thickBot="1">
      <c r="B3" s="43" t="s">
        <v>35</v>
      </c>
      <c r="C3" s="43" t="s">
        <v>36</v>
      </c>
      <c r="D3" s="43" t="s">
        <v>37</v>
      </c>
      <c r="E3" s="43" t="s">
        <v>38</v>
      </c>
      <c r="F3" s="43" t="s">
        <v>39</v>
      </c>
      <c r="G3" s="43" t="s">
        <v>40</v>
      </c>
      <c r="H3" s="43" t="s">
        <v>41</v>
      </c>
      <c r="I3" s="43" t="s">
        <v>42</v>
      </c>
      <c r="J3" s="43" t="s">
        <v>43</v>
      </c>
      <c r="K3" s="43" t="s">
        <v>44</v>
      </c>
      <c r="L3" s="43" t="s">
        <v>45</v>
      </c>
      <c r="M3" s="43" t="s">
        <v>46</v>
      </c>
      <c r="N3" s="43" t="s">
        <v>10</v>
      </c>
    </row>
    <row r="4" spans="1:14" ht="17" thickBot="1">
      <c r="A4" s="31" t="s">
        <v>34</v>
      </c>
      <c r="B4" s="24"/>
      <c r="C4" s="24"/>
      <c r="D4" s="22"/>
      <c r="E4" s="22"/>
      <c r="F4" s="25"/>
      <c r="G4" s="25"/>
      <c r="H4" s="22"/>
      <c r="I4" s="22"/>
      <c r="J4" s="22"/>
      <c r="K4" s="22"/>
      <c r="L4" s="24"/>
      <c r="M4" s="24"/>
      <c r="N4" s="26"/>
    </row>
    <row r="5" spans="1:14" ht="14" thickBot="1">
      <c r="A5" s="38" t="s">
        <v>48</v>
      </c>
      <c r="B5" s="39"/>
      <c r="C5" s="39"/>
      <c r="D5" s="39"/>
      <c r="E5" s="39"/>
      <c r="F5" s="39"/>
      <c r="G5" s="39"/>
      <c r="H5" s="39"/>
      <c r="I5" s="39"/>
      <c r="J5" s="39"/>
      <c r="K5" s="39"/>
      <c r="L5" s="39"/>
      <c r="M5" s="39"/>
      <c r="N5" s="40"/>
    </row>
    <row r="6" spans="1:14">
      <c r="A6" s="32" t="s">
        <v>28</v>
      </c>
      <c r="B6" s="1092">
        <v>0</v>
      </c>
      <c r="C6" s="1092">
        <v>0</v>
      </c>
      <c r="D6" s="1092">
        <v>0</v>
      </c>
      <c r="E6" s="1092">
        <v>1</v>
      </c>
      <c r="F6" s="1092">
        <v>2</v>
      </c>
      <c r="G6" s="1092">
        <v>0</v>
      </c>
      <c r="H6" s="1092">
        <v>0</v>
      </c>
      <c r="I6" s="1092">
        <v>0</v>
      </c>
      <c r="J6" s="1092">
        <v>0</v>
      </c>
      <c r="K6" s="1092">
        <v>3</v>
      </c>
      <c r="L6" s="1092">
        <v>0</v>
      </c>
      <c r="M6" s="1092">
        <v>0</v>
      </c>
      <c r="N6" s="27">
        <f t="shared" ref="N6:N26" si="0">SUM(B6:M6)</f>
        <v>6</v>
      </c>
    </row>
    <row r="7" spans="1:14">
      <c r="A7" s="32" t="s">
        <v>29</v>
      </c>
      <c r="B7" s="1092">
        <v>0</v>
      </c>
      <c r="C7" s="1092">
        <v>0</v>
      </c>
      <c r="D7" s="1092">
        <v>0</v>
      </c>
      <c r="E7" s="1092">
        <v>1</v>
      </c>
      <c r="F7" s="1092">
        <v>1</v>
      </c>
      <c r="G7" s="1092">
        <v>0</v>
      </c>
      <c r="H7" s="1092">
        <v>0</v>
      </c>
      <c r="I7" s="1092">
        <v>0</v>
      </c>
      <c r="J7" s="1092">
        <v>1</v>
      </c>
      <c r="K7" s="1092">
        <v>2</v>
      </c>
      <c r="L7" s="1092">
        <v>2</v>
      </c>
      <c r="M7" s="1092">
        <v>2</v>
      </c>
      <c r="N7" s="27">
        <f t="shared" si="0"/>
        <v>9</v>
      </c>
    </row>
    <row r="8" spans="1:14">
      <c r="A8" s="32" t="s">
        <v>33</v>
      </c>
      <c r="B8" s="1092">
        <v>4</v>
      </c>
      <c r="C8" s="1092">
        <v>0</v>
      </c>
      <c r="D8" s="1092">
        <v>28</v>
      </c>
      <c r="E8" s="1092">
        <v>17</v>
      </c>
      <c r="F8" s="1092">
        <v>17</v>
      </c>
      <c r="G8" s="1092">
        <v>8</v>
      </c>
      <c r="H8" s="1092">
        <v>25</v>
      </c>
      <c r="I8" s="1092">
        <v>12</v>
      </c>
      <c r="J8" s="1092">
        <v>12</v>
      </c>
      <c r="K8" s="1092">
        <v>15</v>
      </c>
      <c r="L8" s="1092">
        <v>9</v>
      </c>
      <c r="M8" s="1092">
        <v>21</v>
      </c>
      <c r="N8" s="27">
        <f t="shared" si="0"/>
        <v>168</v>
      </c>
    </row>
    <row r="9" spans="1:14">
      <c r="A9" s="32" t="s">
        <v>56</v>
      </c>
      <c r="B9" s="1092">
        <v>0</v>
      </c>
      <c r="C9" s="1092">
        <v>0</v>
      </c>
      <c r="D9" s="1092">
        <v>23</v>
      </c>
      <c r="E9" s="1092">
        <v>22</v>
      </c>
      <c r="F9" s="1092">
        <v>0</v>
      </c>
      <c r="G9" s="1092">
        <v>20</v>
      </c>
      <c r="H9" s="1092">
        <v>0</v>
      </c>
      <c r="I9" s="1092">
        <v>0</v>
      </c>
      <c r="J9" s="1092">
        <v>0</v>
      </c>
      <c r="K9" s="1092">
        <v>45</v>
      </c>
      <c r="L9" s="1092">
        <v>0</v>
      </c>
      <c r="M9" s="1092">
        <v>0</v>
      </c>
      <c r="N9" s="27">
        <f t="shared" si="0"/>
        <v>110</v>
      </c>
    </row>
    <row r="10" spans="1:14">
      <c r="A10" s="32" t="s">
        <v>52</v>
      </c>
      <c r="B10" s="1092">
        <v>0</v>
      </c>
      <c r="C10" s="1092">
        <v>0</v>
      </c>
      <c r="D10" s="1092">
        <v>0</v>
      </c>
      <c r="E10" s="1092">
        <v>0</v>
      </c>
      <c r="F10" s="1092">
        <v>0</v>
      </c>
      <c r="G10" s="1092">
        <v>0</v>
      </c>
      <c r="H10" s="1092">
        <v>0</v>
      </c>
      <c r="I10" s="1092">
        <v>0</v>
      </c>
      <c r="J10" s="1092">
        <v>0</v>
      </c>
      <c r="K10" s="1092">
        <v>1</v>
      </c>
      <c r="L10" s="1092">
        <v>0</v>
      </c>
      <c r="M10" s="1092">
        <v>0</v>
      </c>
      <c r="N10" s="27">
        <f>SUM(B10:M10)</f>
        <v>1</v>
      </c>
    </row>
    <row r="11" spans="1:14">
      <c r="A11" s="33" t="s">
        <v>97</v>
      </c>
      <c r="B11" s="1092">
        <v>0</v>
      </c>
      <c r="C11" s="1092">
        <v>0</v>
      </c>
      <c r="D11" s="1092">
        <v>0</v>
      </c>
      <c r="E11" s="1092">
        <v>0</v>
      </c>
      <c r="F11" s="1092">
        <v>0</v>
      </c>
      <c r="G11" s="1092">
        <v>0</v>
      </c>
      <c r="H11" s="1092">
        <v>0</v>
      </c>
      <c r="I11" s="1092">
        <v>0</v>
      </c>
      <c r="J11" s="1092">
        <v>0</v>
      </c>
      <c r="K11" s="1092">
        <v>0</v>
      </c>
      <c r="L11" s="1092">
        <v>1</v>
      </c>
      <c r="M11" s="1092">
        <v>2</v>
      </c>
      <c r="N11" s="27">
        <f>SUM(B11:M11)</f>
        <v>3</v>
      </c>
    </row>
    <row r="12" spans="1:14" ht="14" thickBot="1">
      <c r="A12" s="33" t="s">
        <v>81</v>
      </c>
      <c r="B12" s="1092">
        <v>0</v>
      </c>
      <c r="C12" s="1092">
        <v>0</v>
      </c>
      <c r="D12" s="1092">
        <v>0</v>
      </c>
      <c r="E12" s="1092">
        <v>0</v>
      </c>
      <c r="F12" s="1092">
        <v>0</v>
      </c>
      <c r="G12" s="1092">
        <v>0</v>
      </c>
      <c r="H12" s="1092">
        <v>0</v>
      </c>
      <c r="I12" s="1092">
        <v>2</v>
      </c>
      <c r="J12" s="1092">
        <v>0</v>
      </c>
      <c r="K12" s="1092">
        <v>0</v>
      </c>
      <c r="L12" s="1092">
        <v>1</v>
      </c>
      <c r="M12" s="1092">
        <v>2</v>
      </c>
      <c r="N12" s="27">
        <f>SUM(B12:M12)</f>
        <v>5</v>
      </c>
    </row>
    <row r="13" spans="1:14" ht="14" thickBot="1">
      <c r="A13" s="53" t="s">
        <v>60</v>
      </c>
      <c r="B13" s="55">
        <f t="shared" ref="B13:I13" si="1">SUM(B6:B12)</f>
        <v>4</v>
      </c>
      <c r="C13" s="55">
        <f t="shared" si="1"/>
        <v>0</v>
      </c>
      <c r="D13" s="55">
        <f t="shared" si="1"/>
        <v>51</v>
      </c>
      <c r="E13" s="55">
        <f t="shared" si="1"/>
        <v>41</v>
      </c>
      <c r="F13" s="55">
        <f t="shared" si="1"/>
        <v>20</v>
      </c>
      <c r="G13" s="55">
        <f t="shared" si="1"/>
        <v>28</v>
      </c>
      <c r="H13" s="55">
        <f t="shared" si="1"/>
        <v>25</v>
      </c>
      <c r="I13" s="55">
        <f t="shared" si="1"/>
        <v>14</v>
      </c>
      <c r="J13" s="55">
        <f>SUM(J6:J12)</f>
        <v>13</v>
      </c>
      <c r="K13" s="55">
        <f>SUM(K6:K12)</f>
        <v>66</v>
      </c>
      <c r="L13" s="55">
        <f>SUM(L6:L12)</f>
        <v>13</v>
      </c>
      <c r="M13" s="55">
        <f>SUM(M6:M12)</f>
        <v>27</v>
      </c>
      <c r="N13" s="54">
        <f>SUM(N6:N12)</f>
        <v>302</v>
      </c>
    </row>
    <row r="14" spans="1:14" ht="14" thickBot="1">
      <c r="A14" s="38" t="s">
        <v>49</v>
      </c>
      <c r="B14" s="39"/>
      <c r="C14" s="39"/>
      <c r="D14" s="39"/>
      <c r="E14" s="39"/>
      <c r="F14" s="39"/>
      <c r="G14" s="39"/>
      <c r="H14" s="39"/>
      <c r="I14" s="39"/>
      <c r="J14" s="39"/>
      <c r="K14" s="39"/>
      <c r="L14" s="39"/>
      <c r="M14" s="39"/>
      <c r="N14" s="40"/>
    </row>
    <row r="15" spans="1:14" ht="14" thickBot="1">
      <c r="A15" s="33" t="s">
        <v>49</v>
      </c>
      <c r="B15" s="1092">
        <v>30</v>
      </c>
      <c r="C15" s="1092">
        <v>212</v>
      </c>
      <c r="D15" s="1092">
        <v>33</v>
      </c>
      <c r="E15" s="1092">
        <v>34</v>
      </c>
      <c r="F15" s="1092">
        <v>126</v>
      </c>
      <c r="G15" s="1092">
        <v>0</v>
      </c>
      <c r="H15" s="1092">
        <v>155</v>
      </c>
      <c r="I15" s="1092">
        <v>0</v>
      </c>
      <c r="J15" s="1092">
        <v>0</v>
      </c>
      <c r="K15" s="1092">
        <v>38</v>
      </c>
      <c r="L15" s="1092">
        <v>23</v>
      </c>
      <c r="M15" s="1092">
        <v>57</v>
      </c>
      <c r="N15" s="27">
        <f>SUM(B15:M15)</f>
        <v>708</v>
      </c>
    </row>
    <row r="16" spans="1:14" ht="14" thickBot="1">
      <c r="A16" s="53" t="s">
        <v>60</v>
      </c>
      <c r="B16" s="55">
        <f>SUM(B15)</f>
        <v>30</v>
      </c>
      <c r="C16" s="55">
        <f>SUM(C15)</f>
        <v>212</v>
      </c>
      <c r="D16" s="55">
        <f t="shared" ref="D16:N16" si="2">SUM(D15)</f>
        <v>33</v>
      </c>
      <c r="E16" s="55">
        <f t="shared" si="2"/>
        <v>34</v>
      </c>
      <c r="F16" s="55">
        <f t="shared" si="2"/>
        <v>126</v>
      </c>
      <c r="G16" s="55">
        <f t="shared" si="2"/>
        <v>0</v>
      </c>
      <c r="H16" s="55">
        <f t="shared" si="2"/>
        <v>155</v>
      </c>
      <c r="I16" s="55">
        <f t="shared" si="2"/>
        <v>0</v>
      </c>
      <c r="J16" s="55">
        <f t="shared" si="2"/>
        <v>0</v>
      </c>
      <c r="K16" s="55">
        <f t="shared" si="2"/>
        <v>38</v>
      </c>
      <c r="L16" s="55">
        <f t="shared" si="2"/>
        <v>23</v>
      </c>
      <c r="M16" s="55">
        <f t="shared" si="2"/>
        <v>57</v>
      </c>
      <c r="N16" s="54">
        <f t="shared" si="2"/>
        <v>708</v>
      </c>
    </row>
    <row r="17" spans="1:14" ht="14" thickBot="1">
      <c r="A17" s="38" t="s">
        <v>50</v>
      </c>
      <c r="B17" s="39"/>
      <c r="C17" s="39"/>
      <c r="D17" s="39"/>
      <c r="E17" s="39"/>
      <c r="F17" s="39"/>
      <c r="G17" s="39"/>
      <c r="H17" s="39"/>
      <c r="I17" s="39"/>
      <c r="J17" s="39"/>
      <c r="K17" s="39"/>
      <c r="L17" s="39"/>
      <c r="M17" s="39"/>
      <c r="N17" s="40"/>
    </row>
    <row r="18" spans="1:14">
      <c r="A18" s="34" t="s">
        <v>26</v>
      </c>
      <c r="B18" s="1092">
        <v>0</v>
      </c>
      <c r="C18" s="1092">
        <v>0</v>
      </c>
      <c r="D18" s="1092">
        <v>0</v>
      </c>
      <c r="E18" s="1092">
        <v>0</v>
      </c>
      <c r="F18" s="1092">
        <v>0</v>
      </c>
      <c r="G18" s="1092">
        <v>0</v>
      </c>
      <c r="H18" s="1092">
        <v>0</v>
      </c>
      <c r="I18" s="1092">
        <v>0</v>
      </c>
      <c r="J18" s="1092">
        <v>0</v>
      </c>
      <c r="K18" s="1092">
        <v>0</v>
      </c>
      <c r="L18" s="1092">
        <v>0</v>
      </c>
      <c r="M18" s="1092">
        <v>0</v>
      </c>
      <c r="N18" s="27">
        <f t="shared" si="0"/>
        <v>0</v>
      </c>
    </row>
    <row r="19" spans="1:14">
      <c r="A19" s="34" t="s">
        <v>25</v>
      </c>
      <c r="B19" s="1092">
        <v>0</v>
      </c>
      <c r="C19" s="1092">
        <v>8</v>
      </c>
      <c r="D19" s="1092">
        <v>0</v>
      </c>
      <c r="E19" s="1092">
        <v>0</v>
      </c>
      <c r="F19" s="1092">
        <v>0</v>
      </c>
      <c r="G19" s="1092">
        <v>0</v>
      </c>
      <c r="H19" s="1092">
        <v>0</v>
      </c>
      <c r="I19" s="1092">
        <v>0</v>
      </c>
      <c r="J19" s="1092">
        <v>0</v>
      </c>
      <c r="K19" s="1092">
        <v>0</v>
      </c>
      <c r="L19" s="1092">
        <v>0</v>
      </c>
      <c r="M19" s="1092">
        <v>0</v>
      </c>
      <c r="N19" s="27">
        <f t="shared" si="0"/>
        <v>8</v>
      </c>
    </row>
    <row r="20" spans="1:14">
      <c r="A20" s="32" t="s">
        <v>29</v>
      </c>
      <c r="B20" s="1092">
        <v>0</v>
      </c>
      <c r="C20" s="1092">
        <v>456</v>
      </c>
      <c r="D20" s="1092">
        <v>191</v>
      </c>
      <c r="E20" s="1092">
        <v>66</v>
      </c>
      <c r="F20" s="1092">
        <v>0</v>
      </c>
      <c r="G20" s="1092">
        <v>46</v>
      </c>
      <c r="H20" s="1092">
        <v>0</v>
      </c>
      <c r="I20" s="1092">
        <v>0</v>
      </c>
      <c r="J20" s="1092">
        <v>0</v>
      </c>
      <c r="K20" s="1092">
        <v>169</v>
      </c>
      <c r="L20" s="1092">
        <v>212</v>
      </c>
      <c r="M20" s="1092">
        <v>0</v>
      </c>
      <c r="N20" s="27">
        <f t="shared" si="0"/>
        <v>1140</v>
      </c>
    </row>
    <row r="21" spans="1:14">
      <c r="A21" s="32" t="s">
        <v>51</v>
      </c>
      <c r="B21" s="1092">
        <v>97</v>
      </c>
      <c r="C21" s="1092">
        <v>0</v>
      </c>
      <c r="D21" s="1092">
        <v>0</v>
      </c>
      <c r="E21" s="1092">
        <v>0</v>
      </c>
      <c r="F21" s="1092">
        <v>78</v>
      </c>
      <c r="G21" s="1092">
        <v>0</v>
      </c>
      <c r="H21" s="1092">
        <v>60</v>
      </c>
      <c r="I21" s="1092">
        <v>8</v>
      </c>
      <c r="J21" s="1092">
        <v>12</v>
      </c>
      <c r="K21" s="1092">
        <v>0</v>
      </c>
      <c r="L21" s="1092">
        <v>3</v>
      </c>
      <c r="M21" s="1092">
        <v>4</v>
      </c>
      <c r="N21" s="27">
        <f t="shared" si="0"/>
        <v>262</v>
      </c>
    </row>
    <row r="22" spans="1:14">
      <c r="A22" s="34" t="s">
        <v>20</v>
      </c>
      <c r="B22" s="1092">
        <v>0</v>
      </c>
      <c r="C22" s="1092">
        <v>0</v>
      </c>
      <c r="D22" s="1092">
        <v>0</v>
      </c>
      <c r="E22" s="1092">
        <v>0</v>
      </c>
      <c r="F22" s="1092">
        <v>0</v>
      </c>
      <c r="G22" s="1092">
        <v>9</v>
      </c>
      <c r="H22" s="1092">
        <v>0</v>
      </c>
      <c r="I22" s="1092">
        <v>0</v>
      </c>
      <c r="J22" s="1092">
        <v>0</v>
      </c>
      <c r="K22" s="1092">
        <v>0</v>
      </c>
      <c r="L22" s="1092">
        <v>0</v>
      </c>
      <c r="M22" s="1092">
        <v>0</v>
      </c>
      <c r="N22" s="27">
        <f t="shared" si="0"/>
        <v>9</v>
      </c>
    </row>
    <row r="23" spans="1:14">
      <c r="A23" s="34" t="s">
        <v>204</v>
      </c>
      <c r="B23" s="1092">
        <v>2</v>
      </c>
      <c r="C23" s="1092">
        <v>0</v>
      </c>
      <c r="D23" s="1092">
        <v>0</v>
      </c>
      <c r="E23" s="1092">
        <v>1</v>
      </c>
      <c r="F23" s="1092">
        <v>0</v>
      </c>
      <c r="G23" s="1092">
        <v>0</v>
      </c>
      <c r="H23" s="1092">
        <v>0</v>
      </c>
      <c r="I23" s="1092">
        <v>0</v>
      </c>
      <c r="J23" s="1092">
        <v>0</v>
      </c>
      <c r="K23" s="1092">
        <v>0</v>
      </c>
      <c r="L23" s="1092">
        <v>0</v>
      </c>
      <c r="M23" s="1092">
        <v>2</v>
      </c>
      <c r="N23" s="27">
        <f t="shared" si="0"/>
        <v>5</v>
      </c>
    </row>
    <row r="24" spans="1:14">
      <c r="A24" s="35" t="s">
        <v>47</v>
      </c>
      <c r="B24" s="1092">
        <v>0</v>
      </c>
      <c r="C24" s="1092">
        <v>0</v>
      </c>
      <c r="D24" s="1092">
        <v>0</v>
      </c>
      <c r="E24" s="1092">
        <v>0</v>
      </c>
      <c r="F24" s="1092">
        <v>0</v>
      </c>
      <c r="G24" s="1092">
        <v>0</v>
      </c>
      <c r="H24" s="1092">
        <v>0</v>
      </c>
      <c r="I24" s="1092">
        <v>0</v>
      </c>
      <c r="J24" s="1092">
        <v>0</v>
      </c>
      <c r="K24" s="1092">
        <v>1</v>
      </c>
      <c r="L24" s="1092">
        <v>0</v>
      </c>
      <c r="M24" s="1092">
        <v>0</v>
      </c>
      <c r="N24" s="27">
        <f t="shared" si="0"/>
        <v>1</v>
      </c>
    </row>
    <row r="25" spans="1:14">
      <c r="A25" s="33" t="s">
        <v>52</v>
      </c>
      <c r="B25" s="1092">
        <v>0</v>
      </c>
      <c r="C25" s="1092">
        <v>0</v>
      </c>
      <c r="D25" s="1092">
        <v>0</v>
      </c>
      <c r="E25" s="1092">
        <v>0</v>
      </c>
      <c r="F25" s="1092">
        <v>0</v>
      </c>
      <c r="G25" s="1092">
        <v>0</v>
      </c>
      <c r="H25" s="1092">
        <v>0</v>
      </c>
      <c r="I25" s="1092">
        <v>0</v>
      </c>
      <c r="J25" s="1092">
        <v>0</v>
      </c>
      <c r="K25" s="1092">
        <v>0</v>
      </c>
      <c r="L25" s="1092">
        <v>1</v>
      </c>
      <c r="M25" s="1092">
        <v>1</v>
      </c>
      <c r="N25" s="27">
        <f t="shared" si="0"/>
        <v>2</v>
      </c>
    </row>
    <row r="26" spans="1:14">
      <c r="A26" s="33" t="s">
        <v>53</v>
      </c>
      <c r="B26" s="1092">
        <v>0</v>
      </c>
      <c r="C26" s="1092">
        <v>0</v>
      </c>
      <c r="D26" s="1092">
        <v>0</v>
      </c>
      <c r="E26" s="1092">
        <v>0</v>
      </c>
      <c r="F26" s="1092">
        <v>0</v>
      </c>
      <c r="G26" s="1092">
        <v>0</v>
      </c>
      <c r="H26" s="1092">
        <v>0</v>
      </c>
      <c r="I26" s="1092">
        <v>0</v>
      </c>
      <c r="J26" s="1092">
        <v>0</v>
      </c>
      <c r="K26" s="1092">
        <v>0</v>
      </c>
      <c r="L26" s="1092">
        <v>0</v>
      </c>
      <c r="M26" s="1092">
        <v>0</v>
      </c>
      <c r="N26" s="27">
        <f t="shared" si="0"/>
        <v>0</v>
      </c>
    </row>
    <row r="27" spans="1:14" ht="14" thickBot="1">
      <c r="A27" s="32" t="s">
        <v>56</v>
      </c>
      <c r="B27" s="1092">
        <v>0</v>
      </c>
      <c r="C27" s="1092">
        <v>0</v>
      </c>
      <c r="D27" s="1092">
        <v>0</v>
      </c>
      <c r="E27" s="1092">
        <v>0</v>
      </c>
      <c r="F27" s="1092">
        <v>0</v>
      </c>
      <c r="G27" s="1092">
        <v>0</v>
      </c>
      <c r="H27" s="1092">
        <v>0</v>
      </c>
      <c r="I27" s="1092">
        <v>0</v>
      </c>
      <c r="J27" s="1092">
        <v>0</v>
      </c>
      <c r="K27" s="1092">
        <v>0</v>
      </c>
      <c r="L27" s="1092">
        <v>0</v>
      </c>
      <c r="M27" s="1092">
        <v>0</v>
      </c>
      <c r="N27" s="27">
        <f>SUM(B27:M27)</f>
        <v>0</v>
      </c>
    </row>
    <row r="28" spans="1:14" ht="14" thickBot="1">
      <c r="A28" s="53" t="s">
        <v>60</v>
      </c>
      <c r="B28" s="55">
        <f>SUM(B18:B27)</f>
        <v>99</v>
      </c>
      <c r="C28" s="55">
        <f t="shared" ref="C28:N28" si="3">SUM(C18:C27)</f>
        <v>464</v>
      </c>
      <c r="D28" s="55">
        <f t="shared" si="3"/>
        <v>191</v>
      </c>
      <c r="E28" s="55">
        <f t="shared" si="3"/>
        <v>67</v>
      </c>
      <c r="F28" s="55">
        <f t="shared" si="3"/>
        <v>78</v>
      </c>
      <c r="G28" s="55">
        <f t="shared" si="3"/>
        <v>55</v>
      </c>
      <c r="H28" s="55">
        <f t="shared" si="3"/>
        <v>60</v>
      </c>
      <c r="I28" s="55">
        <f t="shared" si="3"/>
        <v>8</v>
      </c>
      <c r="J28" s="55">
        <f t="shared" si="3"/>
        <v>12</v>
      </c>
      <c r="K28" s="55">
        <f t="shared" si="3"/>
        <v>170</v>
      </c>
      <c r="L28" s="55">
        <f t="shared" si="3"/>
        <v>216</v>
      </c>
      <c r="M28" s="55">
        <f t="shared" si="3"/>
        <v>7</v>
      </c>
      <c r="N28" s="54">
        <f t="shared" si="3"/>
        <v>1427</v>
      </c>
    </row>
    <row r="29" spans="1:14" ht="14" thickBot="1">
      <c r="A29" s="38" t="s">
        <v>54</v>
      </c>
      <c r="B29" s="41"/>
      <c r="C29" s="41"/>
      <c r="D29" s="41"/>
      <c r="E29" s="41"/>
      <c r="F29" s="41"/>
      <c r="G29" s="41"/>
      <c r="H29" s="41"/>
      <c r="I29" s="41"/>
      <c r="J29" s="41"/>
      <c r="K29" s="41"/>
      <c r="L29" s="41"/>
      <c r="M29" s="41"/>
      <c r="N29" s="42"/>
    </row>
    <row r="30" spans="1:14">
      <c r="A30" s="36" t="s">
        <v>29</v>
      </c>
      <c r="B30" s="1093">
        <v>0</v>
      </c>
      <c r="C30" s="1093">
        <v>0</v>
      </c>
      <c r="D30" s="1093">
        <v>0</v>
      </c>
      <c r="E30" s="1093">
        <v>0</v>
      </c>
      <c r="F30" s="1093">
        <v>0</v>
      </c>
      <c r="G30" s="1093">
        <v>0</v>
      </c>
      <c r="H30" s="1093">
        <v>0</v>
      </c>
      <c r="I30" s="1093">
        <v>0</v>
      </c>
      <c r="J30" s="1093">
        <v>0</v>
      </c>
      <c r="K30" s="1093">
        <v>0</v>
      </c>
      <c r="L30" s="1093">
        <v>0</v>
      </c>
      <c r="M30" s="1093">
        <v>0</v>
      </c>
      <c r="N30" s="28">
        <f>SUM(B30:M30)</f>
        <v>0</v>
      </c>
    </row>
    <row r="31" spans="1:14">
      <c r="A31" s="34" t="s">
        <v>51</v>
      </c>
      <c r="B31" s="1092">
        <v>0</v>
      </c>
      <c r="C31" s="1092">
        <v>0</v>
      </c>
      <c r="D31" s="1092">
        <v>0</v>
      </c>
      <c r="E31" s="1092">
        <v>0</v>
      </c>
      <c r="F31" s="1092">
        <v>0</v>
      </c>
      <c r="G31" s="1092">
        <v>0</v>
      </c>
      <c r="H31" s="1092">
        <v>0</v>
      </c>
      <c r="I31" s="1092">
        <v>5</v>
      </c>
      <c r="J31" s="1092">
        <v>0</v>
      </c>
      <c r="K31" s="1092">
        <v>0</v>
      </c>
      <c r="L31" s="1092">
        <v>0</v>
      </c>
      <c r="M31" s="1092">
        <v>0</v>
      </c>
      <c r="N31" s="29">
        <f>SUM(B31:M31)</f>
        <v>5</v>
      </c>
    </row>
    <row r="32" spans="1:14">
      <c r="A32" s="34" t="s">
        <v>15</v>
      </c>
      <c r="B32" s="1092">
        <v>0</v>
      </c>
      <c r="C32" s="1092">
        <v>0</v>
      </c>
      <c r="D32" s="1092">
        <v>0</v>
      </c>
      <c r="E32" s="1092">
        <v>0</v>
      </c>
      <c r="F32" s="1092">
        <v>0</v>
      </c>
      <c r="G32" s="1092">
        <v>0</v>
      </c>
      <c r="H32" s="1092">
        <v>0</v>
      </c>
      <c r="I32" s="1092">
        <v>0</v>
      </c>
      <c r="J32" s="1092">
        <v>0</v>
      </c>
      <c r="K32" s="1092">
        <v>0</v>
      </c>
      <c r="L32" s="1094">
        <v>7</v>
      </c>
      <c r="M32" s="1092">
        <v>0</v>
      </c>
      <c r="N32" s="29">
        <f>SUM(B32:M32)</f>
        <v>7</v>
      </c>
    </row>
    <row r="33" spans="1:14">
      <c r="A33" s="34" t="s">
        <v>30</v>
      </c>
      <c r="B33" s="1092">
        <v>0</v>
      </c>
      <c r="C33" s="1092">
        <v>0</v>
      </c>
      <c r="D33" s="1092">
        <v>0</v>
      </c>
      <c r="E33" s="1092">
        <v>0</v>
      </c>
      <c r="F33" s="1092">
        <v>0</v>
      </c>
      <c r="G33" s="1092">
        <v>0</v>
      </c>
      <c r="H33" s="1092">
        <v>0</v>
      </c>
      <c r="I33" s="1092">
        <v>0</v>
      </c>
      <c r="J33" s="1092">
        <v>0</v>
      </c>
      <c r="K33" s="1092">
        <v>0</v>
      </c>
      <c r="L33" s="1092">
        <v>0</v>
      </c>
      <c r="M33" s="1092">
        <v>0</v>
      </c>
      <c r="N33" s="29">
        <f>SUM(B33:M33)</f>
        <v>0</v>
      </c>
    </row>
    <row r="34" spans="1:14" ht="14" thickBot="1">
      <c r="A34" s="37" t="s">
        <v>55</v>
      </c>
      <c r="B34" s="1097">
        <v>0</v>
      </c>
      <c r="C34" s="1097">
        <v>0</v>
      </c>
      <c r="D34" s="1097">
        <v>0</v>
      </c>
      <c r="E34" s="1097">
        <v>0</v>
      </c>
      <c r="F34" s="1097">
        <v>0</v>
      </c>
      <c r="G34" s="1097">
        <v>0</v>
      </c>
      <c r="H34" s="1097">
        <v>0</v>
      </c>
      <c r="I34" s="1097">
        <v>0</v>
      </c>
      <c r="J34" s="1097">
        <v>0</v>
      </c>
      <c r="K34" s="1097">
        <v>0</v>
      </c>
      <c r="L34" s="1097">
        <v>0</v>
      </c>
      <c r="M34" s="1097">
        <v>0</v>
      </c>
      <c r="N34" s="30">
        <f>SUM(B34:M34)</f>
        <v>0</v>
      </c>
    </row>
    <row r="35" spans="1:14" ht="14" thickBot="1">
      <c r="A35" s="53" t="s">
        <v>60</v>
      </c>
      <c r="B35" s="55">
        <f>SUM(B30:B34)</f>
        <v>0</v>
      </c>
      <c r="C35" s="55">
        <f t="shared" ref="C35:N35" si="4">SUM(C30:C34)</f>
        <v>0</v>
      </c>
      <c r="D35" s="55">
        <f t="shared" si="4"/>
        <v>0</v>
      </c>
      <c r="E35" s="55">
        <f t="shared" si="4"/>
        <v>0</v>
      </c>
      <c r="F35" s="55">
        <f t="shared" si="4"/>
        <v>0</v>
      </c>
      <c r="G35" s="55">
        <f t="shared" si="4"/>
        <v>0</v>
      </c>
      <c r="H35" s="55">
        <f t="shared" si="4"/>
        <v>0</v>
      </c>
      <c r="I35" s="55">
        <f t="shared" si="4"/>
        <v>5</v>
      </c>
      <c r="J35" s="55">
        <f t="shared" si="4"/>
        <v>0</v>
      </c>
      <c r="K35" s="55">
        <f t="shared" si="4"/>
        <v>0</v>
      </c>
      <c r="L35" s="55">
        <f t="shared" si="4"/>
        <v>7</v>
      </c>
      <c r="M35" s="55">
        <f t="shared" si="4"/>
        <v>0</v>
      </c>
      <c r="N35" s="54">
        <f t="shared" si="4"/>
        <v>12</v>
      </c>
    </row>
    <row r="38" spans="1:14" ht="14" thickBot="1">
      <c r="B38" s="43" t="s">
        <v>35</v>
      </c>
      <c r="C38" s="43" t="s">
        <v>36</v>
      </c>
      <c r="D38" s="43" t="s">
        <v>37</v>
      </c>
      <c r="E38" s="43" t="s">
        <v>38</v>
      </c>
      <c r="F38" s="43" t="s">
        <v>39</v>
      </c>
      <c r="G38" s="43" t="s">
        <v>40</v>
      </c>
      <c r="H38" s="43" t="s">
        <v>41</v>
      </c>
      <c r="I38" s="43" t="s">
        <v>42</v>
      </c>
      <c r="J38" s="43" t="s">
        <v>43</v>
      </c>
      <c r="K38" s="43" t="s">
        <v>44</v>
      </c>
      <c r="L38" s="43" t="s">
        <v>45</v>
      </c>
      <c r="M38" s="43" t="s">
        <v>46</v>
      </c>
      <c r="N38" s="43" t="s">
        <v>10</v>
      </c>
    </row>
    <row r="39" spans="1:14" ht="17" thickBot="1">
      <c r="A39" s="31" t="s">
        <v>99</v>
      </c>
      <c r="B39" s="24"/>
      <c r="C39" s="24"/>
      <c r="D39" s="22"/>
      <c r="E39" s="22"/>
      <c r="F39" s="25"/>
      <c r="G39" s="25"/>
      <c r="H39" s="22"/>
      <c r="I39" s="22"/>
      <c r="J39" s="22"/>
      <c r="K39" s="22"/>
      <c r="L39" s="24"/>
      <c r="M39" s="24"/>
      <c r="N39" s="26"/>
    </row>
    <row r="40" spans="1:14" ht="14" thickBot="1">
      <c r="A40" s="38" t="s">
        <v>48</v>
      </c>
      <c r="B40" s="39"/>
      <c r="C40" s="39"/>
      <c r="D40" s="39"/>
      <c r="E40" s="39"/>
      <c r="F40" s="39"/>
      <c r="G40" s="39"/>
      <c r="H40" s="39"/>
      <c r="I40" s="39"/>
      <c r="J40" s="39"/>
      <c r="K40" s="39"/>
      <c r="L40" s="39"/>
      <c r="M40" s="39"/>
      <c r="N40" s="40"/>
    </row>
    <row r="41" spans="1:14">
      <c r="A41" s="32" t="s">
        <v>28</v>
      </c>
      <c r="B41" s="1092">
        <v>0</v>
      </c>
      <c r="C41" s="1092">
        <v>1</v>
      </c>
      <c r="D41" s="1092">
        <v>0</v>
      </c>
      <c r="E41" s="1092">
        <v>0</v>
      </c>
      <c r="F41" s="1092">
        <v>0</v>
      </c>
      <c r="G41" s="1092">
        <v>0</v>
      </c>
      <c r="H41" s="1092">
        <v>0</v>
      </c>
      <c r="I41" s="1092">
        <v>0</v>
      </c>
      <c r="J41" s="1092">
        <v>0</v>
      </c>
      <c r="K41" s="1092">
        <v>0</v>
      </c>
      <c r="L41" s="1092">
        <v>0</v>
      </c>
      <c r="M41" s="1092">
        <v>0</v>
      </c>
      <c r="N41" s="27">
        <f>SUM(B41:M41)</f>
        <v>1</v>
      </c>
    </row>
    <row r="42" spans="1:14">
      <c r="A42" s="32" t="s">
        <v>29</v>
      </c>
      <c r="B42" s="1092">
        <v>0</v>
      </c>
      <c r="C42" s="1092">
        <v>0</v>
      </c>
      <c r="D42" s="1092">
        <v>1</v>
      </c>
      <c r="E42" s="1092">
        <v>5</v>
      </c>
      <c r="F42" s="1092">
        <v>1</v>
      </c>
      <c r="G42" s="1092">
        <v>91</v>
      </c>
      <c r="H42" s="1092">
        <v>3</v>
      </c>
      <c r="I42" s="1092">
        <v>8</v>
      </c>
      <c r="J42" s="1092">
        <v>2</v>
      </c>
      <c r="K42" s="1092">
        <v>3</v>
      </c>
      <c r="L42" s="1092">
        <v>11</v>
      </c>
      <c r="M42" s="1092">
        <v>11</v>
      </c>
      <c r="N42" s="27">
        <f>SUM(B42:M42)</f>
        <v>136</v>
      </c>
    </row>
    <row r="43" spans="1:14">
      <c r="A43" s="32" t="s">
        <v>33</v>
      </c>
      <c r="B43" s="1092">
        <v>0</v>
      </c>
      <c r="C43" s="1092">
        <v>0</v>
      </c>
      <c r="D43" s="1092">
        <v>13</v>
      </c>
      <c r="E43" s="1092">
        <v>18</v>
      </c>
      <c r="F43" s="1092">
        <v>3</v>
      </c>
      <c r="G43" s="1092">
        <v>26</v>
      </c>
      <c r="H43" s="1092">
        <v>4</v>
      </c>
      <c r="I43" s="1092">
        <v>4</v>
      </c>
      <c r="J43" s="1092">
        <v>19</v>
      </c>
      <c r="K43" s="1092">
        <v>13</v>
      </c>
      <c r="L43" s="1092">
        <v>17</v>
      </c>
      <c r="M43" s="1092">
        <v>23</v>
      </c>
      <c r="N43" s="27">
        <f>SUM(B43:M43)</f>
        <v>140</v>
      </c>
    </row>
    <row r="44" spans="1:14">
      <c r="A44" s="32" t="s">
        <v>56</v>
      </c>
      <c r="B44" s="1092">
        <v>0</v>
      </c>
      <c r="C44" s="1092">
        <v>0</v>
      </c>
      <c r="D44" s="1092">
        <v>20</v>
      </c>
      <c r="E44" s="1092">
        <v>23</v>
      </c>
      <c r="F44" s="1092">
        <v>0</v>
      </c>
      <c r="G44" s="1092">
        <v>0</v>
      </c>
      <c r="H44" s="1092">
        <v>0</v>
      </c>
      <c r="I44" s="1092">
        <v>0</v>
      </c>
      <c r="J44" s="1092">
        <v>11</v>
      </c>
      <c r="K44" s="1092">
        <v>0</v>
      </c>
      <c r="L44" s="1092">
        <v>0</v>
      </c>
      <c r="M44" s="1092">
        <v>0</v>
      </c>
      <c r="N44" s="27">
        <f>SUM(B44:M44)</f>
        <v>54</v>
      </c>
    </row>
    <row r="45" spans="1:14">
      <c r="A45" s="32" t="s">
        <v>52</v>
      </c>
      <c r="B45" s="1092">
        <v>0</v>
      </c>
      <c r="C45" s="1092">
        <v>0</v>
      </c>
      <c r="D45" s="1092">
        <v>0</v>
      </c>
      <c r="E45" s="1092">
        <v>1</v>
      </c>
      <c r="F45" s="1092">
        <v>0</v>
      </c>
      <c r="G45" s="1092">
        <v>0</v>
      </c>
      <c r="H45" s="1092">
        <v>0</v>
      </c>
      <c r="I45" s="1092">
        <v>0</v>
      </c>
      <c r="J45" s="1092">
        <v>0</v>
      </c>
      <c r="K45" s="1092">
        <v>0</v>
      </c>
      <c r="L45" s="1092">
        <v>0</v>
      </c>
      <c r="M45" s="1092">
        <v>0</v>
      </c>
      <c r="N45" s="27">
        <f>SUM(B45:M45)</f>
        <v>1</v>
      </c>
    </row>
    <row r="46" spans="1:14">
      <c r="A46" s="33" t="s">
        <v>103</v>
      </c>
      <c r="B46" s="1092">
        <v>0</v>
      </c>
      <c r="C46" s="1092">
        <v>0</v>
      </c>
      <c r="D46" s="1092">
        <v>0</v>
      </c>
      <c r="E46" s="1092">
        <v>0</v>
      </c>
      <c r="F46" s="1092">
        <v>0</v>
      </c>
      <c r="G46" s="1092">
        <v>0</v>
      </c>
      <c r="H46" s="1092">
        <v>0</v>
      </c>
      <c r="I46" s="1092">
        <v>0</v>
      </c>
      <c r="J46" s="1092">
        <v>0</v>
      </c>
      <c r="K46" s="1092">
        <v>0</v>
      </c>
      <c r="L46" s="1092">
        <v>0</v>
      </c>
      <c r="M46" s="1092">
        <v>0</v>
      </c>
      <c r="N46" s="27">
        <v>11</v>
      </c>
    </row>
    <row r="47" spans="1:14" ht="14" thickBot="1">
      <c r="A47" s="33" t="s">
        <v>104</v>
      </c>
      <c r="B47" s="1092">
        <v>0</v>
      </c>
      <c r="C47" s="1092">
        <v>0</v>
      </c>
      <c r="D47" s="1092">
        <v>0</v>
      </c>
      <c r="E47" s="1092">
        <v>0</v>
      </c>
      <c r="F47" s="1092">
        <v>0</v>
      </c>
      <c r="G47" s="1092">
        <v>0</v>
      </c>
      <c r="H47" s="1092">
        <v>0</v>
      </c>
      <c r="I47" s="1092">
        <v>0</v>
      </c>
      <c r="J47" s="1092">
        <v>0</v>
      </c>
      <c r="K47" s="1092">
        <v>0</v>
      </c>
      <c r="L47" s="1092">
        <v>0</v>
      </c>
      <c r="M47" s="1092">
        <v>0</v>
      </c>
      <c r="N47" s="27">
        <v>15</v>
      </c>
    </row>
    <row r="48" spans="1:14" ht="14" thickBot="1">
      <c r="A48" s="53" t="s">
        <v>60</v>
      </c>
      <c r="B48" s="55">
        <f t="shared" ref="B48:K48" si="5">SUM(B41:B47)</f>
        <v>0</v>
      </c>
      <c r="C48" s="55">
        <f t="shared" si="5"/>
        <v>1</v>
      </c>
      <c r="D48" s="55">
        <f t="shared" si="5"/>
        <v>34</v>
      </c>
      <c r="E48" s="55">
        <f t="shared" si="5"/>
        <v>47</v>
      </c>
      <c r="F48" s="55">
        <f t="shared" si="5"/>
        <v>4</v>
      </c>
      <c r="G48" s="55">
        <f t="shared" si="5"/>
        <v>117</v>
      </c>
      <c r="H48" s="55">
        <f t="shared" si="5"/>
        <v>7</v>
      </c>
      <c r="I48" s="55">
        <f t="shared" si="5"/>
        <v>12</v>
      </c>
      <c r="J48" s="55">
        <f t="shared" si="5"/>
        <v>32</v>
      </c>
      <c r="K48" s="55">
        <f t="shared" si="5"/>
        <v>16</v>
      </c>
      <c r="L48" s="55">
        <f>SUM(L41:L47)</f>
        <v>28</v>
      </c>
      <c r="M48" s="55">
        <f>SUM(M41:M47)</f>
        <v>34</v>
      </c>
      <c r="N48" s="54">
        <f>SUM(N41:N47)</f>
        <v>358</v>
      </c>
    </row>
    <row r="49" spans="1:14" ht="14" thickBot="1">
      <c r="A49" s="38" t="s">
        <v>49</v>
      </c>
      <c r="B49" s="39"/>
      <c r="C49" s="39"/>
      <c r="D49" s="39"/>
      <c r="E49" s="39"/>
      <c r="F49" s="39"/>
      <c r="G49" s="39"/>
      <c r="H49" s="39"/>
      <c r="I49" s="39"/>
      <c r="J49" s="39"/>
      <c r="K49" s="39"/>
      <c r="L49" s="39"/>
      <c r="M49" s="39"/>
      <c r="N49" s="40"/>
    </row>
    <row r="50" spans="1:14" ht="14" thickBot="1">
      <c r="A50" s="33" t="s">
        <v>49</v>
      </c>
      <c r="B50" s="1092">
        <v>0</v>
      </c>
      <c r="C50" s="1092">
        <v>128</v>
      </c>
      <c r="D50" s="1092">
        <v>92</v>
      </c>
      <c r="E50" s="1092">
        <v>61</v>
      </c>
      <c r="F50" s="1092">
        <v>391</v>
      </c>
      <c r="G50" s="1092">
        <v>85</v>
      </c>
      <c r="H50" s="1092">
        <v>0</v>
      </c>
      <c r="I50" s="1092">
        <v>0</v>
      </c>
      <c r="J50" s="1092">
        <v>0</v>
      </c>
      <c r="K50" s="1092">
        <v>0</v>
      </c>
      <c r="L50" s="1092">
        <v>0</v>
      </c>
      <c r="M50" s="1092">
        <v>0</v>
      </c>
      <c r="N50" s="27">
        <f>SUM(B50:M50)</f>
        <v>757</v>
      </c>
    </row>
    <row r="51" spans="1:14" ht="14" thickBot="1">
      <c r="A51" s="256" t="s">
        <v>60</v>
      </c>
      <c r="B51" s="289">
        <f t="shared" ref="B51:L51" si="6">SUM(B50)</f>
        <v>0</v>
      </c>
      <c r="C51" s="290">
        <f t="shared" si="6"/>
        <v>128</v>
      </c>
      <c r="D51" s="290">
        <f t="shared" si="6"/>
        <v>92</v>
      </c>
      <c r="E51" s="290">
        <f t="shared" si="6"/>
        <v>61</v>
      </c>
      <c r="F51" s="290">
        <f t="shared" si="6"/>
        <v>391</v>
      </c>
      <c r="G51" s="290">
        <f t="shared" si="6"/>
        <v>85</v>
      </c>
      <c r="H51" s="290">
        <f t="shared" si="6"/>
        <v>0</v>
      </c>
      <c r="I51" s="290">
        <f t="shared" si="6"/>
        <v>0</v>
      </c>
      <c r="J51" s="290">
        <f t="shared" si="6"/>
        <v>0</v>
      </c>
      <c r="K51" s="290">
        <f t="shared" si="6"/>
        <v>0</v>
      </c>
      <c r="L51" s="290">
        <f t="shared" si="6"/>
        <v>0</v>
      </c>
      <c r="M51" s="287">
        <f>SUM(M50)</f>
        <v>0</v>
      </c>
      <c r="N51" s="287">
        <f>SUM(N50)</f>
        <v>757</v>
      </c>
    </row>
    <row r="52" spans="1:14" ht="14" thickBot="1">
      <c r="A52" s="38" t="s">
        <v>50</v>
      </c>
      <c r="B52" s="288"/>
      <c r="C52" s="288"/>
      <c r="D52" s="288"/>
      <c r="E52" s="288"/>
      <c r="F52" s="288"/>
      <c r="G52" s="288"/>
      <c r="H52" s="288"/>
      <c r="I52" s="288"/>
      <c r="J52" s="288"/>
      <c r="K52" s="288"/>
      <c r="L52" s="288"/>
      <c r="M52" s="288"/>
      <c r="N52" s="40"/>
    </row>
    <row r="53" spans="1:14">
      <c r="A53" s="34" t="s">
        <v>26</v>
      </c>
      <c r="B53" s="1092">
        <v>0</v>
      </c>
      <c r="C53" s="1092">
        <v>0</v>
      </c>
      <c r="D53" s="1092">
        <v>0</v>
      </c>
      <c r="E53" s="1092">
        <v>0</v>
      </c>
      <c r="F53" s="1092">
        <v>0</v>
      </c>
      <c r="G53" s="1092">
        <v>0</v>
      </c>
      <c r="H53" s="1092">
        <v>0</v>
      </c>
      <c r="I53" s="1092">
        <v>0</v>
      </c>
      <c r="J53" s="1092">
        <v>0</v>
      </c>
      <c r="K53" s="1092">
        <v>0</v>
      </c>
      <c r="L53" s="1092">
        <v>0</v>
      </c>
      <c r="M53" s="1092">
        <v>0</v>
      </c>
      <c r="N53" s="27">
        <f t="shared" ref="N53:N61" si="7">SUM(B53:M53)</f>
        <v>0</v>
      </c>
    </row>
    <row r="54" spans="1:14">
      <c r="A54" s="34" t="s">
        <v>25</v>
      </c>
      <c r="B54" s="1092">
        <v>0</v>
      </c>
      <c r="C54" s="1092">
        <v>0</v>
      </c>
      <c r="D54" s="1092">
        <v>0</v>
      </c>
      <c r="E54" s="1092">
        <v>0</v>
      </c>
      <c r="F54" s="1092">
        <v>0</v>
      </c>
      <c r="G54" s="1092">
        <v>0</v>
      </c>
      <c r="H54" s="1092">
        <v>0</v>
      </c>
      <c r="I54" s="1092">
        <v>0</v>
      </c>
      <c r="J54" s="1092">
        <v>0</v>
      </c>
      <c r="K54" s="1092">
        <v>0</v>
      </c>
      <c r="L54" s="1092">
        <v>0</v>
      </c>
      <c r="M54" s="1092">
        <v>0</v>
      </c>
      <c r="N54" s="27">
        <f t="shared" si="7"/>
        <v>0</v>
      </c>
    </row>
    <row r="55" spans="1:14">
      <c r="A55" s="32" t="s">
        <v>29</v>
      </c>
      <c r="B55" s="1092">
        <v>0</v>
      </c>
      <c r="C55" s="1092">
        <v>0</v>
      </c>
      <c r="D55" s="1092">
        <v>0</v>
      </c>
      <c r="E55" s="1092">
        <v>0</v>
      </c>
      <c r="F55" s="1092">
        <v>3</v>
      </c>
      <c r="G55" s="1092">
        <v>90</v>
      </c>
      <c r="H55" s="1092">
        <v>0</v>
      </c>
      <c r="I55" s="1092">
        <v>1</v>
      </c>
      <c r="J55" s="1092">
        <v>62</v>
      </c>
      <c r="K55" s="1092">
        <v>0</v>
      </c>
      <c r="L55" s="1092">
        <v>10</v>
      </c>
      <c r="M55" s="1092">
        <v>100</v>
      </c>
      <c r="N55" s="27">
        <f t="shared" si="7"/>
        <v>266</v>
      </c>
    </row>
    <row r="56" spans="1:14">
      <c r="A56" s="32" t="s">
        <v>51</v>
      </c>
      <c r="B56" s="1092">
        <v>0</v>
      </c>
      <c r="C56" s="1092">
        <v>6</v>
      </c>
      <c r="D56" s="1092">
        <v>4</v>
      </c>
      <c r="E56" s="1092">
        <v>0</v>
      </c>
      <c r="F56" s="1092">
        <v>0</v>
      </c>
      <c r="G56" s="1092">
        <v>13</v>
      </c>
      <c r="H56" s="1092">
        <v>0</v>
      </c>
      <c r="I56" s="1092">
        <v>0</v>
      </c>
      <c r="J56" s="1092">
        <v>38</v>
      </c>
      <c r="K56" s="1092">
        <v>4</v>
      </c>
      <c r="L56" s="1092">
        <v>0</v>
      </c>
      <c r="M56" s="1092">
        <v>2</v>
      </c>
      <c r="N56" s="27">
        <f t="shared" si="7"/>
        <v>67</v>
      </c>
    </row>
    <row r="57" spans="1:14">
      <c r="A57" s="34" t="s">
        <v>20</v>
      </c>
      <c r="B57" s="1092">
        <v>0</v>
      </c>
      <c r="C57" s="1092">
        <v>0</v>
      </c>
      <c r="D57" s="1092">
        <v>0</v>
      </c>
      <c r="E57" s="1092">
        <v>0</v>
      </c>
      <c r="F57" s="1092">
        <v>0</v>
      </c>
      <c r="G57" s="1092">
        <v>0</v>
      </c>
      <c r="H57" s="1092">
        <v>0</v>
      </c>
      <c r="I57" s="1092">
        <v>0</v>
      </c>
      <c r="J57" s="1092">
        <v>0</v>
      </c>
      <c r="K57" s="1092">
        <v>0</v>
      </c>
      <c r="L57" s="1092">
        <v>0</v>
      </c>
      <c r="M57" s="1092">
        <v>0</v>
      </c>
      <c r="N57" s="27">
        <f t="shared" si="7"/>
        <v>0</v>
      </c>
    </row>
    <row r="58" spans="1:14">
      <c r="A58" s="34" t="s">
        <v>13</v>
      </c>
      <c r="B58" s="1092">
        <v>0</v>
      </c>
      <c r="C58" s="1092">
        <v>0</v>
      </c>
      <c r="D58" s="1092">
        <v>0</v>
      </c>
      <c r="E58" s="1092">
        <v>0</v>
      </c>
      <c r="F58" s="1092">
        <v>0</v>
      </c>
      <c r="G58" s="1092">
        <v>1</v>
      </c>
      <c r="H58" s="1092">
        <v>0</v>
      </c>
      <c r="I58" s="1092">
        <v>0</v>
      </c>
      <c r="J58" s="1092">
        <v>0</v>
      </c>
      <c r="K58" s="1092">
        <v>0</v>
      </c>
      <c r="L58" s="1092">
        <v>1</v>
      </c>
      <c r="M58" s="1092">
        <v>0</v>
      </c>
      <c r="N58" s="27">
        <f t="shared" si="7"/>
        <v>2</v>
      </c>
    </row>
    <row r="59" spans="1:14">
      <c r="A59" s="35" t="s">
        <v>47</v>
      </c>
      <c r="B59" s="1092">
        <v>0</v>
      </c>
      <c r="C59" s="1092">
        <v>1</v>
      </c>
      <c r="D59" s="1092">
        <v>0</v>
      </c>
      <c r="E59" s="1092">
        <v>0</v>
      </c>
      <c r="F59" s="1092">
        <v>0</v>
      </c>
      <c r="G59" s="1092">
        <v>0</v>
      </c>
      <c r="H59" s="1092">
        <v>0</v>
      </c>
      <c r="I59" s="1092">
        <v>0</v>
      </c>
      <c r="J59" s="1092">
        <v>0</v>
      </c>
      <c r="K59" s="1092">
        <v>0</v>
      </c>
      <c r="L59" s="1092">
        <v>0</v>
      </c>
      <c r="M59" s="1092">
        <v>0</v>
      </c>
      <c r="N59" s="27">
        <f t="shared" si="7"/>
        <v>1</v>
      </c>
    </row>
    <row r="60" spans="1:14">
      <c r="A60" s="33" t="s">
        <v>52</v>
      </c>
      <c r="B60" s="1092">
        <v>0</v>
      </c>
      <c r="C60" s="1092">
        <v>0</v>
      </c>
      <c r="D60" s="1092">
        <v>0</v>
      </c>
      <c r="E60" s="1092">
        <v>0</v>
      </c>
      <c r="F60" s="1092">
        <v>1</v>
      </c>
      <c r="G60" s="1092">
        <v>29</v>
      </c>
      <c r="H60" s="1092">
        <v>0</v>
      </c>
      <c r="I60" s="1092">
        <v>0</v>
      </c>
      <c r="J60" s="1092">
        <v>0</v>
      </c>
      <c r="K60" s="1092">
        <v>0</v>
      </c>
      <c r="L60" s="1092">
        <v>9</v>
      </c>
      <c r="M60" s="1092">
        <v>0</v>
      </c>
      <c r="N60" s="27">
        <f t="shared" si="7"/>
        <v>39</v>
      </c>
    </row>
    <row r="61" spans="1:14">
      <c r="A61" s="33" t="s">
        <v>53</v>
      </c>
      <c r="B61" s="1092">
        <v>0</v>
      </c>
      <c r="C61" s="1092">
        <v>0</v>
      </c>
      <c r="D61" s="1092">
        <v>0</v>
      </c>
      <c r="E61" s="1092">
        <v>0</v>
      </c>
      <c r="F61" s="1092">
        <v>0</v>
      </c>
      <c r="G61" s="1092">
        <v>0</v>
      </c>
      <c r="H61" s="1092">
        <v>0</v>
      </c>
      <c r="I61" s="1092">
        <v>0</v>
      </c>
      <c r="J61" s="1092">
        <v>0</v>
      </c>
      <c r="K61" s="1092">
        <v>0</v>
      </c>
      <c r="L61" s="1092">
        <v>0</v>
      </c>
      <c r="M61" s="1092">
        <v>0</v>
      </c>
      <c r="N61" s="27">
        <f t="shared" si="7"/>
        <v>0</v>
      </c>
    </row>
    <row r="62" spans="1:14">
      <c r="A62" s="32" t="s">
        <v>56</v>
      </c>
      <c r="B62" s="1092">
        <v>0</v>
      </c>
      <c r="C62" s="1092">
        <v>0</v>
      </c>
      <c r="D62" s="1092">
        <v>0</v>
      </c>
      <c r="E62" s="1092">
        <v>0</v>
      </c>
      <c r="F62" s="1092">
        <v>43</v>
      </c>
      <c r="G62" s="1092">
        <v>0</v>
      </c>
      <c r="H62" s="1092">
        <v>0</v>
      </c>
      <c r="I62" s="1092">
        <v>0</v>
      </c>
      <c r="J62" s="1092">
        <v>0</v>
      </c>
      <c r="K62" s="1092">
        <v>0</v>
      </c>
      <c r="L62" s="1092">
        <v>0</v>
      </c>
      <c r="M62" s="1092">
        <v>0</v>
      </c>
      <c r="N62" s="27">
        <f>SUM(B62:M62)</f>
        <v>43</v>
      </c>
    </row>
    <row r="63" spans="1:14">
      <c r="A63" s="78" t="s">
        <v>122</v>
      </c>
      <c r="B63" s="1092">
        <v>0</v>
      </c>
      <c r="C63" s="1092">
        <v>0</v>
      </c>
      <c r="D63" s="1092">
        <v>0</v>
      </c>
      <c r="E63" s="1092">
        <v>0</v>
      </c>
      <c r="F63" s="1092">
        <v>0</v>
      </c>
      <c r="G63" s="1092">
        <v>0</v>
      </c>
      <c r="H63" s="1092">
        <v>0</v>
      </c>
      <c r="I63" s="1092">
        <v>0</v>
      </c>
      <c r="J63" s="1092">
        <v>0</v>
      </c>
      <c r="K63" s="1092">
        <v>0</v>
      </c>
      <c r="L63" s="1092">
        <v>0</v>
      </c>
      <c r="M63" s="1092">
        <v>0</v>
      </c>
      <c r="N63" s="27">
        <f>SUM(B63:M63)</f>
        <v>0</v>
      </c>
    </row>
    <row r="64" spans="1:14" ht="14" thickBot="1">
      <c r="A64" s="32" t="s">
        <v>102</v>
      </c>
      <c r="B64" s="1092">
        <v>0</v>
      </c>
      <c r="C64" s="1092">
        <v>0</v>
      </c>
      <c r="D64" s="1092">
        <v>3</v>
      </c>
      <c r="E64" s="1092">
        <v>0</v>
      </c>
      <c r="F64" s="1092">
        <v>0</v>
      </c>
      <c r="G64" s="1092">
        <v>0</v>
      </c>
      <c r="H64" s="1092">
        <v>0</v>
      </c>
      <c r="I64" s="1092">
        <v>0</v>
      </c>
      <c r="J64" s="1092">
        <v>0</v>
      </c>
      <c r="K64" s="1092">
        <v>0</v>
      </c>
      <c r="L64" s="1092">
        <v>0</v>
      </c>
      <c r="M64" s="1092">
        <v>0</v>
      </c>
      <c r="N64" s="27">
        <f>SUM(B64:M64)</f>
        <v>3</v>
      </c>
    </row>
    <row r="65" spans="1:14" ht="14" thickBot="1">
      <c r="A65" s="53" t="s">
        <v>60</v>
      </c>
      <c r="B65" s="55">
        <f t="shared" ref="B65:K65" si="8">SUM(B53:B64)</f>
        <v>0</v>
      </c>
      <c r="C65" s="55">
        <f t="shared" si="8"/>
        <v>7</v>
      </c>
      <c r="D65" s="55">
        <f t="shared" si="8"/>
        <v>7</v>
      </c>
      <c r="E65" s="55">
        <f t="shared" si="8"/>
        <v>0</v>
      </c>
      <c r="F65" s="55">
        <f t="shared" si="8"/>
        <v>47</v>
      </c>
      <c r="G65" s="55">
        <f t="shared" si="8"/>
        <v>133</v>
      </c>
      <c r="H65" s="55">
        <f t="shared" si="8"/>
        <v>0</v>
      </c>
      <c r="I65" s="55">
        <f t="shared" si="8"/>
        <v>1</v>
      </c>
      <c r="J65" s="55">
        <f t="shared" si="8"/>
        <v>100</v>
      </c>
      <c r="K65" s="55">
        <f t="shared" si="8"/>
        <v>4</v>
      </c>
      <c r="L65" s="55">
        <f>SUM(L53:L64)</f>
        <v>20</v>
      </c>
      <c r="M65" s="55">
        <f>SUM(M53:M64)</f>
        <v>102</v>
      </c>
      <c r="N65" s="54">
        <f>SUM(N53:N64)</f>
        <v>421</v>
      </c>
    </row>
    <row r="66" spans="1:14" ht="14" thickBot="1">
      <c r="A66" s="38" t="s">
        <v>54</v>
      </c>
      <c r="B66" s="41"/>
      <c r="C66" s="41"/>
      <c r="D66" s="41"/>
      <c r="E66" s="41"/>
      <c r="F66" s="41"/>
      <c r="G66" s="41"/>
      <c r="H66" s="41"/>
      <c r="I66" s="41"/>
      <c r="J66" s="41"/>
      <c r="K66" s="41"/>
      <c r="L66" s="41"/>
      <c r="M66" s="41"/>
      <c r="N66" s="42"/>
    </row>
    <row r="67" spans="1:14">
      <c r="A67" s="36" t="s">
        <v>29</v>
      </c>
      <c r="B67" s="1093">
        <v>0</v>
      </c>
      <c r="C67" s="1093">
        <v>0</v>
      </c>
      <c r="D67" s="1093">
        <v>0</v>
      </c>
      <c r="E67" s="1093">
        <v>0</v>
      </c>
      <c r="F67" s="1093">
        <v>0</v>
      </c>
      <c r="G67" s="1093">
        <v>0</v>
      </c>
      <c r="H67" s="1093">
        <v>0</v>
      </c>
      <c r="I67" s="1093">
        <v>0</v>
      </c>
      <c r="J67" s="1093">
        <v>0</v>
      </c>
      <c r="K67" s="1093">
        <v>0</v>
      </c>
      <c r="L67" s="1093">
        <v>0</v>
      </c>
      <c r="M67" s="1093">
        <v>0</v>
      </c>
      <c r="N67" s="28">
        <f t="shared" ref="N67:N72" si="9">SUM(B67:M67)</f>
        <v>0</v>
      </c>
    </row>
    <row r="68" spans="1:14">
      <c r="A68" s="34" t="s">
        <v>51</v>
      </c>
      <c r="B68" s="1092">
        <v>0</v>
      </c>
      <c r="C68" s="1092">
        <v>0</v>
      </c>
      <c r="D68" s="1092">
        <v>0</v>
      </c>
      <c r="E68" s="1092">
        <v>0</v>
      </c>
      <c r="F68" s="1092">
        <v>0</v>
      </c>
      <c r="G68" s="1092">
        <v>0</v>
      </c>
      <c r="H68" s="1092">
        <v>0</v>
      </c>
      <c r="I68" s="1092">
        <v>0</v>
      </c>
      <c r="J68" s="1092">
        <v>0</v>
      </c>
      <c r="K68" s="1092">
        <v>0</v>
      </c>
      <c r="L68" s="1092">
        <v>0</v>
      </c>
      <c r="M68" s="1092">
        <v>0</v>
      </c>
      <c r="N68" s="29">
        <f t="shared" si="9"/>
        <v>0</v>
      </c>
    </row>
    <row r="69" spans="1:14">
      <c r="A69" s="34" t="s">
        <v>15</v>
      </c>
      <c r="B69" s="1092">
        <v>20</v>
      </c>
      <c r="C69" s="1092">
        <v>0</v>
      </c>
      <c r="D69" s="1092">
        <v>9</v>
      </c>
      <c r="E69" s="1092">
        <v>0</v>
      </c>
      <c r="F69" s="1092">
        <v>0</v>
      </c>
      <c r="G69" s="1092">
        <v>0</v>
      </c>
      <c r="H69" s="1092">
        <v>0</v>
      </c>
      <c r="I69" s="1092">
        <v>0</v>
      </c>
      <c r="J69" s="1092">
        <v>0</v>
      </c>
      <c r="K69" s="1092">
        <v>0</v>
      </c>
      <c r="L69" s="1094">
        <v>0</v>
      </c>
      <c r="M69" s="1092">
        <v>0</v>
      </c>
      <c r="N69" s="29">
        <f t="shared" si="9"/>
        <v>29</v>
      </c>
    </row>
    <row r="70" spans="1:14">
      <c r="A70" s="34" t="s">
        <v>30</v>
      </c>
      <c r="B70" s="1092">
        <v>0</v>
      </c>
      <c r="C70" s="1092">
        <v>0</v>
      </c>
      <c r="D70" s="1092">
        <v>0</v>
      </c>
      <c r="E70" s="1092">
        <v>0</v>
      </c>
      <c r="F70" s="1092">
        <v>0</v>
      </c>
      <c r="G70" s="1092">
        <v>0</v>
      </c>
      <c r="H70" s="1092">
        <v>0</v>
      </c>
      <c r="I70" s="1092">
        <v>0</v>
      </c>
      <c r="J70" s="1092">
        <v>0</v>
      </c>
      <c r="K70" s="1092">
        <v>0</v>
      </c>
      <c r="L70" s="1092">
        <v>0</v>
      </c>
      <c r="M70" s="1092">
        <v>0</v>
      </c>
      <c r="N70" s="29">
        <f t="shared" si="9"/>
        <v>0</v>
      </c>
    </row>
    <row r="71" spans="1:14">
      <c r="A71" s="32" t="s">
        <v>55</v>
      </c>
      <c r="B71" s="1094">
        <v>0</v>
      </c>
      <c r="C71" s="1094">
        <v>0</v>
      </c>
      <c r="D71" s="1095">
        <v>64</v>
      </c>
      <c r="E71" s="1094">
        <v>22</v>
      </c>
      <c r="F71" s="1094">
        <v>0</v>
      </c>
      <c r="G71" s="1094">
        <v>0</v>
      </c>
      <c r="H71" s="1094">
        <v>0</v>
      </c>
      <c r="I71" s="1094">
        <v>0</v>
      </c>
      <c r="J71" s="1094">
        <v>0</v>
      </c>
      <c r="K71" s="1094">
        <v>0</v>
      </c>
      <c r="L71" s="1094">
        <v>0</v>
      </c>
      <c r="M71" s="1094">
        <v>0</v>
      </c>
      <c r="N71" s="29">
        <f t="shared" si="9"/>
        <v>86</v>
      </c>
    </row>
    <row r="72" spans="1:14" ht="14" thickBot="1">
      <c r="A72" s="47" t="s">
        <v>100</v>
      </c>
      <c r="B72" s="1096">
        <v>0</v>
      </c>
      <c r="C72" s="1097">
        <v>0</v>
      </c>
      <c r="D72" s="1097">
        <v>1</v>
      </c>
      <c r="E72" s="1097">
        <v>0</v>
      </c>
      <c r="F72" s="1097">
        <v>0</v>
      </c>
      <c r="G72" s="1097">
        <v>0</v>
      </c>
      <c r="H72" s="1097">
        <v>0</v>
      </c>
      <c r="I72" s="1097">
        <v>0</v>
      </c>
      <c r="J72" s="1097">
        <v>0</v>
      </c>
      <c r="K72" s="1097">
        <v>0</v>
      </c>
      <c r="L72" s="1097">
        <v>0</v>
      </c>
      <c r="M72" s="1098">
        <v>0</v>
      </c>
      <c r="N72" s="29">
        <f t="shared" si="9"/>
        <v>1</v>
      </c>
    </row>
    <row r="73" spans="1:14" ht="14" thickBot="1">
      <c r="A73" s="693" t="s">
        <v>60</v>
      </c>
      <c r="B73" s="55">
        <f t="shared" ref="B73:L73" si="10">SUM(B67:B72)</f>
        <v>20</v>
      </c>
      <c r="C73" s="55">
        <f t="shared" si="10"/>
        <v>0</v>
      </c>
      <c r="D73" s="55">
        <f t="shared" si="10"/>
        <v>74</v>
      </c>
      <c r="E73" s="55">
        <f t="shared" si="10"/>
        <v>22</v>
      </c>
      <c r="F73" s="55">
        <f t="shared" si="10"/>
        <v>0</v>
      </c>
      <c r="G73" s="55">
        <f t="shared" si="10"/>
        <v>0</v>
      </c>
      <c r="H73" s="55">
        <f t="shared" si="10"/>
        <v>0</v>
      </c>
      <c r="I73" s="55">
        <f t="shared" si="10"/>
        <v>0</v>
      </c>
      <c r="J73" s="55">
        <f t="shared" si="10"/>
        <v>0</v>
      </c>
      <c r="K73" s="55">
        <f t="shared" si="10"/>
        <v>0</v>
      </c>
      <c r="L73" s="55">
        <f t="shared" si="10"/>
        <v>0</v>
      </c>
      <c r="M73" s="55">
        <f>SUM(M67:M72)</f>
        <v>0</v>
      </c>
      <c r="N73" s="54">
        <f>SUM(N67:N72)</f>
        <v>116</v>
      </c>
    </row>
    <row r="74" spans="1:14">
      <c r="A74" s="3"/>
    </row>
    <row r="76" spans="1:14" ht="14" thickBot="1">
      <c r="B76" s="43" t="s">
        <v>35</v>
      </c>
      <c r="C76" s="43" t="s">
        <v>36</v>
      </c>
      <c r="D76" s="43" t="s">
        <v>37</v>
      </c>
      <c r="E76" s="43" t="s">
        <v>38</v>
      </c>
      <c r="F76" s="43" t="s">
        <v>39</v>
      </c>
      <c r="G76" s="43" t="s">
        <v>40</v>
      </c>
      <c r="H76" s="43" t="s">
        <v>41</v>
      </c>
      <c r="I76" s="43" t="s">
        <v>42</v>
      </c>
      <c r="J76" s="43" t="s">
        <v>43</v>
      </c>
      <c r="K76" s="43" t="s">
        <v>44</v>
      </c>
      <c r="L76" s="43" t="s">
        <v>45</v>
      </c>
      <c r="M76" s="43" t="s">
        <v>46</v>
      </c>
      <c r="N76" s="43" t="s">
        <v>10</v>
      </c>
    </row>
    <row r="77" spans="1:14" ht="17" thickBot="1">
      <c r="A77" s="31" t="s">
        <v>143</v>
      </c>
      <c r="B77" s="24"/>
      <c r="C77" s="24"/>
      <c r="D77" s="22"/>
      <c r="E77" s="22"/>
      <c r="F77" s="25"/>
      <c r="G77" s="25"/>
      <c r="H77" s="22"/>
      <c r="I77" s="22"/>
      <c r="J77" s="22"/>
      <c r="K77" s="22"/>
      <c r="L77" s="24"/>
      <c r="M77" s="24"/>
      <c r="N77" s="26"/>
    </row>
    <row r="78" spans="1:14" ht="14" thickBot="1">
      <c r="A78" s="38" t="s">
        <v>48</v>
      </c>
      <c r="B78" s="39"/>
      <c r="C78" s="39"/>
      <c r="D78" s="39"/>
      <c r="E78" s="39"/>
      <c r="F78" s="39"/>
      <c r="G78" s="39"/>
      <c r="H78" s="39"/>
      <c r="I78" s="39"/>
      <c r="J78" s="39"/>
      <c r="K78" s="39"/>
      <c r="L78" s="39"/>
      <c r="M78" s="39"/>
      <c r="N78" s="40"/>
    </row>
    <row r="79" spans="1:14">
      <c r="A79" s="32" t="s">
        <v>28</v>
      </c>
      <c r="B79" s="1092">
        <v>0</v>
      </c>
      <c r="C79" s="1092">
        <v>0</v>
      </c>
      <c r="D79" s="1092">
        <v>0</v>
      </c>
      <c r="E79" s="1092">
        <v>0</v>
      </c>
      <c r="F79" s="1092">
        <v>0</v>
      </c>
      <c r="G79" s="1092">
        <v>0</v>
      </c>
      <c r="H79" s="1092">
        <v>0</v>
      </c>
      <c r="I79" s="1092">
        <v>0</v>
      </c>
      <c r="J79" s="1092">
        <v>0</v>
      </c>
      <c r="K79" s="1092">
        <v>0</v>
      </c>
      <c r="L79" s="1092">
        <v>0</v>
      </c>
      <c r="M79" s="1092">
        <v>0</v>
      </c>
      <c r="N79" s="27">
        <f>SUM(B79:M79)</f>
        <v>0</v>
      </c>
    </row>
    <row r="80" spans="1:14">
      <c r="A80" s="32" t="s">
        <v>29</v>
      </c>
      <c r="B80" s="1092">
        <v>2</v>
      </c>
      <c r="C80" s="1092">
        <v>0</v>
      </c>
      <c r="D80" s="1092">
        <v>0</v>
      </c>
      <c r="E80" s="1092">
        <v>0</v>
      </c>
      <c r="F80" s="1092">
        <v>0</v>
      </c>
      <c r="G80" s="1092">
        <v>11</v>
      </c>
      <c r="H80" s="1092">
        <v>0</v>
      </c>
      <c r="I80" s="1092">
        <v>6</v>
      </c>
      <c r="J80" s="1092">
        <v>9</v>
      </c>
      <c r="K80" s="1092">
        <v>3</v>
      </c>
      <c r="L80" s="1092">
        <v>5</v>
      </c>
      <c r="M80" s="1092">
        <v>0</v>
      </c>
      <c r="N80" s="27">
        <f t="shared" ref="N80:N85" si="11">SUM(B80:M80)</f>
        <v>36</v>
      </c>
    </row>
    <row r="81" spans="1:14">
      <c r="A81" s="32" t="s">
        <v>33</v>
      </c>
      <c r="B81" s="1092">
        <v>9</v>
      </c>
      <c r="C81" s="1092">
        <v>0</v>
      </c>
      <c r="D81" s="1092">
        <v>2</v>
      </c>
      <c r="E81" s="1092">
        <v>0</v>
      </c>
      <c r="F81" s="1092">
        <v>0</v>
      </c>
      <c r="G81" s="1092">
        <v>4</v>
      </c>
      <c r="H81" s="1092">
        <v>2</v>
      </c>
      <c r="I81" s="1092">
        <v>4</v>
      </c>
      <c r="J81" s="1092">
        <v>6</v>
      </c>
      <c r="K81" s="1092">
        <v>4</v>
      </c>
      <c r="L81" s="1092">
        <v>7</v>
      </c>
      <c r="M81" s="1092">
        <v>9</v>
      </c>
      <c r="N81" s="27">
        <f t="shared" si="11"/>
        <v>47</v>
      </c>
    </row>
    <row r="82" spans="1:14">
      <c r="A82" s="32" t="s">
        <v>56</v>
      </c>
      <c r="B82" s="1092">
        <v>0</v>
      </c>
      <c r="C82" s="1092">
        <v>0</v>
      </c>
      <c r="D82" s="1092">
        <v>0</v>
      </c>
      <c r="E82" s="1092">
        <v>0</v>
      </c>
      <c r="F82" s="1092">
        <v>0</v>
      </c>
      <c r="G82" s="1092">
        <v>0</v>
      </c>
      <c r="H82" s="1092">
        <v>0</v>
      </c>
      <c r="I82" s="1092">
        <v>0</v>
      </c>
      <c r="J82" s="1092">
        <v>0</v>
      </c>
      <c r="K82" s="1092">
        <v>0</v>
      </c>
      <c r="L82" s="1092">
        <v>0</v>
      </c>
      <c r="M82" s="1092">
        <v>0</v>
      </c>
      <c r="N82" s="27">
        <f t="shared" si="11"/>
        <v>0</v>
      </c>
    </row>
    <row r="83" spans="1:14">
      <c r="A83" s="78" t="s">
        <v>30</v>
      </c>
      <c r="B83" s="1092">
        <v>0</v>
      </c>
      <c r="C83" s="1092">
        <v>0</v>
      </c>
      <c r="D83" s="1092">
        <v>0</v>
      </c>
      <c r="E83" s="1092">
        <v>0</v>
      </c>
      <c r="F83" s="1092">
        <v>0</v>
      </c>
      <c r="G83" s="1092">
        <v>0</v>
      </c>
      <c r="H83" s="1092">
        <v>0</v>
      </c>
      <c r="I83" s="1092">
        <v>0</v>
      </c>
      <c r="J83" s="1092">
        <v>0</v>
      </c>
      <c r="K83" s="1092">
        <v>0</v>
      </c>
      <c r="L83" s="1092">
        <v>0</v>
      </c>
      <c r="M83" s="1092">
        <v>0</v>
      </c>
      <c r="N83" s="27">
        <f t="shared" si="11"/>
        <v>0</v>
      </c>
    </row>
    <row r="84" spans="1:14">
      <c r="A84" s="76" t="s">
        <v>148</v>
      </c>
      <c r="B84" s="1092">
        <v>0</v>
      </c>
      <c r="C84" s="1092">
        <v>0</v>
      </c>
      <c r="D84" s="1092">
        <v>0</v>
      </c>
      <c r="E84" s="1092">
        <v>0</v>
      </c>
      <c r="F84" s="1092">
        <v>0</v>
      </c>
      <c r="G84" s="1092">
        <v>0</v>
      </c>
      <c r="H84" s="1092">
        <v>0</v>
      </c>
      <c r="I84" s="1092">
        <v>0</v>
      </c>
      <c r="J84" s="1092">
        <v>0</v>
      </c>
      <c r="K84" s="1092">
        <v>0</v>
      </c>
      <c r="L84" s="1092">
        <v>0</v>
      </c>
      <c r="M84" s="1092">
        <v>0</v>
      </c>
      <c r="N84" s="27">
        <f t="shared" si="11"/>
        <v>0</v>
      </c>
    </row>
    <row r="85" spans="1:14" ht="14" thickBot="1">
      <c r="A85" s="76" t="s">
        <v>149</v>
      </c>
      <c r="B85" s="1092">
        <v>2</v>
      </c>
      <c r="C85" s="1092">
        <v>0</v>
      </c>
      <c r="D85" s="1092">
        <v>0</v>
      </c>
      <c r="E85" s="1092">
        <v>0</v>
      </c>
      <c r="F85" s="1092">
        <v>0</v>
      </c>
      <c r="G85" s="1092">
        <v>1</v>
      </c>
      <c r="H85" s="1092">
        <v>1</v>
      </c>
      <c r="I85" s="1092">
        <v>0</v>
      </c>
      <c r="J85" s="1092">
        <v>0</v>
      </c>
      <c r="K85" s="1092">
        <v>0</v>
      </c>
      <c r="L85" s="1092">
        <v>1</v>
      </c>
      <c r="M85" s="1092">
        <v>0</v>
      </c>
      <c r="N85" s="27">
        <f t="shared" si="11"/>
        <v>5</v>
      </c>
    </row>
    <row r="86" spans="1:14" ht="14" thickBot="1">
      <c r="A86" s="53" t="s">
        <v>60</v>
      </c>
      <c r="B86" s="55">
        <f>SUM(B79:B85)</f>
        <v>13</v>
      </c>
      <c r="C86" s="55">
        <f>SUM(C79:C85)</f>
        <v>0</v>
      </c>
      <c r="D86" s="55">
        <f t="shared" ref="D86:M86" si="12">SUM(D79:D85)</f>
        <v>2</v>
      </c>
      <c r="E86" s="55">
        <f t="shared" si="12"/>
        <v>0</v>
      </c>
      <c r="F86" s="55">
        <f t="shared" si="12"/>
        <v>0</v>
      </c>
      <c r="G86" s="55">
        <f t="shared" si="12"/>
        <v>16</v>
      </c>
      <c r="H86" s="55">
        <f t="shared" si="12"/>
        <v>3</v>
      </c>
      <c r="I86" s="55">
        <f t="shared" si="12"/>
        <v>10</v>
      </c>
      <c r="J86" s="55">
        <f t="shared" si="12"/>
        <v>15</v>
      </c>
      <c r="K86" s="55">
        <f t="shared" si="12"/>
        <v>7</v>
      </c>
      <c r="L86" s="55">
        <f t="shared" si="12"/>
        <v>13</v>
      </c>
      <c r="M86" s="55">
        <f t="shared" si="12"/>
        <v>9</v>
      </c>
      <c r="N86" s="54">
        <f>SUM(B86:M86)</f>
        <v>88</v>
      </c>
    </row>
    <row r="87" spans="1:14" ht="14" thickBot="1">
      <c r="A87" s="38" t="s">
        <v>49</v>
      </c>
      <c r="B87" s="39"/>
      <c r="C87" s="39"/>
      <c r="D87" s="39"/>
      <c r="E87" s="39"/>
      <c r="F87" s="39"/>
      <c r="G87" s="39"/>
      <c r="H87" s="39"/>
      <c r="I87" s="39"/>
      <c r="J87" s="39"/>
      <c r="K87" s="39"/>
      <c r="L87" s="39"/>
      <c r="M87" s="39"/>
      <c r="N87" s="40"/>
    </row>
    <row r="88" spans="1:14" ht="14" thickBot="1">
      <c r="A88" s="33" t="s">
        <v>49</v>
      </c>
      <c r="B88" s="1092">
        <v>0</v>
      </c>
      <c r="C88" s="1092">
        <v>0</v>
      </c>
      <c r="D88" s="1092">
        <v>0</v>
      </c>
      <c r="E88" s="1092">
        <v>0</v>
      </c>
      <c r="F88" s="1092">
        <v>0</v>
      </c>
      <c r="G88" s="1092">
        <v>0</v>
      </c>
      <c r="H88" s="1092">
        <v>0</v>
      </c>
      <c r="I88" s="1092">
        <v>0</v>
      </c>
      <c r="J88" s="1092">
        <v>0</v>
      </c>
      <c r="K88" s="1092">
        <v>7</v>
      </c>
      <c r="L88" s="1092">
        <v>48</v>
      </c>
      <c r="M88" s="1092">
        <v>0</v>
      </c>
      <c r="N88" s="27">
        <f>SUM(B88:M88)</f>
        <v>55</v>
      </c>
    </row>
    <row r="89" spans="1:14" ht="14" thickBot="1">
      <c r="A89" s="53" t="s">
        <v>60</v>
      </c>
      <c r="B89" s="55">
        <f>SUM(B88)</f>
        <v>0</v>
      </c>
      <c r="C89" s="55">
        <f t="shared" ref="C89:M89" si="13">SUM(C88)</f>
        <v>0</v>
      </c>
      <c r="D89" s="55">
        <f t="shared" si="13"/>
        <v>0</v>
      </c>
      <c r="E89" s="55">
        <f t="shared" si="13"/>
        <v>0</v>
      </c>
      <c r="F89" s="55">
        <f t="shared" si="13"/>
        <v>0</v>
      </c>
      <c r="G89" s="55">
        <f t="shared" si="13"/>
        <v>0</v>
      </c>
      <c r="H89" s="55">
        <f t="shared" si="13"/>
        <v>0</v>
      </c>
      <c r="I89" s="55">
        <f t="shared" si="13"/>
        <v>0</v>
      </c>
      <c r="J89" s="55">
        <f t="shared" si="13"/>
        <v>0</v>
      </c>
      <c r="K89" s="55">
        <f t="shared" si="13"/>
        <v>7</v>
      </c>
      <c r="L89" s="55">
        <f t="shared" si="13"/>
        <v>48</v>
      </c>
      <c r="M89" s="55">
        <f t="shared" si="13"/>
        <v>0</v>
      </c>
      <c r="N89" s="54">
        <f>SUM(N88)</f>
        <v>55</v>
      </c>
    </row>
    <row r="90" spans="1:14" ht="14" thickBot="1">
      <c r="A90" s="38" t="s">
        <v>50</v>
      </c>
      <c r="B90" s="39"/>
      <c r="C90" s="39"/>
      <c r="D90" s="39"/>
      <c r="E90" s="39"/>
      <c r="F90" s="39"/>
      <c r="G90" s="39"/>
      <c r="H90" s="39"/>
      <c r="I90" s="39"/>
      <c r="J90" s="39"/>
      <c r="K90" s="39"/>
      <c r="L90" s="39"/>
      <c r="M90" s="39"/>
      <c r="N90" s="40"/>
    </row>
    <row r="91" spans="1:14">
      <c r="A91" s="34" t="s">
        <v>26</v>
      </c>
      <c r="B91" s="1092">
        <v>0</v>
      </c>
      <c r="C91" s="1092">
        <v>0</v>
      </c>
      <c r="D91" s="1092">
        <v>0</v>
      </c>
      <c r="E91" s="1092">
        <v>0</v>
      </c>
      <c r="F91" s="1092">
        <v>0</v>
      </c>
      <c r="G91" s="1092">
        <v>0</v>
      </c>
      <c r="H91" s="1092">
        <v>0</v>
      </c>
      <c r="I91" s="1092">
        <v>0</v>
      </c>
      <c r="J91" s="1092">
        <v>0</v>
      </c>
      <c r="K91" s="1092">
        <v>0</v>
      </c>
      <c r="L91" s="1092">
        <v>0</v>
      </c>
      <c r="M91" s="1092">
        <v>0</v>
      </c>
      <c r="N91" s="27">
        <f t="shared" ref="N91:N99" si="14">SUM(B91:M91)</f>
        <v>0</v>
      </c>
    </row>
    <row r="92" spans="1:14">
      <c r="A92" s="34" t="s">
        <v>25</v>
      </c>
      <c r="B92" s="1092">
        <v>0</v>
      </c>
      <c r="C92" s="1092">
        <v>0</v>
      </c>
      <c r="D92" s="1092">
        <v>0</v>
      </c>
      <c r="E92" s="1092">
        <v>0</v>
      </c>
      <c r="F92" s="1092">
        <v>0</v>
      </c>
      <c r="G92" s="1092">
        <v>0</v>
      </c>
      <c r="H92" s="1092">
        <v>0</v>
      </c>
      <c r="I92" s="1092">
        <v>6</v>
      </c>
      <c r="J92" s="1092">
        <v>0</v>
      </c>
      <c r="K92" s="1092">
        <v>0</v>
      </c>
      <c r="L92" s="1092">
        <v>0</v>
      </c>
      <c r="M92" s="1092">
        <v>0</v>
      </c>
      <c r="N92" s="27">
        <f t="shared" si="14"/>
        <v>6</v>
      </c>
    </row>
    <row r="93" spans="1:14">
      <c r="A93" s="32" t="s">
        <v>29</v>
      </c>
      <c r="B93" s="1092">
        <v>0</v>
      </c>
      <c r="C93" s="1092">
        <v>0</v>
      </c>
      <c r="D93" s="1092">
        <v>0</v>
      </c>
      <c r="E93" s="1092">
        <v>2</v>
      </c>
      <c r="F93" s="1092">
        <v>0</v>
      </c>
      <c r="G93" s="1092">
        <v>0</v>
      </c>
      <c r="H93" s="1092">
        <v>0</v>
      </c>
      <c r="I93" s="1092">
        <v>0</v>
      </c>
      <c r="J93" s="1092">
        <v>0</v>
      </c>
      <c r="K93" s="1092">
        <v>0</v>
      </c>
      <c r="L93" s="1092">
        <v>0</v>
      </c>
      <c r="M93" s="1092">
        <v>0</v>
      </c>
      <c r="N93" s="27">
        <f t="shared" si="14"/>
        <v>2</v>
      </c>
    </row>
    <row r="94" spans="1:14">
      <c r="A94" s="32" t="s">
        <v>51</v>
      </c>
      <c r="B94" s="1092">
        <v>0</v>
      </c>
      <c r="C94" s="1092">
        <v>7</v>
      </c>
      <c r="D94" s="1092">
        <v>0</v>
      </c>
      <c r="E94" s="1092">
        <v>0</v>
      </c>
      <c r="F94" s="1092">
        <v>0</v>
      </c>
      <c r="G94" s="1092">
        <v>56</v>
      </c>
      <c r="H94" s="1092">
        <v>0</v>
      </c>
      <c r="I94" s="1092">
        <v>0</v>
      </c>
      <c r="J94" s="1092">
        <v>0</v>
      </c>
      <c r="K94" s="1092">
        <v>0</v>
      </c>
      <c r="L94" s="1092">
        <v>0</v>
      </c>
      <c r="M94" s="1092">
        <v>0</v>
      </c>
      <c r="N94" s="27">
        <f t="shared" si="14"/>
        <v>63</v>
      </c>
    </row>
    <row r="95" spans="1:14">
      <c r="A95" s="34" t="s">
        <v>20</v>
      </c>
      <c r="B95" s="1092">
        <v>0</v>
      </c>
      <c r="C95" s="1092">
        <v>0</v>
      </c>
      <c r="D95" s="1092">
        <v>0</v>
      </c>
      <c r="E95" s="1092">
        <v>0</v>
      </c>
      <c r="F95" s="1092">
        <v>0</v>
      </c>
      <c r="G95" s="1092">
        <v>0</v>
      </c>
      <c r="H95" s="1092">
        <v>0</v>
      </c>
      <c r="I95" s="1092">
        <v>0</v>
      </c>
      <c r="J95" s="1092">
        <v>0</v>
      </c>
      <c r="K95" s="1092">
        <v>0</v>
      </c>
      <c r="L95" s="1092">
        <v>0</v>
      </c>
      <c r="M95" s="1092">
        <v>0</v>
      </c>
      <c r="N95" s="27">
        <f t="shared" si="14"/>
        <v>0</v>
      </c>
    </row>
    <row r="96" spans="1:14">
      <c r="A96" s="34" t="s">
        <v>13</v>
      </c>
      <c r="B96" s="1092">
        <v>0</v>
      </c>
      <c r="C96" s="1092">
        <v>0</v>
      </c>
      <c r="D96" s="1092">
        <v>0</v>
      </c>
      <c r="E96" s="1092">
        <v>1</v>
      </c>
      <c r="F96" s="1092">
        <v>0</v>
      </c>
      <c r="G96" s="1092">
        <v>0</v>
      </c>
      <c r="H96" s="1092">
        <v>1</v>
      </c>
      <c r="I96" s="1092">
        <v>1</v>
      </c>
      <c r="J96" s="1092">
        <v>0</v>
      </c>
      <c r="K96" s="1092">
        <v>0</v>
      </c>
      <c r="L96" s="1092">
        <v>0</v>
      </c>
      <c r="M96" s="1092">
        <v>0</v>
      </c>
      <c r="N96" s="27">
        <f t="shared" si="14"/>
        <v>3</v>
      </c>
    </row>
    <row r="97" spans="1:14">
      <c r="A97" s="35" t="s">
        <v>47</v>
      </c>
      <c r="B97" s="1092">
        <v>0</v>
      </c>
      <c r="C97" s="1092">
        <v>0</v>
      </c>
      <c r="D97" s="1092">
        <v>0</v>
      </c>
      <c r="E97" s="1092">
        <v>0</v>
      </c>
      <c r="F97" s="1092">
        <v>0</v>
      </c>
      <c r="G97" s="1092">
        <v>0</v>
      </c>
      <c r="H97" s="1092">
        <v>0</v>
      </c>
      <c r="I97" s="1092">
        <v>0</v>
      </c>
      <c r="J97" s="1092">
        <v>0</v>
      </c>
      <c r="K97" s="1092">
        <v>1</v>
      </c>
      <c r="L97" s="1092">
        <v>0</v>
      </c>
      <c r="M97" s="1092">
        <v>0</v>
      </c>
      <c r="N97" s="27">
        <f t="shared" si="14"/>
        <v>1</v>
      </c>
    </row>
    <row r="98" spans="1:14">
      <c r="A98" s="76" t="s">
        <v>30</v>
      </c>
      <c r="B98" s="1092">
        <v>0</v>
      </c>
      <c r="C98" s="1092">
        <v>0</v>
      </c>
      <c r="D98" s="1092">
        <v>0</v>
      </c>
      <c r="E98" s="1092">
        <v>0</v>
      </c>
      <c r="F98" s="1092">
        <v>0</v>
      </c>
      <c r="G98" s="1092">
        <v>0</v>
      </c>
      <c r="H98" s="1092">
        <v>0</v>
      </c>
      <c r="I98" s="1092">
        <v>0</v>
      </c>
      <c r="J98" s="1092">
        <v>0</v>
      </c>
      <c r="K98" s="1092">
        <v>0</v>
      </c>
      <c r="L98" s="1092">
        <v>12</v>
      </c>
      <c r="M98" s="1092">
        <v>4</v>
      </c>
      <c r="N98" s="27">
        <f t="shared" si="14"/>
        <v>16</v>
      </c>
    </row>
    <row r="99" spans="1:14">
      <c r="A99" s="76" t="s">
        <v>150</v>
      </c>
      <c r="B99" s="1092">
        <v>0</v>
      </c>
      <c r="C99" s="1092">
        <v>0</v>
      </c>
      <c r="D99" s="1092">
        <v>0</v>
      </c>
      <c r="E99" s="1092">
        <v>0</v>
      </c>
      <c r="F99" s="1092">
        <v>0</v>
      </c>
      <c r="G99" s="1092">
        <v>0</v>
      </c>
      <c r="H99" s="1092">
        <v>0</v>
      </c>
      <c r="I99" s="1092">
        <v>0</v>
      </c>
      <c r="J99" s="1092">
        <v>0</v>
      </c>
      <c r="K99" s="1092">
        <v>0</v>
      </c>
      <c r="L99" s="1092">
        <v>0</v>
      </c>
      <c r="M99" s="1092">
        <v>0</v>
      </c>
      <c r="N99" s="27">
        <f t="shared" si="14"/>
        <v>0</v>
      </c>
    </row>
    <row r="100" spans="1:14">
      <c r="A100" s="32" t="s">
        <v>56</v>
      </c>
      <c r="B100" s="1092">
        <v>0</v>
      </c>
      <c r="C100" s="1092">
        <v>0</v>
      </c>
      <c r="D100" s="1092">
        <v>0</v>
      </c>
      <c r="E100" s="1092">
        <v>0</v>
      </c>
      <c r="F100" s="1092">
        <v>0</v>
      </c>
      <c r="G100" s="1092">
        <v>0</v>
      </c>
      <c r="H100" s="1092">
        <v>0</v>
      </c>
      <c r="I100" s="1092">
        <v>0</v>
      </c>
      <c r="J100" s="1092">
        <v>0</v>
      </c>
      <c r="K100" s="1092">
        <v>0</v>
      </c>
      <c r="L100" s="1092">
        <v>0</v>
      </c>
      <c r="M100" s="1092">
        <v>1377</v>
      </c>
      <c r="N100" s="27">
        <f>SUM(B100:M100)</f>
        <v>1377</v>
      </c>
    </row>
    <row r="101" spans="1:14">
      <c r="A101" s="78" t="s">
        <v>122</v>
      </c>
      <c r="B101" s="1092">
        <v>0</v>
      </c>
      <c r="C101" s="1092">
        <v>0</v>
      </c>
      <c r="D101" s="1092">
        <v>0</v>
      </c>
      <c r="E101" s="1092">
        <v>0</v>
      </c>
      <c r="F101" s="1092">
        <v>0</v>
      </c>
      <c r="G101" s="1092">
        <v>0</v>
      </c>
      <c r="H101" s="1092">
        <v>0</v>
      </c>
      <c r="I101" s="1092">
        <v>0</v>
      </c>
      <c r="J101" s="1092">
        <v>0</v>
      </c>
      <c r="K101" s="1092">
        <v>0</v>
      </c>
      <c r="L101" s="1092">
        <v>0</v>
      </c>
      <c r="M101" s="1092">
        <v>0</v>
      </c>
      <c r="N101" s="27">
        <f>SUM(B101:M101)</f>
        <v>0</v>
      </c>
    </row>
    <row r="102" spans="1:14" ht="14" thickBot="1">
      <c r="A102" s="32" t="s">
        <v>102</v>
      </c>
      <c r="B102" s="1092">
        <v>0</v>
      </c>
      <c r="C102" s="1092">
        <v>0</v>
      </c>
      <c r="D102" s="1092">
        <v>0</v>
      </c>
      <c r="E102" s="1092">
        <v>0</v>
      </c>
      <c r="F102" s="1092">
        <v>0</v>
      </c>
      <c r="G102" s="1092">
        <v>0</v>
      </c>
      <c r="H102" s="1092">
        <v>0</v>
      </c>
      <c r="I102" s="1092">
        <v>0</v>
      </c>
      <c r="J102" s="1092">
        <v>0</v>
      </c>
      <c r="K102" s="1092">
        <v>0</v>
      </c>
      <c r="L102" s="1092">
        <v>0</v>
      </c>
      <c r="M102" s="1092">
        <v>0</v>
      </c>
      <c r="N102" s="27">
        <f>SUM(B102:M102)</f>
        <v>0</v>
      </c>
    </row>
    <row r="103" spans="1:14" ht="14" thickBot="1">
      <c r="A103" s="53" t="s">
        <v>60</v>
      </c>
      <c r="B103" s="55">
        <f>SUM(B91:B102)</f>
        <v>0</v>
      </c>
      <c r="C103" s="55">
        <f t="shared" ref="C103:M103" si="15">SUM(C91:C102)</f>
        <v>7</v>
      </c>
      <c r="D103" s="55">
        <f t="shared" si="15"/>
        <v>0</v>
      </c>
      <c r="E103" s="55">
        <f t="shared" si="15"/>
        <v>3</v>
      </c>
      <c r="F103" s="55">
        <f t="shared" si="15"/>
        <v>0</v>
      </c>
      <c r="G103" s="55">
        <f t="shared" si="15"/>
        <v>56</v>
      </c>
      <c r="H103" s="55">
        <f t="shared" si="15"/>
        <v>1</v>
      </c>
      <c r="I103" s="55">
        <f t="shared" si="15"/>
        <v>7</v>
      </c>
      <c r="J103" s="55">
        <f t="shared" si="15"/>
        <v>0</v>
      </c>
      <c r="K103" s="55">
        <f t="shared" si="15"/>
        <v>1</v>
      </c>
      <c r="L103" s="55">
        <f t="shared" si="15"/>
        <v>12</v>
      </c>
      <c r="M103" s="55">
        <f t="shared" si="15"/>
        <v>1381</v>
      </c>
      <c r="N103" s="54">
        <f>SUM(N91:N102)</f>
        <v>1468</v>
      </c>
    </row>
    <row r="104" spans="1:14" ht="14" thickBot="1">
      <c r="A104" s="38" t="s">
        <v>54</v>
      </c>
      <c r="B104" s="41"/>
      <c r="C104" s="41"/>
      <c r="D104" s="41"/>
      <c r="E104" s="41"/>
      <c r="F104" s="41"/>
      <c r="G104" s="41"/>
      <c r="H104" s="41"/>
      <c r="I104" s="41"/>
      <c r="J104" s="41"/>
      <c r="K104" s="41"/>
      <c r="L104" s="41"/>
      <c r="M104" s="41"/>
      <c r="N104" s="42"/>
    </row>
    <row r="105" spans="1:14">
      <c r="A105" s="36" t="s">
        <v>29</v>
      </c>
      <c r="B105" s="1093">
        <v>0</v>
      </c>
      <c r="C105" s="1093">
        <v>0</v>
      </c>
      <c r="D105" s="1093">
        <v>0</v>
      </c>
      <c r="E105" s="1093">
        <v>0</v>
      </c>
      <c r="F105" s="1093">
        <v>0</v>
      </c>
      <c r="G105" s="1093">
        <v>0</v>
      </c>
      <c r="H105" s="1093">
        <v>0</v>
      </c>
      <c r="I105" s="1093">
        <v>0</v>
      </c>
      <c r="J105" s="1093">
        <v>0</v>
      </c>
      <c r="K105" s="1093">
        <v>0</v>
      </c>
      <c r="L105" s="1093">
        <v>0</v>
      </c>
      <c r="M105" s="1093">
        <v>0</v>
      </c>
      <c r="N105" s="28">
        <f t="shared" ref="N105:N110" si="16">SUM(B105:M105)</f>
        <v>0</v>
      </c>
    </row>
    <row r="106" spans="1:14">
      <c r="A106" s="34" t="s">
        <v>51</v>
      </c>
      <c r="B106" s="1092">
        <v>0</v>
      </c>
      <c r="C106" s="1092">
        <v>0</v>
      </c>
      <c r="D106" s="1092">
        <v>0</v>
      </c>
      <c r="E106" s="1092">
        <v>0</v>
      </c>
      <c r="F106" s="1092">
        <v>0</v>
      </c>
      <c r="G106" s="1092">
        <v>0</v>
      </c>
      <c r="H106" s="1092">
        <v>0</v>
      </c>
      <c r="I106" s="1092">
        <v>0</v>
      </c>
      <c r="J106" s="1092">
        <v>0</v>
      </c>
      <c r="K106" s="1092">
        <v>0</v>
      </c>
      <c r="L106" s="1092">
        <v>0</v>
      </c>
      <c r="M106" s="1092">
        <v>0</v>
      </c>
      <c r="N106" s="29">
        <f t="shared" si="16"/>
        <v>0</v>
      </c>
    </row>
    <row r="107" spans="1:14">
      <c r="A107" s="34" t="s">
        <v>15</v>
      </c>
      <c r="B107" s="1092">
        <v>0</v>
      </c>
      <c r="C107" s="1092">
        <v>0</v>
      </c>
      <c r="D107" s="1092">
        <v>0</v>
      </c>
      <c r="E107" s="1092">
        <v>0</v>
      </c>
      <c r="F107" s="1092">
        <v>0</v>
      </c>
      <c r="G107" s="1092">
        <v>0</v>
      </c>
      <c r="H107" s="1092">
        <v>0</v>
      </c>
      <c r="I107" s="1092">
        <v>0</v>
      </c>
      <c r="J107" s="1092">
        <v>0</v>
      </c>
      <c r="K107" s="1092">
        <v>0</v>
      </c>
      <c r="L107" s="1094">
        <v>0</v>
      </c>
      <c r="M107" s="1092">
        <v>0</v>
      </c>
      <c r="N107" s="29">
        <f t="shared" si="16"/>
        <v>0</v>
      </c>
    </row>
    <row r="108" spans="1:14">
      <c r="A108" s="34" t="s">
        <v>30</v>
      </c>
      <c r="B108" s="1092">
        <v>0</v>
      </c>
      <c r="C108" s="1092">
        <v>0</v>
      </c>
      <c r="D108" s="1092">
        <v>0</v>
      </c>
      <c r="E108" s="1092">
        <v>0</v>
      </c>
      <c r="F108" s="1092">
        <v>0</v>
      </c>
      <c r="G108" s="1092">
        <v>0</v>
      </c>
      <c r="H108" s="1092">
        <v>0</v>
      </c>
      <c r="I108" s="1092">
        <v>0</v>
      </c>
      <c r="J108" s="1092">
        <v>0</v>
      </c>
      <c r="K108" s="1092">
        <v>0</v>
      </c>
      <c r="L108" s="1092">
        <v>0</v>
      </c>
      <c r="M108" s="1092">
        <v>0</v>
      </c>
      <c r="N108" s="29">
        <f t="shared" si="16"/>
        <v>0</v>
      </c>
    </row>
    <row r="109" spans="1:14">
      <c r="A109" s="32" t="s">
        <v>55</v>
      </c>
      <c r="B109" s="1094">
        <v>0</v>
      </c>
      <c r="C109" s="1094">
        <v>0</v>
      </c>
      <c r="D109" s="1095">
        <v>0</v>
      </c>
      <c r="E109" s="1094">
        <v>0</v>
      </c>
      <c r="F109" s="1094">
        <v>0</v>
      </c>
      <c r="G109" s="1094">
        <v>0</v>
      </c>
      <c r="H109" s="1094">
        <v>0</v>
      </c>
      <c r="I109" s="1094">
        <v>0</v>
      </c>
      <c r="J109" s="1094">
        <v>0</v>
      </c>
      <c r="K109" s="1094">
        <v>0</v>
      </c>
      <c r="L109" s="1094">
        <v>0</v>
      </c>
      <c r="M109" s="1094">
        <v>0</v>
      </c>
      <c r="N109" s="29">
        <f t="shared" si="16"/>
        <v>0</v>
      </c>
    </row>
    <row r="110" spans="1:14" ht="14" thickBot="1">
      <c r="A110" s="76" t="s">
        <v>150</v>
      </c>
      <c r="B110" s="1096">
        <v>0</v>
      </c>
      <c r="C110" s="1097">
        <v>0</v>
      </c>
      <c r="D110" s="1097">
        <v>0</v>
      </c>
      <c r="E110" s="1097">
        <v>0</v>
      </c>
      <c r="F110" s="1097">
        <v>0</v>
      </c>
      <c r="G110" s="1097">
        <v>0</v>
      </c>
      <c r="H110" s="1097">
        <v>0</v>
      </c>
      <c r="I110" s="1097">
        <v>0</v>
      </c>
      <c r="J110" s="1097">
        <v>0</v>
      </c>
      <c r="K110" s="1097">
        <v>0</v>
      </c>
      <c r="L110" s="1097">
        <v>0</v>
      </c>
      <c r="M110" s="1098">
        <v>0</v>
      </c>
      <c r="N110" s="29">
        <f t="shared" si="16"/>
        <v>0</v>
      </c>
    </row>
    <row r="111" spans="1:14" ht="14" thickBot="1">
      <c r="A111" s="53" t="s">
        <v>60</v>
      </c>
      <c r="B111" s="55">
        <f>SUM(B105:B110)</f>
        <v>0</v>
      </c>
      <c r="C111" s="55">
        <f>SUM(C105:C110)</f>
        <v>0</v>
      </c>
      <c r="D111" s="55">
        <f>SUM(D105:D110)</f>
        <v>0</v>
      </c>
      <c r="E111" s="55">
        <f t="shared" ref="E111:M111" si="17">SUM(E105:E110)</f>
        <v>0</v>
      </c>
      <c r="F111" s="55">
        <f t="shared" si="17"/>
        <v>0</v>
      </c>
      <c r="G111" s="55">
        <f t="shared" si="17"/>
        <v>0</v>
      </c>
      <c r="H111" s="55">
        <f t="shared" si="17"/>
        <v>0</v>
      </c>
      <c r="I111" s="55">
        <f t="shared" si="17"/>
        <v>0</v>
      </c>
      <c r="J111" s="55">
        <f t="shared" si="17"/>
        <v>0</v>
      </c>
      <c r="K111" s="55">
        <f t="shared" si="17"/>
        <v>0</v>
      </c>
      <c r="L111" s="55">
        <f t="shared" si="17"/>
        <v>0</v>
      </c>
      <c r="M111" s="55">
        <f t="shared" si="17"/>
        <v>0</v>
      </c>
      <c r="N111" s="54">
        <f>SUM(N105:N110)</f>
        <v>0</v>
      </c>
    </row>
    <row r="112" spans="1:14">
      <c r="A112" s="3"/>
    </row>
    <row r="114" spans="1:14" ht="14" thickBot="1">
      <c r="B114" s="43" t="s">
        <v>35</v>
      </c>
      <c r="C114" s="43" t="s">
        <v>36</v>
      </c>
      <c r="D114" s="43" t="s">
        <v>37</v>
      </c>
      <c r="E114" s="43" t="s">
        <v>38</v>
      </c>
      <c r="F114" s="43" t="s">
        <v>39</v>
      </c>
      <c r="G114" s="43" t="s">
        <v>40</v>
      </c>
      <c r="H114" s="43" t="s">
        <v>41</v>
      </c>
      <c r="I114" s="43" t="s">
        <v>42</v>
      </c>
      <c r="J114" s="43" t="s">
        <v>43</v>
      </c>
      <c r="K114" s="43" t="s">
        <v>44</v>
      </c>
      <c r="L114" s="43" t="s">
        <v>45</v>
      </c>
      <c r="M114" s="43" t="s">
        <v>46</v>
      </c>
      <c r="N114" s="43" t="s">
        <v>10</v>
      </c>
    </row>
    <row r="115" spans="1:14" ht="17" thickBot="1">
      <c r="A115" s="31" t="s">
        <v>162</v>
      </c>
      <c r="B115" s="24"/>
      <c r="C115" s="24"/>
      <c r="D115" s="22"/>
      <c r="E115" s="22"/>
      <c r="F115" s="25"/>
      <c r="G115" s="25"/>
      <c r="H115" s="22"/>
      <c r="I115" s="22"/>
      <c r="J115" s="22"/>
      <c r="K115" s="22"/>
      <c r="L115" s="24"/>
      <c r="M115" s="24"/>
      <c r="N115" s="26"/>
    </row>
    <row r="116" spans="1:14" ht="14" thickBot="1">
      <c r="A116" s="38" t="s">
        <v>48</v>
      </c>
      <c r="B116" s="39"/>
      <c r="C116" s="39"/>
      <c r="D116" s="39"/>
      <c r="E116" s="39"/>
      <c r="F116" s="39"/>
      <c r="G116" s="39"/>
      <c r="H116" s="39"/>
      <c r="I116" s="39"/>
      <c r="J116" s="39"/>
      <c r="K116" s="39"/>
      <c r="L116" s="39"/>
      <c r="M116" s="39"/>
      <c r="N116" s="40"/>
    </row>
    <row r="117" spans="1:14">
      <c r="A117" s="32" t="s">
        <v>29</v>
      </c>
      <c r="B117" s="1092">
        <v>1</v>
      </c>
      <c r="C117" s="1092">
        <v>8</v>
      </c>
      <c r="D117" s="1092">
        <v>1</v>
      </c>
      <c r="E117" s="1092">
        <v>0</v>
      </c>
      <c r="F117" s="1092">
        <v>0</v>
      </c>
      <c r="G117" s="1092">
        <v>0</v>
      </c>
      <c r="H117" s="1092">
        <v>0</v>
      </c>
      <c r="I117" s="1092">
        <v>0</v>
      </c>
      <c r="J117" s="1092">
        <v>0</v>
      </c>
      <c r="K117" s="1092">
        <v>0</v>
      </c>
      <c r="L117" s="1092">
        <v>0</v>
      </c>
      <c r="M117" s="1092">
        <v>0</v>
      </c>
      <c r="N117" s="27">
        <f t="shared" ref="N117:N123" si="18">SUM(B117:M117)</f>
        <v>10</v>
      </c>
    </row>
    <row r="118" spans="1:14">
      <c r="A118" s="32" t="s">
        <v>33</v>
      </c>
      <c r="B118" s="1092">
        <v>9</v>
      </c>
      <c r="C118" s="1092">
        <v>25</v>
      </c>
      <c r="D118" s="1092">
        <v>22</v>
      </c>
      <c r="E118" s="1092">
        <v>22</v>
      </c>
      <c r="F118" s="1092">
        <v>38</v>
      </c>
      <c r="G118" s="1092">
        <v>5</v>
      </c>
      <c r="H118" s="1092">
        <v>16</v>
      </c>
      <c r="I118" s="1092">
        <v>0</v>
      </c>
      <c r="J118" s="1092">
        <v>41</v>
      </c>
      <c r="K118" s="1092">
        <v>14</v>
      </c>
      <c r="L118" s="1092">
        <v>23</v>
      </c>
      <c r="M118" s="1092">
        <v>16</v>
      </c>
      <c r="N118" s="27">
        <f t="shared" si="18"/>
        <v>231</v>
      </c>
    </row>
    <row r="119" spans="1:14">
      <c r="A119" s="32" t="s">
        <v>56</v>
      </c>
      <c r="B119" s="1092">
        <v>0</v>
      </c>
      <c r="C119" s="1092">
        <v>0</v>
      </c>
      <c r="D119" s="1092">
        <v>32</v>
      </c>
      <c r="E119" s="1092">
        <v>0</v>
      </c>
      <c r="F119" s="1092">
        <v>0</v>
      </c>
      <c r="G119" s="1092">
        <v>0</v>
      </c>
      <c r="H119" s="1092">
        <v>0</v>
      </c>
      <c r="I119" s="1092">
        <v>0</v>
      </c>
      <c r="J119" s="1092">
        <v>0</v>
      </c>
      <c r="K119" s="1092">
        <v>0</v>
      </c>
      <c r="L119" s="1092">
        <v>0</v>
      </c>
      <c r="M119" s="1092">
        <v>0</v>
      </c>
      <c r="N119" s="27">
        <f t="shared" si="18"/>
        <v>32</v>
      </c>
    </row>
    <row r="120" spans="1:14">
      <c r="A120" s="78" t="s">
        <v>30</v>
      </c>
      <c r="B120" s="1092">
        <v>0</v>
      </c>
      <c r="C120" s="1092">
        <v>0</v>
      </c>
      <c r="D120" s="1092">
        <v>0</v>
      </c>
      <c r="E120" s="1092">
        <v>0</v>
      </c>
      <c r="F120" s="1092">
        <v>0</v>
      </c>
      <c r="G120" s="1092">
        <v>0</v>
      </c>
      <c r="H120" s="1092">
        <v>0</v>
      </c>
      <c r="I120" s="1092">
        <v>0</v>
      </c>
      <c r="J120" s="1092">
        <v>0</v>
      </c>
      <c r="K120" s="1092">
        <v>0</v>
      </c>
      <c r="L120" s="1092">
        <v>0</v>
      </c>
      <c r="M120" s="1092">
        <v>1</v>
      </c>
      <c r="N120" s="27">
        <f t="shared" si="18"/>
        <v>1</v>
      </c>
    </row>
    <row r="121" spans="1:14">
      <c r="A121" s="76" t="s">
        <v>173</v>
      </c>
      <c r="B121" s="1092">
        <v>0</v>
      </c>
      <c r="C121" s="1092">
        <v>1176</v>
      </c>
      <c r="D121" s="1092">
        <v>0</v>
      </c>
      <c r="E121" s="1092">
        <v>0</v>
      </c>
      <c r="F121" s="1092">
        <v>0</v>
      </c>
      <c r="G121" s="1092">
        <v>0</v>
      </c>
      <c r="H121" s="1092">
        <v>0</v>
      </c>
      <c r="I121" s="1092">
        <v>0</v>
      </c>
      <c r="J121" s="1092">
        <v>0</v>
      </c>
      <c r="K121" s="1092">
        <v>0</v>
      </c>
      <c r="L121" s="1092">
        <v>0</v>
      </c>
      <c r="M121" s="1092">
        <v>0</v>
      </c>
      <c r="N121" s="27">
        <f t="shared" si="18"/>
        <v>1176</v>
      </c>
    </row>
    <row r="122" spans="1:14">
      <c r="A122" s="76" t="s">
        <v>165</v>
      </c>
      <c r="B122" s="1092">
        <v>0</v>
      </c>
      <c r="C122" s="1092">
        <v>0</v>
      </c>
      <c r="D122" s="1092">
        <v>0</v>
      </c>
      <c r="E122" s="1092">
        <v>0</v>
      </c>
      <c r="F122" s="1092">
        <v>0</v>
      </c>
      <c r="G122" s="1092">
        <v>0</v>
      </c>
      <c r="H122" s="1092">
        <v>0</v>
      </c>
      <c r="I122" s="1092">
        <v>0</v>
      </c>
      <c r="J122" s="1092">
        <v>0</v>
      </c>
      <c r="K122" s="1092">
        <v>83</v>
      </c>
      <c r="L122" s="1092">
        <v>0</v>
      </c>
      <c r="M122" s="1092">
        <v>0</v>
      </c>
      <c r="N122" s="27">
        <f t="shared" si="18"/>
        <v>83</v>
      </c>
    </row>
    <row r="123" spans="1:14" ht="14" thickBot="1">
      <c r="A123" s="76" t="s">
        <v>166</v>
      </c>
      <c r="B123" s="1092">
        <v>0</v>
      </c>
      <c r="C123" s="1092">
        <v>0</v>
      </c>
      <c r="D123" s="1092">
        <v>0</v>
      </c>
      <c r="E123" s="1092">
        <v>0</v>
      </c>
      <c r="F123" s="1092">
        <v>0</v>
      </c>
      <c r="G123" s="1092">
        <v>0</v>
      </c>
      <c r="H123" s="1092">
        <v>0</v>
      </c>
      <c r="I123" s="1092">
        <v>0</v>
      </c>
      <c r="J123" s="1092">
        <v>0</v>
      </c>
      <c r="K123" s="1092">
        <v>52</v>
      </c>
      <c r="L123" s="1092">
        <v>0</v>
      </c>
      <c r="M123" s="1092">
        <v>0</v>
      </c>
      <c r="N123" s="27">
        <f t="shared" si="18"/>
        <v>52</v>
      </c>
    </row>
    <row r="124" spans="1:14" ht="14" thickBot="1">
      <c r="A124" s="53" t="s">
        <v>60</v>
      </c>
      <c r="B124" s="55">
        <f>SUM(B117:B123)</f>
        <v>10</v>
      </c>
      <c r="C124" s="55">
        <f t="shared" ref="C124:M124" si="19">SUM(C117:C123)</f>
        <v>1209</v>
      </c>
      <c r="D124" s="55">
        <f t="shared" si="19"/>
        <v>55</v>
      </c>
      <c r="E124" s="55">
        <f t="shared" si="19"/>
        <v>22</v>
      </c>
      <c r="F124" s="55">
        <f t="shared" si="19"/>
        <v>38</v>
      </c>
      <c r="G124" s="55">
        <f t="shared" si="19"/>
        <v>5</v>
      </c>
      <c r="H124" s="55">
        <f t="shared" si="19"/>
        <v>16</v>
      </c>
      <c r="I124" s="55">
        <f t="shared" si="19"/>
        <v>0</v>
      </c>
      <c r="J124" s="55">
        <f t="shared" si="19"/>
        <v>41</v>
      </c>
      <c r="K124" s="55">
        <f t="shared" si="19"/>
        <v>149</v>
      </c>
      <c r="L124" s="55">
        <f t="shared" si="19"/>
        <v>23</v>
      </c>
      <c r="M124" s="55">
        <f t="shared" si="19"/>
        <v>17</v>
      </c>
      <c r="N124" s="54">
        <f>SUM(N117:N123)</f>
        <v>1585</v>
      </c>
    </row>
    <row r="125" spans="1:14" ht="14" thickBot="1">
      <c r="A125" s="38" t="s">
        <v>49</v>
      </c>
      <c r="B125" s="39"/>
      <c r="C125" s="39"/>
      <c r="D125" s="39"/>
      <c r="E125" s="39"/>
      <c r="F125" s="39"/>
      <c r="G125" s="39"/>
      <c r="H125" s="39"/>
      <c r="I125" s="39"/>
      <c r="J125" s="39"/>
      <c r="K125" s="39"/>
      <c r="L125" s="39"/>
      <c r="M125" s="39"/>
      <c r="N125" s="40"/>
    </row>
    <row r="126" spans="1:14" ht="14" thickBot="1">
      <c r="A126" s="33" t="s">
        <v>49</v>
      </c>
      <c r="B126" s="1092">
        <v>0</v>
      </c>
      <c r="C126" s="1092">
        <v>0</v>
      </c>
      <c r="D126" s="1092">
        <v>0</v>
      </c>
      <c r="E126" s="1092">
        <v>0</v>
      </c>
      <c r="F126" s="1092">
        <v>31</v>
      </c>
      <c r="G126" s="1092">
        <v>9</v>
      </c>
      <c r="H126" s="1092">
        <v>21</v>
      </c>
      <c r="I126" s="1092">
        <v>14</v>
      </c>
      <c r="J126" s="1092">
        <v>2</v>
      </c>
      <c r="K126" s="1092">
        <v>932</v>
      </c>
      <c r="L126" s="1092">
        <v>0</v>
      </c>
      <c r="M126" s="1092">
        <v>0</v>
      </c>
      <c r="N126" s="27">
        <f>SUM(B126:M126)</f>
        <v>1009</v>
      </c>
    </row>
    <row r="127" spans="1:14" ht="14" thickBot="1">
      <c r="A127" s="53" t="s">
        <v>60</v>
      </c>
      <c r="B127" s="55">
        <f>SUM(B126)</f>
        <v>0</v>
      </c>
      <c r="C127" s="55">
        <f t="shared" ref="C127:M127" si="20">SUM(C126)</f>
        <v>0</v>
      </c>
      <c r="D127" s="55">
        <f t="shared" si="20"/>
        <v>0</v>
      </c>
      <c r="E127" s="55">
        <f t="shared" si="20"/>
        <v>0</v>
      </c>
      <c r="F127" s="55">
        <f t="shared" si="20"/>
        <v>31</v>
      </c>
      <c r="G127" s="55">
        <f t="shared" si="20"/>
        <v>9</v>
      </c>
      <c r="H127" s="55">
        <f t="shared" si="20"/>
        <v>21</v>
      </c>
      <c r="I127" s="55">
        <f t="shared" si="20"/>
        <v>14</v>
      </c>
      <c r="J127" s="55">
        <f t="shared" si="20"/>
        <v>2</v>
      </c>
      <c r="K127" s="55">
        <f t="shared" si="20"/>
        <v>932</v>
      </c>
      <c r="L127" s="55">
        <f t="shared" si="20"/>
        <v>0</v>
      </c>
      <c r="M127" s="55">
        <f t="shared" si="20"/>
        <v>0</v>
      </c>
      <c r="N127" s="54">
        <f>SUM(N126)</f>
        <v>1009</v>
      </c>
    </row>
    <row r="128" spans="1:14" ht="14" thickBot="1">
      <c r="A128" s="38" t="s">
        <v>50</v>
      </c>
      <c r="B128" s="39"/>
      <c r="C128" s="39"/>
      <c r="D128" s="39"/>
      <c r="E128" s="39"/>
      <c r="F128" s="39"/>
      <c r="G128" s="39"/>
      <c r="H128" s="39"/>
      <c r="I128" s="39"/>
      <c r="J128" s="39"/>
      <c r="K128" s="39"/>
      <c r="L128" s="39"/>
      <c r="M128" s="39"/>
      <c r="N128" s="40"/>
    </row>
    <row r="129" spans="1:14">
      <c r="A129" s="32" t="s">
        <v>29</v>
      </c>
      <c r="B129" s="1092">
        <v>0</v>
      </c>
      <c r="C129" s="1092">
        <v>0</v>
      </c>
      <c r="D129" s="1092">
        <v>0</v>
      </c>
      <c r="E129" s="1092">
        <v>0</v>
      </c>
      <c r="F129" s="1092">
        <v>0</v>
      </c>
      <c r="G129" s="1092">
        <v>0</v>
      </c>
      <c r="H129" s="1092">
        <v>0</v>
      </c>
      <c r="I129" s="1092">
        <v>0</v>
      </c>
      <c r="J129" s="1092">
        <v>0</v>
      </c>
      <c r="K129" s="1092">
        <v>0</v>
      </c>
      <c r="L129" s="1092">
        <v>0</v>
      </c>
      <c r="M129" s="1092">
        <v>0</v>
      </c>
      <c r="N129" s="27">
        <f t="shared" ref="N129:N135" si="21">SUM(B129:M129)</f>
        <v>0</v>
      </c>
    </row>
    <row r="130" spans="1:14">
      <c r="A130" s="32" t="s">
        <v>51</v>
      </c>
      <c r="B130" s="1092">
        <v>0</v>
      </c>
      <c r="C130" s="1092">
        <v>0</v>
      </c>
      <c r="D130" s="1092">
        <v>2</v>
      </c>
      <c r="E130" s="1092">
        <v>0</v>
      </c>
      <c r="F130" s="1092">
        <v>0</v>
      </c>
      <c r="G130" s="1092">
        <v>1</v>
      </c>
      <c r="H130" s="1092">
        <v>0</v>
      </c>
      <c r="I130" s="1092">
        <v>15</v>
      </c>
      <c r="J130" s="1092">
        <v>0</v>
      </c>
      <c r="K130" s="1092">
        <v>0</v>
      </c>
      <c r="L130" s="1092">
        <v>0</v>
      </c>
      <c r="M130" s="1092">
        <v>0</v>
      </c>
      <c r="N130" s="27">
        <f t="shared" si="21"/>
        <v>18</v>
      </c>
    </row>
    <row r="131" spans="1:14">
      <c r="A131" s="34" t="s">
        <v>20</v>
      </c>
      <c r="B131" s="1092">
        <v>0</v>
      </c>
      <c r="C131" s="1092">
        <v>0</v>
      </c>
      <c r="D131" s="1092">
        <v>0</v>
      </c>
      <c r="E131" s="1092">
        <v>0</v>
      </c>
      <c r="F131" s="1092">
        <v>0</v>
      </c>
      <c r="G131" s="1092">
        <v>0</v>
      </c>
      <c r="H131" s="1092">
        <v>0</v>
      </c>
      <c r="I131" s="1092">
        <v>0</v>
      </c>
      <c r="J131" s="1092">
        <v>0</v>
      </c>
      <c r="K131" s="1092">
        <v>0</v>
      </c>
      <c r="L131" s="1092">
        <v>1</v>
      </c>
      <c r="M131" s="1092">
        <v>0</v>
      </c>
      <c r="N131" s="27">
        <f t="shared" si="21"/>
        <v>1</v>
      </c>
    </row>
    <row r="132" spans="1:14">
      <c r="A132" s="34" t="s">
        <v>13</v>
      </c>
      <c r="B132" s="1092">
        <v>0</v>
      </c>
      <c r="C132" s="1092">
        <v>0</v>
      </c>
      <c r="D132" s="1092">
        <v>0</v>
      </c>
      <c r="E132" s="1092">
        <v>0</v>
      </c>
      <c r="F132" s="1092">
        <v>0</v>
      </c>
      <c r="G132" s="1092">
        <v>0</v>
      </c>
      <c r="H132" s="1092">
        <v>0</v>
      </c>
      <c r="I132" s="1092">
        <v>0</v>
      </c>
      <c r="J132" s="1092">
        <v>0</v>
      </c>
      <c r="K132" s="1092">
        <v>0</v>
      </c>
      <c r="L132" s="1092">
        <v>0</v>
      </c>
      <c r="M132" s="1092">
        <v>0</v>
      </c>
      <c r="N132" s="27">
        <f t="shared" si="21"/>
        <v>0</v>
      </c>
    </row>
    <row r="133" spans="1:14">
      <c r="A133" s="35" t="s">
        <v>47</v>
      </c>
      <c r="B133" s="1092">
        <v>0</v>
      </c>
      <c r="C133" s="1092">
        <v>0</v>
      </c>
      <c r="D133" s="1092">
        <v>0</v>
      </c>
      <c r="E133" s="1092">
        <v>0</v>
      </c>
      <c r="F133" s="1092">
        <v>0</v>
      </c>
      <c r="G133" s="1092">
        <v>0</v>
      </c>
      <c r="H133" s="1092">
        <v>0</v>
      </c>
      <c r="I133" s="1092">
        <v>0</v>
      </c>
      <c r="J133" s="1092">
        <v>0</v>
      </c>
      <c r="K133" s="1092">
        <v>0</v>
      </c>
      <c r="L133" s="1092">
        <v>0</v>
      </c>
      <c r="M133" s="1092">
        <v>0</v>
      </c>
      <c r="N133" s="27">
        <f t="shared" si="21"/>
        <v>0</v>
      </c>
    </row>
    <row r="134" spans="1:14">
      <c r="A134" s="76" t="s">
        <v>30</v>
      </c>
      <c r="B134" s="1092">
        <v>0</v>
      </c>
      <c r="C134" s="1092">
        <v>0</v>
      </c>
      <c r="D134" s="1092">
        <v>0</v>
      </c>
      <c r="E134" s="1092">
        <v>2</v>
      </c>
      <c r="F134" s="1092">
        <v>0</v>
      </c>
      <c r="G134" s="1092">
        <v>0</v>
      </c>
      <c r="H134" s="1092">
        <v>0</v>
      </c>
      <c r="I134" s="1092">
        <v>0</v>
      </c>
      <c r="J134" s="1092">
        <v>0</v>
      </c>
      <c r="K134" s="1092">
        <v>0</v>
      </c>
      <c r="L134" s="1092">
        <v>0</v>
      </c>
      <c r="M134" s="1092">
        <v>0</v>
      </c>
      <c r="N134" s="27">
        <f t="shared" si="21"/>
        <v>2</v>
      </c>
    </row>
    <row r="135" spans="1:14">
      <c r="A135" s="76" t="s">
        <v>150</v>
      </c>
      <c r="B135" s="1092">
        <v>0</v>
      </c>
      <c r="C135" s="1092">
        <v>0</v>
      </c>
      <c r="D135" s="1092">
        <v>0</v>
      </c>
      <c r="E135" s="1092">
        <v>0</v>
      </c>
      <c r="F135" s="1092">
        <v>0</v>
      </c>
      <c r="G135" s="1092">
        <v>0</v>
      </c>
      <c r="H135" s="1092">
        <v>0</v>
      </c>
      <c r="I135" s="1092">
        <v>0</v>
      </c>
      <c r="J135" s="1092">
        <v>0</v>
      </c>
      <c r="K135" s="1092">
        <v>0</v>
      </c>
      <c r="L135" s="1092">
        <v>0</v>
      </c>
      <c r="M135" s="1092">
        <v>0</v>
      </c>
      <c r="N135" s="27">
        <f t="shared" si="21"/>
        <v>0</v>
      </c>
    </row>
    <row r="136" spans="1:14">
      <c r="A136" s="32" t="s">
        <v>56</v>
      </c>
      <c r="B136" s="1092">
        <v>0</v>
      </c>
      <c r="C136" s="1092">
        <v>0</v>
      </c>
      <c r="D136" s="1092">
        <v>0</v>
      </c>
      <c r="E136" s="1092">
        <v>0</v>
      </c>
      <c r="F136" s="1092">
        <v>0</v>
      </c>
      <c r="G136" s="1092">
        <v>0</v>
      </c>
      <c r="H136" s="1092">
        <v>0</v>
      </c>
      <c r="I136" s="1092">
        <v>0</v>
      </c>
      <c r="J136" s="1092">
        <v>71</v>
      </c>
      <c r="K136" s="1092">
        <v>0</v>
      </c>
      <c r="L136" s="1092">
        <v>0</v>
      </c>
      <c r="M136" s="1092">
        <v>0</v>
      </c>
      <c r="N136" s="27">
        <f>SUM(B136:M136)</f>
        <v>71</v>
      </c>
    </row>
    <row r="137" spans="1:14">
      <c r="A137" s="78" t="s">
        <v>122</v>
      </c>
      <c r="B137" s="1092">
        <v>0</v>
      </c>
      <c r="C137" s="1092">
        <v>0</v>
      </c>
      <c r="D137" s="1092">
        <v>0</v>
      </c>
      <c r="E137" s="1092">
        <v>0</v>
      </c>
      <c r="F137" s="1092">
        <v>0</v>
      </c>
      <c r="G137" s="1092">
        <v>0</v>
      </c>
      <c r="H137" s="1092">
        <v>0</v>
      </c>
      <c r="I137" s="1092">
        <v>0</v>
      </c>
      <c r="J137" s="1092">
        <v>0</v>
      </c>
      <c r="K137" s="1092">
        <v>0</v>
      </c>
      <c r="L137" s="1092">
        <v>0</v>
      </c>
      <c r="M137" s="1092">
        <v>0</v>
      </c>
      <c r="N137" s="27">
        <f>SUM(B137:M137)</f>
        <v>0</v>
      </c>
    </row>
    <row r="138" spans="1:14">
      <c r="A138" s="32" t="s">
        <v>102</v>
      </c>
      <c r="B138" s="1092">
        <v>0</v>
      </c>
      <c r="C138" s="1092">
        <v>0</v>
      </c>
      <c r="D138" s="1092">
        <v>0</v>
      </c>
      <c r="E138" s="1092">
        <v>0</v>
      </c>
      <c r="F138" s="1092">
        <v>0</v>
      </c>
      <c r="G138" s="1092">
        <v>0</v>
      </c>
      <c r="H138" s="1092">
        <v>0</v>
      </c>
      <c r="I138" s="1092">
        <v>0</v>
      </c>
      <c r="J138" s="1092">
        <v>0</v>
      </c>
      <c r="K138" s="1092">
        <v>0</v>
      </c>
      <c r="L138" s="1092">
        <v>0</v>
      </c>
      <c r="M138" s="1092">
        <v>0</v>
      </c>
      <c r="N138" s="27">
        <f>SUM(B138:M138)</f>
        <v>0</v>
      </c>
    </row>
    <row r="139" spans="1:14" ht="14" thickBot="1">
      <c r="A139" s="78" t="s">
        <v>167</v>
      </c>
      <c r="B139" s="1092">
        <v>0</v>
      </c>
      <c r="C139" s="1092">
        <v>0</v>
      </c>
      <c r="D139" s="1092">
        <v>0</v>
      </c>
      <c r="E139" s="1092">
        <v>0</v>
      </c>
      <c r="F139" s="1092">
        <v>0</v>
      </c>
      <c r="G139" s="1092">
        <v>0</v>
      </c>
      <c r="H139" s="1092">
        <v>0</v>
      </c>
      <c r="I139" s="1092">
        <v>0</v>
      </c>
      <c r="J139" s="1092">
        <v>0</v>
      </c>
      <c r="K139" s="1092">
        <v>0</v>
      </c>
      <c r="L139" s="1092">
        <v>0</v>
      </c>
      <c r="M139" s="1092">
        <v>0</v>
      </c>
      <c r="N139" s="27">
        <f>SUM(B139:M139)</f>
        <v>0</v>
      </c>
    </row>
    <row r="140" spans="1:14" ht="14" thickBot="1">
      <c r="A140" s="53" t="s">
        <v>60</v>
      </c>
      <c r="B140" s="55">
        <f>SUM(B129:B139)</f>
        <v>0</v>
      </c>
      <c r="C140" s="55">
        <f t="shared" ref="C140:M140" si="22">SUM(C129:C139)</f>
        <v>0</v>
      </c>
      <c r="D140" s="55">
        <f t="shared" si="22"/>
        <v>2</v>
      </c>
      <c r="E140" s="55">
        <f t="shared" si="22"/>
        <v>2</v>
      </c>
      <c r="F140" s="55">
        <f t="shared" si="22"/>
        <v>0</v>
      </c>
      <c r="G140" s="55">
        <f t="shared" si="22"/>
        <v>1</v>
      </c>
      <c r="H140" s="55">
        <f t="shared" si="22"/>
        <v>0</v>
      </c>
      <c r="I140" s="55">
        <f t="shared" si="22"/>
        <v>15</v>
      </c>
      <c r="J140" s="55">
        <f t="shared" si="22"/>
        <v>71</v>
      </c>
      <c r="K140" s="55">
        <f t="shared" si="22"/>
        <v>0</v>
      </c>
      <c r="L140" s="55">
        <f t="shared" si="22"/>
        <v>1</v>
      </c>
      <c r="M140" s="55">
        <f t="shared" si="22"/>
        <v>0</v>
      </c>
      <c r="N140" s="54">
        <f>SUM(N129:N139)</f>
        <v>92</v>
      </c>
    </row>
    <row r="143" spans="1:14" ht="14" thickBot="1">
      <c r="B143" s="43" t="s">
        <v>35</v>
      </c>
      <c r="C143" s="43" t="s">
        <v>36</v>
      </c>
      <c r="D143" s="43" t="s">
        <v>37</v>
      </c>
      <c r="E143" s="43" t="s">
        <v>38</v>
      </c>
      <c r="F143" s="43" t="s">
        <v>39</v>
      </c>
      <c r="G143" s="43" t="s">
        <v>40</v>
      </c>
      <c r="H143" s="43" t="s">
        <v>41</v>
      </c>
      <c r="I143" s="43" t="s">
        <v>42</v>
      </c>
      <c r="J143" s="43" t="s">
        <v>43</v>
      </c>
      <c r="K143" s="43" t="s">
        <v>44</v>
      </c>
      <c r="L143" s="43" t="s">
        <v>45</v>
      </c>
      <c r="M143" s="43" t="s">
        <v>46</v>
      </c>
      <c r="N143" s="43" t="s">
        <v>10</v>
      </c>
    </row>
    <row r="144" spans="1:14" ht="17" thickBot="1">
      <c r="A144" s="31" t="s">
        <v>178</v>
      </c>
      <c r="B144" s="24"/>
      <c r="C144" s="24"/>
      <c r="D144" s="22"/>
      <c r="E144" s="22"/>
      <c r="F144" s="25"/>
      <c r="G144" s="25"/>
      <c r="H144" s="22"/>
      <c r="I144" s="22"/>
      <c r="J144" s="22"/>
      <c r="K144" s="22"/>
      <c r="L144" s="24"/>
      <c r="M144" s="24"/>
      <c r="N144" s="26"/>
    </row>
    <row r="145" spans="1:14" ht="14" thickBot="1">
      <c r="A145" s="38" t="s">
        <v>48</v>
      </c>
      <c r="B145" s="39"/>
      <c r="C145" s="39"/>
      <c r="D145" s="39"/>
      <c r="E145" s="39"/>
      <c r="F145" s="39"/>
      <c r="G145" s="39"/>
      <c r="H145" s="39"/>
      <c r="I145" s="39"/>
      <c r="J145" s="39"/>
      <c r="K145" s="39"/>
      <c r="L145" s="39"/>
      <c r="M145" s="39"/>
      <c r="N145" s="40"/>
    </row>
    <row r="146" spans="1:14" hidden="1">
      <c r="A146" s="32" t="s">
        <v>29</v>
      </c>
      <c r="B146" s="44"/>
      <c r="C146" s="44"/>
      <c r="D146" s="44"/>
      <c r="E146" s="44"/>
      <c r="F146" s="44"/>
      <c r="G146" s="44"/>
      <c r="H146" s="44"/>
      <c r="I146" s="44"/>
      <c r="J146" s="44"/>
      <c r="K146" s="44"/>
      <c r="L146" s="44"/>
      <c r="M146" s="44"/>
      <c r="N146" s="27">
        <f t="shared" ref="N146:N152" si="23">SUM(B146:M146)</f>
        <v>0</v>
      </c>
    </row>
    <row r="147" spans="1:14">
      <c r="A147" s="32" t="s">
        <v>33</v>
      </c>
      <c r="B147" s="1092">
        <v>7</v>
      </c>
      <c r="C147" s="1092">
        <v>8</v>
      </c>
      <c r="D147" s="1092">
        <v>7</v>
      </c>
      <c r="E147" s="1092">
        <v>15</v>
      </c>
      <c r="F147" s="1092">
        <v>2</v>
      </c>
      <c r="G147" s="1092">
        <v>23</v>
      </c>
      <c r="H147" s="1092">
        <v>11</v>
      </c>
      <c r="I147" s="1092">
        <v>5</v>
      </c>
      <c r="J147" s="1092">
        <v>11</v>
      </c>
      <c r="K147" s="1092">
        <v>7</v>
      </c>
      <c r="L147" s="1092">
        <v>11</v>
      </c>
      <c r="M147" s="1092">
        <v>17</v>
      </c>
      <c r="N147" s="27">
        <f t="shared" si="23"/>
        <v>124</v>
      </c>
    </row>
    <row r="148" spans="1:14">
      <c r="A148" s="32" t="s">
        <v>56</v>
      </c>
      <c r="B148" s="1092">
        <v>0</v>
      </c>
      <c r="C148" s="1092">
        <v>20</v>
      </c>
      <c r="D148" s="1092">
        <v>0</v>
      </c>
      <c r="E148" s="1092">
        <v>0</v>
      </c>
      <c r="F148" s="1092">
        <v>0</v>
      </c>
      <c r="G148" s="1092">
        <v>37</v>
      </c>
      <c r="H148" s="1092">
        <v>41</v>
      </c>
      <c r="I148" s="1092">
        <v>0</v>
      </c>
      <c r="J148" s="1092">
        <v>0</v>
      </c>
      <c r="K148" s="1092">
        <v>0</v>
      </c>
      <c r="L148" s="1092">
        <v>0</v>
      </c>
      <c r="M148" s="1092">
        <v>0</v>
      </c>
      <c r="N148" s="27">
        <f t="shared" si="23"/>
        <v>98</v>
      </c>
    </row>
    <row r="149" spans="1:14">
      <c r="A149" s="78" t="s">
        <v>30</v>
      </c>
      <c r="B149" s="1092">
        <v>1</v>
      </c>
      <c r="C149" s="1092">
        <v>5</v>
      </c>
      <c r="D149" s="1092">
        <v>0</v>
      </c>
      <c r="E149" s="1092">
        <v>0</v>
      </c>
      <c r="F149" s="1092">
        <v>1</v>
      </c>
      <c r="G149" s="1092">
        <v>0</v>
      </c>
      <c r="H149" s="1092">
        <v>0</v>
      </c>
      <c r="I149" s="1092">
        <v>2</v>
      </c>
      <c r="J149" s="1092">
        <v>0</v>
      </c>
      <c r="K149" s="1092">
        <v>0</v>
      </c>
      <c r="L149" s="1092">
        <v>0</v>
      </c>
      <c r="M149" s="1092">
        <v>0</v>
      </c>
      <c r="N149" s="27">
        <f t="shared" si="23"/>
        <v>9</v>
      </c>
    </row>
    <row r="150" spans="1:14" hidden="1">
      <c r="A150" s="76" t="s">
        <v>182</v>
      </c>
      <c r="B150" s="1092"/>
      <c r="C150" s="1092"/>
      <c r="D150" s="1092"/>
      <c r="E150" s="1092"/>
      <c r="F150" s="1092"/>
      <c r="G150" s="1092"/>
      <c r="H150" s="1092"/>
      <c r="I150" s="1092"/>
      <c r="J150" s="1092"/>
      <c r="K150" s="1092"/>
      <c r="L150" s="1092"/>
      <c r="M150" s="1092"/>
      <c r="N150" s="27">
        <f t="shared" si="23"/>
        <v>0</v>
      </c>
    </row>
    <row r="151" spans="1:14">
      <c r="A151" s="76" t="s">
        <v>165</v>
      </c>
      <c r="B151" s="1092">
        <v>0</v>
      </c>
      <c r="C151" s="1092">
        <v>0</v>
      </c>
      <c r="D151" s="1092">
        <v>0</v>
      </c>
      <c r="E151" s="1092">
        <v>0</v>
      </c>
      <c r="F151" s="1092">
        <v>0</v>
      </c>
      <c r="G151" s="1092">
        <v>0</v>
      </c>
      <c r="H151" s="1092">
        <v>0</v>
      </c>
      <c r="I151" s="1092">
        <v>0</v>
      </c>
      <c r="J151" s="1092">
        <v>0</v>
      </c>
      <c r="K151" s="1092">
        <v>0</v>
      </c>
      <c r="L151" s="1092">
        <v>0</v>
      </c>
      <c r="M151" s="1092">
        <v>0</v>
      </c>
      <c r="N151" s="27">
        <v>4178</v>
      </c>
    </row>
    <row r="152" spans="1:14" ht="14" thickBot="1">
      <c r="A152" s="76" t="s">
        <v>166</v>
      </c>
      <c r="B152" s="1092">
        <v>0</v>
      </c>
      <c r="C152" s="1092">
        <v>0</v>
      </c>
      <c r="D152" s="1092">
        <v>0</v>
      </c>
      <c r="E152" s="1092">
        <v>0</v>
      </c>
      <c r="F152" s="1092">
        <v>0</v>
      </c>
      <c r="G152" s="1092">
        <v>0</v>
      </c>
      <c r="H152" s="1092">
        <v>0</v>
      </c>
      <c r="I152" s="1092">
        <v>0</v>
      </c>
      <c r="J152" s="1092">
        <v>0</v>
      </c>
      <c r="K152" s="1092">
        <v>0</v>
      </c>
      <c r="L152" s="1092">
        <v>0</v>
      </c>
      <c r="M152" s="1092">
        <v>0</v>
      </c>
      <c r="N152" s="27">
        <f t="shared" si="23"/>
        <v>0</v>
      </c>
    </row>
    <row r="153" spans="1:14" ht="14" thickBot="1">
      <c r="A153" s="53" t="s">
        <v>60</v>
      </c>
      <c r="B153" s="55">
        <f>SUM(B146:B152)</f>
        <v>8</v>
      </c>
      <c r="C153" s="55">
        <f t="shared" ref="C153:M153" si="24">SUM(C146:C152)</f>
        <v>33</v>
      </c>
      <c r="D153" s="55">
        <f t="shared" si="24"/>
        <v>7</v>
      </c>
      <c r="E153" s="55">
        <f t="shared" si="24"/>
        <v>15</v>
      </c>
      <c r="F153" s="55">
        <f t="shared" si="24"/>
        <v>3</v>
      </c>
      <c r="G153" s="55">
        <f t="shared" si="24"/>
        <v>60</v>
      </c>
      <c r="H153" s="55">
        <f t="shared" si="24"/>
        <v>52</v>
      </c>
      <c r="I153" s="55">
        <f t="shared" si="24"/>
        <v>7</v>
      </c>
      <c r="J153" s="55">
        <f t="shared" si="24"/>
        <v>11</v>
      </c>
      <c r="K153" s="55">
        <f t="shared" si="24"/>
        <v>7</v>
      </c>
      <c r="L153" s="55">
        <f>SUM(L146:L152)</f>
        <v>11</v>
      </c>
      <c r="M153" s="55">
        <f t="shared" si="24"/>
        <v>17</v>
      </c>
      <c r="N153" s="54">
        <f>SUM(N146:N152)</f>
        <v>4409</v>
      </c>
    </row>
    <row r="154" spans="1:14" ht="14" thickBot="1">
      <c r="A154" s="38" t="s">
        <v>49</v>
      </c>
      <c r="B154" s="39"/>
      <c r="C154" s="39"/>
      <c r="D154" s="39"/>
      <c r="E154" s="39"/>
      <c r="F154" s="39"/>
      <c r="G154" s="39"/>
      <c r="H154" s="39"/>
      <c r="I154" s="39"/>
      <c r="J154" s="39"/>
      <c r="K154" s="39"/>
      <c r="L154" s="39"/>
      <c r="M154" s="39"/>
      <c r="N154" s="40"/>
    </row>
    <row r="155" spans="1:14">
      <c r="A155" s="76" t="s">
        <v>147</v>
      </c>
      <c r="B155" s="1092">
        <v>0</v>
      </c>
      <c r="C155" s="1092">
        <v>0</v>
      </c>
      <c r="D155" s="1092">
        <v>0</v>
      </c>
      <c r="E155" s="1092">
        <v>0</v>
      </c>
      <c r="F155" s="1092">
        <v>0</v>
      </c>
      <c r="G155" s="1092">
        <v>0</v>
      </c>
      <c r="H155" s="1092">
        <v>0</v>
      </c>
      <c r="I155" s="1092">
        <v>0</v>
      </c>
      <c r="J155" s="1092">
        <v>0</v>
      </c>
      <c r="K155" s="1092">
        <v>0</v>
      </c>
      <c r="L155" s="1092">
        <v>0</v>
      </c>
      <c r="M155" s="1092">
        <v>0</v>
      </c>
      <c r="N155" s="27">
        <v>64</v>
      </c>
    </row>
    <row r="156" spans="1:14" ht="14" thickBot="1">
      <c r="A156" s="76" t="s">
        <v>179</v>
      </c>
      <c r="B156" s="1092">
        <v>0</v>
      </c>
      <c r="C156" s="1092">
        <v>0</v>
      </c>
      <c r="D156" s="1092">
        <v>0</v>
      </c>
      <c r="E156" s="1092">
        <v>0</v>
      </c>
      <c r="F156" s="1092">
        <v>0</v>
      </c>
      <c r="G156" s="1092">
        <v>0</v>
      </c>
      <c r="H156" s="1092">
        <v>0</v>
      </c>
      <c r="I156" s="1092">
        <v>0</v>
      </c>
      <c r="J156" s="1092">
        <v>0</v>
      </c>
      <c r="K156" s="1092">
        <v>0</v>
      </c>
      <c r="L156" s="1092">
        <v>0</v>
      </c>
      <c r="M156" s="1092">
        <v>0</v>
      </c>
      <c r="N156" s="27">
        <v>370</v>
      </c>
    </row>
    <row r="157" spans="1:14" ht="14" thickBot="1">
      <c r="A157" s="53" t="s">
        <v>60</v>
      </c>
      <c r="B157" s="55">
        <f>SUM(B155)</f>
        <v>0</v>
      </c>
      <c r="C157" s="55">
        <f t="shared" ref="C157:M157" si="25">SUM(C155)</f>
        <v>0</v>
      </c>
      <c r="D157" s="55">
        <f t="shared" si="25"/>
        <v>0</v>
      </c>
      <c r="E157" s="55">
        <f t="shared" si="25"/>
        <v>0</v>
      </c>
      <c r="F157" s="55">
        <f t="shared" si="25"/>
        <v>0</v>
      </c>
      <c r="G157" s="55">
        <f t="shared" si="25"/>
        <v>0</v>
      </c>
      <c r="H157" s="55">
        <f t="shared" si="25"/>
        <v>0</v>
      </c>
      <c r="I157" s="55">
        <f t="shared" si="25"/>
        <v>0</v>
      </c>
      <c r="J157" s="55">
        <f t="shared" si="25"/>
        <v>0</v>
      </c>
      <c r="K157" s="55">
        <f t="shared" si="25"/>
        <v>0</v>
      </c>
      <c r="L157" s="55">
        <f t="shared" si="25"/>
        <v>0</v>
      </c>
      <c r="M157" s="55">
        <f t="shared" si="25"/>
        <v>0</v>
      </c>
      <c r="N157" s="54">
        <f>SUM(N155:N156)</f>
        <v>434</v>
      </c>
    </row>
    <row r="158" spans="1:14" ht="14" thickBot="1">
      <c r="A158" s="38" t="s">
        <v>50</v>
      </c>
      <c r="B158" s="39"/>
      <c r="C158" s="39"/>
      <c r="D158" s="39"/>
      <c r="E158" s="39"/>
      <c r="F158" s="39"/>
      <c r="G158" s="39"/>
      <c r="H158" s="39"/>
      <c r="I158" s="39"/>
      <c r="J158" s="39"/>
      <c r="K158" s="39"/>
      <c r="L158" s="39"/>
      <c r="M158" s="39"/>
      <c r="N158" s="40"/>
    </row>
    <row r="159" spans="1:14">
      <c r="A159" s="32" t="s">
        <v>29</v>
      </c>
      <c r="B159" s="1092">
        <v>0</v>
      </c>
      <c r="C159" s="1092">
        <v>0</v>
      </c>
      <c r="D159" s="1092">
        <v>0</v>
      </c>
      <c r="E159" s="1092">
        <v>0</v>
      </c>
      <c r="F159" s="1092">
        <v>0</v>
      </c>
      <c r="G159" s="1092">
        <v>0</v>
      </c>
      <c r="H159" s="1092">
        <v>0</v>
      </c>
      <c r="I159" s="1092">
        <v>0</v>
      </c>
      <c r="J159" s="1092">
        <v>0</v>
      </c>
      <c r="K159" s="1092">
        <v>0</v>
      </c>
      <c r="L159" s="1092">
        <v>4</v>
      </c>
      <c r="M159" s="1092">
        <v>0</v>
      </c>
      <c r="N159" s="27">
        <f t="shared" ref="N159:N165" si="26">SUM(B159:M159)</f>
        <v>4</v>
      </c>
    </row>
    <row r="160" spans="1:14">
      <c r="A160" s="32" t="s">
        <v>51</v>
      </c>
      <c r="B160" s="1092">
        <v>0</v>
      </c>
      <c r="C160" s="1092">
        <v>0</v>
      </c>
      <c r="D160" s="1092">
        <v>0</v>
      </c>
      <c r="E160" s="1092">
        <v>0</v>
      </c>
      <c r="F160" s="1092">
        <v>0</v>
      </c>
      <c r="G160" s="1092">
        <v>0</v>
      </c>
      <c r="H160" s="1092">
        <v>0</v>
      </c>
      <c r="I160" s="1092">
        <v>0</v>
      </c>
      <c r="J160" s="1092">
        <v>31</v>
      </c>
      <c r="K160" s="1092">
        <v>9</v>
      </c>
      <c r="L160" s="1092">
        <v>2</v>
      </c>
      <c r="M160" s="1092">
        <v>0</v>
      </c>
      <c r="N160" s="27">
        <f t="shared" si="26"/>
        <v>42</v>
      </c>
    </row>
    <row r="161" spans="1:14">
      <c r="A161" s="34" t="s">
        <v>20</v>
      </c>
      <c r="B161" s="1092">
        <v>0</v>
      </c>
      <c r="C161" s="1092">
        <v>0</v>
      </c>
      <c r="D161" s="1092">
        <v>0</v>
      </c>
      <c r="E161" s="1092">
        <v>0</v>
      </c>
      <c r="F161" s="1092">
        <v>0</v>
      </c>
      <c r="G161" s="1092">
        <v>0</v>
      </c>
      <c r="H161" s="1092">
        <v>0</v>
      </c>
      <c r="I161" s="1092">
        <v>0</v>
      </c>
      <c r="J161" s="1092">
        <v>0</v>
      </c>
      <c r="K161" s="1092">
        <v>1</v>
      </c>
      <c r="L161" s="1092">
        <v>0</v>
      </c>
      <c r="M161" s="1092">
        <v>0</v>
      </c>
      <c r="N161" s="27">
        <f t="shared" si="26"/>
        <v>1</v>
      </c>
    </row>
    <row r="162" spans="1:14">
      <c r="A162" s="34" t="s">
        <v>13</v>
      </c>
      <c r="B162" s="1092">
        <v>0</v>
      </c>
      <c r="C162" s="1092">
        <v>0</v>
      </c>
      <c r="D162" s="1092">
        <v>0</v>
      </c>
      <c r="E162" s="1092">
        <v>0</v>
      </c>
      <c r="F162" s="1092">
        <v>0</v>
      </c>
      <c r="G162" s="1092">
        <v>0</v>
      </c>
      <c r="H162" s="1092">
        <v>0</v>
      </c>
      <c r="I162" s="1092">
        <v>0</v>
      </c>
      <c r="J162" s="1092">
        <v>0</v>
      </c>
      <c r="K162" s="1092">
        <v>0</v>
      </c>
      <c r="L162" s="1092">
        <v>0</v>
      </c>
      <c r="M162" s="1092">
        <v>0</v>
      </c>
      <c r="N162" s="27">
        <f t="shared" si="26"/>
        <v>0</v>
      </c>
    </row>
    <row r="163" spans="1:14" hidden="1">
      <c r="A163" s="35" t="s">
        <v>47</v>
      </c>
      <c r="B163" s="1092">
        <v>0</v>
      </c>
      <c r="C163" s="1092">
        <v>0</v>
      </c>
      <c r="D163" s="1092">
        <v>0</v>
      </c>
      <c r="E163" s="1092"/>
      <c r="F163" s="1092"/>
      <c r="G163" s="1092"/>
      <c r="H163" s="1092"/>
      <c r="I163" s="1092"/>
      <c r="J163" s="1092"/>
      <c r="K163" s="1092"/>
      <c r="L163" s="1092"/>
      <c r="M163" s="1092"/>
      <c r="N163" s="27">
        <f t="shared" si="26"/>
        <v>0</v>
      </c>
    </row>
    <row r="164" spans="1:14">
      <c r="A164" s="76" t="s">
        <v>30</v>
      </c>
      <c r="B164" s="1092">
        <v>0</v>
      </c>
      <c r="C164" s="1092">
        <v>0</v>
      </c>
      <c r="D164" s="1092">
        <v>0</v>
      </c>
      <c r="E164" s="1092">
        <v>1</v>
      </c>
      <c r="F164" s="1092">
        <v>3</v>
      </c>
      <c r="G164" s="1092">
        <v>0</v>
      </c>
      <c r="H164" s="1092">
        <v>0</v>
      </c>
      <c r="I164" s="1092">
        <v>0</v>
      </c>
      <c r="J164" s="1092">
        <v>0</v>
      </c>
      <c r="K164" s="1092">
        <v>0</v>
      </c>
      <c r="L164" s="1092">
        <v>0</v>
      </c>
      <c r="M164" s="1092">
        <v>1</v>
      </c>
      <c r="N164" s="27">
        <f t="shared" si="26"/>
        <v>5</v>
      </c>
    </row>
    <row r="165" spans="1:14" hidden="1">
      <c r="A165" s="76" t="s">
        <v>150</v>
      </c>
      <c r="B165" s="1092">
        <v>0</v>
      </c>
      <c r="C165" s="1092">
        <v>0</v>
      </c>
      <c r="D165" s="1092">
        <v>0</v>
      </c>
      <c r="E165" s="1092"/>
      <c r="F165" s="1092"/>
      <c r="G165" s="1092"/>
      <c r="H165" s="1092"/>
      <c r="I165" s="1092"/>
      <c r="J165" s="1092"/>
      <c r="K165" s="1092"/>
      <c r="L165" s="1092"/>
      <c r="M165" s="1092"/>
      <c r="N165" s="27">
        <f t="shared" si="26"/>
        <v>0</v>
      </c>
    </row>
    <row r="166" spans="1:14">
      <c r="A166" s="32" t="s">
        <v>56</v>
      </c>
      <c r="B166" s="1092">
        <v>0</v>
      </c>
      <c r="C166" s="1092">
        <v>0</v>
      </c>
      <c r="D166" s="1092">
        <v>0</v>
      </c>
      <c r="E166" s="1092">
        <v>0</v>
      </c>
      <c r="F166" s="1092">
        <v>0</v>
      </c>
      <c r="G166" s="1092">
        <v>50</v>
      </c>
      <c r="H166" s="1092">
        <v>0</v>
      </c>
      <c r="I166" s="1092">
        <v>0</v>
      </c>
      <c r="J166" s="1092">
        <v>0</v>
      </c>
      <c r="K166" s="1092">
        <v>0</v>
      </c>
      <c r="L166" s="1092">
        <v>0</v>
      </c>
      <c r="M166" s="1092">
        <v>700</v>
      </c>
      <c r="N166" s="27">
        <f>SUM(B166:M166)</f>
        <v>750</v>
      </c>
    </row>
    <row r="167" spans="1:14">
      <c r="A167" s="78" t="s">
        <v>122</v>
      </c>
      <c r="B167" s="1092">
        <v>0</v>
      </c>
      <c r="C167" s="1092">
        <v>0</v>
      </c>
      <c r="D167" s="1092">
        <v>0</v>
      </c>
      <c r="E167" s="1092">
        <v>0</v>
      </c>
      <c r="F167" s="1092">
        <v>0</v>
      </c>
      <c r="G167" s="1092">
        <v>0</v>
      </c>
      <c r="H167" s="1092">
        <v>0</v>
      </c>
      <c r="I167" s="1092">
        <v>0</v>
      </c>
      <c r="J167" s="1092">
        <v>0</v>
      </c>
      <c r="K167" s="1092">
        <v>0</v>
      </c>
      <c r="L167" s="1092">
        <v>0</v>
      </c>
      <c r="M167" s="1092">
        <v>0</v>
      </c>
      <c r="N167" s="27">
        <f>SUM(B167:M167)</f>
        <v>0</v>
      </c>
    </row>
    <row r="168" spans="1:14" ht="14" hidden="1" thickBot="1">
      <c r="A168" s="32" t="s">
        <v>102</v>
      </c>
      <c r="B168" s="1092">
        <v>0</v>
      </c>
      <c r="C168" s="1092">
        <v>0</v>
      </c>
      <c r="D168" s="1092">
        <v>0</v>
      </c>
      <c r="E168" s="1092"/>
      <c r="F168" s="1092"/>
      <c r="G168" s="1092"/>
      <c r="H168" s="1092"/>
      <c r="I168" s="1092"/>
      <c r="J168" s="1092"/>
      <c r="K168" s="1092"/>
      <c r="L168" s="1092"/>
      <c r="M168" s="1092"/>
      <c r="N168" s="27">
        <f>SUM(B168:M168)</f>
        <v>0</v>
      </c>
    </row>
    <row r="169" spans="1:14">
      <c r="A169" s="78" t="s">
        <v>167</v>
      </c>
      <c r="B169" s="1092">
        <v>0</v>
      </c>
      <c r="C169" s="1092">
        <v>0</v>
      </c>
      <c r="D169" s="1092">
        <v>0</v>
      </c>
      <c r="E169" s="1092">
        <v>0</v>
      </c>
      <c r="F169" s="1092">
        <v>0</v>
      </c>
      <c r="G169" s="1092">
        <v>0</v>
      </c>
      <c r="H169" s="1092">
        <v>0</v>
      </c>
      <c r="I169" s="1092">
        <v>0</v>
      </c>
      <c r="J169" s="1092">
        <v>0</v>
      </c>
      <c r="K169" s="1092">
        <v>0</v>
      </c>
      <c r="L169" s="1092">
        <v>0</v>
      </c>
      <c r="M169" s="1092">
        <v>0</v>
      </c>
      <c r="N169" s="27">
        <f>SUM(B169:M169)</f>
        <v>0</v>
      </c>
    </row>
    <row r="170" spans="1:14">
      <c r="A170" s="32" t="s">
        <v>165</v>
      </c>
      <c r="B170" s="1092">
        <v>0</v>
      </c>
      <c r="C170" s="1092">
        <v>0</v>
      </c>
      <c r="D170" s="1092">
        <v>0</v>
      </c>
      <c r="E170" s="1092">
        <v>0</v>
      </c>
      <c r="F170" s="1092">
        <v>0</v>
      </c>
      <c r="G170" s="1092">
        <v>0</v>
      </c>
      <c r="H170" s="1092">
        <v>0</v>
      </c>
      <c r="I170" s="1092">
        <v>0</v>
      </c>
      <c r="J170" s="1092">
        <v>0</v>
      </c>
      <c r="K170" s="1092">
        <v>0</v>
      </c>
      <c r="L170" s="1092">
        <v>0</v>
      </c>
      <c r="M170" s="1092">
        <v>0</v>
      </c>
      <c r="N170" s="27">
        <v>0</v>
      </c>
    </row>
    <row r="171" spans="1:14" ht="14" thickBot="1">
      <c r="A171" s="78" t="s">
        <v>184</v>
      </c>
      <c r="B171" s="1092">
        <v>0</v>
      </c>
      <c r="C171" s="1092">
        <v>0</v>
      </c>
      <c r="D171" s="1092">
        <v>0</v>
      </c>
      <c r="E171" s="1092">
        <v>0</v>
      </c>
      <c r="F171" s="1092">
        <v>0</v>
      </c>
      <c r="G171" s="1092">
        <v>0</v>
      </c>
      <c r="H171" s="1092">
        <v>0</v>
      </c>
      <c r="I171" s="1092">
        <v>0</v>
      </c>
      <c r="J171" s="1092">
        <v>0</v>
      </c>
      <c r="K171" s="1092">
        <v>0</v>
      </c>
      <c r="L171" s="1092">
        <v>0</v>
      </c>
      <c r="M171" s="1092">
        <v>0</v>
      </c>
      <c r="N171" s="27">
        <f>SUM(B171:M171)</f>
        <v>0</v>
      </c>
    </row>
    <row r="172" spans="1:14" ht="14" thickBot="1">
      <c r="A172" s="53" t="s">
        <v>60</v>
      </c>
      <c r="B172" s="55">
        <f>SUM(B159:B171)</f>
        <v>0</v>
      </c>
      <c r="C172" s="55">
        <f t="shared" ref="C172:K172" si="27">SUM(C159:C171)</f>
        <v>0</v>
      </c>
      <c r="D172" s="55">
        <f t="shared" si="27"/>
        <v>0</v>
      </c>
      <c r="E172" s="55">
        <f t="shared" si="27"/>
        <v>1</v>
      </c>
      <c r="F172" s="55">
        <f t="shared" si="27"/>
        <v>3</v>
      </c>
      <c r="G172" s="55">
        <f t="shared" si="27"/>
        <v>50</v>
      </c>
      <c r="H172" s="55">
        <f t="shared" si="27"/>
        <v>0</v>
      </c>
      <c r="I172" s="55">
        <f t="shared" si="27"/>
        <v>0</v>
      </c>
      <c r="J172" s="55">
        <f t="shared" si="27"/>
        <v>31</v>
      </c>
      <c r="K172" s="55">
        <f t="shared" si="27"/>
        <v>10</v>
      </c>
      <c r="L172" s="55">
        <f>SUM(L159:L171)</f>
        <v>6</v>
      </c>
      <c r="M172" s="55">
        <f>SUM(M159:M171)</f>
        <v>701</v>
      </c>
      <c r="N172" s="54">
        <f>SUM(N159:N171)</f>
        <v>802</v>
      </c>
    </row>
    <row r="175" spans="1:14" ht="14" thickBot="1">
      <c r="B175" s="43" t="s">
        <v>35</v>
      </c>
      <c r="C175" s="43" t="s">
        <v>36</v>
      </c>
      <c r="D175" s="43" t="s">
        <v>37</v>
      </c>
      <c r="E175" s="43" t="s">
        <v>38</v>
      </c>
      <c r="F175" s="43" t="s">
        <v>39</v>
      </c>
      <c r="G175" s="43" t="s">
        <v>40</v>
      </c>
      <c r="H175" s="43" t="s">
        <v>41</v>
      </c>
      <c r="I175" s="43" t="s">
        <v>42</v>
      </c>
      <c r="J175" s="43" t="s">
        <v>43</v>
      </c>
      <c r="K175" s="43" t="s">
        <v>44</v>
      </c>
      <c r="L175" s="43" t="s">
        <v>45</v>
      </c>
      <c r="M175" s="43" t="s">
        <v>46</v>
      </c>
      <c r="N175" s="43" t="s">
        <v>10</v>
      </c>
    </row>
    <row r="176" spans="1:14" ht="17" thickBot="1">
      <c r="A176" s="31" t="s">
        <v>186</v>
      </c>
      <c r="B176" s="24"/>
      <c r="C176" s="24"/>
      <c r="D176" s="22"/>
      <c r="E176" s="22"/>
      <c r="F176" s="25"/>
      <c r="G176" s="25"/>
      <c r="H176" s="22"/>
      <c r="I176" s="22"/>
      <c r="J176" s="22"/>
      <c r="K176" s="22"/>
      <c r="L176" s="24"/>
      <c r="M176" s="24"/>
      <c r="N176" s="26"/>
    </row>
    <row r="177" spans="1:14" ht="14" thickBot="1">
      <c r="A177" s="38" t="s">
        <v>189</v>
      </c>
      <c r="B177" s="39"/>
      <c r="C177" s="39"/>
      <c r="D177" s="39"/>
      <c r="E177" s="39"/>
      <c r="F177" s="39"/>
      <c r="G177" s="39"/>
      <c r="H177" s="39"/>
      <c r="I177" s="39"/>
      <c r="J177" s="39"/>
      <c r="K177" s="39"/>
      <c r="L177" s="39"/>
      <c r="M177" s="39"/>
      <c r="N177" s="40"/>
    </row>
    <row r="178" spans="1:14">
      <c r="A178" s="32" t="s">
        <v>29</v>
      </c>
      <c r="B178" s="1092">
        <v>0</v>
      </c>
      <c r="C178" s="1092">
        <v>0</v>
      </c>
      <c r="D178" s="1092">
        <v>0</v>
      </c>
      <c r="E178" s="1092">
        <v>0</v>
      </c>
      <c r="F178" s="1092">
        <v>0</v>
      </c>
      <c r="G178" s="1092">
        <v>0</v>
      </c>
      <c r="H178" s="1092">
        <v>0</v>
      </c>
      <c r="I178" s="1092">
        <v>0</v>
      </c>
      <c r="J178" s="1092">
        <v>0</v>
      </c>
      <c r="K178" s="1092">
        <v>0</v>
      </c>
      <c r="L178" s="1092">
        <v>0</v>
      </c>
      <c r="M178" s="1092">
        <v>0</v>
      </c>
      <c r="N178" s="27">
        <f t="shared" ref="N178:N185" si="28">SUM(B178:M178)</f>
        <v>0</v>
      </c>
    </row>
    <row r="179" spans="1:14">
      <c r="A179" s="32" t="s">
        <v>33</v>
      </c>
      <c r="B179" s="1092">
        <v>0</v>
      </c>
      <c r="C179" s="1092">
        <v>8</v>
      </c>
      <c r="D179" s="1092">
        <v>7</v>
      </c>
      <c r="E179" s="1092">
        <v>1</v>
      </c>
      <c r="F179" s="1092">
        <v>10</v>
      </c>
      <c r="G179" s="1092">
        <v>8</v>
      </c>
      <c r="H179" s="1092">
        <v>7</v>
      </c>
      <c r="I179" s="1092">
        <v>10</v>
      </c>
      <c r="J179" s="1092">
        <v>18</v>
      </c>
      <c r="K179" s="1092">
        <v>10</v>
      </c>
      <c r="L179" s="1092">
        <v>6</v>
      </c>
      <c r="M179" s="1092">
        <v>11</v>
      </c>
      <c r="N179" s="27">
        <f t="shared" si="28"/>
        <v>96</v>
      </c>
    </row>
    <row r="180" spans="1:14">
      <c r="A180" s="32" t="s">
        <v>56</v>
      </c>
      <c r="B180" s="1092">
        <v>0</v>
      </c>
      <c r="C180" s="1092">
        <v>0</v>
      </c>
      <c r="D180" s="1092">
        <v>0</v>
      </c>
      <c r="E180" s="1092">
        <v>0</v>
      </c>
      <c r="F180" s="1092">
        <v>0</v>
      </c>
      <c r="G180" s="1092">
        <v>0</v>
      </c>
      <c r="H180" s="1092">
        <v>0</v>
      </c>
      <c r="I180" s="1092">
        <v>0</v>
      </c>
      <c r="J180" s="1092">
        <v>0</v>
      </c>
      <c r="K180" s="1092">
        <v>0</v>
      </c>
      <c r="L180" s="1092">
        <v>0</v>
      </c>
      <c r="M180" s="1092">
        <v>0</v>
      </c>
      <c r="N180" s="27">
        <f t="shared" si="28"/>
        <v>0</v>
      </c>
    </row>
    <row r="181" spans="1:14" ht="14" thickBot="1">
      <c r="A181" s="78" t="s">
        <v>30</v>
      </c>
      <c r="B181" s="1092">
        <v>0</v>
      </c>
      <c r="C181" s="1092">
        <v>0</v>
      </c>
      <c r="D181" s="1092">
        <v>0</v>
      </c>
      <c r="E181" s="1092">
        <v>0</v>
      </c>
      <c r="F181" s="1092">
        <v>0</v>
      </c>
      <c r="G181" s="1092">
        <v>0</v>
      </c>
      <c r="H181" s="1092">
        <v>0</v>
      </c>
      <c r="I181" s="1092">
        <v>0</v>
      </c>
      <c r="J181" s="1092">
        <v>2</v>
      </c>
      <c r="K181" s="1092">
        <v>0</v>
      </c>
      <c r="L181" s="1092">
        <v>0</v>
      </c>
      <c r="M181" s="1092">
        <v>0</v>
      </c>
      <c r="N181" s="27">
        <f t="shared" si="28"/>
        <v>2</v>
      </c>
    </row>
    <row r="182" spans="1:14" hidden="1">
      <c r="A182" s="76" t="s">
        <v>182</v>
      </c>
      <c r="B182" s="44"/>
      <c r="C182" s="44"/>
      <c r="D182" s="44"/>
      <c r="E182" s="44"/>
      <c r="F182" s="44"/>
      <c r="G182" s="44"/>
      <c r="H182" s="44"/>
      <c r="I182" s="44"/>
      <c r="J182" s="44"/>
      <c r="K182" s="44"/>
      <c r="L182" s="44"/>
      <c r="M182" s="44"/>
      <c r="N182" s="27">
        <f t="shared" si="28"/>
        <v>0</v>
      </c>
    </row>
    <row r="183" spans="1:14" ht="14" thickBot="1">
      <c r="A183" s="38" t="s">
        <v>190</v>
      </c>
      <c r="B183" s="276"/>
      <c r="C183" s="276"/>
      <c r="D183" s="276"/>
      <c r="E183" s="276"/>
      <c r="F183" s="276"/>
      <c r="G183" s="276"/>
      <c r="H183" s="276"/>
      <c r="I183" s="276"/>
      <c r="J183" s="276"/>
      <c r="K183" s="276"/>
      <c r="L183" s="276"/>
      <c r="M183" s="276"/>
      <c r="N183" s="40"/>
    </row>
    <row r="184" spans="1:14">
      <c r="A184" s="76" t="s">
        <v>165</v>
      </c>
      <c r="B184" s="1092">
        <v>0</v>
      </c>
      <c r="C184" s="1092">
        <v>0</v>
      </c>
      <c r="D184" s="1092">
        <v>0</v>
      </c>
      <c r="E184" s="1092">
        <v>0</v>
      </c>
      <c r="F184" s="1092">
        <v>0</v>
      </c>
      <c r="G184" s="1092">
        <v>0</v>
      </c>
      <c r="H184" s="1092">
        <v>0</v>
      </c>
      <c r="I184" s="1092">
        <v>0</v>
      </c>
      <c r="J184" s="1092">
        <v>0</v>
      </c>
      <c r="K184" s="1092">
        <v>0</v>
      </c>
      <c r="L184" s="1092">
        <v>0</v>
      </c>
      <c r="M184" s="1092">
        <v>1508</v>
      </c>
      <c r="N184" s="27">
        <f>SUM(B184:M184)</f>
        <v>1508</v>
      </c>
    </row>
    <row r="185" spans="1:14">
      <c r="A185" s="76" t="s">
        <v>166</v>
      </c>
      <c r="B185" s="1092">
        <v>0</v>
      </c>
      <c r="C185" s="1092">
        <v>0</v>
      </c>
      <c r="D185" s="1092">
        <v>0</v>
      </c>
      <c r="E185" s="1092">
        <v>0</v>
      </c>
      <c r="F185" s="1092">
        <v>0</v>
      </c>
      <c r="G185" s="1092">
        <v>0</v>
      </c>
      <c r="H185" s="1092">
        <v>0</v>
      </c>
      <c r="I185" s="1092">
        <v>6</v>
      </c>
      <c r="J185" s="1092">
        <v>1</v>
      </c>
      <c r="K185" s="1092">
        <v>2</v>
      </c>
      <c r="L185" s="1092">
        <v>6</v>
      </c>
      <c r="M185" s="1092">
        <v>12</v>
      </c>
      <c r="N185" s="27">
        <f t="shared" si="28"/>
        <v>27</v>
      </c>
    </row>
    <row r="186" spans="1:14" ht="14" thickBot="1">
      <c r="A186" s="76" t="s">
        <v>193</v>
      </c>
      <c r="B186" s="1092">
        <v>0</v>
      </c>
      <c r="C186" s="1092">
        <v>0</v>
      </c>
      <c r="D186" s="1092">
        <v>0</v>
      </c>
      <c r="E186" s="1092">
        <v>0</v>
      </c>
      <c r="F186" s="1092">
        <v>0</v>
      </c>
      <c r="G186" s="1092">
        <v>0</v>
      </c>
      <c r="H186" s="1092">
        <v>0</v>
      </c>
      <c r="I186" s="1092">
        <v>0</v>
      </c>
      <c r="J186" s="1092">
        <v>0</v>
      </c>
      <c r="K186" s="1092">
        <v>0</v>
      </c>
      <c r="L186" s="1092">
        <v>0</v>
      </c>
      <c r="M186" s="1092">
        <v>0</v>
      </c>
      <c r="N186" s="27">
        <f>SUM(B186:M186)</f>
        <v>0</v>
      </c>
    </row>
    <row r="187" spans="1:14" ht="14" thickBot="1">
      <c r="A187" s="53" t="s">
        <v>60</v>
      </c>
      <c r="B187" s="55">
        <f t="shared" ref="B187:L187" si="29">SUM(B178:B186)</f>
        <v>0</v>
      </c>
      <c r="C187" s="55">
        <f t="shared" si="29"/>
        <v>8</v>
      </c>
      <c r="D187" s="55">
        <f t="shared" si="29"/>
        <v>7</v>
      </c>
      <c r="E187" s="55">
        <f t="shared" si="29"/>
        <v>1</v>
      </c>
      <c r="F187" s="55">
        <f t="shared" si="29"/>
        <v>10</v>
      </c>
      <c r="G187" s="55">
        <f t="shared" si="29"/>
        <v>8</v>
      </c>
      <c r="H187" s="55">
        <f t="shared" si="29"/>
        <v>7</v>
      </c>
      <c r="I187" s="55">
        <f t="shared" si="29"/>
        <v>16</v>
      </c>
      <c r="J187" s="55">
        <f t="shared" si="29"/>
        <v>21</v>
      </c>
      <c r="K187" s="55">
        <f t="shared" si="29"/>
        <v>12</v>
      </c>
      <c r="L187" s="55">
        <f t="shared" si="29"/>
        <v>12</v>
      </c>
      <c r="M187" s="55">
        <f>SUM(M178:M186)</f>
        <v>1531</v>
      </c>
      <c r="N187" s="54">
        <f>SUM(N178:N186)</f>
        <v>1633</v>
      </c>
    </row>
    <row r="188" spans="1:14" ht="14" thickBot="1">
      <c r="A188" s="38" t="s">
        <v>191</v>
      </c>
      <c r="B188" s="276"/>
      <c r="C188" s="276"/>
      <c r="D188" s="276"/>
      <c r="E188" s="276"/>
      <c r="F188" s="276"/>
      <c r="G188" s="276"/>
      <c r="H188" s="276"/>
      <c r="I188" s="276"/>
      <c r="J188" s="276"/>
      <c r="K188" s="276"/>
      <c r="L188" s="276"/>
      <c r="M188" s="276"/>
      <c r="N188" s="40"/>
    </row>
    <row r="189" spans="1:14">
      <c r="A189" s="76" t="s">
        <v>147</v>
      </c>
      <c r="B189" s="1092">
        <v>28</v>
      </c>
      <c r="C189" s="1092">
        <v>0</v>
      </c>
      <c r="D189" s="1092">
        <v>0</v>
      </c>
      <c r="E189" s="1092">
        <v>0</v>
      </c>
      <c r="F189" s="1092">
        <v>0</v>
      </c>
      <c r="G189" s="1092">
        <v>0</v>
      </c>
      <c r="H189" s="1092">
        <v>0</v>
      </c>
      <c r="I189" s="1092">
        <v>0</v>
      </c>
      <c r="J189" s="1092">
        <v>2</v>
      </c>
      <c r="K189" s="1092">
        <v>2</v>
      </c>
      <c r="L189" s="1092">
        <v>2</v>
      </c>
      <c r="M189" s="1092">
        <v>0</v>
      </c>
      <c r="N189" s="27">
        <f>SUM(B189:M189)</f>
        <v>34</v>
      </c>
    </row>
    <row r="190" spans="1:14" ht="14" thickBot="1">
      <c r="A190" s="76" t="s">
        <v>179</v>
      </c>
      <c r="B190" s="1092">
        <v>26</v>
      </c>
      <c r="C190" s="1092">
        <v>28</v>
      </c>
      <c r="D190" s="1092">
        <v>40</v>
      </c>
      <c r="E190" s="1092">
        <v>24</v>
      </c>
      <c r="F190" s="1092">
        <v>41</v>
      </c>
      <c r="G190" s="1092">
        <v>9</v>
      </c>
      <c r="H190" s="1092">
        <v>28</v>
      </c>
      <c r="I190" s="1092">
        <v>11</v>
      </c>
      <c r="J190" s="1092">
        <v>9</v>
      </c>
      <c r="K190" s="1092">
        <v>8</v>
      </c>
      <c r="L190" s="1092">
        <v>2</v>
      </c>
      <c r="M190" s="1092">
        <v>0</v>
      </c>
      <c r="N190" s="27">
        <f>SUM(B190:M190)</f>
        <v>226</v>
      </c>
    </row>
    <row r="191" spans="1:14" ht="14" thickBot="1">
      <c r="A191" s="53" t="s">
        <v>60</v>
      </c>
      <c r="B191" s="55">
        <f t="shared" ref="B191:L191" si="30">SUM(B189:B190)</f>
        <v>54</v>
      </c>
      <c r="C191" s="55">
        <f t="shared" si="30"/>
        <v>28</v>
      </c>
      <c r="D191" s="55">
        <f t="shared" si="30"/>
        <v>40</v>
      </c>
      <c r="E191" s="55">
        <f t="shared" si="30"/>
        <v>24</v>
      </c>
      <c r="F191" s="55">
        <f t="shared" si="30"/>
        <v>41</v>
      </c>
      <c r="G191" s="55">
        <f t="shared" si="30"/>
        <v>9</v>
      </c>
      <c r="H191" s="55">
        <f t="shared" si="30"/>
        <v>28</v>
      </c>
      <c r="I191" s="55">
        <f t="shared" si="30"/>
        <v>11</v>
      </c>
      <c r="J191" s="55">
        <f t="shared" si="30"/>
        <v>11</v>
      </c>
      <c r="K191" s="55">
        <f t="shared" si="30"/>
        <v>10</v>
      </c>
      <c r="L191" s="55">
        <f t="shared" si="30"/>
        <v>4</v>
      </c>
      <c r="M191" s="55">
        <f>SUM(M189:M190)</f>
        <v>0</v>
      </c>
      <c r="N191" s="54">
        <f>SUM(N189:N190)</f>
        <v>260</v>
      </c>
    </row>
    <row r="192" spans="1:14" ht="14" thickBot="1">
      <c r="A192" s="38" t="s">
        <v>194</v>
      </c>
      <c r="B192" s="39"/>
      <c r="C192" s="39"/>
      <c r="D192" s="39"/>
      <c r="E192" s="39"/>
      <c r="F192" s="39"/>
      <c r="G192" s="39"/>
      <c r="H192" s="39"/>
      <c r="I192" s="39"/>
      <c r="J192" s="39"/>
      <c r="K192" s="39"/>
      <c r="L192" s="39"/>
      <c r="M192" s="39"/>
      <c r="N192" s="40"/>
    </row>
    <row r="193" spans="1:14">
      <c r="A193" s="32" t="s">
        <v>29</v>
      </c>
      <c r="B193" s="1092">
        <v>0</v>
      </c>
      <c r="C193" s="1092">
        <v>0</v>
      </c>
      <c r="D193" s="1092">
        <v>0</v>
      </c>
      <c r="E193" s="1092">
        <v>0</v>
      </c>
      <c r="F193" s="1092">
        <v>0</v>
      </c>
      <c r="G193" s="1092">
        <v>0</v>
      </c>
      <c r="H193" s="1092">
        <v>0</v>
      </c>
      <c r="I193" s="1092">
        <v>0</v>
      </c>
      <c r="J193" s="1092">
        <v>0</v>
      </c>
      <c r="K193" s="1092">
        <v>0</v>
      </c>
      <c r="L193" s="1092">
        <v>0</v>
      </c>
      <c r="M193" s="1092">
        <v>0</v>
      </c>
      <c r="N193" s="27">
        <f t="shared" ref="N193:N199" si="31">SUM(B193:M193)</f>
        <v>0</v>
      </c>
    </row>
    <row r="194" spans="1:14">
      <c r="A194" s="32" t="s">
        <v>51</v>
      </c>
      <c r="B194" s="1092">
        <v>0</v>
      </c>
      <c r="C194" s="1092">
        <v>0</v>
      </c>
      <c r="D194" s="1092">
        <v>0</v>
      </c>
      <c r="E194" s="1092">
        <v>0</v>
      </c>
      <c r="F194" s="1092">
        <v>0</v>
      </c>
      <c r="G194" s="1092">
        <v>0</v>
      </c>
      <c r="H194" s="1092">
        <v>0</v>
      </c>
      <c r="I194" s="1092">
        <v>0</v>
      </c>
      <c r="J194" s="1092">
        <v>0</v>
      </c>
      <c r="K194" s="1092">
        <v>0</v>
      </c>
      <c r="L194" s="1092">
        <v>0</v>
      </c>
      <c r="M194" s="1092">
        <v>0</v>
      </c>
      <c r="N194" s="27">
        <f t="shared" si="31"/>
        <v>0</v>
      </c>
    </row>
    <row r="195" spans="1:14">
      <c r="A195" s="34" t="s">
        <v>204</v>
      </c>
      <c r="B195" s="1092">
        <v>2</v>
      </c>
      <c r="C195" s="1092">
        <v>0</v>
      </c>
      <c r="D195" s="1092">
        <v>2</v>
      </c>
      <c r="E195" s="1092">
        <v>0</v>
      </c>
      <c r="F195" s="1092">
        <v>0</v>
      </c>
      <c r="G195" s="1092">
        <v>0</v>
      </c>
      <c r="H195" s="1092">
        <v>0</v>
      </c>
      <c r="I195" s="1092">
        <v>0</v>
      </c>
      <c r="J195" s="1092">
        <v>0</v>
      </c>
      <c r="K195" s="1092">
        <v>0</v>
      </c>
      <c r="L195" s="1092">
        <v>0</v>
      </c>
      <c r="M195" s="1092">
        <v>0</v>
      </c>
      <c r="N195" s="27">
        <f t="shared" si="31"/>
        <v>4</v>
      </c>
    </row>
    <row r="196" spans="1:14">
      <c r="A196" s="34" t="s">
        <v>13</v>
      </c>
      <c r="B196" s="1092">
        <v>0</v>
      </c>
      <c r="C196" s="1092">
        <v>0</v>
      </c>
      <c r="D196" s="1092">
        <v>0</v>
      </c>
      <c r="E196" s="1092">
        <v>0</v>
      </c>
      <c r="F196" s="1092">
        <v>0</v>
      </c>
      <c r="G196" s="1092">
        <v>0</v>
      </c>
      <c r="H196" s="1092">
        <v>0</v>
      </c>
      <c r="I196" s="1092">
        <v>0</v>
      </c>
      <c r="J196" s="1092">
        <v>0</v>
      </c>
      <c r="K196" s="1092">
        <v>0</v>
      </c>
      <c r="L196" s="1092">
        <v>0</v>
      </c>
      <c r="M196" s="1092">
        <v>0</v>
      </c>
      <c r="N196" s="27">
        <f t="shared" si="31"/>
        <v>0</v>
      </c>
    </row>
    <row r="197" spans="1:14" hidden="1">
      <c r="A197" s="35" t="s">
        <v>47</v>
      </c>
      <c r="B197" s="1092"/>
      <c r="C197" s="1092">
        <v>0</v>
      </c>
      <c r="D197" s="1092"/>
      <c r="E197" s="1092"/>
      <c r="F197" s="1092"/>
      <c r="G197" s="1092"/>
      <c r="H197" s="1092"/>
      <c r="I197" s="1092"/>
      <c r="J197" s="1092"/>
      <c r="K197" s="1092"/>
      <c r="L197" s="1092">
        <v>0</v>
      </c>
      <c r="M197" s="1092">
        <v>0</v>
      </c>
      <c r="N197" s="27">
        <f t="shared" si="31"/>
        <v>0</v>
      </c>
    </row>
    <row r="198" spans="1:14">
      <c r="A198" s="76" t="s">
        <v>30</v>
      </c>
      <c r="B198" s="1092">
        <v>1</v>
      </c>
      <c r="C198" s="1092">
        <v>0</v>
      </c>
      <c r="D198" s="1092">
        <v>1</v>
      </c>
      <c r="E198" s="1092">
        <v>0</v>
      </c>
      <c r="F198" s="1092">
        <v>0</v>
      </c>
      <c r="G198" s="1092">
        <v>0</v>
      </c>
      <c r="H198" s="1092">
        <v>0</v>
      </c>
      <c r="I198" s="1092">
        <v>0</v>
      </c>
      <c r="J198" s="1092">
        <v>0</v>
      </c>
      <c r="K198" s="1092">
        <v>0</v>
      </c>
      <c r="L198" s="1092">
        <v>0</v>
      </c>
      <c r="M198" s="1092">
        <v>0</v>
      </c>
      <c r="N198" s="27">
        <f t="shared" si="31"/>
        <v>2</v>
      </c>
    </row>
    <row r="199" spans="1:14" hidden="1">
      <c r="A199" s="76" t="s">
        <v>150</v>
      </c>
      <c r="B199" s="1092"/>
      <c r="C199" s="1092">
        <v>0</v>
      </c>
      <c r="D199" s="1092"/>
      <c r="E199" s="1092"/>
      <c r="F199" s="1092">
        <v>0</v>
      </c>
      <c r="G199" s="1092"/>
      <c r="H199" s="1092"/>
      <c r="I199" s="1092"/>
      <c r="J199" s="1092"/>
      <c r="K199" s="1092"/>
      <c r="L199" s="1092">
        <v>0</v>
      </c>
      <c r="M199" s="1092">
        <v>0</v>
      </c>
      <c r="N199" s="27">
        <f t="shared" si="31"/>
        <v>0</v>
      </c>
    </row>
    <row r="200" spans="1:14">
      <c r="A200" s="32" t="s">
        <v>56</v>
      </c>
      <c r="B200" s="1092">
        <v>4</v>
      </c>
      <c r="C200" s="1092">
        <v>0</v>
      </c>
      <c r="D200" s="1092">
        <v>1</v>
      </c>
      <c r="E200" s="1092">
        <v>1</v>
      </c>
      <c r="F200" s="1092">
        <v>0</v>
      </c>
      <c r="G200" s="1092">
        <v>0</v>
      </c>
      <c r="H200" s="1092">
        <v>0</v>
      </c>
      <c r="I200" s="1092">
        <v>0</v>
      </c>
      <c r="J200" s="1092">
        <v>0</v>
      </c>
      <c r="K200" s="1092">
        <v>0</v>
      </c>
      <c r="L200" s="1092">
        <v>0</v>
      </c>
      <c r="M200" s="1092">
        <v>0</v>
      </c>
      <c r="N200" s="27">
        <f t="shared" ref="N200:N205" si="32">SUM(B200:M200)</f>
        <v>6</v>
      </c>
    </row>
    <row r="201" spans="1:14">
      <c r="A201" s="78" t="s">
        <v>122</v>
      </c>
      <c r="B201" s="1092">
        <v>0</v>
      </c>
      <c r="C201" s="1092">
        <v>0</v>
      </c>
      <c r="D201" s="1092">
        <v>0</v>
      </c>
      <c r="E201" s="1092">
        <v>0</v>
      </c>
      <c r="F201" s="1092">
        <v>0</v>
      </c>
      <c r="G201" s="1092">
        <v>0</v>
      </c>
      <c r="H201" s="1092">
        <v>0</v>
      </c>
      <c r="I201" s="1092">
        <v>0</v>
      </c>
      <c r="J201" s="1092">
        <v>0</v>
      </c>
      <c r="K201" s="1092">
        <v>0</v>
      </c>
      <c r="L201" s="1092">
        <v>0</v>
      </c>
      <c r="M201" s="1092">
        <v>0</v>
      </c>
      <c r="N201" s="27">
        <f t="shared" si="32"/>
        <v>0</v>
      </c>
    </row>
    <row r="202" spans="1:14" hidden="1">
      <c r="A202" s="32" t="s">
        <v>102</v>
      </c>
      <c r="B202" s="1092"/>
      <c r="C202" s="1092"/>
      <c r="D202" s="1092"/>
      <c r="E202" s="1092"/>
      <c r="F202" s="1092"/>
      <c r="G202" s="1092"/>
      <c r="H202" s="1092"/>
      <c r="I202" s="1092"/>
      <c r="J202" s="1092"/>
      <c r="K202" s="1092">
        <v>0</v>
      </c>
      <c r="L202" s="1092">
        <v>0</v>
      </c>
      <c r="M202" s="1092">
        <v>0</v>
      </c>
      <c r="N202" s="27">
        <f t="shared" si="32"/>
        <v>0</v>
      </c>
    </row>
    <row r="203" spans="1:14">
      <c r="A203" s="78" t="s">
        <v>184</v>
      </c>
      <c r="B203" s="1092">
        <v>0</v>
      </c>
      <c r="C203" s="1092">
        <v>0</v>
      </c>
      <c r="D203" s="1092">
        <v>0</v>
      </c>
      <c r="E203" s="1092">
        <v>0</v>
      </c>
      <c r="F203" s="1092">
        <v>0</v>
      </c>
      <c r="G203" s="1092">
        <v>0</v>
      </c>
      <c r="H203" s="1092">
        <v>0</v>
      </c>
      <c r="I203" s="1092">
        <v>0</v>
      </c>
      <c r="J203" s="1092">
        <v>0</v>
      </c>
      <c r="K203" s="1092">
        <v>0</v>
      </c>
      <c r="L203" s="1092">
        <v>0</v>
      </c>
      <c r="M203" s="1092">
        <v>0</v>
      </c>
      <c r="N203" s="27">
        <f t="shared" si="32"/>
        <v>0</v>
      </c>
    </row>
    <row r="204" spans="1:14">
      <c r="A204" s="78" t="s">
        <v>187</v>
      </c>
      <c r="B204" s="1092">
        <v>0</v>
      </c>
      <c r="C204" s="1092">
        <v>0</v>
      </c>
      <c r="D204" s="1092">
        <v>0</v>
      </c>
      <c r="E204" s="1092">
        <v>0</v>
      </c>
      <c r="F204" s="1092">
        <v>0</v>
      </c>
      <c r="G204" s="1092">
        <v>0</v>
      </c>
      <c r="H204" s="1092">
        <v>0</v>
      </c>
      <c r="I204" s="1092">
        <v>0</v>
      </c>
      <c r="J204" s="1092">
        <v>0</v>
      </c>
      <c r="K204" s="1092">
        <v>1</v>
      </c>
      <c r="L204" s="1092">
        <v>0</v>
      </c>
      <c r="M204" s="1092">
        <v>0</v>
      </c>
      <c r="N204" s="27">
        <f t="shared" si="32"/>
        <v>1</v>
      </c>
    </row>
    <row r="205" spans="1:14" ht="14" thickBot="1">
      <c r="A205" s="78" t="s">
        <v>188</v>
      </c>
      <c r="B205" s="1092">
        <v>0</v>
      </c>
      <c r="C205" s="1092">
        <v>0</v>
      </c>
      <c r="D205" s="1092">
        <v>0</v>
      </c>
      <c r="E205" s="1092">
        <v>0</v>
      </c>
      <c r="F205" s="1092">
        <v>0</v>
      </c>
      <c r="G205" s="1092">
        <v>0</v>
      </c>
      <c r="H205" s="1092">
        <v>0</v>
      </c>
      <c r="I205" s="1092">
        <v>0</v>
      </c>
      <c r="J205" s="1092">
        <v>0</v>
      </c>
      <c r="K205" s="1092">
        <v>0</v>
      </c>
      <c r="L205" s="1092">
        <v>0</v>
      </c>
      <c r="M205" s="1092">
        <v>0</v>
      </c>
      <c r="N205" s="27">
        <f t="shared" si="32"/>
        <v>0</v>
      </c>
    </row>
    <row r="206" spans="1:14" ht="14" thickBot="1">
      <c r="A206" s="38" t="s">
        <v>192</v>
      </c>
      <c r="B206" s="39"/>
      <c r="C206" s="39"/>
      <c r="D206" s="39"/>
      <c r="E206" s="39"/>
      <c r="F206" s="39"/>
      <c r="G206" s="39"/>
      <c r="H206" s="39"/>
      <c r="I206" s="39"/>
      <c r="J206" s="39"/>
      <c r="K206" s="39"/>
      <c r="L206" s="39"/>
      <c r="M206" s="39"/>
      <c r="N206" s="40"/>
    </row>
    <row r="207" spans="1:14">
      <c r="A207" s="78" t="s">
        <v>167</v>
      </c>
      <c r="B207" s="1092">
        <v>0</v>
      </c>
      <c r="C207" s="1092">
        <v>0</v>
      </c>
      <c r="D207" s="1092">
        <v>0</v>
      </c>
      <c r="E207" s="1092">
        <v>0</v>
      </c>
      <c r="F207" s="1092">
        <v>0</v>
      </c>
      <c r="G207" s="1092">
        <v>0</v>
      </c>
      <c r="H207" s="1092">
        <v>0</v>
      </c>
      <c r="I207" s="1092">
        <v>0</v>
      </c>
      <c r="J207" s="1092">
        <v>0</v>
      </c>
      <c r="K207" s="1092">
        <v>0</v>
      </c>
      <c r="L207" s="1092">
        <v>0</v>
      </c>
      <c r="M207" s="1092">
        <v>0</v>
      </c>
      <c r="N207" s="27">
        <f>SUM(B207:M207)</f>
        <v>0</v>
      </c>
    </row>
    <row r="208" spans="1:14" ht="14" thickBot="1">
      <c r="A208" s="32" t="s">
        <v>165</v>
      </c>
      <c r="B208" s="1092">
        <v>0</v>
      </c>
      <c r="C208" s="1092">
        <v>0</v>
      </c>
      <c r="D208" s="1092">
        <v>0</v>
      </c>
      <c r="E208" s="1092">
        <v>0</v>
      </c>
      <c r="F208" s="1092">
        <v>0</v>
      </c>
      <c r="G208" s="1092">
        <v>0</v>
      </c>
      <c r="H208" s="1092">
        <v>0</v>
      </c>
      <c r="I208" s="1092">
        <v>0</v>
      </c>
      <c r="J208" s="1092">
        <v>0</v>
      </c>
      <c r="K208" s="1092">
        <v>0</v>
      </c>
      <c r="L208" s="1092">
        <v>0</v>
      </c>
      <c r="M208" s="1092">
        <v>6700</v>
      </c>
      <c r="N208" s="27">
        <f>SUM(B208:M208)</f>
        <v>6700</v>
      </c>
    </row>
    <row r="209" spans="1:14" ht="14" thickBot="1">
      <c r="A209" s="53" t="s">
        <v>60</v>
      </c>
      <c r="B209" s="55">
        <f t="shared" ref="B209:L209" si="33">SUM(B193:B208)</f>
        <v>7</v>
      </c>
      <c r="C209" s="55">
        <f t="shared" si="33"/>
        <v>0</v>
      </c>
      <c r="D209" s="55">
        <f t="shared" si="33"/>
        <v>4</v>
      </c>
      <c r="E209" s="55">
        <f t="shared" si="33"/>
        <v>1</v>
      </c>
      <c r="F209" s="55">
        <f t="shared" si="33"/>
        <v>0</v>
      </c>
      <c r="G209" s="55">
        <f t="shared" si="33"/>
        <v>0</v>
      </c>
      <c r="H209" s="55">
        <f t="shared" si="33"/>
        <v>0</v>
      </c>
      <c r="I209" s="55">
        <f t="shared" si="33"/>
        <v>0</v>
      </c>
      <c r="J209" s="55">
        <f t="shared" si="33"/>
        <v>0</v>
      </c>
      <c r="K209" s="55">
        <f t="shared" si="33"/>
        <v>1</v>
      </c>
      <c r="L209" s="55">
        <f t="shared" si="33"/>
        <v>0</v>
      </c>
      <c r="M209" s="55">
        <f>SUM(M193:M208)</f>
        <v>6700</v>
      </c>
      <c r="N209" s="54">
        <f>SUM(N193:N208)</f>
        <v>6713</v>
      </c>
    </row>
    <row r="212" spans="1:14" ht="14" thickBot="1">
      <c r="B212" s="43" t="s">
        <v>35</v>
      </c>
      <c r="C212" s="43" t="s">
        <v>36</v>
      </c>
      <c r="D212" s="43" t="s">
        <v>37</v>
      </c>
      <c r="E212" s="43" t="s">
        <v>38</v>
      </c>
      <c r="F212" s="43" t="s">
        <v>39</v>
      </c>
      <c r="G212" s="43" t="s">
        <v>40</v>
      </c>
      <c r="H212" s="43" t="s">
        <v>41</v>
      </c>
      <c r="I212" s="43" t="s">
        <v>42</v>
      </c>
      <c r="J212" s="43" t="s">
        <v>43</v>
      </c>
      <c r="K212" s="43" t="s">
        <v>44</v>
      </c>
      <c r="L212" s="43" t="s">
        <v>45</v>
      </c>
      <c r="M212" s="43" t="s">
        <v>46</v>
      </c>
      <c r="N212" s="43" t="s">
        <v>10</v>
      </c>
    </row>
    <row r="213" spans="1:14" ht="17" thickBot="1">
      <c r="A213" s="31" t="s">
        <v>210</v>
      </c>
      <c r="B213" s="24"/>
      <c r="C213" s="24"/>
      <c r="D213" s="22"/>
      <c r="E213" s="22"/>
      <c r="F213" s="25"/>
      <c r="G213" s="25"/>
      <c r="H213" s="22"/>
      <c r="I213" s="22"/>
      <c r="J213" s="22"/>
      <c r="K213" s="22"/>
      <c r="L213" s="24"/>
      <c r="M213" s="24"/>
      <c r="N213" s="26"/>
    </row>
    <row r="214" spans="1:14" ht="14" thickBot="1">
      <c r="A214" s="38" t="s">
        <v>189</v>
      </c>
      <c r="B214" s="39"/>
      <c r="C214" s="39"/>
      <c r="D214" s="39"/>
      <c r="E214" s="39"/>
      <c r="F214" s="39"/>
      <c r="G214" s="39"/>
      <c r="H214" s="39"/>
      <c r="I214" s="39"/>
      <c r="J214" s="39"/>
      <c r="K214" s="39"/>
      <c r="L214" s="39"/>
      <c r="M214" s="39"/>
      <c r="N214" s="40"/>
    </row>
    <row r="215" spans="1:14">
      <c r="A215" s="32" t="s">
        <v>29</v>
      </c>
      <c r="B215" s="1092">
        <v>4</v>
      </c>
      <c r="C215" s="1092">
        <v>0</v>
      </c>
      <c r="D215" s="1092">
        <v>5</v>
      </c>
      <c r="E215" s="1092">
        <v>2</v>
      </c>
      <c r="F215" s="1092">
        <v>1</v>
      </c>
      <c r="G215" s="1092">
        <v>3</v>
      </c>
      <c r="H215" s="1092">
        <v>11</v>
      </c>
      <c r="I215" s="1092">
        <v>0</v>
      </c>
      <c r="J215" s="1092">
        <v>1</v>
      </c>
      <c r="K215" s="1092">
        <v>8</v>
      </c>
      <c r="L215" s="1092">
        <v>9</v>
      </c>
      <c r="M215" s="1092">
        <v>5</v>
      </c>
      <c r="N215" s="27">
        <f>SUM(B215:M215)</f>
        <v>49</v>
      </c>
    </row>
    <row r="216" spans="1:14">
      <c r="A216" s="32" t="s">
        <v>33</v>
      </c>
      <c r="B216" s="1092">
        <v>16</v>
      </c>
      <c r="C216" s="1092">
        <v>9</v>
      </c>
      <c r="D216" s="1092">
        <v>8</v>
      </c>
      <c r="E216" s="1092">
        <v>10</v>
      </c>
      <c r="F216" s="1092">
        <v>3</v>
      </c>
      <c r="G216" s="1092">
        <v>7</v>
      </c>
      <c r="H216" s="1092">
        <v>17</v>
      </c>
      <c r="I216" s="1092">
        <v>7</v>
      </c>
      <c r="J216" s="1092">
        <v>2</v>
      </c>
      <c r="K216" s="1092">
        <v>22</v>
      </c>
      <c r="L216" s="1092">
        <v>21</v>
      </c>
      <c r="M216" s="1092">
        <v>18</v>
      </c>
      <c r="N216" s="27">
        <f>SUM(B216:M216)</f>
        <v>140</v>
      </c>
    </row>
    <row r="217" spans="1:14">
      <c r="A217" s="32" t="s">
        <v>56</v>
      </c>
      <c r="B217" s="1092">
        <v>0</v>
      </c>
      <c r="C217" s="1092">
        <v>0</v>
      </c>
      <c r="D217" s="1092">
        <v>0</v>
      </c>
      <c r="E217" s="1092">
        <v>0</v>
      </c>
      <c r="F217" s="1092">
        <v>0</v>
      </c>
      <c r="G217" s="1092">
        <v>0</v>
      </c>
      <c r="H217" s="1092">
        <v>0</v>
      </c>
      <c r="I217" s="1092">
        <v>0</v>
      </c>
      <c r="J217" s="1092">
        <v>0</v>
      </c>
      <c r="K217" s="1092">
        <v>0</v>
      </c>
      <c r="L217" s="1092">
        <v>0</v>
      </c>
      <c r="M217" s="1092">
        <v>0</v>
      </c>
      <c r="N217" s="27">
        <f>SUM(B217:M217)</f>
        <v>0</v>
      </c>
    </row>
    <row r="218" spans="1:14">
      <c r="A218" s="78" t="s">
        <v>30</v>
      </c>
      <c r="B218" s="1092">
        <v>1</v>
      </c>
      <c r="C218" s="1092">
        <v>1</v>
      </c>
      <c r="D218" s="1092">
        <v>0</v>
      </c>
      <c r="E218" s="1092">
        <v>0</v>
      </c>
      <c r="F218" s="1092">
        <v>0</v>
      </c>
      <c r="G218" s="1092">
        <v>0</v>
      </c>
      <c r="H218" s="1092">
        <v>0</v>
      </c>
      <c r="I218" s="1092">
        <v>0</v>
      </c>
      <c r="J218" s="1092">
        <v>0</v>
      </c>
      <c r="K218" s="1092">
        <v>0</v>
      </c>
      <c r="L218" s="1092">
        <v>0</v>
      </c>
      <c r="M218" s="1092">
        <v>0</v>
      </c>
      <c r="N218" s="27">
        <f>SUM(B218:M218)</f>
        <v>2</v>
      </c>
    </row>
    <row r="219" spans="1:14" ht="14" hidden="1" thickBot="1">
      <c r="A219" s="76" t="s">
        <v>182</v>
      </c>
      <c r="B219" s="1092"/>
      <c r="C219" s="1092"/>
      <c r="D219" s="1092"/>
      <c r="E219" s="1092"/>
      <c r="F219" s="1092"/>
      <c r="G219" s="1092"/>
      <c r="H219" s="1092"/>
      <c r="I219" s="1092"/>
      <c r="J219" s="1092"/>
      <c r="K219" s="1092"/>
      <c r="L219" s="1092"/>
      <c r="M219" s="1092"/>
      <c r="N219" s="27">
        <f>SUM(B219:M219)</f>
        <v>0</v>
      </c>
    </row>
    <row r="220" spans="1:14" ht="14" thickBot="1">
      <c r="A220" s="76" t="s">
        <v>212</v>
      </c>
      <c r="B220" s="1092">
        <v>0</v>
      </c>
      <c r="C220" s="1092">
        <v>0</v>
      </c>
      <c r="D220" s="1092">
        <v>0</v>
      </c>
      <c r="E220" s="1092">
        <v>0</v>
      </c>
      <c r="F220" s="1092">
        <v>0</v>
      </c>
      <c r="G220" s="1092">
        <v>0</v>
      </c>
      <c r="H220" s="1092">
        <v>0</v>
      </c>
      <c r="I220" s="1092">
        <v>0</v>
      </c>
      <c r="J220" s="1092">
        <v>0</v>
      </c>
      <c r="K220" s="1092">
        <v>0</v>
      </c>
      <c r="L220" s="1092">
        <v>0</v>
      </c>
      <c r="M220" s="1092">
        <v>0</v>
      </c>
      <c r="N220" s="27">
        <f>B220+C220+D220+E220+F220+G220+H220+I220+J220+K220+L220+M220</f>
        <v>0</v>
      </c>
    </row>
    <row r="221" spans="1:14" ht="14" thickBot="1">
      <c r="A221" s="38" t="s">
        <v>190</v>
      </c>
      <c r="B221" s="39"/>
      <c r="C221" s="39"/>
      <c r="D221" s="39"/>
      <c r="E221" s="39"/>
      <c r="F221" s="39"/>
      <c r="G221" s="39"/>
      <c r="H221" s="39"/>
      <c r="I221" s="39"/>
      <c r="J221" s="39"/>
      <c r="K221" s="39"/>
      <c r="L221" s="39"/>
      <c r="M221" s="39"/>
      <c r="N221" s="40"/>
    </row>
    <row r="222" spans="1:14">
      <c r="A222" s="76" t="s">
        <v>165</v>
      </c>
      <c r="B222" s="1092">
        <v>1014</v>
      </c>
      <c r="C222" s="1092">
        <v>0</v>
      </c>
      <c r="D222" s="1092">
        <v>0</v>
      </c>
      <c r="E222" s="1092">
        <v>0</v>
      </c>
      <c r="F222" s="1092">
        <v>0</v>
      </c>
      <c r="G222" s="1092">
        <v>0</v>
      </c>
      <c r="H222" s="1092">
        <v>0</v>
      </c>
      <c r="I222" s="1092">
        <v>0</v>
      </c>
      <c r="J222" s="1092">
        <v>0</v>
      </c>
      <c r="K222" s="1092">
        <v>0</v>
      </c>
      <c r="L222" s="1092">
        <v>0</v>
      </c>
      <c r="M222" s="1092">
        <v>0</v>
      </c>
      <c r="N222" s="27">
        <f>SUM(B222:M222)</f>
        <v>1014</v>
      </c>
    </row>
    <row r="223" spans="1:14">
      <c r="A223" s="76" t="s">
        <v>166</v>
      </c>
      <c r="B223" s="1092">
        <v>0</v>
      </c>
      <c r="C223" s="1092">
        <v>11</v>
      </c>
      <c r="D223" s="1092">
        <v>2</v>
      </c>
      <c r="E223" s="1092">
        <v>2</v>
      </c>
      <c r="F223" s="1092">
        <v>11</v>
      </c>
      <c r="G223" s="1092">
        <v>1</v>
      </c>
      <c r="H223" s="1092">
        <v>2</v>
      </c>
      <c r="I223" s="1092">
        <v>2</v>
      </c>
      <c r="J223" s="1092">
        <v>0</v>
      </c>
      <c r="K223" s="1092">
        <v>0</v>
      </c>
      <c r="L223" s="1092">
        <v>0</v>
      </c>
      <c r="M223" s="1092">
        <v>0</v>
      </c>
      <c r="N223" s="27">
        <f>SUM(B223:M223)</f>
        <v>31</v>
      </c>
    </row>
    <row r="224" spans="1:14" ht="14" thickBot="1">
      <c r="A224" s="76" t="s">
        <v>193</v>
      </c>
      <c r="B224" s="1092">
        <v>0</v>
      </c>
      <c r="C224" s="1092">
        <v>0</v>
      </c>
      <c r="D224" s="1092">
        <v>0</v>
      </c>
      <c r="E224" s="1092">
        <v>0</v>
      </c>
      <c r="F224" s="1092">
        <v>3</v>
      </c>
      <c r="G224" s="1092">
        <v>1</v>
      </c>
      <c r="H224" s="1092">
        <v>2</v>
      </c>
      <c r="I224" s="1092">
        <v>0</v>
      </c>
      <c r="J224" s="1092">
        <v>1</v>
      </c>
      <c r="K224" s="1092">
        <v>0</v>
      </c>
      <c r="L224" s="1092">
        <v>2</v>
      </c>
      <c r="M224" s="1092">
        <v>2</v>
      </c>
      <c r="N224" s="27">
        <f>SUM(B224:M224)</f>
        <v>11</v>
      </c>
    </row>
    <row r="225" spans="1:14" ht="14" thickBot="1">
      <c r="A225" s="53" t="s">
        <v>60</v>
      </c>
      <c r="B225" s="55">
        <f>SUM(B215:B224)</f>
        <v>1035</v>
      </c>
      <c r="C225" s="55">
        <f t="shared" ref="C225:L225" si="34">SUM(C215:C224)</f>
        <v>21</v>
      </c>
      <c r="D225" s="55">
        <f t="shared" si="34"/>
        <v>15</v>
      </c>
      <c r="E225" s="55">
        <f t="shared" si="34"/>
        <v>14</v>
      </c>
      <c r="F225" s="55">
        <f t="shared" si="34"/>
        <v>18</v>
      </c>
      <c r="G225" s="55">
        <f t="shared" si="34"/>
        <v>12</v>
      </c>
      <c r="H225" s="55">
        <f t="shared" si="34"/>
        <v>32</v>
      </c>
      <c r="I225" s="55">
        <f t="shared" si="34"/>
        <v>9</v>
      </c>
      <c r="J225" s="55">
        <f t="shared" si="34"/>
        <v>4</v>
      </c>
      <c r="K225" s="55">
        <f t="shared" si="34"/>
        <v>30</v>
      </c>
      <c r="L225" s="55">
        <f t="shared" si="34"/>
        <v>32</v>
      </c>
      <c r="M225" s="55">
        <f>SUM(M215:M224)</f>
        <v>25</v>
      </c>
      <c r="N225" s="54">
        <f>SUM(N215:N224)</f>
        <v>1247</v>
      </c>
    </row>
    <row r="226" spans="1:14" ht="14" hidden="1" thickBot="1">
      <c r="A226" s="38" t="s">
        <v>191</v>
      </c>
      <c r="B226" s="39"/>
      <c r="C226" s="39"/>
      <c r="D226" s="39"/>
      <c r="E226" s="39"/>
      <c r="F226" s="39"/>
      <c r="G226" s="39"/>
      <c r="H226" s="39"/>
      <c r="I226" s="39"/>
      <c r="J226" s="39"/>
      <c r="K226" s="39"/>
      <c r="L226" s="39"/>
      <c r="M226" s="39"/>
      <c r="N226" s="40"/>
    </row>
    <row r="227" spans="1:14" hidden="1">
      <c r="A227" s="76" t="s">
        <v>147</v>
      </c>
      <c r="B227" s="168"/>
      <c r="C227" s="168"/>
      <c r="D227" s="168"/>
      <c r="E227" s="168"/>
      <c r="F227" s="168"/>
      <c r="G227" s="168"/>
      <c r="H227" s="168"/>
      <c r="I227" s="168"/>
      <c r="J227" s="168"/>
      <c r="K227" s="168"/>
      <c r="L227" s="168"/>
      <c r="M227" s="168"/>
      <c r="N227" s="27">
        <f>SUM(B227:M227)</f>
        <v>0</v>
      </c>
    </row>
    <row r="228" spans="1:14" ht="14" hidden="1" thickBot="1">
      <c r="A228" s="76" t="s">
        <v>179</v>
      </c>
      <c r="B228" s="168"/>
      <c r="C228" s="168"/>
      <c r="D228" s="168"/>
      <c r="E228" s="168"/>
      <c r="F228" s="168"/>
      <c r="G228" s="168"/>
      <c r="H228" s="168"/>
      <c r="I228" s="168"/>
      <c r="J228" s="168"/>
      <c r="K228" s="168"/>
      <c r="L228" s="168"/>
      <c r="M228" s="168"/>
      <c r="N228" s="27">
        <f>SUM(B228:M228)</f>
        <v>0</v>
      </c>
    </row>
    <row r="229" spans="1:14" ht="14" hidden="1" thickBot="1">
      <c r="A229" s="53" t="s">
        <v>60</v>
      </c>
      <c r="B229" s="55">
        <f>SUM(B227:B228)</f>
        <v>0</v>
      </c>
      <c r="C229" s="55">
        <f t="shared" ref="C229:M229" si="35">SUM(C227:C228)</f>
        <v>0</v>
      </c>
      <c r="D229" s="55">
        <f t="shared" si="35"/>
        <v>0</v>
      </c>
      <c r="E229" s="55">
        <f t="shared" si="35"/>
        <v>0</v>
      </c>
      <c r="F229" s="55">
        <f t="shared" si="35"/>
        <v>0</v>
      </c>
      <c r="G229" s="55">
        <f t="shared" si="35"/>
        <v>0</v>
      </c>
      <c r="H229" s="55">
        <f t="shared" si="35"/>
        <v>0</v>
      </c>
      <c r="I229" s="55">
        <f t="shared" si="35"/>
        <v>0</v>
      </c>
      <c r="J229" s="55">
        <f t="shared" si="35"/>
        <v>0</v>
      </c>
      <c r="K229" s="55">
        <f t="shared" si="35"/>
        <v>0</v>
      </c>
      <c r="L229" s="55">
        <f t="shared" si="35"/>
        <v>0</v>
      </c>
      <c r="M229" s="55">
        <f t="shared" si="35"/>
        <v>0</v>
      </c>
      <c r="N229" s="54">
        <f>SUM(N227:N228)</f>
        <v>0</v>
      </c>
    </row>
    <row r="230" spans="1:14" ht="14" thickBot="1">
      <c r="A230" s="38" t="s">
        <v>194</v>
      </c>
      <c r="B230" s="39"/>
      <c r="C230" s="39"/>
      <c r="D230" s="39"/>
      <c r="E230" s="39"/>
      <c r="F230" s="39"/>
      <c r="G230" s="39"/>
      <c r="H230" s="39"/>
      <c r="I230" s="39"/>
      <c r="J230" s="39"/>
      <c r="K230" s="39"/>
      <c r="L230" s="39"/>
      <c r="M230" s="39"/>
      <c r="N230" s="40"/>
    </row>
    <row r="231" spans="1:14">
      <c r="A231" s="32" t="s">
        <v>29</v>
      </c>
      <c r="B231" s="1092">
        <v>0</v>
      </c>
      <c r="C231" s="1092">
        <v>0</v>
      </c>
      <c r="D231" s="1092">
        <v>0</v>
      </c>
      <c r="E231" s="1092">
        <v>0</v>
      </c>
      <c r="F231" s="1092">
        <v>0</v>
      </c>
      <c r="G231" s="1092">
        <v>97</v>
      </c>
      <c r="H231" s="1092">
        <v>0</v>
      </c>
      <c r="I231" s="1092">
        <v>0</v>
      </c>
      <c r="J231" s="1092">
        <v>0</v>
      </c>
      <c r="K231" s="1092">
        <v>0</v>
      </c>
      <c r="L231" s="1092">
        <v>0</v>
      </c>
      <c r="M231" s="1092">
        <v>0</v>
      </c>
      <c r="N231" s="27">
        <f t="shared" ref="N231:N237" si="36">SUM(B231:M231)</f>
        <v>97</v>
      </c>
    </row>
    <row r="232" spans="1:14">
      <c r="A232" s="32" t="s">
        <v>51</v>
      </c>
      <c r="B232" s="1092">
        <v>0</v>
      </c>
      <c r="C232" s="1092">
        <v>0</v>
      </c>
      <c r="D232" s="1092">
        <v>0</v>
      </c>
      <c r="E232" s="1092">
        <v>0</v>
      </c>
      <c r="F232" s="1092">
        <v>0</v>
      </c>
      <c r="G232" s="1092">
        <v>0</v>
      </c>
      <c r="H232" s="1092">
        <v>0</v>
      </c>
      <c r="I232" s="1092">
        <v>0</v>
      </c>
      <c r="J232" s="1092">
        <v>0</v>
      </c>
      <c r="K232" s="1092">
        <v>0</v>
      </c>
      <c r="L232" s="1092">
        <v>0</v>
      </c>
      <c r="M232" s="1092">
        <v>0</v>
      </c>
      <c r="N232" s="27">
        <f t="shared" si="36"/>
        <v>0</v>
      </c>
    </row>
    <row r="233" spans="1:14">
      <c r="A233" s="34" t="s">
        <v>204</v>
      </c>
      <c r="B233" s="1092">
        <v>0</v>
      </c>
      <c r="C233" s="1092">
        <v>0</v>
      </c>
      <c r="D233" s="1092">
        <v>0</v>
      </c>
      <c r="E233" s="1092">
        <v>0</v>
      </c>
      <c r="F233" s="1092">
        <v>0</v>
      </c>
      <c r="G233" s="1092">
        <v>0</v>
      </c>
      <c r="H233" s="1092">
        <v>0</v>
      </c>
      <c r="I233" s="1092">
        <v>0</v>
      </c>
      <c r="J233" s="1092">
        <v>0</v>
      </c>
      <c r="K233" s="1092">
        <v>0</v>
      </c>
      <c r="L233" s="1092">
        <v>0</v>
      </c>
      <c r="M233" s="1092">
        <v>0</v>
      </c>
      <c r="N233" s="27">
        <f t="shared" si="36"/>
        <v>0</v>
      </c>
    </row>
    <row r="234" spans="1:14" hidden="1">
      <c r="A234" s="34" t="s">
        <v>13</v>
      </c>
      <c r="B234" s="1092"/>
      <c r="C234" s="1092"/>
      <c r="D234" s="1092"/>
      <c r="E234" s="1092"/>
      <c r="F234" s="1092"/>
      <c r="G234" s="1092"/>
      <c r="H234" s="1092"/>
      <c r="I234" s="1092"/>
      <c r="J234" s="1092"/>
      <c r="K234" s="1092"/>
      <c r="L234" s="1092"/>
      <c r="M234" s="1092"/>
      <c r="N234" s="27">
        <f t="shared" si="36"/>
        <v>0</v>
      </c>
    </row>
    <row r="235" spans="1:14" hidden="1">
      <c r="A235" s="35" t="s">
        <v>47</v>
      </c>
      <c r="B235" s="1092"/>
      <c r="C235" s="1092"/>
      <c r="D235" s="1092"/>
      <c r="E235" s="1092"/>
      <c r="F235" s="1092"/>
      <c r="G235" s="1092"/>
      <c r="H235" s="1092"/>
      <c r="I235" s="1092"/>
      <c r="J235" s="1092"/>
      <c r="K235" s="1092"/>
      <c r="L235" s="1092"/>
      <c r="M235" s="1092"/>
      <c r="N235" s="27">
        <f t="shared" si="36"/>
        <v>0</v>
      </c>
    </row>
    <row r="236" spans="1:14">
      <c r="A236" s="76" t="s">
        <v>30</v>
      </c>
      <c r="B236" s="1092">
        <v>0</v>
      </c>
      <c r="C236" s="1092">
        <v>0</v>
      </c>
      <c r="D236" s="1092">
        <v>0</v>
      </c>
      <c r="E236" s="1092">
        <v>0</v>
      </c>
      <c r="F236" s="1092">
        <v>0</v>
      </c>
      <c r="G236" s="1092">
        <v>0</v>
      </c>
      <c r="H236" s="1092">
        <v>0</v>
      </c>
      <c r="I236" s="1092">
        <v>0</v>
      </c>
      <c r="J236" s="1092">
        <v>4</v>
      </c>
      <c r="K236" s="1092">
        <v>4</v>
      </c>
      <c r="L236" s="1092">
        <v>0</v>
      </c>
      <c r="M236" s="1092">
        <v>0</v>
      </c>
      <c r="N236" s="27">
        <f t="shared" si="36"/>
        <v>8</v>
      </c>
    </row>
    <row r="237" spans="1:14" hidden="1">
      <c r="A237" s="76" t="s">
        <v>150</v>
      </c>
      <c r="B237" s="1092"/>
      <c r="C237" s="1092"/>
      <c r="D237" s="1092"/>
      <c r="E237" s="1092"/>
      <c r="F237" s="1092"/>
      <c r="G237" s="1092"/>
      <c r="H237" s="1092"/>
      <c r="I237" s="1092"/>
      <c r="J237" s="1092"/>
      <c r="K237" s="1092"/>
      <c r="L237" s="1092"/>
      <c r="M237" s="1092"/>
      <c r="N237" s="27">
        <f t="shared" si="36"/>
        <v>0</v>
      </c>
    </row>
    <row r="238" spans="1:14">
      <c r="A238" s="32" t="s">
        <v>56</v>
      </c>
      <c r="B238" s="1092">
        <v>0</v>
      </c>
      <c r="C238" s="1092">
        <v>0</v>
      </c>
      <c r="D238" s="1092">
        <v>0</v>
      </c>
      <c r="E238" s="1092">
        <v>0</v>
      </c>
      <c r="F238" s="1092">
        <v>0</v>
      </c>
      <c r="G238" s="1092">
        <v>0</v>
      </c>
      <c r="H238" s="1092">
        <v>0</v>
      </c>
      <c r="I238" s="1092">
        <v>0</v>
      </c>
      <c r="J238" s="1092">
        <v>232</v>
      </c>
      <c r="K238" s="1092">
        <v>0</v>
      </c>
      <c r="L238" s="1092">
        <v>0</v>
      </c>
      <c r="M238" s="1092">
        <v>0</v>
      </c>
      <c r="N238" s="27">
        <f t="shared" ref="N238:N244" si="37">SUM(B238:M238)</f>
        <v>232</v>
      </c>
    </row>
    <row r="239" spans="1:14">
      <c r="A239" s="78" t="s">
        <v>122</v>
      </c>
      <c r="B239" s="1092">
        <v>0</v>
      </c>
      <c r="C239" s="1092">
        <v>0</v>
      </c>
      <c r="D239" s="1092">
        <v>0</v>
      </c>
      <c r="E239" s="1092">
        <v>0</v>
      </c>
      <c r="F239" s="1092">
        <v>0</v>
      </c>
      <c r="G239" s="1092">
        <v>0</v>
      </c>
      <c r="H239" s="1092">
        <v>0</v>
      </c>
      <c r="I239" s="1092">
        <v>0</v>
      </c>
      <c r="J239" s="1092">
        <v>0</v>
      </c>
      <c r="K239" s="1092">
        <v>0</v>
      </c>
      <c r="L239" s="1092">
        <v>0</v>
      </c>
      <c r="M239" s="1092">
        <v>0</v>
      </c>
      <c r="N239" s="27">
        <f t="shared" si="37"/>
        <v>0</v>
      </c>
    </row>
    <row r="240" spans="1:14" hidden="1">
      <c r="A240" s="32" t="s">
        <v>102</v>
      </c>
      <c r="B240" s="1092"/>
      <c r="C240" s="1092"/>
      <c r="D240" s="1092"/>
      <c r="E240" s="1092"/>
      <c r="F240" s="1092"/>
      <c r="G240" s="1092"/>
      <c r="H240" s="1092"/>
      <c r="I240" s="1092"/>
      <c r="J240" s="1092"/>
      <c r="K240" s="1092"/>
      <c r="L240" s="1092"/>
      <c r="M240" s="1092"/>
      <c r="N240" s="27">
        <f t="shared" si="37"/>
        <v>0</v>
      </c>
    </row>
    <row r="241" spans="1:14">
      <c r="A241" s="78" t="s">
        <v>184</v>
      </c>
      <c r="B241" s="1092">
        <v>0</v>
      </c>
      <c r="C241" s="1092">
        <v>0</v>
      </c>
      <c r="D241" s="1092">
        <v>0</v>
      </c>
      <c r="E241" s="1092">
        <v>0</v>
      </c>
      <c r="F241" s="1092">
        <v>0</v>
      </c>
      <c r="G241" s="1092">
        <v>0</v>
      </c>
      <c r="H241" s="1092">
        <v>0</v>
      </c>
      <c r="I241" s="1092">
        <v>0</v>
      </c>
      <c r="J241" s="1092">
        <v>0</v>
      </c>
      <c r="K241" s="1092">
        <v>0</v>
      </c>
      <c r="L241" s="1092">
        <v>0</v>
      </c>
      <c r="M241" s="1092">
        <v>0</v>
      </c>
      <c r="N241" s="27">
        <f t="shared" si="37"/>
        <v>0</v>
      </c>
    </row>
    <row r="242" spans="1:14">
      <c r="A242" s="78" t="s">
        <v>187</v>
      </c>
      <c r="B242" s="1092">
        <v>0</v>
      </c>
      <c r="C242" s="1092">
        <v>0</v>
      </c>
      <c r="D242" s="1092">
        <v>0</v>
      </c>
      <c r="E242" s="1092">
        <v>0</v>
      </c>
      <c r="F242" s="1092">
        <v>0</v>
      </c>
      <c r="G242" s="1092">
        <v>0</v>
      </c>
      <c r="H242" s="1092">
        <v>0</v>
      </c>
      <c r="I242" s="1092">
        <v>0</v>
      </c>
      <c r="J242" s="1092">
        <v>0</v>
      </c>
      <c r="K242" s="1092">
        <v>0</v>
      </c>
      <c r="L242" s="1092">
        <v>0</v>
      </c>
      <c r="M242" s="1092">
        <v>0</v>
      </c>
      <c r="N242" s="27">
        <f t="shared" si="37"/>
        <v>0</v>
      </c>
    </row>
    <row r="243" spans="1:14">
      <c r="A243" s="78" t="s">
        <v>188</v>
      </c>
      <c r="B243" s="1092">
        <v>0</v>
      </c>
      <c r="C243" s="1092">
        <v>0</v>
      </c>
      <c r="D243" s="1092">
        <v>0</v>
      </c>
      <c r="E243" s="1092">
        <v>0</v>
      </c>
      <c r="F243" s="1092">
        <v>0</v>
      </c>
      <c r="G243" s="1092">
        <v>0</v>
      </c>
      <c r="H243" s="1092">
        <v>0</v>
      </c>
      <c r="I243" s="1092">
        <v>0</v>
      </c>
      <c r="J243" s="1092">
        <v>0</v>
      </c>
      <c r="K243" s="1092">
        <v>0</v>
      </c>
      <c r="L243" s="1092">
        <v>0</v>
      </c>
      <c r="M243" s="1092">
        <v>0</v>
      </c>
      <c r="N243" s="27">
        <f t="shared" si="37"/>
        <v>0</v>
      </c>
    </row>
    <row r="244" spans="1:14" ht="14" thickBot="1">
      <c r="A244" s="78" t="s">
        <v>213</v>
      </c>
      <c r="B244" s="1092">
        <v>0</v>
      </c>
      <c r="C244" s="1092">
        <v>0</v>
      </c>
      <c r="D244" s="1092">
        <v>0</v>
      </c>
      <c r="E244" s="1092">
        <v>0</v>
      </c>
      <c r="F244" s="1092">
        <v>0</v>
      </c>
      <c r="G244" s="1092">
        <v>0</v>
      </c>
      <c r="H244" s="1092">
        <v>0</v>
      </c>
      <c r="I244" s="1092">
        <v>0</v>
      </c>
      <c r="J244" s="1092">
        <v>0</v>
      </c>
      <c r="K244" s="1092">
        <v>0</v>
      </c>
      <c r="L244" s="1092">
        <v>0</v>
      </c>
      <c r="M244" s="1092">
        <v>0</v>
      </c>
      <c r="N244" s="27">
        <f t="shared" si="37"/>
        <v>0</v>
      </c>
    </row>
    <row r="245" spans="1:14" ht="14" thickBot="1">
      <c r="A245" s="38" t="s">
        <v>192</v>
      </c>
      <c r="B245" s="39"/>
      <c r="C245" s="39"/>
      <c r="D245" s="39"/>
      <c r="E245" s="39"/>
      <c r="F245" s="39"/>
      <c r="G245" s="39"/>
      <c r="H245" s="39"/>
      <c r="I245" s="39"/>
      <c r="J245" s="39"/>
      <c r="K245" s="39"/>
      <c r="L245" s="39"/>
      <c r="M245" s="39"/>
      <c r="N245" s="40"/>
    </row>
    <row r="246" spans="1:14" hidden="1">
      <c r="A246" s="78" t="s">
        <v>167</v>
      </c>
      <c r="B246" s="275"/>
      <c r="C246" s="275"/>
      <c r="D246" s="275"/>
      <c r="E246" s="275"/>
      <c r="F246" s="275"/>
      <c r="G246" s="275"/>
      <c r="H246" s="275"/>
      <c r="I246" s="275"/>
      <c r="J246" s="275"/>
      <c r="K246" s="275"/>
      <c r="L246" s="275"/>
      <c r="M246" s="275"/>
      <c r="N246" s="27">
        <f>SUM(B246:M246)</f>
        <v>0</v>
      </c>
    </row>
    <row r="247" spans="1:14" ht="14" thickBot="1">
      <c r="A247" s="32" t="s">
        <v>165</v>
      </c>
      <c r="B247" s="1092">
        <v>1660</v>
      </c>
      <c r="C247" s="1092">
        <v>0</v>
      </c>
      <c r="D247" s="1092">
        <v>0</v>
      </c>
      <c r="E247" s="1092">
        <v>0</v>
      </c>
      <c r="F247" s="1092">
        <v>0</v>
      </c>
      <c r="G247" s="1092">
        <v>0</v>
      </c>
      <c r="H247" s="1092">
        <v>0</v>
      </c>
      <c r="I247" s="1092">
        <v>0</v>
      </c>
      <c r="J247" s="1092">
        <v>0</v>
      </c>
      <c r="K247" s="1092">
        <v>0</v>
      </c>
      <c r="L247" s="1092">
        <v>0</v>
      </c>
      <c r="M247" s="1092">
        <v>0</v>
      </c>
      <c r="N247" s="27">
        <f>SUM(B247:M247)</f>
        <v>1660</v>
      </c>
    </row>
    <row r="248" spans="1:14" ht="14" thickBot="1">
      <c r="A248" s="53" t="s">
        <v>60</v>
      </c>
      <c r="B248" s="55">
        <f>SUM(B231:B247)</f>
        <v>1660</v>
      </c>
      <c r="C248" s="55">
        <f>SUM(C231:C247)</f>
        <v>0</v>
      </c>
      <c r="D248" s="55">
        <f t="shared" ref="D248:M248" si="38">SUM(D231:D247)</f>
        <v>0</v>
      </c>
      <c r="E248" s="55">
        <f t="shared" si="38"/>
        <v>0</v>
      </c>
      <c r="F248" s="55">
        <f t="shared" si="38"/>
        <v>0</v>
      </c>
      <c r="G248" s="55">
        <f t="shared" si="38"/>
        <v>97</v>
      </c>
      <c r="H248" s="55">
        <f t="shared" si="38"/>
        <v>0</v>
      </c>
      <c r="I248" s="55">
        <f t="shared" si="38"/>
        <v>0</v>
      </c>
      <c r="J248" s="55">
        <f t="shared" si="38"/>
        <v>236</v>
      </c>
      <c r="K248" s="55">
        <f t="shared" si="38"/>
        <v>4</v>
      </c>
      <c r="L248" s="55">
        <f t="shared" si="38"/>
        <v>0</v>
      </c>
      <c r="M248" s="55">
        <f t="shared" si="38"/>
        <v>0</v>
      </c>
      <c r="N248" s="54">
        <f>SUM(N231:N247)</f>
        <v>1997</v>
      </c>
    </row>
    <row r="250" spans="1:14" ht="14" thickBot="1">
      <c r="B250" s="43" t="s">
        <v>35</v>
      </c>
      <c r="C250" s="43" t="s">
        <v>36</v>
      </c>
      <c r="D250" s="43" t="s">
        <v>37</v>
      </c>
      <c r="E250" s="43" t="s">
        <v>38</v>
      </c>
      <c r="F250" s="43" t="s">
        <v>39</v>
      </c>
      <c r="G250" s="43" t="s">
        <v>40</v>
      </c>
      <c r="H250" s="43" t="s">
        <v>41</v>
      </c>
      <c r="I250" s="43" t="s">
        <v>42</v>
      </c>
      <c r="J250" s="43" t="s">
        <v>43</v>
      </c>
      <c r="K250" s="43" t="s">
        <v>44</v>
      </c>
      <c r="L250" s="43" t="s">
        <v>45</v>
      </c>
      <c r="M250" s="43" t="s">
        <v>46</v>
      </c>
      <c r="N250" s="43" t="s">
        <v>10</v>
      </c>
    </row>
    <row r="251" spans="1:14" ht="17" thickBot="1">
      <c r="A251" s="31" t="s">
        <v>234</v>
      </c>
      <c r="B251" s="24"/>
      <c r="C251" s="24"/>
      <c r="D251" s="22"/>
      <c r="E251" s="22"/>
      <c r="F251" s="25"/>
      <c r="G251" s="25"/>
      <c r="H251" s="22"/>
      <c r="I251" s="22"/>
      <c r="J251" s="22"/>
      <c r="K251" s="22"/>
      <c r="L251" s="24"/>
      <c r="M251" s="24"/>
      <c r="N251" s="26"/>
    </row>
    <row r="252" spans="1:14" ht="14" thickBot="1">
      <c r="A252" s="38" t="s">
        <v>189</v>
      </c>
      <c r="B252" s="39"/>
      <c r="C252" s="39"/>
      <c r="D252" s="39"/>
      <c r="E252" s="39"/>
      <c r="F252" s="39"/>
      <c r="G252" s="39"/>
      <c r="H252" s="39"/>
      <c r="I252" s="39"/>
      <c r="J252" s="39"/>
      <c r="K252" s="39"/>
      <c r="L252" s="39"/>
      <c r="M252" s="39"/>
      <c r="N252" s="40"/>
    </row>
    <row r="253" spans="1:14">
      <c r="A253" s="32" t="s">
        <v>29</v>
      </c>
      <c r="B253" s="1092">
        <v>8</v>
      </c>
      <c r="C253" s="1092">
        <v>12</v>
      </c>
      <c r="D253" s="1092">
        <v>16</v>
      </c>
      <c r="E253" s="1092">
        <v>17</v>
      </c>
      <c r="F253" s="1092">
        <v>13</v>
      </c>
      <c r="G253" s="1092">
        <v>8</v>
      </c>
      <c r="H253" s="1092">
        <v>9</v>
      </c>
      <c r="I253" s="1092">
        <v>15</v>
      </c>
      <c r="J253" s="1092">
        <v>14</v>
      </c>
      <c r="K253" s="1092">
        <v>13</v>
      </c>
      <c r="L253" s="1092">
        <v>14</v>
      </c>
      <c r="M253" s="1092">
        <v>15</v>
      </c>
      <c r="N253" s="27">
        <f t="shared" ref="N253:N258" si="39">SUM(B253:M253)</f>
        <v>154</v>
      </c>
    </row>
    <row r="254" spans="1:14">
      <c r="A254" s="32" t="s">
        <v>33</v>
      </c>
      <c r="B254" s="1092">
        <v>9</v>
      </c>
      <c r="C254" s="1092">
        <v>10</v>
      </c>
      <c r="D254" s="1092">
        <v>9</v>
      </c>
      <c r="E254" s="1092">
        <v>8</v>
      </c>
      <c r="F254" s="1092">
        <v>3</v>
      </c>
      <c r="G254" s="1092">
        <v>6</v>
      </c>
      <c r="H254" s="1092">
        <v>4</v>
      </c>
      <c r="I254" s="1092">
        <v>7</v>
      </c>
      <c r="J254" s="1092">
        <v>15</v>
      </c>
      <c r="K254" s="1092">
        <v>4</v>
      </c>
      <c r="L254" s="1092">
        <v>8</v>
      </c>
      <c r="M254" s="1092">
        <v>3</v>
      </c>
      <c r="N254" s="27">
        <f t="shared" si="39"/>
        <v>86</v>
      </c>
    </row>
    <row r="255" spans="1:14">
      <c r="A255" s="32" t="s">
        <v>56</v>
      </c>
      <c r="B255" s="1092">
        <v>0</v>
      </c>
      <c r="C255" s="1092">
        <v>0</v>
      </c>
      <c r="D255" s="1092">
        <v>0</v>
      </c>
      <c r="E255" s="1092">
        <v>0</v>
      </c>
      <c r="F255" s="1092">
        <v>0</v>
      </c>
      <c r="G255" s="1092">
        <v>0</v>
      </c>
      <c r="H255" s="1092">
        <v>0</v>
      </c>
      <c r="I255" s="1092">
        <v>0</v>
      </c>
      <c r="J255" s="1092">
        <v>33</v>
      </c>
      <c r="K255" s="1092">
        <v>0</v>
      </c>
      <c r="L255" s="1092">
        <v>0</v>
      </c>
      <c r="M255" s="1092">
        <v>0</v>
      </c>
      <c r="N255" s="27">
        <f t="shared" si="39"/>
        <v>33</v>
      </c>
    </row>
    <row r="256" spans="1:14">
      <c r="A256" s="78" t="s">
        <v>30</v>
      </c>
      <c r="B256" s="1092">
        <v>0</v>
      </c>
      <c r="C256" s="1092">
        <v>0</v>
      </c>
      <c r="D256" s="1092">
        <v>0</v>
      </c>
      <c r="E256" s="1092">
        <v>1</v>
      </c>
      <c r="F256" s="1092">
        <v>0</v>
      </c>
      <c r="G256" s="1092">
        <v>0</v>
      </c>
      <c r="H256" s="1092">
        <v>1</v>
      </c>
      <c r="I256" s="1092">
        <v>0</v>
      </c>
      <c r="J256" s="1092">
        <v>1</v>
      </c>
      <c r="K256" s="1092">
        <v>0</v>
      </c>
      <c r="L256" s="1092">
        <v>1</v>
      </c>
      <c r="M256" s="1092">
        <v>1</v>
      </c>
      <c r="N256" s="27">
        <f t="shared" si="39"/>
        <v>5</v>
      </c>
    </row>
    <row r="257" spans="1:14">
      <c r="A257" s="76" t="s">
        <v>213</v>
      </c>
      <c r="B257" s="1092">
        <v>0</v>
      </c>
      <c r="C257" s="1092">
        <v>0</v>
      </c>
      <c r="D257" s="1092">
        <v>0</v>
      </c>
      <c r="E257" s="1092">
        <v>0</v>
      </c>
      <c r="F257" s="1092">
        <v>0</v>
      </c>
      <c r="G257" s="1092">
        <v>0</v>
      </c>
      <c r="H257" s="1092">
        <v>0</v>
      </c>
      <c r="I257" s="1092">
        <v>0</v>
      </c>
      <c r="J257" s="1092">
        <v>0</v>
      </c>
      <c r="K257" s="1092">
        <v>0</v>
      </c>
      <c r="L257" s="1092">
        <v>0</v>
      </c>
      <c r="M257" s="1092">
        <v>0</v>
      </c>
      <c r="N257" s="27">
        <f t="shared" si="39"/>
        <v>0</v>
      </c>
    </row>
    <row r="258" spans="1:14" ht="14" thickBot="1">
      <c r="A258" s="76" t="s">
        <v>212</v>
      </c>
      <c r="B258" s="1092">
        <v>0</v>
      </c>
      <c r="C258" s="1092">
        <v>0</v>
      </c>
      <c r="D258" s="1092">
        <v>0</v>
      </c>
      <c r="E258" s="1092">
        <v>0</v>
      </c>
      <c r="F258" s="1092">
        <v>0</v>
      </c>
      <c r="G258" s="1092">
        <v>0</v>
      </c>
      <c r="H258" s="1092">
        <v>0</v>
      </c>
      <c r="I258" s="1092">
        <v>0</v>
      </c>
      <c r="J258" s="1092">
        <v>5</v>
      </c>
      <c r="K258" s="1092">
        <v>0</v>
      </c>
      <c r="L258" s="1092">
        <v>0</v>
      </c>
      <c r="M258" s="1092">
        <v>1</v>
      </c>
      <c r="N258" s="27">
        <f t="shared" si="39"/>
        <v>6</v>
      </c>
    </row>
    <row r="259" spans="1:14" ht="14" thickBot="1">
      <c r="A259" s="38" t="s">
        <v>190</v>
      </c>
      <c r="B259" s="39"/>
      <c r="C259" s="39"/>
      <c r="D259" s="39"/>
      <c r="E259" s="39"/>
      <c r="F259" s="39"/>
      <c r="G259" s="39"/>
      <c r="H259" s="39"/>
      <c r="I259" s="39"/>
      <c r="J259" s="39"/>
      <c r="K259" s="39"/>
      <c r="L259" s="39"/>
      <c r="M259" s="39"/>
      <c r="N259" s="40"/>
    </row>
    <row r="260" spans="1:14">
      <c r="A260" s="76" t="s">
        <v>165</v>
      </c>
      <c r="B260" s="1092">
        <v>1261</v>
      </c>
      <c r="C260" s="1092"/>
      <c r="D260" s="1092"/>
      <c r="E260" s="1092"/>
      <c r="F260" s="1092"/>
      <c r="G260" s="1092"/>
      <c r="H260" s="1092"/>
      <c r="I260" s="1092"/>
      <c r="J260" s="1092"/>
      <c r="K260" s="1092"/>
      <c r="L260" s="1092"/>
      <c r="M260" s="1092"/>
      <c r="N260" s="27">
        <f>SUM(B260:M260)</f>
        <v>1261</v>
      </c>
    </row>
    <row r="261" spans="1:14">
      <c r="A261" s="76" t="s">
        <v>166</v>
      </c>
      <c r="B261" s="1092">
        <v>7</v>
      </c>
      <c r="C261" s="1092">
        <v>1</v>
      </c>
      <c r="D261" s="1092">
        <v>1</v>
      </c>
      <c r="E261" s="1092">
        <v>2</v>
      </c>
      <c r="F261" s="1092">
        <v>1</v>
      </c>
      <c r="G261" s="1092">
        <v>2</v>
      </c>
      <c r="H261" s="1092">
        <v>0</v>
      </c>
      <c r="I261" s="1092">
        <v>0</v>
      </c>
      <c r="J261" s="1092">
        <v>0</v>
      </c>
      <c r="K261" s="1092">
        <v>0</v>
      </c>
      <c r="L261" s="1092">
        <v>0</v>
      </c>
      <c r="M261" s="1092">
        <v>0</v>
      </c>
      <c r="N261" s="27">
        <f>SUM(B261:M261)</f>
        <v>14</v>
      </c>
    </row>
    <row r="262" spans="1:14">
      <c r="A262" s="76" t="s">
        <v>193</v>
      </c>
      <c r="B262" s="1092">
        <v>1</v>
      </c>
      <c r="C262" s="1092">
        <v>1</v>
      </c>
      <c r="D262" s="1092">
        <v>2</v>
      </c>
      <c r="E262" s="1092">
        <v>2</v>
      </c>
      <c r="F262" s="1092">
        <v>6</v>
      </c>
      <c r="G262" s="1092">
        <v>4</v>
      </c>
      <c r="H262" s="1092">
        <v>1</v>
      </c>
      <c r="I262" s="1092">
        <v>2</v>
      </c>
      <c r="J262" s="1092">
        <v>1</v>
      </c>
      <c r="K262" s="1092">
        <v>0</v>
      </c>
      <c r="L262" s="1092">
        <v>6</v>
      </c>
      <c r="M262" s="1092">
        <v>4</v>
      </c>
      <c r="N262" s="27">
        <f>SUM(B262:M262)</f>
        <v>30</v>
      </c>
    </row>
    <row r="263" spans="1:14" ht="14" thickBot="1">
      <c r="A263" s="76" t="s">
        <v>266</v>
      </c>
      <c r="B263" s="1092"/>
      <c r="C263" s="1092"/>
      <c r="D263" s="1092"/>
      <c r="E263" s="1092"/>
      <c r="F263" s="1092"/>
      <c r="G263" s="1092"/>
      <c r="H263" s="1092"/>
      <c r="I263" s="1092"/>
      <c r="J263" s="1092"/>
      <c r="K263" s="1092"/>
      <c r="L263" s="1092"/>
      <c r="M263" s="1092"/>
      <c r="N263" s="27">
        <f>SUM(B263:M263)</f>
        <v>0</v>
      </c>
    </row>
    <row r="264" spans="1:14" ht="14" thickBot="1">
      <c r="A264" s="256" t="s">
        <v>60</v>
      </c>
      <c r="B264" s="289">
        <f t="shared" ref="B264:N264" si="40">SUM(B253:B263)</f>
        <v>1286</v>
      </c>
      <c r="C264" s="290">
        <f t="shared" si="40"/>
        <v>24</v>
      </c>
      <c r="D264" s="290">
        <f t="shared" si="40"/>
        <v>28</v>
      </c>
      <c r="E264" s="290">
        <f t="shared" si="40"/>
        <v>30</v>
      </c>
      <c r="F264" s="290">
        <f t="shared" si="40"/>
        <v>23</v>
      </c>
      <c r="G264" s="290">
        <f t="shared" si="40"/>
        <v>20</v>
      </c>
      <c r="H264" s="290">
        <f t="shared" si="40"/>
        <v>15</v>
      </c>
      <c r="I264" s="290">
        <f t="shared" si="40"/>
        <v>24</v>
      </c>
      <c r="J264" s="290">
        <f t="shared" si="40"/>
        <v>69</v>
      </c>
      <c r="K264" s="290">
        <f t="shared" si="40"/>
        <v>17</v>
      </c>
      <c r="L264" s="290">
        <f t="shared" si="40"/>
        <v>29</v>
      </c>
      <c r="M264" s="287">
        <f t="shared" si="40"/>
        <v>24</v>
      </c>
      <c r="N264" s="287">
        <f t="shared" si="40"/>
        <v>1589</v>
      </c>
    </row>
    <row r="265" spans="1:14" ht="14" hidden="1" thickBot="1">
      <c r="A265" s="38" t="s">
        <v>191</v>
      </c>
      <c r="B265" s="288"/>
      <c r="C265" s="288"/>
      <c r="D265" s="288"/>
      <c r="E265" s="288"/>
      <c r="F265" s="288"/>
      <c r="G265" s="288"/>
      <c r="H265" s="288"/>
      <c r="I265" s="288"/>
      <c r="J265" s="288"/>
      <c r="K265" s="288"/>
      <c r="L265" s="288"/>
      <c r="M265" s="288"/>
      <c r="N265" s="40"/>
    </row>
    <row r="266" spans="1:14" ht="14" hidden="1" thickBot="1">
      <c r="A266" s="76" t="s">
        <v>147</v>
      </c>
      <c r="B266" s="168"/>
      <c r="C266" s="168"/>
      <c r="D266" s="168"/>
      <c r="E266" s="168"/>
      <c r="F266" s="168"/>
      <c r="G266" s="168"/>
      <c r="H266" s="168"/>
      <c r="I266" s="168"/>
      <c r="J266" s="168"/>
      <c r="K266" s="168"/>
      <c r="L266" s="168"/>
      <c r="M266" s="168"/>
      <c r="N266" s="27"/>
    </row>
    <row r="267" spans="1:14" ht="14" hidden="1" thickBot="1">
      <c r="A267" s="76" t="s">
        <v>179</v>
      </c>
      <c r="B267" s="168"/>
      <c r="C267" s="168"/>
      <c r="D267" s="168"/>
      <c r="E267" s="168"/>
      <c r="F267" s="168"/>
      <c r="G267" s="168"/>
      <c r="H267" s="168"/>
      <c r="I267" s="168"/>
      <c r="J267" s="168"/>
      <c r="K267" s="168"/>
      <c r="L267" s="168"/>
      <c r="M267" s="168"/>
      <c r="N267" s="27"/>
    </row>
    <row r="268" spans="1:14" ht="14" hidden="1" thickBot="1">
      <c r="A268" s="53" t="s">
        <v>60</v>
      </c>
      <c r="B268" s="55"/>
      <c r="C268" s="55"/>
      <c r="D268" s="55"/>
      <c r="E268" s="55"/>
      <c r="F268" s="55"/>
      <c r="G268" s="55"/>
      <c r="H268" s="55"/>
      <c r="I268" s="55"/>
      <c r="J268" s="55"/>
      <c r="K268" s="55"/>
      <c r="L268" s="55"/>
      <c r="M268" s="55"/>
      <c r="N268" s="54"/>
    </row>
    <row r="269" spans="1:14" ht="14" thickBot="1">
      <c r="A269" s="38" t="s">
        <v>194</v>
      </c>
      <c r="B269" s="39"/>
      <c r="C269" s="39"/>
      <c r="D269" s="39"/>
      <c r="E269" s="39"/>
      <c r="F269" s="39"/>
      <c r="G269" s="39"/>
      <c r="H269" s="39"/>
      <c r="I269" s="39"/>
      <c r="J269" s="39"/>
      <c r="K269" s="39"/>
      <c r="L269" s="39"/>
      <c r="M269" s="39"/>
      <c r="N269" s="40"/>
    </row>
    <row r="270" spans="1:14">
      <c r="A270" s="32" t="s">
        <v>29</v>
      </c>
      <c r="B270" s="1092">
        <v>5</v>
      </c>
      <c r="C270" s="1092">
        <v>0</v>
      </c>
      <c r="D270" s="1092">
        <v>169</v>
      </c>
      <c r="E270" s="1092">
        <v>0</v>
      </c>
      <c r="F270" s="1092">
        <v>143</v>
      </c>
      <c r="G270" s="1092">
        <v>0</v>
      </c>
      <c r="H270" s="1092">
        <v>0</v>
      </c>
      <c r="I270" s="1092">
        <v>177</v>
      </c>
      <c r="J270" s="1092">
        <v>0</v>
      </c>
      <c r="K270" s="1092">
        <v>0</v>
      </c>
      <c r="L270" s="1092">
        <v>109</v>
      </c>
      <c r="M270" s="1092">
        <v>0</v>
      </c>
      <c r="N270" s="27">
        <f>SUM(B270:M270)</f>
        <v>603</v>
      </c>
    </row>
    <row r="271" spans="1:14">
      <c r="A271" s="32" t="s">
        <v>51</v>
      </c>
      <c r="B271" s="1092">
        <v>0</v>
      </c>
      <c r="C271" s="1092">
        <v>0</v>
      </c>
      <c r="D271" s="1092">
        <v>0</v>
      </c>
      <c r="E271" s="1092">
        <v>0</v>
      </c>
      <c r="F271" s="1092">
        <v>9</v>
      </c>
      <c r="G271" s="1092">
        <v>0</v>
      </c>
      <c r="H271" s="1092">
        <v>0</v>
      </c>
      <c r="I271" s="1092">
        <v>0</v>
      </c>
      <c r="J271" s="1092">
        <v>0</v>
      </c>
      <c r="K271" s="1092">
        <v>0</v>
      </c>
      <c r="L271" s="1092">
        <v>0</v>
      </c>
      <c r="M271" s="1092">
        <v>0</v>
      </c>
      <c r="N271" s="27">
        <f t="shared" ref="N271:N283" si="41">SUM(B271:M271)</f>
        <v>9</v>
      </c>
    </row>
    <row r="272" spans="1:14">
      <c r="A272" s="34" t="s">
        <v>204</v>
      </c>
      <c r="B272" s="1092">
        <v>0</v>
      </c>
      <c r="C272" s="1092">
        <v>0</v>
      </c>
      <c r="D272" s="1092">
        <v>0</v>
      </c>
      <c r="E272" s="1092">
        <v>0</v>
      </c>
      <c r="F272" s="1092">
        <v>0</v>
      </c>
      <c r="G272" s="1092">
        <v>0</v>
      </c>
      <c r="H272" s="1092">
        <v>0</v>
      </c>
      <c r="I272" s="1092">
        <v>0</v>
      </c>
      <c r="J272" s="1092">
        <v>0</v>
      </c>
      <c r="K272" s="1092">
        <v>0</v>
      </c>
      <c r="L272" s="1092">
        <v>0</v>
      </c>
      <c r="M272" s="1092">
        <v>0</v>
      </c>
      <c r="N272" s="27">
        <f t="shared" si="41"/>
        <v>0</v>
      </c>
    </row>
    <row r="273" spans="1:14" hidden="1">
      <c r="A273" s="34" t="s">
        <v>13</v>
      </c>
      <c r="B273" s="1092"/>
      <c r="C273" s="1092"/>
      <c r="D273" s="1092"/>
      <c r="E273" s="1092"/>
      <c r="F273" s="1092"/>
      <c r="G273" s="1092"/>
      <c r="H273" s="1092"/>
      <c r="I273" s="1092"/>
      <c r="J273" s="1092"/>
      <c r="K273" s="1092"/>
      <c r="L273" s="1092"/>
      <c r="M273" s="1092"/>
      <c r="N273" s="27">
        <f t="shared" si="41"/>
        <v>0</v>
      </c>
    </row>
    <row r="274" spans="1:14" hidden="1">
      <c r="A274" s="35" t="s">
        <v>47</v>
      </c>
      <c r="B274" s="1092"/>
      <c r="C274" s="1092"/>
      <c r="D274" s="1092"/>
      <c r="E274" s="1092"/>
      <c r="F274" s="1092"/>
      <c r="G274" s="1092"/>
      <c r="H274" s="1092"/>
      <c r="I274" s="1092"/>
      <c r="J274" s="1092"/>
      <c r="K274" s="1092"/>
      <c r="L274" s="1092"/>
      <c r="M274" s="1092"/>
      <c r="N274" s="27">
        <f t="shared" si="41"/>
        <v>0</v>
      </c>
    </row>
    <row r="275" spans="1:14">
      <c r="A275" s="76" t="s">
        <v>30</v>
      </c>
      <c r="B275" s="1092">
        <v>0</v>
      </c>
      <c r="C275" s="1092">
        <v>1</v>
      </c>
      <c r="D275" s="1092">
        <v>0</v>
      </c>
      <c r="E275" s="1092">
        <v>0</v>
      </c>
      <c r="F275" s="1092">
        <v>3</v>
      </c>
      <c r="G275" s="1092">
        <v>0</v>
      </c>
      <c r="H275" s="1092">
        <v>8</v>
      </c>
      <c r="I275" s="1092">
        <v>0</v>
      </c>
      <c r="J275" s="1092">
        <v>0</v>
      </c>
      <c r="K275" s="1092">
        <v>0</v>
      </c>
      <c r="L275" s="1092">
        <v>1</v>
      </c>
      <c r="M275" s="1092">
        <v>1</v>
      </c>
      <c r="N275" s="27">
        <f t="shared" si="41"/>
        <v>14</v>
      </c>
    </row>
    <row r="276" spans="1:14" hidden="1">
      <c r="A276" s="76" t="s">
        <v>150</v>
      </c>
      <c r="B276" s="1092"/>
      <c r="C276" s="1092"/>
      <c r="D276" s="1092"/>
      <c r="E276" s="1092"/>
      <c r="F276" s="1092"/>
      <c r="G276" s="1092"/>
      <c r="H276" s="1092"/>
      <c r="I276" s="1092"/>
      <c r="J276" s="1092"/>
      <c r="K276" s="1092"/>
      <c r="L276" s="1092"/>
      <c r="M276" s="1092"/>
      <c r="N276" s="27">
        <f t="shared" si="41"/>
        <v>0</v>
      </c>
    </row>
    <row r="277" spans="1:14">
      <c r="A277" s="32" t="s">
        <v>56</v>
      </c>
      <c r="B277" s="1092">
        <v>0</v>
      </c>
      <c r="C277" s="1092">
        <v>0</v>
      </c>
      <c r="D277" s="1092">
        <v>0</v>
      </c>
      <c r="E277" s="1092">
        <v>0</v>
      </c>
      <c r="F277" s="1092">
        <v>557</v>
      </c>
      <c r="G277" s="1092">
        <v>0</v>
      </c>
      <c r="H277" s="1092">
        <v>0</v>
      </c>
      <c r="I277" s="1092">
        <v>0</v>
      </c>
      <c r="J277" s="1092">
        <v>0</v>
      </c>
      <c r="K277" s="1092">
        <v>0</v>
      </c>
      <c r="L277" s="1092">
        <v>0</v>
      </c>
      <c r="M277" s="1092">
        <v>51</v>
      </c>
      <c r="N277" s="27">
        <f t="shared" si="41"/>
        <v>608</v>
      </c>
    </row>
    <row r="278" spans="1:14">
      <c r="A278" s="78" t="s">
        <v>122</v>
      </c>
      <c r="B278" s="1092">
        <v>0</v>
      </c>
      <c r="C278" s="1092">
        <v>0</v>
      </c>
      <c r="D278" s="1092">
        <v>0</v>
      </c>
      <c r="E278" s="1092">
        <v>0</v>
      </c>
      <c r="F278" s="1092">
        <v>0</v>
      </c>
      <c r="G278" s="1092">
        <v>0</v>
      </c>
      <c r="H278" s="1092">
        <v>0</v>
      </c>
      <c r="I278" s="1092">
        <v>0</v>
      </c>
      <c r="J278" s="1092">
        <v>0</v>
      </c>
      <c r="K278" s="1092">
        <v>0</v>
      </c>
      <c r="L278" s="1092">
        <v>0</v>
      </c>
      <c r="M278" s="1092">
        <v>0</v>
      </c>
      <c r="N278" s="27">
        <f t="shared" si="41"/>
        <v>0</v>
      </c>
    </row>
    <row r="279" spans="1:14" hidden="1">
      <c r="A279" s="32" t="s">
        <v>102</v>
      </c>
      <c r="B279" s="1092"/>
      <c r="C279" s="1092"/>
      <c r="D279" s="1092"/>
      <c r="E279" s="1092"/>
      <c r="F279" s="1092"/>
      <c r="G279" s="1092"/>
      <c r="H279" s="1092"/>
      <c r="I279" s="1092"/>
      <c r="J279" s="1092"/>
      <c r="K279" s="1092"/>
      <c r="L279" s="1092"/>
      <c r="M279" s="1092"/>
      <c r="N279" s="27">
        <f t="shared" si="41"/>
        <v>0</v>
      </c>
    </row>
    <row r="280" spans="1:14">
      <c r="A280" s="78" t="s">
        <v>184</v>
      </c>
      <c r="B280" s="1092">
        <v>0</v>
      </c>
      <c r="C280" s="1092">
        <v>0</v>
      </c>
      <c r="D280" s="1092">
        <v>0</v>
      </c>
      <c r="E280" s="1092">
        <v>0</v>
      </c>
      <c r="F280" s="1092">
        <v>0</v>
      </c>
      <c r="G280" s="1092">
        <v>0</v>
      </c>
      <c r="H280" s="1092">
        <v>0</v>
      </c>
      <c r="I280" s="1092">
        <v>0</v>
      </c>
      <c r="J280" s="1092">
        <v>0</v>
      </c>
      <c r="K280" s="1092">
        <v>0</v>
      </c>
      <c r="L280" s="1092">
        <v>0</v>
      </c>
      <c r="M280" s="1092">
        <v>0</v>
      </c>
      <c r="N280" s="27">
        <f t="shared" si="41"/>
        <v>0</v>
      </c>
    </row>
    <row r="281" spans="1:14">
      <c r="A281" s="78" t="s">
        <v>187</v>
      </c>
      <c r="B281" s="1092">
        <v>0</v>
      </c>
      <c r="C281" s="1092">
        <v>0</v>
      </c>
      <c r="D281" s="1092">
        <v>0</v>
      </c>
      <c r="E281" s="1092">
        <v>0</v>
      </c>
      <c r="F281" s="1092">
        <v>0</v>
      </c>
      <c r="G281" s="1092">
        <v>0</v>
      </c>
      <c r="H281" s="1092">
        <v>0</v>
      </c>
      <c r="I281" s="1092">
        <v>0</v>
      </c>
      <c r="J281" s="1092">
        <v>0</v>
      </c>
      <c r="K281" s="1092">
        <v>0</v>
      </c>
      <c r="L281" s="1092">
        <v>0</v>
      </c>
      <c r="M281" s="1092">
        <v>0</v>
      </c>
      <c r="N281" s="27">
        <f t="shared" si="41"/>
        <v>0</v>
      </c>
    </row>
    <row r="282" spans="1:14">
      <c r="A282" s="78" t="s">
        <v>188</v>
      </c>
      <c r="B282" s="1092">
        <v>0</v>
      </c>
      <c r="C282" s="1092">
        <v>0</v>
      </c>
      <c r="D282" s="1092">
        <v>0</v>
      </c>
      <c r="E282" s="1092">
        <v>0</v>
      </c>
      <c r="F282" s="1092">
        <v>0</v>
      </c>
      <c r="G282" s="1092">
        <v>0</v>
      </c>
      <c r="H282" s="1092">
        <v>0</v>
      </c>
      <c r="I282" s="1092">
        <v>0</v>
      </c>
      <c r="J282" s="1092">
        <v>0</v>
      </c>
      <c r="K282" s="1092">
        <v>0</v>
      </c>
      <c r="L282" s="1092">
        <v>0</v>
      </c>
      <c r="M282" s="1092">
        <v>0</v>
      </c>
      <c r="N282" s="27">
        <f t="shared" si="41"/>
        <v>0</v>
      </c>
    </row>
    <row r="283" spans="1:14" ht="14" thickBot="1">
      <c r="A283" s="78" t="s">
        <v>213</v>
      </c>
      <c r="B283" s="1092">
        <v>12</v>
      </c>
      <c r="C283" s="1092">
        <v>0</v>
      </c>
      <c r="D283" s="1092">
        <v>0</v>
      </c>
      <c r="E283" s="1092">
        <v>0</v>
      </c>
      <c r="F283" s="1092">
        <v>0</v>
      </c>
      <c r="G283" s="1092">
        <v>0</v>
      </c>
      <c r="H283" s="1092">
        <v>0</v>
      </c>
      <c r="I283" s="1092">
        <v>0</v>
      </c>
      <c r="J283" s="1092">
        <v>0</v>
      </c>
      <c r="K283" s="1092">
        <v>0</v>
      </c>
      <c r="L283" s="1092">
        <v>0</v>
      </c>
      <c r="M283" s="1092">
        <v>0</v>
      </c>
      <c r="N283" s="27">
        <f t="shared" si="41"/>
        <v>12</v>
      </c>
    </row>
    <row r="284" spans="1:14" ht="14" thickBot="1">
      <c r="A284" s="38" t="s">
        <v>192</v>
      </c>
      <c r="B284" s="39"/>
      <c r="C284" s="39"/>
      <c r="D284" s="39"/>
      <c r="E284" s="39"/>
      <c r="F284" s="39"/>
      <c r="G284" s="39"/>
      <c r="H284" s="39"/>
      <c r="I284" s="39"/>
      <c r="J284" s="39"/>
      <c r="K284" s="39"/>
      <c r="L284" s="39"/>
      <c r="M284" s="39"/>
      <c r="N284" s="40"/>
    </row>
    <row r="285" spans="1:14" hidden="1">
      <c r="A285" s="78" t="s">
        <v>167</v>
      </c>
      <c r="B285" s="168"/>
      <c r="C285" s="168"/>
      <c r="D285" s="168"/>
      <c r="E285" s="168"/>
      <c r="F285" s="168"/>
      <c r="G285" s="168"/>
      <c r="H285" s="168"/>
      <c r="I285" s="168"/>
      <c r="J285" s="168"/>
      <c r="K285" s="168"/>
      <c r="L285" s="168"/>
      <c r="M285" s="168"/>
      <c r="N285" s="27"/>
    </row>
    <row r="286" spans="1:14" ht="14" thickBot="1">
      <c r="A286" s="32" t="s">
        <v>165</v>
      </c>
      <c r="B286" s="1092">
        <v>3831</v>
      </c>
      <c r="C286" s="1092">
        <v>0</v>
      </c>
      <c r="D286" s="1092">
        <v>0</v>
      </c>
      <c r="E286" s="1092">
        <v>0</v>
      </c>
      <c r="F286" s="1092">
        <v>0</v>
      </c>
      <c r="G286" s="1092">
        <v>0</v>
      </c>
      <c r="H286" s="1092">
        <v>0</v>
      </c>
      <c r="I286" s="1092">
        <v>0</v>
      </c>
      <c r="J286" s="1092">
        <v>0</v>
      </c>
      <c r="K286" s="1092">
        <v>0</v>
      </c>
      <c r="L286" s="1092">
        <v>0</v>
      </c>
      <c r="M286" s="1092">
        <v>0</v>
      </c>
      <c r="N286" s="27">
        <f>SUM(B286:M286)</f>
        <v>3831</v>
      </c>
    </row>
    <row r="287" spans="1:14" ht="14" thickBot="1">
      <c r="A287" s="256" t="s">
        <v>60</v>
      </c>
      <c r="B287" s="289">
        <f t="shared" ref="B287:K287" si="42">SUM(B270:B286)</f>
        <v>3848</v>
      </c>
      <c r="C287" s="290">
        <f t="shared" si="42"/>
        <v>1</v>
      </c>
      <c r="D287" s="290">
        <f t="shared" si="42"/>
        <v>169</v>
      </c>
      <c r="E287" s="290">
        <f t="shared" si="42"/>
        <v>0</v>
      </c>
      <c r="F287" s="290">
        <f t="shared" si="42"/>
        <v>712</v>
      </c>
      <c r="G287" s="290">
        <f t="shared" si="42"/>
        <v>0</v>
      </c>
      <c r="H287" s="290">
        <f t="shared" si="42"/>
        <v>8</v>
      </c>
      <c r="I287" s="290">
        <f t="shared" si="42"/>
        <v>177</v>
      </c>
      <c r="J287" s="290">
        <f t="shared" si="42"/>
        <v>0</v>
      </c>
      <c r="K287" s="290">
        <f t="shared" si="42"/>
        <v>0</v>
      </c>
      <c r="L287" s="290">
        <f>SUM(L270:L286)</f>
        <v>110</v>
      </c>
      <c r="M287" s="287">
        <f>SUM(M270:M286)</f>
        <v>52</v>
      </c>
      <c r="N287" s="287">
        <f>SUM(N270:N286)</f>
        <v>5077</v>
      </c>
    </row>
    <row r="289" spans="1:14" ht="14" thickBot="1">
      <c r="B289" s="43" t="s">
        <v>35</v>
      </c>
      <c r="C289" s="43" t="s">
        <v>36</v>
      </c>
      <c r="D289" s="43" t="s">
        <v>37</v>
      </c>
      <c r="E289" s="43" t="s">
        <v>38</v>
      </c>
      <c r="F289" s="43" t="s">
        <v>39</v>
      </c>
      <c r="G289" s="43" t="s">
        <v>40</v>
      </c>
      <c r="H289" s="43" t="s">
        <v>41</v>
      </c>
      <c r="I289" s="43" t="s">
        <v>42</v>
      </c>
      <c r="J289" s="43" t="s">
        <v>43</v>
      </c>
      <c r="K289" s="43" t="s">
        <v>44</v>
      </c>
      <c r="L289" s="43" t="s">
        <v>45</v>
      </c>
      <c r="M289" s="43" t="s">
        <v>46</v>
      </c>
      <c r="N289" s="43" t="s">
        <v>10</v>
      </c>
    </row>
    <row r="290" spans="1:14" ht="17" thickBot="1">
      <c r="A290" s="31" t="s">
        <v>263</v>
      </c>
      <c r="B290" s="24"/>
      <c r="C290" s="24"/>
      <c r="D290" s="22"/>
      <c r="E290" s="22"/>
      <c r="F290" s="25"/>
      <c r="G290" s="25"/>
      <c r="H290" s="22"/>
      <c r="I290" s="22"/>
      <c r="J290" s="22"/>
      <c r="K290" s="22"/>
      <c r="L290" s="24"/>
      <c r="M290" s="24"/>
      <c r="N290" s="26"/>
    </row>
    <row r="291" spans="1:14" ht="14" thickBot="1">
      <c r="A291" s="38" t="s">
        <v>189</v>
      </c>
      <c r="B291" s="39"/>
      <c r="C291" s="39"/>
      <c r="D291" s="39"/>
      <c r="E291" s="39"/>
      <c r="F291" s="39"/>
      <c r="G291" s="39"/>
      <c r="H291" s="39"/>
      <c r="I291" s="39"/>
      <c r="J291" s="39"/>
      <c r="K291" s="39"/>
      <c r="L291" s="39"/>
      <c r="M291" s="39"/>
      <c r="N291" s="40"/>
    </row>
    <row r="292" spans="1:14">
      <c r="A292" s="32" t="s">
        <v>29</v>
      </c>
      <c r="B292" s="1092">
        <v>28</v>
      </c>
      <c r="C292" s="1092">
        <v>28</v>
      </c>
      <c r="D292" s="1092">
        <v>33</v>
      </c>
      <c r="E292" s="1092">
        <v>368</v>
      </c>
      <c r="F292" s="1092">
        <v>187</v>
      </c>
      <c r="G292" s="1092">
        <v>38</v>
      </c>
      <c r="H292" s="1092">
        <v>62</v>
      </c>
      <c r="I292" s="1092">
        <v>0</v>
      </c>
      <c r="J292" s="1092">
        <v>9</v>
      </c>
      <c r="K292" s="1092">
        <v>0</v>
      </c>
      <c r="L292" s="1092">
        <v>0</v>
      </c>
      <c r="M292" s="1092">
        <v>7</v>
      </c>
      <c r="N292" s="27">
        <f t="shared" ref="N292:N298" si="43">SUM(B292:M292)</f>
        <v>760</v>
      </c>
    </row>
    <row r="293" spans="1:14">
      <c r="A293" s="32" t="s">
        <v>33</v>
      </c>
      <c r="B293" s="1092">
        <v>6</v>
      </c>
      <c r="C293" s="1092">
        <v>7</v>
      </c>
      <c r="D293" s="1092">
        <v>2</v>
      </c>
      <c r="E293" s="1092">
        <v>9</v>
      </c>
      <c r="F293" s="1092">
        <v>3</v>
      </c>
      <c r="G293" s="1092">
        <v>3</v>
      </c>
      <c r="H293" s="1092">
        <v>3</v>
      </c>
      <c r="I293" s="1092">
        <v>52</v>
      </c>
      <c r="J293" s="1092">
        <v>14</v>
      </c>
      <c r="K293" s="1092">
        <v>1</v>
      </c>
      <c r="L293" s="1092">
        <v>5</v>
      </c>
      <c r="M293" s="1092">
        <v>41</v>
      </c>
      <c r="N293" s="27">
        <f t="shared" si="43"/>
        <v>146</v>
      </c>
    </row>
    <row r="294" spans="1:14">
      <c r="A294" s="32" t="s">
        <v>56</v>
      </c>
      <c r="B294" s="1092">
        <v>0</v>
      </c>
      <c r="C294" s="1092">
        <v>0</v>
      </c>
      <c r="D294" s="1092">
        <v>0</v>
      </c>
      <c r="E294" s="1092">
        <v>0</v>
      </c>
      <c r="F294" s="1092">
        <v>0</v>
      </c>
      <c r="G294" s="1092">
        <v>0</v>
      </c>
      <c r="H294" s="1092">
        <v>0</v>
      </c>
      <c r="I294" s="1092">
        <v>0</v>
      </c>
      <c r="J294" s="1092">
        <v>0</v>
      </c>
      <c r="K294" s="1092">
        <v>0</v>
      </c>
      <c r="L294" s="1092">
        <v>0</v>
      </c>
      <c r="M294" s="1092">
        <v>0</v>
      </c>
      <c r="N294" s="27">
        <f t="shared" si="43"/>
        <v>0</v>
      </c>
    </row>
    <row r="295" spans="1:14">
      <c r="A295" s="78" t="s">
        <v>30</v>
      </c>
      <c r="B295" s="1092">
        <v>0</v>
      </c>
      <c r="C295" s="1092">
        <v>3</v>
      </c>
      <c r="D295" s="1092">
        <v>2</v>
      </c>
      <c r="E295" s="1092">
        <v>0</v>
      </c>
      <c r="F295" s="1092">
        <v>1</v>
      </c>
      <c r="G295" s="1092">
        <v>0</v>
      </c>
      <c r="H295" s="1092">
        <v>1</v>
      </c>
      <c r="I295" s="1092">
        <v>0</v>
      </c>
      <c r="J295" s="1092">
        <v>3</v>
      </c>
      <c r="K295" s="1092">
        <v>2</v>
      </c>
      <c r="L295" s="1092">
        <v>3</v>
      </c>
      <c r="M295" s="1092">
        <v>1</v>
      </c>
      <c r="N295" s="27">
        <f t="shared" si="43"/>
        <v>16</v>
      </c>
    </row>
    <row r="296" spans="1:14">
      <c r="A296" s="76" t="s">
        <v>213</v>
      </c>
      <c r="B296" s="1092">
        <v>0</v>
      </c>
      <c r="C296" s="1092">
        <v>0</v>
      </c>
      <c r="D296" s="1092">
        <v>4</v>
      </c>
      <c r="E296" s="1092">
        <v>0</v>
      </c>
      <c r="F296" s="1092">
        <v>2</v>
      </c>
      <c r="G296" s="1092">
        <v>11</v>
      </c>
      <c r="H296" s="1092">
        <v>27</v>
      </c>
      <c r="I296" s="1092">
        <v>8</v>
      </c>
      <c r="J296" s="1092">
        <v>9</v>
      </c>
      <c r="K296" s="1092">
        <v>3</v>
      </c>
      <c r="L296" s="1092">
        <v>0</v>
      </c>
      <c r="M296" s="1092">
        <v>1</v>
      </c>
      <c r="N296" s="27">
        <f t="shared" si="43"/>
        <v>65</v>
      </c>
    </row>
    <row r="297" spans="1:14">
      <c r="A297" s="76" t="s">
        <v>212</v>
      </c>
      <c r="B297" s="1092">
        <v>0</v>
      </c>
      <c r="C297" s="1092">
        <v>0</v>
      </c>
      <c r="D297" s="1092">
        <v>1</v>
      </c>
      <c r="E297" s="1092">
        <v>0</v>
      </c>
      <c r="F297" s="1092">
        <v>0</v>
      </c>
      <c r="G297" s="1092">
        <v>2</v>
      </c>
      <c r="H297" s="1092">
        <v>4</v>
      </c>
      <c r="I297" s="1092">
        <v>0</v>
      </c>
      <c r="J297" s="1092">
        <v>1</v>
      </c>
      <c r="K297" s="1092">
        <v>0</v>
      </c>
      <c r="L297" s="1092">
        <v>7</v>
      </c>
      <c r="M297" s="1092">
        <v>0</v>
      </c>
      <c r="N297" s="27">
        <f t="shared" si="43"/>
        <v>15</v>
      </c>
    </row>
    <row r="298" spans="1:14" ht="14" thickBot="1">
      <c r="A298" s="76" t="s">
        <v>267</v>
      </c>
      <c r="B298" s="1092">
        <v>0</v>
      </c>
      <c r="C298" s="1092">
        <v>0</v>
      </c>
      <c r="D298" s="1092">
        <v>0</v>
      </c>
      <c r="E298" s="1092">
        <v>0</v>
      </c>
      <c r="F298" s="1092">
        <v>0</v>
      </c>
      <c r="G298" s="1092">
        <v>0</v>
      </c>
      <c r="H298" s="1092">
        <v>0</v>
      </c>
      <c r="I298" s="1092">
        <v>0</v>
      </c>
      <c r="J298" s="1092">
        <v>0</v>
      </c>
      <c r="K298" s="1092">
        <v>0</v>
      </c>
      <c r="L298" s="1092">
        <v>0</v>
      </c>
      <c r="M298" s="1092">
        <v>0</v>
      </c>
      <c r="N298" s="27">
        <f t="shared" si="43"/>
        <v>0</v>
      </c>
    </row>
    <row r="299" spans="1:14" ht="14" thickBot="1">
      <c r="A299" s="38" t="s">
        <v>190</v>
      </c>
      <c r="B299" s="39"/>
      <c r="C299" s="39"/>
      <c r="D299" s="39"/>
      <c r="E299" s="39"/>
      <c r="F299" s="39"/>
      <c r="G299" s="39"/>
      <c r="H299" s="39"/>
      <c r="I299" s="39"/>
      <c r="J299" s="39"/>
      <c r="K299" s="39"/>
      <c r="L299" s="39"/>
      <c r="M299" s="39"/>
      <c r="N299" s="280"/>
    </row>
    <row r="300" spans="1:14">
      <c r="A300" s="76" t="s">
        <v>165</v>
      </c>
      <c r="B300" s="1092">
        <v>0</v>
      </c>
      <c r="C300" s="1092">
        <v>0</v>
      </c>
      <c r="D300" s="1092">
        <v>0</v>
      </c>
      <c r="E300" s="1092">
        <v>0</v>
      </c>
      <c r="F300" s="1092">
        <v>0</v>
      </c>
      <c r="G300" s="1092">
        <v>0</v>
      </c>
      <c r="H300" s="1092">
        <v>0</v>
      </c>
      <c r="I300" s="1092">
        <v>0</v>
      </c>
      <c r="J300" s="1092">
        <v>0</v>
      </c>
      <c r="K300" s="1092">
        <v>0</v>
      </c>
      <c r="L300" s="1092">
        <v>0</v>
      </c>
      <c r="M300" s="1092">
        <v>729</v>
      </c>
      <c r="N300" s="27">
        <f>SUM(B300:M300)</f>
        <v>729</v>
      </c>
    </row>
    <row r="301" spans="1:14">
      <c r="A301" s="76" t="s">
        <v>166</v>
      </c>
      <c r="B301" s="1092">
        <v>10</v>
      </c>
      <c r="C301" s="1092">
        <v>11</v>
      </c>
      <c r="D301" s="1092">
        <v>2</v>
      </c>
      <c r="E301" s="1092">
        <v>13</v>
      </c>
      <c r="F301" s="1092">
        <v>2</v>
      </c>
      <c r="G301" s="1092">
        <v>5</v>
      </c>
      <c r="H301" s="1092">
        <v>7</v>
      </c>
      <c r="I301" s="1092">
        <v>2</v>
      </c>
      <c r="J301" s="1092">
        <v>5</v>
      </c>
      <c r="K301" s="1092">
        <v>16</v>
      </c>
      <c r="L301" s="1092">
        <v>13</v>
      </c>
      <c r="M301" s="1092">
        <v>2</v>
      </c>
      <c r="N301" s="27">
        <f>SUM(B301:M301)</f>
        <v>88</v>
      </c>
    </row>
    <row r="302" spans="1:14">
      <c r="A302" s="76" t="s">
        <v>193</v>
      </c>
      <c r="B302" s="1092">
        <v>2</v>
      </c>
      <c r="C302" s="1092">
        <v>1</v>
      </c>
      <c r="D302" s="1092">
        <v>1</v>
      </c>
      <c r="E302" s="1092">
        <v>1</v>
      </c>
      <c r="F302" s="1092">
        <v>0</v>
      </c>
      <c r="G302" s="1092">
        <v>0</v>
      </c>
      <c r="H302" s="1092">
        <v>0</v>
      </c>
      <c r="I302" s="1092">
        <v>0</v>
      </c>
      <c r="J302" s="1092">
        <v>0</v>
      </c>
      <c r="K302" s="1092">
        <v>1</v>
      </c>
      <c r="L302" s="1092">
        <v>1</v>
      </c>
      <c r="M302" s="1092">
        <v>0</v>
      </c>
      <c r="N302" s="27">
        <f>SUM(B302:M302)</f>
        <v>7</v>
      </c>
    </row>
    <row r="303" spans="1:14" ht="14" thickBot="1">
      <c r="A303" s="76" t="s">
        <v>266</v>
      </c>
      <c r="B303" s="1092">
        <v>0</v>
      </c>
      <c r="C303" s="1092">
        <v>0</v>
      </c>
      <c r="D303" s="1092">
        <v>0</v>
      </c>
      <c r="E303" s="1092">
        <v>0</v>
      </c>
      <c r="F303" s="1092">
        <v>0</v>
      </c>
      <c r="G303" s="1092">
        <v>0</v>
      </c>
      <c r="H303" s="1092">
        <v>0</v>
      </c>
      <c r="I303" s="1092">
        <v>0</v>
      </c>
      <c r="J303" s="1092">
        <v>0</v>
      </c>
      <c r="K303" s="1092">
        <v>0</v>
      </c>
      <c r="L303" s="1092">
        <v>0</v>
      </c>
      <c r="M303" s="1092">
        <v>0</v>
      </c>
      <c r="N303" s="27">
        <f>SUM(B303:M303)</f>
        <v>0</v>
      </c>
    </row>
    <row r="304" spans="1:14" ht="14" thickBot="1">
      <c r="A304" s="256" t="s">
        <v>60</v>
      </c>
      <c r="B304" s="289">
        <f t="shared" ref="B304:M304" si="44">SUM(B292:B303)</f>
        <v>46</v>
      </c>
      <c r="C304" s="290">
        <f t="shared" si="44"/>
        <v>50</v>
      </c>
      <c r="D304" s="290">
        <f t="shared" si="44"/>
        <v>45</v>
      </c>
      <c r="E304" s="290">
        <f t="shared" si="44"/>
        <v>391</v>
      </c>
      <c r="F304" s="290">
        <f t="shared" si="44"/>
        <v>195</v>
      </c>
      <c r="G304" s="290">
        <f t="shared" si="44"/>
        <v>59</v>
      </c>
      <c r="H304" s="290">
        <f t="shared" si="44"/>
        <v>104</v>
      </c>
      <c r="I304" s="290">
        <f t="shared" si="44"/>
        <v>62</v>
      </c>
      <c r="J304" s="290">
        <f t="shared" si="44"/>
        <v>41</v>
      </c>
      <c r="K304" s="290">
        <f t="shared" si="44"/>
        <v>23</v>
      </c>
      <c r="L304" s="290">
        <f t="shared" si="44"/>
        <v>29</v>
      </c>
      <c r="M304" s="287">
        <f t="shared" si="44"/>
        <v>781</v>
      </c>
      <c r="N304" s="287">
        <f>SUM(N292:N303)</f>
        <v>1826</v>
      </c>
    </row>
    <row r="305" spans="1:14" ht="14" thickBot="1">
      <c r="A305" s="53"/>
      <c r="B305" s="291"/>
      <c r="C305" s="291"/>
      <c r="D305" s="291"/>
      <c r="E305" s="291"/>
      <c r="F305" s="291"/>
      <c r="G305" s="291"/>
      <c r="H305" s="291"/>
      <c r="I305" s="291"/>
      <c r="J305" s="291"/>
      <c r="K305" s="291"/>
      <c r="L305" s="291"/>
      <c r="M305" s="291"/>
      <c r="N305" s="54"/>
    </row>
    <row r="306" spans="1:14" ht="14" thickBot="1">
      <c r="A306" s="38" t="s">
        <v>194</v>
      </c>
      <c r="B306" s="39"/>
      <c r="C306" s="39"/>
      <c r="D306" s="39"/>
      <c r="E306" s="39"/>
      <c r="F306" s="39"/>
      <c r="G306" s="39"/>
      <c r="H306" s="39"/>
      <c r="I306" s="39"/>
      <c r="J306" s="39"/>
      <c r="K306" s="39"/>
      <c r="L306" s="39"/>
      <c r="M306" s="39"/>
      <c r="N306" s="40"/>
    </row>
    <row r="307" spans="1:14">
      <c r="A307" s="32" t="s">
        <v>29</v>
      </c>
      <c r="B307" s="1092">
        <v>0</v>
      </c>
      <c r="C307" s="1092">
        <v>2</v>
      </c>
      <c r="D307" s="1092">
        <v>0</v>
      </c>
      <c r="E307" s="1092">
        <v>268</v>
      </c>
      <c r="F307" s="1092">
        <v>10</v>
      </c>
      <c r="G307" s="1092">
        <v>344</v>
      </c>
      <c r="H307" s="1092">
        <v>275</v>
      </c>
      <c r="I307" s="1092">
        <v>0</v>
      </c>
      <c r="J307" s="1092">
        <v>0</v>
      </c>
      <c r="K307" s="1092">
        <v>124</v>
      </c>
      <c r="L307" s="1092">
        <v>0</v>
      </c>
      <c r="M307" s="1092">
        <v>18</v>
      </c>
      <c r="N307" s="27">
        <f>SUM(B307:M307)</f>
        <v>1041</v>
      </c>
    </row>
    <row r="308" spans="1:14">
      <c r="A308" s="78" t="s">
        <v>264</v>
      </c>
      <c r="B308" s="1092">
        <v>0</v>
      </c>
      <c r="C308" s="1092">
        <v>0</v>
      </c>
      <c r="D308" s="1092">
        <v>0</v>
      </c>
      <c r="E308" s="1092">
        <v>0</v>
      </c>
      <c r="F308" s="1092">
        <v>0</v>
      </c>
      <c r="G308" s="1092">
        <v>0</v>
      </c>
      <c r="H308" s="1092">
        <v>0</v>
      </c>
      <c r="I308" s="1092">
        <v>0</v>
      </c>
      <c r="J308" s="1092">
        <v>0</v>
      </c>
      <c r="K308" s="1092">
        <v>0</v>
      </c>
      <c r="L308" s="1092">
        <v>0</v>
      </c>
      <c r="M308" s="1092">
        <v>0</v>
      </c>
      <c r="N308" s="27">
        <f t="shared" ref="N308:N320" si="45">SUM(B308:M308)</f>
        <v>0</v>
      </c>
    </row>
    <row r="309" spans="1:14">
      <c r="A309" s="34" t="s">
        <v>204</v>
      </c>
      <c r="B309" s="1092">
        <v>0</v>
      </c>
      <c r="C309" s="1092">
        <v>0</v>
      </c>
      <c r="D309" s="1092">
        <v>0</v>
      </c>
      <c r="E309" s="1092">
        <v>0</v>
      </c>
      <c r="F309" s="1092">
        <v>0</v>
      </c>
      <c r="G309" s="1092">
        <v>0</v>
      </c>
      <c r="H309" s="1092">
        <v>0</v>
      </c>
      <c r="I309" s="1092">
        <v>0</v>
      </c>
      <c r="J309" s="1092">
        <v>0</v>
      </c>
      <c r="K309" s="1092">
        <v>0</v>
      </c>
      <c r="L309" s="1092">
        <v>0</v>
      </c>
      <c r="M309" s="1092">
        <v>0</v>
      </c>
      <c r="N309" s="27">
        <f t="shared" si="45"/>
        <v>0</v>
      </c>
    </row>
    <row r="310" spans="1:14">
      <c r="A310" s="76" t="s">
        <v>30</v>
      </c>
      <c r="B310" s="1092">
        <v>0</v>
      </c>
      <c r="C310" s="1092">
        <v>2</v>
      </c>
      <c r="D310" s="1092">
        <v>0</v>
      </c>
      <c r="E310" s="1092">
        <v>0</v>
      </c>
      <c r="F310" s="1092">
        <v>0</v>
      </c>
      <c r="G310" s="1092">
        <v>2</v>
      </c>
      <c r="H310" s="1092">
        <v>37</v>
      </c>
      <c r="I310" s="1092">
        <v>0</v>
      </c>
      <c r="J310" s="1092">
        <v>0</v>
      </c>
      <c r="K310" s="1092">
        <v>2</v>
      </c>
      <c r="L310" s="1092">
        <v>0</v>
      </c>
      <c r="M310" s="1092">
        <v>8</v>
      </c>
      <c r="N310" s="27">
        <f t="shared" si="45"/>
        <v>51</v>
      </c>
    </row>
    <row r="311" spans="1:14">
      <c r="A311" s="32" t="s">
        <v>56</v>
      </c>
      <c r="B311" s="1092">
        <v>0</v>
      </c>
      <c r="C311" s="1092">
        <v>0</v>
      </c>
      <c r="D311" s="1092">
        <v>0</v>
      </c>
      <c r="E311" s="1092">
        <v>0</v>
      </c>
      <c r="F311" s="1092">
        <v>0</v>
      </c>
      <c r="G311" s="1092">
        <v>0</v>
      </c>
      <c r="H311" s="1092">
        <v>0</v>
      </c>
      <c r="I311" s="1092">
        <v>0</v>
      </c>
      <c r="J311" s="1092">
        <v>0</v>
      </c>
      <c r="K311" s="1092">
        <v>1500</v>
      </c>
      <c r="L311" s="1092">
        <v>0</v>
      </c>
      <c r="M311" s="1092">
        <v>0</v>
      </c>
      <c r="N311" s="27">
        <f t="shared" si="45"/>
        <v>1500</v>
      </c>
    </row>
    <row r="312" spans="1:14">
      <c r="A312" s="78" t="s">
        <v>122</v>
      </c>
      <c r="B312" s="1092">
        <v>0</v>
      </c>
      <c r="C312" s="1092">
        <v>0</v>
      </c>
      <c r="D312" s="1092">
        <v>0</v>
      </c>
      <c r="E312" s="1092">
        <v>0</v>
      </c>
      <c r="F312" s="1092">
        <v>0</v>
      </c>
      <c r="G312" s="1092">
        <v>0</v>
      </c>
      <c r="H312" s="1092">
        <v>0</v>
      </c>
      <c r="I312" s="1092">
        <v>0</v>
      </c>
      <c r="J312" s="1092">
        <v>0</v>
      </c>
      <c r="K312" s="1092">
        <v>0</v>
      </c>
      <c r="L312" s="1092">
        <v>0</v>
      </c>
      <c r="M312" s="1092">
        <v>0</v>
      </c>
      <c r="N312" s="27">
        <f t="shared" si="45"/>
        <v>0</v>
      </c>
    </row>
    <row r="313" spans="1:14">
      <c r="A313" s="78" t="s">
        <v>184</v>
      </c>
      <c r="B313" s="1092">
        <v>0</v>
      </c>
      <c r="C313" s="1092">
        <v>0</v>
      </c>
      <c r="D313" s="1092">
        <v>0</v>
      </c>
      <c r="E313" s="1092">
        <v>0</v>
      </c>
      <c r="F313" s="1092">
        <v>0</v>
      </c>
      <c r="G313" s="1092">
        <v>0</v>
      </c>
      <c r="H313" s="1092">
        <v>0</v>
      </c>
      <c r="I313" s="1092">
        <v>0</v>
      </c>
      <c r="J313" s="1092">
        <v>0</v>
      </c>
      <c r="K313" s="1092">
        <v>0</v>
      </c>
      <c r="L313" s="1092">
        <v>0</v>
      </c>
      <c r="M313" s="1092">
        <v>0</v>
      </c>
      <c r="N313" s="27">
        <f t="shared" si="45"/>
        <v>0</v>
      </c>
    </row>
    <row r="314" spans="1:14">
      <c r="A314" s="78" t="s">
        <v>187</v>
      </c>
      <c r="B314" s="1092">
        <v>0</v>
      </c>
      <c r="C314" s="1092">
        <v>0</v>
      </c>
      <c r="D314" s="1092">
        <v>0</v>
      </c>
      <c r="E314" s="1092">
        <v>0</v>
      </c>
      <c r="F314" s="1092">
        <v>0</v>
      </c>
      <c r="G314" s="1092">
        <v>0</v>
      </c>
      <c r="H314" s="1092">
        <v>0</v>
      </c>
      <c r="I314" s="1092">
        <v>0</v>
      </c>
      <c r="J314" s="1092">
        <v>0</v>
      </c>
      <c r="K314" s="1092">
        <v>0</v>
      </c>
      <c r="L314" s="1092">
        <v>0</v>
      </c>
      <c r="M314" s="1092">
        <v>0</v>
      </c>
      <c r="N314" s="27">
        <f t="shared" si="45"/>
        <v>0</v>
      </c>
    </row>
    <row r="315" spans="1:14">
      <c r="A315" s="78" t="s">
        <v>188</v>
      </c>
      <c r="B315" s="1092">
        <v>0</v>
      </c>
      <c r="C315" s="1092">
        <v>0</v>
      </c>
      <c r="D315" s="1092">
        <v>0</v>
      </c>
      <c r="E315" s="1092">
        <v>0</v>
      </c>
      <c r="F315" s="1092">
        <v>0</v>
      </c>
      <c r="G315" s="1092">
        <v>0</v>
      </c>
      <c r="H315" s="1092">
        <v>0</v>
      </c>
      <c r="I315" s="1092">
        <v>0</v>
      </c>
      <c r="J315" s="1092">
        <v>0</v>
      </c>
      <c r="K315" s="1092">
        <v>0</v>
      </c>
      <c r="L315" s="1092">
        <v>0</v>
      </c>
      <c r="M315" s="1092">
        <v>0</v>
      </c>
      <c r="N315" s="27">
        <f t="shared" si="45"/>
        <v>0</v>
      </c>
    </row>
    <row r="316" spans="1:14">
      <c r="A316" s="78" t="s">
        <v>213</v>
      </c>
      <c r="B316" s="1092">
        <v>1</v>
      </c>
      <c r="C316" s="1092">
        <v>0</v>
      </c>
      <c r="D316" s="1092">
        <v>2</v>
      </c>
      <c r="E316" s="1092">
        <v>0</v>
      </c>
      <c r="F316" s="1092">
        <v>0</v>
      </c>
      <c r="G316" s="1092">
        <v>0</v>
      </c>
      <c r="H316" s="1092">
        <v>4</v>
      </c>
      <c r="I316" s="1092">
        <v>1</v>
      </c>
      <c r="J316" s="1092">
        <v>2</v>
      </c>
      <c r="K316" s="1092">
        <v>0</v>
      </c>
      <c r="L316" s="1092">
        <v>0</v>
      </c>
      <c r="M316" s="1092">
        <v>0</v>
      </c>
      <c r="N316" s="27">
        <f t="shared" si="45"/>
        <v>10</v>
      </c>
    </row>
    <row r="317" spans="1:14">
      <c r="A317" s="76" t="s">
        <v>267</v>
      </c>
      <c r="B317" s="1092">
        <v>0</v>
      </c>
      <c r="C317" s="1092">
        <v>0</v>
      </c>
      <c r="D317" s="1092">
        <v>0</v>
      </c>
      <c r="E317" s="1092">
        <v>0</v>
      </c>
      <c r="F317" s="1092">
        <v>0</v>
      </c>
      <c r="G317" s="1092">
        <v>0</v>
      </c>
      <c r="H317" s="1092">
        <v>0</v>
      </c>
      <c r="I317" s="1092">
        <v>0</v>
      </c>
      <c r="J317" s="1092">
        <v>0</v>
      </c>
      <c r="K317" s="1092">
        <v>0</v>
      </c>
      <c r="L317" s="1092">
        <v>0</v>
      </c>
      <c r="M317" s="1092">
        <v>0</v>
      </c>
      <c r="N317" s="27">
        <f t="shared" si="45"/>
        <v>0</v>
      </c>
    </row>
    <row r="318" spans="1:14" ht="14" thickBot="1">
      <c r="A318" s="76" t="s">
        <v>268</v>
      </c>
      <c r="B318" s="1092">
        <v>0</v>
      </c>
      <c r="C318" s="1092">
        <v>0</v>
      </c>
      <c r="D318" s="1092">
        <v>0</v>
      </c>
      <c r="E318" s="1092">
        <v>0</v>
      </c>
      <c r="F318" s="1092">
        <v>0</v>
      </c>
      <c r="G318" s="1092">
        <v>0</v>
      </c>
      <c r="H318" s="1092">
        <v>0</v>
      </c>
      <c r="I318" s="1092">
        <v>0</v>
      </c>
      <c r="J318" s="1092">
        <v>0</v>
      </c>
      <c r="K318" s="1092">
        <v>0</v>
      </c>
      <c r="L318" s="1092">
        <v>0</v>
      </c>
      <c r="M318" s="1092">
        <v>525</v>
      </c>
      <c r="N318" s="27">
        <f>SUM(B318:M318)</f>
        <v>525</v>
      </c>
    </row>
    <row r="319" spans="1:14" ht="14" thickBot="1">
      <c r="A319" s="38" t="s">
        <v>192</v>
      </c>
      <c r="B319" s="39"/>
      <c r="C319" s="39"/>
      <c r="D319" s="39"/>
      <c r="E319" s="39"/>
      <c r="F319" s="39"/>
      <c r="G319" s="39"/>
      <c r="H319" s="39"/>
      <c r="I319" s="39"/>
      <c r="J319" s="39"/>
      <c r="K319" s="39"/>
      <c r="L319" s="39"/>
      <c r="M319" s="39"/>
      <c r="N319" s="280"/>
    </row>
    <row r="320" spans="1:14" ht="14" thickBot="1">
      <c r="A320" s="32" t="s">
        <v>165</v>
      </c>
      <c r="B320" s="1092">
        <v>0</v>
      </c>
      <c r="C320" s="1092">
        <v>0</v>
      </c>
      <c r="D320" s="1092">
        <v>0</v>
      </c>
      <c r="E320" s="1092">
        <v>0</v>
      </c>
      <c r="F320" s="1092">
        <v>0</v>
      </c>
      <c r="G320" s="1092">
        <v>0</v>
      </c>
      <c r="H320" s="1092">
        <v>0</v>
      </c>
      <c r="I320" s="1092">
        <v>0</v>
      </c>
      <c r="J320" s="1092">
        <v>0</v>
      </c>
      <c r="K320" s="1092">
        <v>0</v>
      </c>
      <c r="L320" s="1092">
        <v>0</v>
      </c>
      <c r="M320" s="1092">
        <v>3806</v>
      </c>
      <c r="N320" s="27">
        <f t="shared" si="45"/>
        <v>3806</v>
      </c>
    </row>
    <row r="321" spans="1:14" ht="14" thickBot="1">
      <c r="A321" s="256" t="s">
        <v>60</v>
      </c>
      <c r="B321" s="289">
        <f t="shared" ref="B321:M321" si="46">SUM(B307:B320)</f>
        <v>1</v>
      </c>
      <c r="C321" s="290">
        <f t="shared" si="46"/>
        <v>4</v>
      </c>
      <c r="D321" s="290">
        <f t="shared" si="46"/>
        <v>2</v>
      </c>
      <c r="E321" s="290">
        <f t="shared" si="46"/>
        <v>268</v>
      </c>
      <c r="F321" s="290">
        <f t="shared" si="46"/>
        <v>10</v>
      </c>
      <c r="G321" s="290">
        <f t="shared" si="46"/>
        <v>346</v>
      </c>
      <c r="H321" s="290">
        <f t="shared" si="46"/>
        <v>316</v>
      </c>
      <c r="I321" s="290">
        <f t="shared" si="46"/>
        <v>1</v>
      </c>
      <c r="J321" s="290">
        <f t="shared" si="46"/>
        <v>2</v>
      </c>
      <c r="K321" s="290">
        <f t="shared" si="46"/>
        <v>1626</v>
      </c>
      <c r="L321" s="290">
        <f t="shared" si="46"/>
        <v>0</v>
      </c>
      <c r="M321" s="290">
        <f t="shared" si="46"/>
        <v>4357</v>
      </c>
      <c r="N321" s="287">
        <f>SUM(N307:N320)</f>
        <v>6933</v>
      </c>
    </row>
    <row r="323" spans="1:14" ht="14" thickBot="1">
      <c r="B323" s="43" t="s">
        <v>35</v>
      </c>
      <c r="C323" s="43" t="s">
        <v>36</v>
      </c>
      <c r="D323" s="43" t="s">
        <v>37</v>
      </c>
      <c r="E323" s="43" t="s">
        <v>38</v>
      </c>
      <c r="F323" s="43" t="s">
        <v>39</v>
      </c>
      <c r="G323" s="43" t="s">
        <v>40</v>
      </c>
      <c r="H323" s="43" t="s">
        <v>41</v>
      </c>
      <c r="I323" s="43" t="s">
        <v>42</v>
      </c>
      <c r="J323" s="43" t="s">
        <v>43</v>
      </c>
      <c r="K323" s="43" t="s">
        <v>44</v>
      </c>
      <c r="L323" s="43" t="s">
        <v>45</v>
      </c>
      <c r="M323" s="43" t="s">
        <v>46</v>
      </c>
      <c r="N323" s="43" t="s">
        <v>10</v>
      </c>
    </row>
    <row r="324" spans="1:14" ht="17" thickBot="1">
      <c r="A324" s="31" t="s">
        <v>317</v>
      </c>
      <c r="B324" s="24"/>
      <c r="C324" s="24"/>
      <c r="D324" s="22"/>
      <c r="E324" s="22"/>
      <c r="F324" s="25"/>
      <c r="G324" s="25"/>
      <c r="H324" s="22"/>
      <c r="I324" s="22"/>
      <c r="J324" s="22"/>
      <c r="K324" s="22"/>
      <c r="L324" s="24"/>
      <c r="M324" s="24"/>
      <c r="N324" s="26"/>
    </row>
    <row r="325" spans="1:14" ht="14" thickBot="1">
      <c r="A325" s="38" t="s">
        <v>189</v>
      </c>
      <c r="B325" s="39"/>
      <c r="C325" s="39"/>
      <c r="D325" s="39"/>
      <c r="E325" s="39"/>
      <c r="F325" s="39"/>
      <c r="G325" s="39"/>
      <c r="H325" s="39"/>
      <c r="I325" s="39"/>
      <c r="J325" s="39"/>
      <c r="K325" s="39"/>
      <c r="L325" s="39"/>
      <c r="M325" s="39"/>
      <c r="N325" s="40"/>
    </row>
    <row r="326" spans="1:14">
      <c r="A326" s="32" t="s">
        <v>29</v>
      </c>
      <c r="B326" s="1092">
        <v>4</v>
      </c>
      <c r="C326" s="1092">
        <v>2</v>
      </c>
      <c r="D326" s="1092">
        <v>248</v>
      </c>
      <c r="E326" s="1092">
        <v>136</v>
      </c>
      <c r="F326" s="1092">
        <v>280</v>
      </c>
      <c r="G326" s="1092">
        <v>2</v>
      </c>
      <c r="H326" s="1092">
        <v>169</v>
      </c>
      <c r="I326" s="1092">
        <v>2</v>
      </c>
      <c r="J326" s="1092">
        <v>3</v>
      </c>
      <c r="K326" s="1092">
        <v>0</v>
      </c>
      <c r="L326" s="1092">
        <v>13</v>
      </c>
      <c r="M326" s="1092">
        <v>0</v>
      </c>
      <c r="N326" s="27">
        <f t="shared" ref="N326:N333" si="47">SUM(B326:M326)</f>
        <v>859</v>
      </c>
    </row>
    <row r="327" spans="1:14">
      <c r="A327" s="32" t="s">
        <v>33</v>
      </c>
      <c r="B327" s="1092">
        <v>4</v>
      </c>
      <c r="C327" s="1092">
        <v>1</v>
      </c>
      <c r="D327" s="1092">
        <v>6</v>
      </c>
      <c r="E327" s="1092">
        <v>28</v>
      </c>
      <c r="F327" s="1092">
        <v>7</v>
      </c>
      <c r="G327" s="1092">
        <v>2</v>
      </c>
      <c r="H327" s="1092">
        <v>6</v>
      </c>
      <c r="I327" s="1092">
        <v>19</v>
      </c>
      <c r="J327" s="1092">
        <v>2</v>
      </c>
      <c r="K327" s="1092">
        <v>2</v>
      </c>
      <c r="L327" s="1092">
        <v>13</v>
      </c>
      <c r="M327" s="1092">
        <v>11</v>
      </c>
      <c r="N327" s="27">
        <f t="shared" si="47"/>
        <v>101</v>
      </c>
    </row>
    <row r="328" spans="1:14">
      <c r="A328" s="32" t="s">
        <v>56</v>
      </c>
      <c r="B328" s="1092">
        <v>0</v>
      </c>
      <c r="C328" s="1092">
        <v>0</v>
      </c>
      <c r="D328" s="1092">
        <v>0</v>
      </c>
      <c r="E328" s="1092">
        <v>0</v>
      </c>
      <c r="F328" s="1092">
        <v>30</v>
      </c>
      <c r="G328" s="1092">
        <v>0</v>
      </c>
      <c r="H328" s="1092">
        <v>0</v>
      </c>
      <c r="I328" s="1092">
        <v>0</v>
      </c>
      <c r="J328" s="1092">
        <v>0</v>
      </c>
      <c r="K328" s="1092">
        <v>0</v>
      </c>
      <c r="L328" s="1092">
        <v>0</v>
      </c>
      <c r="M328" s="1092">
        <v>0</v>
      </c>
      <c r="N328" s="27">
        <f t="shared" si="47"/>
        <v>30</v>
      </c>
    </row>
    <row r="329" spans="1:14">
      <c r="A329" s="78" t="s">
        <v>30</v>
      </c>
      <c r="B329" s="1092">
        <v>1</v>
      </c>
      <c r="C329" s="1092">
        <v>1</v>
      </c>
      <c r="D329" s="1092">
        <v>2</v>
      </c>
      <c r="E329" s="1092">
        <v>0</v>
      </c>
      <c r="F329" s="1092">
        <v>1</v>
      </c>
      <c r="G329" s="1092">
        <v>0</v>
      </c>
      <c r="H329" s="1092">
        <v>1</v>
      </c>
      <c r="I329" s="1092">
        <v>0</v>
      </c>
      <c r="J329" s="1092">
        <v>1</v>
      </c>
      <c r="K329" s="1092">
        <v>1</v>
      </c>
      <c r="L329" s="1092">
        <v>6</v>
      </c>
      <c r="M329" s="1092">
        <v>1</v>
      </c>
      <c r="N329" s="27">
        <f t="shared" si="47"/>
        <v>15</v>
      </c>
    </row>
    <row r="330" spans="1:14">
      <c r="A330" s="76" t="s">
        <v>213</v>
      </c>
      <c r="B330" s="1092">
        <v>0</v>
      </c>
      <c r="C330" s="1092">
        <v>0</v>
      </c>
      <c r="D330" s="1092">
        <v>0</v>
      </c>
      <c r="E330" s="1092">
        <v>1</v>
      </c>
      <c r="F330" s="1092">
        <v>0</v>
      </c>
      <c r="G330" s="1092">
        <v>0</v>
      </c>
      <c r="H330" s="1092">
        <v>1</v>
      </c>
      <c r="I330" s="1092">
        <v>1</v>
      </c>
      <c r="J330" s="1092">
        <v>1</v>
      </c>
      <c r="K330" s="1092">
        <v>0</v>
      </c>
      <c r="L330" s="1092">
        <v>0</v>
      </c>
      <c r="M330" s="1092">
        <v>1</v>
      </c>
      <c r="N330" s="27">
        <f t="shared" si="47"/>
        <v>5</v>
      </c>
    </row>
    <row r="331" spans="1:14">
      <c r="A331" s="76" t="s">
        <v>212</v>
      </c>
      <c r="B331" s="1092">
        <v>4</v>
      </c>
      <c r="C331" s="1092">
        <v>0</v>
      </c>
      <c r="D331" s="1092">
        <v>0</v>
      </c>
      <c r="E331" s="1092">
        <v>0</v>
      </c>
      <c r="F331" s="1092">
        <v>102</v>
      </c>
      <c r="G331" s="1092">
        <v>22</v>
      </c>
      <c r="H331" s="1092">
        <v>0</v>
      </c>
      <c r="I331" s="1092">
        <v>2</v>
      </c>
      <c r="J331" s="1092">
        <v>2</v>
      </c>
      <c r="K331" s="1092">
        <v>0</v>
      </c>
      <c r="L331" s="1092">
        <v>2</v>
      </c>
      <c r="M331" s="1092">
        <v>62</v>
      </c>
      <c r="N331" s="27">
        <f t="shared" si="47"/>
        <v>196</v>
      </c>
    </row>
    <row r="332" spans="1:14">
      <c r="A332" s="76" t="s">
        <v>331</v>
      </c>
      <c r="B332" s="1092">
        <v>0</v>
      </c>
      <c r="C332" s="1092">
        <v>0</v>
      </c>
      <c r="D332" s="1092">
        <v>0</v>
      </c>
      <c r="E332" s="1092">
        <v>0</v>
      </c>
      <c r="F332" s="1092">
        <v>0</v>
      </c>
      <c r="G332" s="1092">
        <v>0</v>
      </c>
      <c r="H332" s="1092">
        <v>0</v>
      </c>
      <c r="I332" s="1092">
        <v>0</v>
      </c>
      <c r="J332" s="1092">
        <v>0</v>
      </c>
      <c r="K332" s="1092">
        <v>0</v>
      </c>
      <c r="L332" s="1092">
        <v>0</v>
      </c>
      <c r="M332" s="1092">
        <v>0</v>
      </c>
      <c r="N332" s="27">
        <f>SUM(B332:M332)</f>
        <v>0</v>
      </c>
    </row>
    <row r="333" spans="1:14" ht="14" thickBot="1">
      <c r="A333" s="76" t="s">
        <v>267</v>
      </c>
      <c r="B333" s="1092">
        <v>0</v>
      </c>
      <c r="C333" s="1092">
        <v>0</v>
      </c>
      <c r="D333" s="1092">
        <v>0</v>
      </c>
      <c r="E333" s="1092">
        <v>0</v>
      </c>
      <c r="F333" s="1092">
        <v>0</v>
      </c>
      <c r="G333" s="1092">
        <v>0</v>
      </c>
      <c r="H333" s="1092">
        <v>0</v>
      </c>
      <c r="I333" s="1092">
        <v>0</v>
      </c>
      <c r="J333" s="1092">
        <v>0</v>
      </c>
      <c r="K333" s="1092">
        <v>0</v>
      </c>
      <c r="L333" s="1092">
        <v>0</v>
      </c>
      <c r="M333" s="1092">
        <v>0</v>
      </c>
      <c r="N333" s="27">
        <f t="shared" si="47"/>
        <v>0</v>
      </c>
    </row>
    <row r="334" spans="1:14" ht="14" thickBot="1">
      <c r="A334" s="38" t="s">
        <v>190</v>
      </c>
      <c r="B334" s="39"/>
      <c r="C334" s="39"/>
      <c r="D334" s="39"/>
      <c r="E334" s="39"/>
      <c r="F334" s="39"/>
      <c r="G334" s="39"/>
      <c r="H334" s="39"/>
      <c r="I334" s="39"/>
      <c r="J334" s="39"/>
      <c r="K334" s="39"/>
      <c r="L334" s="39"/>
      <c r="M334" s="39"/>
      <c r="N334" s="280"/>
    </row>
    <row r="335" spans="1:14">
      <c r="A335" s="76" t="s">
        <v>165</v>
      </c>
      <c r="B335" s="1092">
        <v>0</v>
      </c>
      <c r="C335" s="1092">
        <v>0</v>
      </c>
      <c r="D335" s="1092">
        <v>183</v>
      </c>
      <c r="E335" s="1092">
        <v>42</v>
      </c>
      <c r="F335" s="1092">
        <v>0</v>
      </c>
      <c r="G335" s="1092">
        <v>13</v>
      </c>
      <c r="H335" s="1092">
        <v>25</v>
      </c>
      <c r="I335" s="1092">
        <v>25</v>
      </c>
      <c r="J335" s="1092">
        <v>25</v>
      </c>
      <c r="K335" s="1092">
        <v>50</v>
      </c>
      <c r="L335" s="1092">
        <v>50</v>
      </c>
      <c r="M335" s="1092">
        <v>14</v>
      </c>
      <c r="N335" s="27">
        <f>SUM(B335:M335)</f>
        <v>427</v>
      </c>
    </row>
    <row r="336" spans="1:14">
      <c r="A336" s="76" t="s">
        <v>166</v>
      </c>
      <c r="B336" s="1092">
        <v>0</v>
      </c>
      <c r="C336" s="1092">
        <v>0</v>
      </c>
      <c r="D336" s="1092">
        <v>1</v>
      </c>
      <c r="E336" s="1092">
        <v>1</v>
      </c>
      <c r="F336" s="1092">
        <v>0</v>
      </c>
      <c r="G336" s="1092">
        <v>1</v>
      </c>
      <c r="H336" s="1092">
        <v>2</v>
      </c>
      <c r="I336" s="1092">
        <v>1</v>
      </c>
      <c r="J336" s="1092">
        <v>1</v>
      </c>
      <c r="K336" s="1092">
        <v>0</v>
      </c>
      <c r="L336" s="1092">
        <v>3</v>
      </c>
      <c r="M336" s="1092">
        <v>1</v>
      </c>
      <c r="N336" s="27">
        <f>SUM(B336:M336)</f>
        <v>11</v>
      </c>
    </row>
    <row r="337" spans="1:14">
      <c r="A337" s="76" t="s">
        <v>336</v>
      </c>
      <c r="B337" s="1092">
        <v>0</v>
      </c>
      <c r="C337" s="1092">
        <v>0</v>
      </c>
      <c r="D337" s="1092">
        <v>3</v>
      </c>
      <c r="E337" s="1092">
        <v>8</v>
      </c>
      <c r="F337" s="1092">
        <v>2</v>
      </c>
      <c r="G337" s="1092">
        <v>0</v>
      </c>
      <c r="H337" s="1092">
        <v>0</v>
      </c>
      <c r="I337" s="1092">
        <v>1</v>
      </c>
      <c r="J337" s="1092">
        <v>3</v>
      </c>
      <c r="K337" s="1092">
        <v>2</v>
      </c>
      <c r="L337" s="1092">
        <v>2</v>
      </c>
      <c r="M337" s="1092">
        <v>0</v>
      </c>
      <c r="N337" s="27">
        <f>SUM(B337:M337)</f>
        <v>21</v>
      </c>
    </row>
    <row r="338" spans="1:14" ht="14" thickBot="1">
      <c r="A338" s="76" t="s">
        <v>266</v>
      </c>
      <c r="B338" s="1092">
        <v>1</v>
      </c>
      <c r="C338" s="1092">
        <v>0</v>
      </c>
      <c r="D338" s="1092">
        <v>0</v>
      </c>
      <c r="E338" s="1092">
        <v>0</v>
      </c>
      <c r="F338" s="1092">
        <v>0</v>
      </c>
      <c r="G338" s="1092">
        <v>0</v>
      </c>
      <c r="H338" s="1092">
        <v>0</v>
      </c>
      <c r="I338" s="1092">
        <v>1</v>
      </c>
      <c r="J338" s="1092">
        <v>0</v>
      </c>
      <c r="K338" s="1092">
        <v>3</v>
      </c>
      <c r="L338" s="1092">
        <v>1</v>
      </c>
      <c r="M338" s="1092">
        <v>0</v>
      </c>
      <c r="N338" s="27">
        <f>SUM(B338:M338)</f>
        <v>6</v>
      </c>
    </row>
    <row r="339" spans="1:14" ht="14" thickBot="1">
      <c r="A339" s="256" t="s">
        <v>60</v>
      </c>
      <c r="B339" s="289">
        <f>SUM(B326:B338)</f>
        <v>14</v>
      </c>
      <c r="C339" s="290">
        <f>SUM(C326:C338)</f>
        <v>4</v>
      </c>
      <c r="D339" s="290">
        <f>SUM(D326:D338)</f>
        <v>443</v>
      </c>
      <c r="E339" s="290">
        <f t="shared" ref="E339:M339" si="48">SUM(E326:E338)</f>
        <v>216</v>
      </c>
      <c r="F339" s="290">
        <f t="shared" si="48"/>
        <v>422</v>
      </c>
      <c r="G339" s="290">
        <f t="shared" si="48"/>
        <v>40</v>
      </c>
      <c r="H339" s="290">
        <f t="shared" si="48"/>
        <v>204</v>
      </c>
      <c r="I339" s="290">
        <f t="shared" si="48"/>
        <v>52</v>
      </c>
      <c r="J339" s="290">
        <f t="shared" si="48"/>
        <v>38</v>
      </c>
      <c r="K339" s="290">
        <f t="shared" si="48"/>
        <v>58</v>
      </c>
      <c r="L339" s="290">
        <f t="shared" si="48"/>
        <v>90</v>
      </c>
      <c r="M339" s="290">
        <f t="shared" si="48"/>
        <v>90</v>
      </c>
      <c r="N339" s="287">
        <f>SUM(N326:N338)</f>
        <v>1671</v>
      </c>
    </row>
    <row r="340" spans="1:14" ht="14" thickBot="1">
      <c r="A340" s="38" t="s">
        <v>194</v>
      </c>
      <c r="B340" s="39"/>
      <c r="C340" s="39"/>
      <c r="D340" s="39"/>
      <c r="E340" s="39"/>
      <c r="F340" s="39"/>
      <c r="G340" s="39"/>
      <c r="H340" s="39"/>
      <c r="I340" s="39"/>
      <c r="J340" s="39"/>
      <c r="K340" s="39"/>
      <c r="L340" s="39"/>
      <c r="M340" s="39"/>
      <c r="N340" s="40"/>
    </row>
    <row r="341" spans="1:14">
      <c r="A341" s="32" t="s">
        <v>29</v>
      </c>
      <c r="B341" s="1092">
        <v>0</v>
      </c>
      <c r="C341" s="1092">
        <v>0</v>
      </c>
      <c r="D341" s="1092">
        <v>254</v>
      </c>
      <c r="E341" s="1092">
        <v>0</v>
      </c>
      <c r="F341" s="1092">
        <v>8</v>
      </c>
      <c r="G341" s="1092">
        <v>0</v>
      </c>
      <c r="H341" s="1092">
        <v>0</v>
      </c>
      <c r="I341" s="1092">
        <v>0</v>
      </c>
      <c r="J341" s="1092">
        <v>93</v>
      </c>
      <c r="K341" s="1092">
        <v>0</v>
      </c>
      <c r="L341" s="1092">
        <v>0</v>
      </c>
      <c r="M341" s="1092">
        <v>0</v>
      </c>
      <c r="N341" s="27">
        <f>SUM(B341:M341)</f>
        <v>355</v>
      </c>
    </row>
    <row r="342" spans="1:14">
      <c r="A342" s="78" t="s">
        <v>264</v>
      </c>
      <c r="B342" s="1092">
        <v>0</v>
      </c>
      <c r="C342" s="1092">
        <v>0</v>
      </c>
      <c r="D342" s="1092">
        <v>0</v>
      </c>
      <c r="E342" s="1092">
        <v>0</v>
      </c>
      <c r="F342" s="1092">
        <v>0</v>
      </c>
      <c r="G342" s="1092">
        <v>0</v>
      </c>
      <c r="H342" s="1092">
        <v>0</v>
      </c>
      <c r="I342" s="1092">
        <v>0</v>
      </c>
      <c r="J342" s="1092">
        <v>0</v>
      </c>
      <c r="K342" s="1092">
        <v>0</v>
      </c>
      <c r="L342" s="1092">
        <v>0</v>
      </c>
      <c r="M342" s="1092">
        <v>0</v>
      </c>
      <c r="N342" s="27">
        <f t="shared" ref="N342:N351" si="49">SUM(B342:M342)</f>
        <v>0</v>
      </c>
    </row>
    <row r="343" spans="1:14">
      <c r="A343" s="34" t="s">
        <v>204</v>
      </c>
      <c r="B343" s="1092">
        <v>0</v>
      </c>
      <c r="C343" s="1092">
        <v>0</v>
      </c>
      <c r="D343" s="1092">
        <v>0</v>
      </c>
      <c r="E343" s="1092">
        <v>0</v>
      </c>
      <c r="F343" s="1092">
        <v>0</v>
      </c>
      <c r="G343" s="1092">
        <v>0</v>
      </c>
      <c r="H343" s="1092">
        <v>0</v>
      </c>
      <c r="I343" s="1092">
        <v>0</v>
      </c>
      <c r="J343" s="1092">
        <v>0</v>
      </c>
      <c r="K343" s="1092">
        <v>0</v>
      </c>
      <c r="L343" s="1092">
        <v>0</v>
      </c>
      <c r="M343" s="1092">
        <v>0</v>
      </c>
      <c r="N343" s="27">
        <f t="shared" si="49"/>
        <v>0</v>
      </c>
    </row>
    <row r="344" spans="1:14">
      <c r="A344" s="76" t="s">
        <v>30</v>
      </c>
      <c r="B344" s="1092">
        <v>1</v>
      </c>
      <c r="C344" s="1092">
        <v>36</v>
      </c>
      <c r="D344" s="1092">
        <v>0</v>
      </c>
      <c r="E344" s="1092">
        <v>0</v>
      </c>
      <c r="F344" s="1092">
        <v>18</v>
      </c>
      <c r="G344" s="1092">
        <v>0</v>
      </c>
      <c r="H344" s="1092">
        <v>7</v>
      </c>
      <c r="I344" s="1092">
        <v>6</v>
      </c>
      <c r="J344" s="1092">
        <v>2</v>
      </c>
      <c r="K344" s="1092">
        <v>0</v>
      </c>
      <c r="L344" s="1092">
        <v>0</v>
      </c>
      <c r="M344" s="1092">
        <v>0</v>
      </c>
      <c r="N344" s="27">
        <f t="shared" si="49"/>
        <v>70</v>
      </c>
    </row>
    <row r="345" spans="1:14">
      <c r="A345" s="32" t="s">
        <v>56</v>
      </c>
      <c r="B345" s="1092">
        <v>0</v>
      </c>
      <c r="C345" s="1092">
        <v>0</v>
      </c>
      <c r="D345" s="1092">
        <v>0</v>
      </c>
      <c r="E345" s="1092">
        <v>0</v>
      </c>
      <c r="F345" s="1092">
        <v>0</v>
      </c>
      <c r="G345" s="1092">
        <v>0</v>
      </c>
      <c r="H345" s="1092">
        <v>0</v>
      </c>
      <c r="I345" s="1092">
        <v>0</v>
      </c>
      <c r="J345" s="1092">
        <v>0</v>
      </c>
      <c r="K345" s="1092">
        <v>0</v>
      </c>
      <c r="L345" s="1092">
        <v>0</v>
      </c>
      <c r="M345" s="1092">
        <v>0</v>
      </c>
      <c r="N345" s="27">
        <f t="shared" si="49"/>
        <v>0</v>
      </c>
    </row>
    <row r="346" spans="1:14">
      <c r="A346" s="78" t="s">
        <v>122</v>
      </c>
      <c r="B346" s="1092">
        <v>0</v>
      </c>
      <c r="C346" s="1092">
        <v>0</v>
      </c>
      <c r="D346" s="1092">
        <v>0</v>
      </c>
      <c r="E346" s="1092">
        <v>0</v>
      </c>
      <c r="F346" s="1092">
        <v>0</v>
      </c>
      <c r="G346" s="1092">
        <v>0</v>
      </c>
      <c r="H346" s="1092">
        <v>0</v>
      </c>
      <c r="I346" s="1092">
        <v>0</v>
      </c>
      <c r="J346" s="1092">
        <v>0</v>
      </c>
      <c r="K346" s="1092">
        <v>0</v>
      </c>
      <c r="L346" s="1092">
        <v>0</v>
      </c>
      <c r="M346" s="1092">
        <v>0</v>
      </c>
      <c r="N346" s="27">
        <f t="shared" si="49"/>
        <v>0</v>
      </c>
    </row>
    <row r="347" spans="1:14">
      <c r="A347" s="78" t="s">
        <v>184</v>
      </c>
      <c r="B347" s="1092">
        <v>0</v>
      </c>
      <c r="C347" s="1092">
        <v>0</v>
      </c>
      <c r="D347" s="1092">
        <v>0</v>
      </c>
      <c r="E347" s="1092">
        <v>0</v>
      </c>
      <c r="F347" s="1092">
        <v>0</v>
      </c>
      <c r="G347" s="1092">
        <v>0</v>
      </c>
      <c r="H347" s="1092">
        <v>0</v>
      </c>
      <c r="I347" s="1092">
        <v>0</v>
      </c>
      <c r="J347" s="1092">
        <v>0</v>
      </c>
      <c r="K347" s="1092">
        <v>0</v>
      </c>
      <c r="L347" s="1092">
        <v>0</v>
      </c>
      <c r="M347" s="1092">
        <v>0</v>
      </c>
      <c r="N347" s="27">
        <f t="shared" si="49"/>
        <v>0</v>
      </c>
    </row>
    <row r="348" spans="1:14">
      <c r="A348" s="78" t="s">
        <v>187</v>
      </c>
      <c r="B348" s="1092">
        <v>0</v>
      </c>
      <c r="C348" s="1092">
        <v>0</v>
      </c>
      <c r="D348" s="1092">
        <v>0</v>
      </c>
      <c r="E348" s="1092">
        <v>0</v>
      </c>
      <c r="F348" s="1092">
        <v>0</v>
      </c>
      <c r="G348" s="1092">
        <v>0</v>
      </c>
      <c r="H348" s="1092">
        <v>0</v>
      </c>
      <c r="I348" s="1092">
        <v>0</v>
      </c>
      <c r="J348" s="1092">
        <v>0</v>
      </c>
      <c r="K348" s="1092">
        <v>0</v>
      </c>
      <c r="L348" s="1092">
        <v>0</v>
      </c>
      <c r="M348" s="1092">
        <v>0</v>
      </c>
      <c r="N348" s="27">
        <f t="shared" si="49"/>
        <v>0</v>
      </c>
    </row>
    <row r="349" spans="1:14">
      <c r="A349" s="78" t="s">
        <v>188</v>
      </c>
      <c r="B349" s="1092">
        <v>0</v>
      </c>
      <c r="C349" s="1092">
        <v>0</v>
      </c>
      <c r="D349" s="1092">
        <v>0</v>
      </c>
      <c r="E349" s="1092">
        <v>0</v>
      </c>
      <c r="F349" s="1092">
        <v>0</v>
      </c>
      <c r="G349" s="1092">
        <v>0</v>
      </c>
      <c r="H349" s="1092">
        <v>0</v>
      </c>
      <c r="I349" s="1092">
        <v>0</v>
      </c>
      <c r="J349" s="1092">
        <v>0</v>
      </c>
      <c r="K349" s="1092">
        <v>0</v>
      </c>
      <c r="L349" s="1092">
        <v>0</v>
      </c>
      <c r="M349" s="1092">
        <v>0</v>
      </c>
      <c r="N349" s="27">
        <f t="shared" si="49"/>
        <v>0</v>
      </c>
    </row>
    <row r="350" spans="1:14">
      <c r="A350" s="78" t="s">
        <v>213</v>
      </c>
      <c r="B350" s="1092">
        <v>0</v>
      </c>
      <c r="C350" s="1092">
        <v>0</v>
      </c>
      <c r="D350" s="1092">
        <v>0</v>
      </c>
      <c r="E350" s="1092">
        <v>1</v>
      </c>
      <c r="F350" s="1092">
        <v>0</v>
      </c>
      <c r="G350" s="1092">
        <v>0</v>
      </c>
      <c r="H350" s="1092">
        <v>0</v>
      </c>
      <c r="I350" s="1092">
        <v>0</v>
      </c>
      <c r="J350" s="1092">
        <v>2</v>
      </c>
      <c r="K350" s="1092">
        <v>1</v>
      </c>
      <c r="L350" s="1092">
        <v>0</v>
      </c>
      <c r="M350" s="1092">
        <v>0</v>
      </c>
      <c r="N350" s="27">
        <f t="shared" si="49"/>
        <v>4</v>
      </c>
    </row>
    <row r="351" spans="1:14">
      <c r="A351" s="76" t="s">
        <v>267</v>
      </c>
      <c r="B351" s="1092">
        <v>0</v>
      </c>
      <c r="C351" s="1092">
        <v>0</v>
      </c>
      <c r="D351" s="1092">
        <v>0</v>
      </c>
      <c r="E351" s="1092">
        <v>0</v>
      </c>
      <c r="F351" s="1092">
        <v>0</v>
      </c>
      <c r="G351" s="1092">
        <v>0</v>
      </c>
      <c r="H351" s="1092">
        <v>0</v>
      </c>
      <c r="I351" s="1092">
        <v>0</v>
      </c>
      <c r="J351" s="1092">
        <v>0</v>
      </c>
      <c r="K351" s="1092">
        <v>0</v>
      </c>
      <c r="L351" s="1092">
        <v>0</v>
      </c>
      <c r="M351" s="1092">
        <v>0</v>
      </c>
      <c r="N351" s="27">
        <f t="shared" si="49"/>
        <v>0</v>
      </c>
    </row>
    <row r="352" spans="1:14" ht="14" thickBot="1">
      <c r="A352" s="76" t="s">
        <v>268</v>
      </c>
      <c r="B352" s="1092">
        <v>0</v>
      </c>
      <c r="C352" s="1092">
        <v>0</v>
      </c>
      <c r="D352" s="1092">
        <v>0</v>
      </c>
      <c r="E352" s="1092">
        <v>0</v>
      </c>
      <c r="F352" s="1092">
        <v>0</v>
      </c>
      <c r="G352" s="1092">
        <v>0</v>
      </c>
      <c r="H352" s="1092">
        <v>0</v>
      </c>
      <c r="I352" s="1092">
        <v>0</v>
      </c>
      <c r="J352" s="1092">
        <v>0</v>
      </c>
      <c r="K352" s="1092">
        <v>0</v>
      </c>
      <c r="L352" s="1092">
        <v>0</v>
      </c>
      <c r="M352" s="1092">
        <v>0</v>
      </c>
      <c r="N352" s="27">
        <f>SUM(B352:M352)</f>
        <v>0</v>
      </c>
    </row>
    <row r="353" spans="1:14" ht="14" thickBot="1">
      <c r="A353" s="38" t="s">
        <v>192</v>
      </c>
      <c r="B353" s="39"/>
      <c r="C353" s="39"/>
      <c r="D353" s="39"/>
      <c r="E353" s="39"/>
      <c r="F353" s="39"/>
      <c r="G353" s="39"/>
      <c r="H353" s="39"/>
      <c r="I353" s="39"/>
      <c r="J353" s="39"/>
      <c r="K353" s="39"/>
      <c r="L353" s="39"/>
      <c r="M353" s="39"/>
      <c r="N353" s="280"/>
    </row>
    <row r="354" spans="1:14" ht="14" thickBot="1">
      <c r="A354" s="32" t="s">
        <v>165</v>
      </c>
      <c r="B354" s="1092">
        <v>0</v>
      </c>
      <c r="C354" s="1092">
        <v>0</v>
      </c>
      <c r="D354" s="1092">
        <v>0</v>
      </c>
      <c r="E354" s="1092">
        <v>0</v>
      </c>
      <c r="F354" s="1092">
        <v>0</v>
      </c>
      <c r="G354" s="1092">
        <v>0</v>
      </c>
      <c r="H354" s="1092">
        <v>0</v>
      </c>
      <c r="I354" s="1092">
        <v>0</v>
      </c>
      <c r="J354" s="1092">
        <v>0</v>
      </c>
      <c r="K354" s="1092">
        <v>0</v>
      </c>
      <c r="L354" s="1092">
        <v>0</v>
      </c>
      <c r="M354" s="1092">
        <v>0</v>
      </c>
      <c r="N354" s="27">
        <f t="shared" ref="N354" si="50">SUM(B354:M354)</f>
        <v>0</v>
      </c>
    </row>
    <row r="355" spans="1:14" ht="14" thickBot="1">
      <c r="A355" s="256" t="s">
        <v>60</v>
      </c>
      <c r="B355" s="289">
        <f>SUM(B341:B354)</f>
        <v>1</v>
      </c>
      <c r="C355" s="290">
        <f t="shared" ref="C355:M355" si="51">SUM(C341:C354)</f>
        <v>36</v>
      </c>
      <c r="D355" s="290">
        <f t="shared" si="51"/>
        <v>254</v>
      </c>
      <c r="E355" s="290">
        <f t="shared" si="51"/>
        <v>1</v>
      </c>
      <c r="F355" s="290">
        <f t="shared" si="51"/>
        <v>26</v>
      </c>
      <c r="G355" s="290">
        <f t="shared" si="51"/>
        <v>0</v>
      </c>
      <c r="H355" s="290">
        <f t="shared" si="51"/>
        <v>7</v>
      </c>
      <c r="I355" s="290">
        <f t="shared" si="51"/>
        <v>6</v>
      </c>
      <c r="J355" s="290">
        <f t="shared" si="51"/>
        <v>97</v>
      </c>
      <c r="K355" s="290">
        <f t="shared" si="51"/>
        <v>1</v>
      </c>
      <c r="L355" s="290">
        <f t="shared" si="51"/>
        <v>0</v>
      </c>
      <c r="M355" s="290">
        <f t="shared" si="51"/>
        <v>0</v>
      </c>
      <c r="N355" s="287">
        <f>SUM(N341:N354)</f>
        <v>429</v>
      </c>
    </row>
    <row r="357" spans="1:14" ht="14" thickBot="1">
      <c r="B357" s="43" t="s">
        <v>35</v>
      </c>
      <c r="C357" s="43" t="s">
        <v>36</v>
      </c>
      <c r="D357" s="43" t="s">
        <v>37</v>
      </c>
      <c r="E357" s="43" t="s">
        <v>38</v>
      </c>
      <c r="F357" s="43" t="s">
        <v>39</v>
      </c>
      <c r="G357" s="43" t="s">
        <v>40</v>
      </c>
      <c r="H357" s="43" t="s">
        <v>41</v>
      </c>
      <c r="I357" s="43" t="s">
        <v>42</v>
      </c>
      <c r="J357" s="43" t="s">
        <v>43</v>
      </c>
      <c r="K357" s="43" t="s">
        <v>44</v>
      </c>
      <c r="L357" s="43" t="s">
        <v>45</v>
      </c>
      <c r="M357" s="43" t="s">
        <v>46</v>
      </c>
      <c r="N357" s="43" t="s">
        <v>10</v>
      </c>
    </row>
    <row r="358" spans="1:14" ht="17" thickBot="1">
      <c r="A358" s="31" t="s">
        <v>350</v>
      </c>
      <c r="B358" s="24"/>
      <c r="C358" s="24"/>
      <c r="D358" s="22"/>
      <c r="E358" s="22"/>
      <c r="F358" s="25"/>
      <c r="G358" s="25"/>
      <c r="H358" s="22"/>
      <c r="I358" s="22"/>
      <c r="J358" s="22"/>
      <c r="K358" s="22"/>
      <c r="L358" s="24"/>
      <c r="M358" s="24"/>
      <c r="N358" s="26"/>
    </row>
    <row r="359" spans="1:14" ht="14" thickBot="1">
      <c r="A359" s="38" t="s">
        <v>189</v>
      </c>
      <c r="B359" s="39"/>
      <c r="C359" s="39"/>
      <c r="D359" s="39"/>
      <c r="E359" s="39"/>
      <c r="F359" s="39"/>
      <c r="G359" s="39"/>
      <c r="H359" s="39"/>
      <c r="I359" s="39"/>
      <c r="J359" s="39"/>
      <c r="K359" s="39"/>
      <c r="L359" s="39"/>
      <c r="M359" s="39"/>
      <c r="N359" s="40"/>
    </row>
    <row r="360" spans="1:14">
      <c r="A360" s="32" t="s">
        <v>29</v>
      </c>
      <c r="B360" s="1092">
        <v>48</v>
      </c>
      <c r="C360" s="1092">
        <v>23</v>
      </c>
      <c r="D360" s="1092">
        <v>47</v>
      </c>
      <c r="E360" s="1092">
        <v>37</v>
      </c>
      <c r="F360" s="1092">
        <v>2</v>
      </c>
      <c r="G360" s="1092">
        <v>3</v>
      </c>
      <c r="H360" s="1092">
        <v>0</v>
      </c>
      <c r="I360" s="1092">
        <v>1</v>
      </c>
      <c r="J360" s="1092">
        <v>3</v>
      </c>
      <c r="K360" s="1092">
        <v>3</v>
      </c>
      <c r="L360" s="1092">
        <v>4</v>
      </c>
      <c r="M360" s="1092">
        <v>0</v>
      </c>
      <c r="N360" s="27">
        <f t="shared" ref="N360:N365" si="52">SUM(B360:M360)</f>
        <v>171</v>
      </c>
    </row>
    <row r="361" spans="1:14">
      <c r="A361" s="32" t="s">
        <v>33</v>
      </c>
      <c r="B361" s="1092">
        <v>4</v>
      </c>
      <c r="C361" s="1092">
        <v>10</v>
      </c>
      <c r="D361" s="1092">
        <v>7</v>
      </c>
      <c r="E361" s="1092">
        <v>7</v>
      </c>
      <c r="F361" s="1092">
        <v>21</v>
      </c>
      <c r="G361" s="1092">
        <v>7</v>
      </c>
      <c r="H361" s="1092">
        <v>0</v>
      </c>
      <c r="I361" s="1092">
        <v>12</v>
      </c>
      <c r="J361" s="1092">
        <v>33</v>
      </c>
      <c r="K361" s="1092">
        <v>0</v>
      </c>
      <c r="L361" s="1092">
        <v>0</v>
      </c>
      <c r="M361" s="1092">
        <v>32</v>
      </c>
      <c r="N361" s="27">
        <f t="shared" si="52"/>
        <v>133</v>
      </c>
    </row>
    <row r="362" spans="1:14">
      <c r="A362" s="32" t="s">
        <v>56</v>
      </c>
      <c r="B362" s="1092">
        <v>0</v>
      </c>
      <c r="C362" s="1092">
        <v>0</v>
      </c>
      <c r="D362" s="1092">
        <v>0</v>
      </c>
      <c r="E362" s="1092">
        <v>0</v>
      </c>
      <c r="F362" s="1092">
        <v>0</v>
      </c>
      <c r="G362" s="1092">
        <v>0</v>
      </c>
      <c r="H362" s="1092">
        <v>0</v>
      </c>
      <c r="I362" s="1092">
        <v>0</v>
      </c>
      <c r="J362" s="1092">
        <v>0</v>
      </c>
      <c r="K362" s="1092">
        <v>0</v>
      </c>
      <c r="L362" s="1092">
        <v>0</v>
      </c>
      <c r="M362" s="1092">
        <v>0</v>
      </c>
      <c r="N362" s="27">
        <f t="shared" si="52"/>
        <v>0</v>
      </c>
    </row>
    <row r="363" spans="1:14">
      <c r="A363" s="78" t="s">
        <v>30</v>
      </c>
      <c r="B363" s="1092">
        <v>7</v>
      </c>
      <c r="C363" s="1092">
        <v>0</v>
      </c>
      <c r="D363" s="1092">
        <v>0</v>
      </c>
      <c r="E363" s="1092">
        <v>0</v>
      </c>
      <c r="F363" s="1092">
        <v>2</v>
      </c>
      <c r="G363" s="1092">
        <v>0</v>
      </c>
      <c r="H363" s="1092">
        <v>1</v>
      </c>
      <c r="I363" s="1092">
        <v>1</v>
      </c>
      <c r="J363" s="1092">
        <v>0</v>
      </c>
      <c r="K363" s="1092">
        <v>0</v>
      </c>
      <c r="L363" s="1092">
        <v>0</v>
      </c>
      <c r="M363" s="1092">
        <v>10</v>
      </c>
      <c r="N363" s="27">
        <f t="shared" si="52"/>
        <v>21</v>
      </c>
    </row>
    <row r="364" spans="1:14">
      <c r="A364" s="76" t="s">
        <v>213</v>
      </c>
      <c r="B364" s="1092">
        <v>0</v>
      </c>
      <c r="C364" s="1092">
        <v>0</v>
      </c>
      <c r="D364" s="1092">
        <v>0</v>
      </c>
      <c r="E364" s="1092">
        <v>0</v>
      </c>
      <c r="F364" s="1092">
        <v>0</v>
      </c>
      <c r="G364" s="1092">
        <v>0</v>
      </c>
      <c r="H364" s="1092">
        <v>0</v>
      </c>
      <c r="I364" s="1092">
        <v>0</v>
      </c>
      <c r="J364" s="1092">
        <v>0</v>
      </c>
      <c r="K364" s="1092">
        <v>0</v>
      </c>
      <c r="L364" s="1092">
        <v>0</v>
      </c>
      <c r="M364" s="1092">
        <v>0</v>
      </c>
      <c r="N364" s="27">
        <f t="shared" si="52"/>
        <v>0</v>
      </c>
    </row>
    <row r="365" spans="1:14">
      <c r="A365" s="76" t="s">
        <v>212</v>
      </c>
      <c r="B365" s="1092">
        <v>0</v>
      </c>
      <c r="C365" s="1092">
        <v>0</v>
      </c>
      <c r="D365" s="1092">
        <v>0</v>
      </c>
      <c r="E365" s="1092">
        <v>0</v>
      </c>
      <c r="F365" s="1092">
        <v>4</v>
      </c>
      <c r="G365" s="1092">
        <v>0</v>
      </c>
      <c r="H365" s="1092">
        <v>0</v>
      </c>
      <c r="I365" s="1092">
        <v>0</v>
      </c>
      <c r="J365" s="1092">
        <v>0</v>
      </c>
      <c r="K365" s="1092">
        <v>0</v>
      </c>
      <c r="L365" s="1092">
        <v>0</v>
      </c>
      <c r="M365" s="1092">
        <v>0</v>
      </c>
      <c r="N365" s="27">
        <f t="shared" si="52"/>
        <v>4</v>
      </c>
    </row>
    <row r="366" spans="1:14">
      <c r="A366" s="76" t="s">
        <v>331</v>
      </c>
      <c r="B366" s="1092">
        <v>0</v>
      </c>
      <c r="C366" s="1092">
        <v>0</v>
      </c>
      <c r="D366" s="1092">
        <v>0</v>
      </c>
      <c r="E366" s="1092">
        <v>0</v>
      </c>
      <c r="F366" s="1092">
        <v>0</v>
      </c>
      <c r="G366" s="1092">
        <v>0</v>
      </c>
      <c r="H366" s="1092">
        <v>0</v>
      </c>
      <c r="I366" s="1092">
        <v>0</v>
      </c>
      <c r="J366" s="1092">
        <v>0</v>
      </c>
      <c r="K366" s="1092">
        <v>0</v>
      </c>
      <c r="L366" s="1092">
        <v>0</v>
      </c>
      <c r="M366" s="1092">
        <v>0</v>
      </c>
      <c r="N366" s="27">
        <f>SUM(B366:M366)</f>
        <v>0</v>
      </c>
    </row>
    <row r="367" spans="1:14" ht="14" thickBot="1">
      <c r="A367" s="76" t="s">
        <v>267</v>
      </c>
      <c r="B367" s="1092">
        <v>0</v>
      </c>
      <c r="C367" s="1092">
        <v>0</v>
      </c>
      <c r="D367" s="1092">
        <v>0</v>
      </c>
      <c r="E367" s="1092">
        <v>0</v>
      </c>
      <c r="F367" s="1092">
        <v>0</v>
      </c>
      <c r="G367" s="1092">
        <v>0</v>
      </c>
      <c r="H367" s="1092">
        <v>0</v>
      </c>
      <c r="I367" s="1092">
        <v>0</v>
      </c>
      <c r="J367" s="1092">
        <v>0</v>
      </c>
      <c r="K367" s="1092">
        <v>0</v>
      </c>
      <c r="L367" s="1092">
        <v>0</v>
      </c>
      <c r="M367" s="1092">
        <v>0</v>
      </c>
      <c r="N367" s="27">
        <f t="shared" ref="N367" si="53">SUM(B367:M367)</f>
        <v>0</v>
      </c>
    </row>
    <row r="368" spans="1:14" ht="14" thickBot="1">
      <c r="A368" s="38" t="s">
        <v>190</v>
      </c>
      <c r="B368" s="39"/>
      <c r="C368" s="39"/>
      <c r="D368" s="39"/>
      <c r="E368" s="39"/>
      <c r="F368" s="39"/>
      <c r="G368" s="39"/>
      <c r="H368" s="39"/>
      <c r="I368" s="39"/>
      <c r="J368" s="39"/>
      <c r="K368" s="39"/>
      <c r="L368" s="39"/>
      <c r="M368" s="39"/>
      <c r="N368" s="280"/>
    </row>
    <row r="369" spans="1:14">
      <c r="A369" s="76" t="s">
        <v>165</v>
      </c>
      <c r="B369" s="1092">
        <v>50</v>
      </c>
      <c r="C369" s="1092">
        <v>50</v>
      </c>
      <c r="D369" s="1092">
        <v>0</v>
      </c>
      <c r="E369" s="1092">
        <v>0</v>
      </c>
      <c r="F369" s="1092">
        <v>0</v>
      </c>
      <c r="G369" s="1092">
        <v>0</v>
      </c>
      <c r="H369" s="1092">
        <v>25</v>
      </c>
      <c r="I369" s="1092">
        <v>0</v>
      </c>
      <c r="J369" s="1092">
        <v>0</v>
      </c>
      <c r="K369" s="1092">
        <v>112</v>
      </c>
      <c r="L369" s="1092">
        <v>0</v>
      </c>
      <c r="M369" s="1092">
        <v>0</v>
      </c>
      <c r="N369" s="27">
        <f>SUM(B369:M369)</f>
        <v>237</v>
      </c>
    </row>
    <row r="370" spans="1:14">
      <c r="A370" s="76" t="s">
        <v>166</v>
      </c>
      <c r="B370" s="1092">
        <v>5</v>
      </c>
      <c r="C370" s="1092">
        <v>2</v>
      </c>
      <c r="D370" s="1092">
        <v>2</v>
      </c>
      <c r="E370" s="1092">
        <v>3</v>
      </c>
      <c r="F370" s="1092">
        <v>0</v>
      </c>
      <c r="G370" s="1092">
        <v>1</v>
      </c>
      <c r="H370" s="1092">
        <v>0</v>
      </c>
      <c r="I370" s="1092">
        <v>1</v>
      </c>
      <c r="J370" s="1092">
        <v>0</v>
      </c>
      <c r="K370" s="1092">
        <v>0</v>
      </c>
      <c r="L370" s="1092">
        <v>0</v>
      </c>
      <c r="M370" s="1092">
        <v>0</v>
      </c>
      <c r="N370" s="27">
        <f>SUM(B370:M370)</f>
        <v>14</v>
      </c>
    </row>
    <row r="371" spans="1:14">
      <c r="A371" s="76" t="s">
        <v>336</v>
      </c>
      <c r="B371" s="1092">
        <v>2</v>
      </c>
      <c r="C371" s="1092">
        <v>1</v>
      </c>
      <c r="D371" s="1092">
        <v>1</v>
      </c>
      <c r="E371" s="1092">
        <v>1</v>
      </c>
      <c r="F371" s="1092">
        <v>0</v>
      </c>
      <c r="G371" s="1092">
        <v>0</v>
      </c>
      <c r="H371" s="1092">
        <v>1</v>
      </c>
      <c r="I371" s="1092">
        <v>2</v>
      </c>
      <c r="J371" s="1092">
        <v>1</v>
      </c>
      <c r="K371" s="1092">
        <v>0</v>
      </c>
      <c r="L371" s="1092">
        <v>2</v>
      </c>
      <c r="M371" s="1092">
        <v>1</v>
      </c>
      <c r="N371" s="27">
        <f>SUM(B371:M371)</f>
        <v>12</v>
      </c>
    </row>
    <row r="372" spans="1:14" ht="14" thickBot="1">
      <c r="A372" s="76" t="s">
        <v>266</v>
      </c>
      <c r="B372" s="1092">
        <v>0</v>
      </c>
      <c r="C372" s="1092">
        <v>0</v>
      </c>
      <c r="D372" s="1092">
        <v>3</v>
      </c>
      <c r="E372" s="1092">
        <v>0</v>
      </c>
      <c r="F372" s="1092">
        <v>1</v>
      </c>
      <c r="G372" s="1092">
        <v>1</v>
      </c>
      <c r="H372" s="1092">
        <v>1</v>
      </c>
      <c r="I372" s="1092">
        <v>0</v>
      </c>
      <c r="J372" s="1092">
        <v>3</v>
      </c>
      <c r="K372" s="1092">
        <v>2</v>
      </c>
      <c r="L372" s="1092">
        <v>9</v>
      </c>
      <c r="M372" s="1092">
        <v>0</v>
      </c>
      <c r="N372" s="27">
        <f>SUM(B372:M372)</f>
        <v>20</v>
      </c>
    </row>
    <row r="373" spans="1:14" ht="14" thickBot="1">
      <c r="A373" s="256" t="s">
        <v>60</v>
      </c>
      <c r="B373" s="289">
        <f>SUM(B360:B372)</f>
        <v>116</v>
      </c>
      <c r="C373" s="290">
        <f>SUM(C360:C372)</f>
        <v>86</v>
      </c>
      <c r="D373" s="290">
        <f>SUM(D360:D372)</f>
        <v>60</v>
      </c>
      <c r="E373" s="290">
        <f t="shared" ref="E373:M373" si="54">SUM(E360:E372)</f>
        <v>48</v>
      </c>
      <c r="F373" s="290">
        <f t="shared" si="54"/>
        <v>30</v>
      </c>
      <c r="G373" s="290">
        <f t="shared" si="54"/>
        <v>12</v>
      </c>
      <c r="H373" s="290">
        <f t="shared" si="54"/>
        <v>28</v>
      </c>
      <c r="I373" s="290">
        <f t="shared" si="54"/>
        <v>17</v>
      </c>
      <c r="J373" s="290">
        <f t="shared" si="54"/>
        <v>40</v>
      </c>
      <c r="K373" s="290">
        <f t="shared" si="54"/>
        <v>117</v>
      </c>
      <c r="L373" s="290">
        <f t="shared" si="54"/>
        <v>15</v>
      </c>
      <c r="M373" s="290">
        <f t="shared" si="54"/>
        <v>43</v>
      </c>
      <c r="N373" s="287">
        <f>SUM(N360:N372)</f>
        <v>612</v>
      </c>
    </row>
    <row r="374" spans="1:14" ht="14" thickBot="1">
      <c r="A374" s="38" t="s">
        <v>194</v>
      </c>
      <c r="B374" s="39"/>
      <c r="C374" s="39"/>
      <c r="D374" s="39"/>
      <c r="E374" s="39"/>
      <c r="F374" s="39"/>
      <c r="G374" s="39"/>
      <c r="H374" s="39"/>
      <c r="I374" s="39"/>
      <c r="J374" s="39"/>
      <c r="K374" s="39"/>
      <c r="L374" s="39"/>
      <c r="M374" s="39"/>
      <c r="N374" s="40"/>
    </row>
    <row r="375" spans="1:14">
      <c r="A375" s="32" t="s">
        <v>29</v>
      </c>
      <c r="B375" s="1092">
        <v>0</v>
      </c>
      <c r="C375" s="1092">
        <v>0</v>
      </c>
      <c r="D375" s="1092">
        <v>0</v>
      </c>
      <c r="E375" s="1092">
        <v>187</v>
      </c>
      <c r="F375" s="1092">
        <v>0</v>
      </c>
      <c r="G375" s="1092">
        <v>0</v>
      </c>
      <c r="H375" s="1092">
        <v>0</v>
      </c>
      <c r="I375" s="1092">
        <v>0</v>
      </c>
      <c r="J375" s="1092">
        <v>0</v>
      </c>
      <c r="K375" s="1092">
        <v>0</v>
      </c>
      <c r="L375" s="1092">
        <v>106</v>
      </c>
      <c r="M375" s="1092">
        <v>0</v>
      </c>
      <c r="N375" s="27">
        <f>SUM(B375:M375)</f>
        <v>293</v>
      </c>
    </row>
    <row r="376" spans="1:14">
      <c r="A376" s="78" t="s">
        <v>264</v>
      </c>
      <c r="B376" s="1092">
        <v>0</v>
      </c>
      <c r="C376" s="1092">
        <v>0</v>
      </c>
      <c r="D376" s="1092">
        <v>0</v>
      </c>
      <c r="E376" s="1092">
        <v>0</v>
      </c>
      <c r="F376" s="1092">
        <v>0</v>
      </c>
      <c r="G376" s="1092">
        <v>0</v>
      </c>
      <c r="H376" s="1092">
        <v>0</v>
      </c>
      <c r="I376" s="1092">
        <v>0</v>
      </c>
      <c r="J376" s="1092">
        <v>0</v>
      </c>
      <c r="K376" s="1092">
        <v>0</v>
      </c>
      <c r="L376" s="1092">
        <v>0</v>
      </c>
      <c r="M376" s="1092">
        <v>0</v>
      </c>
      <c r="N376" s="27">
        <f t="shared" ref="N376:N385" si="55">SUM(B376:M376)</f>
        <v>0</v>
      </c>
    </row>
    <row r="377" spans="1:14">
      <c r="A377" s="34" t="s">
        <v>204</v>
      </c>
      <c r="B377" s="1092">
        <v>0</v>
      </c>
      <c r="C377" s="1092">
        <v>0</v>
      </c>
      <c r="D377" s="1092">
        <v>0</v>
      </c>
      <c r="E377" s="1092">
        <v>0</v>
      </c>
      <c r="F377" s="1092">
        <v>0</v>
      </c>
      <c r="G377" s="1092">
        <v>0</v>
      </c>
      <c r="H377" s="1092">
        <v>0</v>
      </c>
      <c r="I377" s="1092">
        <v>0</v>
      </c>
      <c r="J377" s="1092">
        <v>0</v>
      </c>
      <c r="K377" s="1092">
        <v>0</v>
      </c>
      <c r="L377" s="1092">
        <v>0</v>
      </c>
      <c r="M377" s="1092">
        <v>0</v>
      </c>
      <c r="N377" s="27">
        <f t="shared" si="55"/>
        <v>0</v>
      </c>
    </row>
    <row r="378" spans="1:14">
      <c r="A378" s="76" t="s">
        <v>30</v>
      </c>
      <c r="B378" s="1092">
        <v>0</v>
      </c>
      <c r="C378" s="1092">
        <v>0</v>
      </c>
      <c r="D378" s="1092">
        <v>2</v>
      </c>
      <c r="E378" s="1092">
        <v>0</v>
      </c>
      <c r="F378" s="1092">
        <v>0</v>
      </c>
      <c r="G378" s="1092">
        <v>0</v>
      </c>
      <c r="H378" s="1092">
        <v>0</v>
      </c>
      <c r="I378" s="1092">
        <v>0</v>
      </c>
      <c r="J378" s="1092">
        <v>0</v>
      </c>
      <c r="K378" s="1092">
        <v>0</v>
      </c>
      <c r="L378" s="1092">
        <v>7</v>
      </c>
      <c r="M378" s="1092">
        <v>0</v>
      </c>
      <c r="N378" s="27">
        <f>SUM(B378:M378)</f>
        <v>9</v>
      </c>
    </row>
    <row r="379" spans="1:14">
      <c r="A379" s="32" t="s">
        <v>56</v>
      </c>
      <c r="B379" s="1092">
        <v>0</v>
      </c>
      <c r="C379" s="1092">
        <v>0</v>
      </c>
      <c r="D379" s="1092">
        <v>0</v>
      </c>
      <c r="E379" s="1092">
        <v>0</v>
      </c>
      <c r="F379" s="1092">
        <v>0</v>
      </c>
      <c r="G379" s="1092">
        <v>0</v>
      </c>
      <c r="H379" s="1092">
        <v>0</v>
      </c>
      <c r="I379" s="1092">
        <v>0</v>
      </c>
      <c r="J379" s="1092">
        <v>0</v>
      </c>
      <c r="K379" s="1092">
        <v>0</v>
      </c>
      <c r="L379" s="1092">
        <v>5050</v>
      </c>
      <c r="M379" s="1092">
        <v>0</v>
      </c>
      <c r="N379" s="27">
        <f t="shared" si="55"/>
        <v>5050</v>
      </c>
    </row>
    <row r="380" spans="1:14">
      <c r="A380" s="78" t="s">
        <v>122</v>
      </c>
      <c r="B380" s="1092">
        <v>0</v>
      </c>
      <c r="C380" s="1092">
        <v>0</v>
      </c>
      <c r="D380" s="1092">
        <v>0</v>
      </c>
      <c r="E380" s="1092">
        <v>0</v>
      </c>
      <c r="F380" s="1092">
        <v>0</v>
      </c>
      <c r="G380" s="1092">
        <v>0</v>
      </c>
      <c r="H380" s="1092">
        <v>0</v>
      </c>
      <c r="I380" s="1092">
        <v>0</v>
      </c>
      <c r="J380" s="1092">
        <v>0</v>
      </c>
      <c r="K380" s="1092">
        <v>0</v>
      </c>
      <c r="L380" s="1092">
        <v>0</v>
      </c>
      <c r="M380" s="1092">
        <v>0</v>
      </c>
      <c r="N380" s="27">
        <f t="shared" si="55"/>
        <v>0</v>
      </c>
    </row>
    <row r="381" spans="1:14">
      <c r="A381" s="78" t="s">
        <v>184</v>
      </c>
      <c r="B381" s="1092">
        <v>0</v>
      </c>
      <c r="C381" s="1092">
        <v>0</v>
      </c>
      <c r="D381" s="1092">
        <v>0</v>
      </c>
      <c r="E381" s="1092">
        <v>0</v>
      </c>
      <c r="F381" s="1092">
        <v>0</v>
      </c>
      <c r="G381" s="1092">
        <v>0</v>
      </c>
      <c r="H381" s="1092">
        <v>0</v>
      </c>
      <c r="I381" s="1092">
        <v>0</v>
      </c>
      <c r="J381" s="1092">
        <v>0</v>
      </c>
      <c r="K381" s="1092">
        <v>0</v>
      </c>
      <c r="L381" s="1092">
        <v>0</v>
      </c>
      <c r="M381" s="1092">
        <v>0</v>
      </c>
      <c r="N381" s="27">
        <f t="shared" si="55"/>
        <v>0</v>
      </c>
    </row>
    <row r="382" spans="1:14">
      <c r="A382" s="78" t="s">
        <v>187</v>
      </c>
      <c r="B382" s="1092">
        <v>0</v>
      </c>
      <c r="C382" s="1092">
        <v>0</v>
      </c>
      <c r="D382" s="1092">
        <v>0</v>
      </c>
      <c r="E382" s="1092">
        <v>0</v>
      </c>
      <c r="F382" s="1092">
        <v>0</v>
      </c>
      <c r="G382" s="1092">
        <v>0</v>
      </c>
      <c r="H382" s="1092">
        <v>0</v>
      </c>
      <c r="I382" s="1092">
        <v>0</v>
      </c>
      <c r="J382" s="1092">
        <v>0</v>
      </c>
      <c r="K382" s="1092">
        <v>0</v>
      </c>
      <c r="L382" s="1092">
        <v>0</v>
      </c>
      <c r="M382" s="1092">
        <v>0</v>
      </c>
      <c r="N382" s="27">
        <f t="shared" si="55"/>
        <v>0</v>
      </c>
    </row>
    <row r="383" spans="1:14">
      <c r="A383" s="78" t="s">
        <v>188</v>
      </c>
      <c r="B383" s="1092">
        <v>0</v>
      </c>
      <c r="C383" s="1092">
        <v>0</v>
      </c>
      <c r="D383" s="1092">
        <v>0</v>
      </c>
      <c r="E383" s="1092">
        <v>0</v>
      </c>
      <c r="F383" s="1092">
        <v>0</v>
      </c>
      <c r="G383" s="1092">
        <v>0</v>
      </c>
      <c r="H383" s="1092">
        <v>1</v>
      </c>
      <c r="I383" s="1092">
        <v>0</v>
      </c>
      <c r="J383" s="1092">
        <v>0</v>
      </c>
      <c r="K383" s="1092">
        <v>0</v>
      </c>
      <c r="L383" s="1092">
        <v>0</v>
      </c>
      <c r="M383" s="1092">
        <v>0</v>
      </c>
      <c r="N383" s="27">
        <f t="shared" si="55"/>
        <v>1</v>
      </c>
    </row>
    <row r="384" spans="1:14">
      <c r="A384" s="78" t="s">
        <v>213</v>
      </c>
      <c r="B384" s="1092">
        <v>0</v>
      </c>
      <c r="C384" s="1092">
        <v>0</v>
      </c>
      <c r="D384" s="1092">
        <v>0</v>
      </c>
      <c r="E384" s="1092">
        <v>0</v>
      </c>
      <c r="F384" s="1092">
        <v>0</v>
      </c>
      <c r="G384" s="1092">
        <v>0</v>
      </c>
      <c r="H384" s="1092">
        <v>0</v>
      </c>
      <c r="I384" s="1092">
        <v>0</v>
      </c>
      <c r="J384" s="1092">
        <v>0</v>
      </c>
      <c r="K384" s="1092">
        <v>0</v>
      </c>
      <c r="L384" s="1092">
        <v>0</v>
      </c>
      <c r="M384" s="1092">
        <v>0</v>
      </c>
      <c r="N384" s="27">
        <f t="shared" si="55"/>
        <v>0</v>
      </c>
    </row>
    <row r="385" spans="1:14">
      <c r="A385" s="76" t="s">
        <v>267</v>
      </c>
      <c r="B385" s="1092">
        <v>0</v>
      </c>
      <c r="C385" s="1092">
        <v>0</v>
      </c>
      <c r="D385" s="1092">
        <v>0</v>
      </c>
      <c r="E385" s="1092">
        <v>0</v>
      </c>
      <c r="F385" s="1092">
        <v>0</v>
      </c>
      <c r="G385" s="1092">
        <v>0</v>
      </c>
      <c r="H385" s="1092">
        <v>0</v>
      </c>
      <c r="I385" s="1092">
        <v>0</v>
      </c>
      <c r="J385" s="1092">
        <v>0</v>
      </c>
      <c r="K385" s="1092">
        <v>0</v>
      </c>
      <c r="L385" s="1092">
        <v>0</v>
      </c>
      <c r="M385" s="1092">
        <v>0</v>
      </c>
      <c r="N385" s="27">
        <f t="shared" si="55"/>
        <v>0</v>
      </c>
    </row>
    <row r="386" spans="1:14" ht="14" thickBot="1">
      <c r="A386" s="76" t="s">
        <v>268</v>
      </c>
      <c r="B386" s="1092">
        <v>0</v>
      </c>
      <c r="C386" s="1092">
        <v>0</v>
      </c>
      <c r="D386" s="1092">
        <v>0</v>
      </c>
      <c r="E386" s="1092">
        <v>0</v>
      </c>
      <c r="F386" s="1092">
        <v>0</v>
      </c>
      <c r="G386" s="1092">
        <v>0</v>
      </c>
      <c r="H386" s="1092">
        <v>0</v>
      </c>
      <c r="I386" s="1092">
        <v>0</v>
      </c>
      <c r="J386" s="1092">
        <v>0</v>
      </c>
      <c r="K386" s="1092">
        <v>731</v>
      </c>
      <c r="L386" s="1092">
        <v>0</v>
      </c>
      <c r="M386" s="1092">
        <v>344</v>
      </c>
      <c r="N386" s="27">
        <f>SUM(B386:M386)</f>
        <v>1075</v>
      </c>
    </row>
    <row r="387" spans="1:14" ht="14" thickBot="1">
      <c r="A387" s="38" t="s">
        <v>192</v>
      </c>
      <c r="B387" s="39"/>
      <c r="C387" s="39"/>
      <c r="D387" s="39"/>
      <c r="E387" s="39"/>
      <c r="F387" s="39"/>
      <c r="G387" s="39"/>
      <c r="H387" s="39"/>
      <c r="I387" s="39"/>
      <c r="J387" s="39"/>
      <c r="K387" s="39"/>
      <c r="L387" s="39"/>
      <c r="M387" s="39"/>
      <c r="N387" s="280"/>
    </row>
    <row r="388" spans="1:14" ht="14" thickBot="1">
      <c r="A388" s="32" t="s">
        <v>165</v>
      </c>
      <c r="B388" s="1092">
        <v>0</v>
      </c>
      <c r="C388" s="1092">
        <v>0</v>
      </c>
      <c r="D388" s="1092">
        <v>0</v>
      </c>
      <c r="E388" s="1092">
        <v>0</v>
      </c>
      <c r="F388" s="1092">
        <v>0</v>
      </c>
      <c r="G388" s="1092">
        <v>0</v>
      </c>
      <c r="H388" s="1092">
        <v>0</v>
      </c>
      <c r="I388" s="1092">
        <v>350</v>
      </c>
      <c r="J388" s="1092">
        <v>0</v>
      </c>
      <c r="K388" s="1092">
        <v>2530</v>
      </c>
      <c r="L388" s="1092">
        <v>0</v>
      </c>
      <c r="M388" s="1092">
        <v>0</v>
      </c>
      <c r="N388" s="27">
        <f t="shared" ref="N388" si="56">SUM(B388:M388)</f>
        <v>2880</v>
      </c>
    </row>
    <row r="389" spans="1:14" ht="14" thickBot="1">
      <c r="A389" s="256" t="s">
        <v>60</v>
      </c>
      <c r="B389" s="289">
        <f>SUM(B375:B388)</f>
        <v>0</v>
      </c>
      <c r="C389" s="290">
        <f t="shared" ref="C389:M389" si="57">SUM(C375:C388)</f>
        <v>0</v>
      </c>
      <c r="D389" s="290">
        <f t="shared" si="57"/>
        <v>2</v>
      </c>
      <c r="E389" s="290">
        <f t="shared" si="57"/>
        <v>187</v>
      </c>
      <c r="F389" s="290">
        <f t="shared" si="57"/>
        <v>0</v>
      </c>
      <c r="G389" s="290">
        <f t="shared" si="57"/>
        <v>0</v>
      </c>
      <c r="H389" s="290">
        <f t="shared" si="57"/>
        <v>1</v>
      </c>
      <c r="I389" s="290">
        <f t="shared" si="57"/>
        <v>350</v>
      </c>
      <c r="J389" s="290">
        <f t="shared" si="57"/>
        <v>0</v>
      </c>
      <c r="K389" s="290">
        <f t="shared" si="57"/>
        <v>3261</v>
      </c>
      <c r="L389" s="290">
        <f t="shared" si="57"/>
        <v>5163</v>
      </c>
      <c r="M389" s="290">
        <f t="shared" si="57"/>
        <v>344</v>
      </c>
      <c r="N389" s="287">
        <f>SUM(N375:N388)</f>
        <v>9308</v>
      </c>
    </row>
    <row r="391" spans="1:14" ht="14" thickBot="1">
      <c r="B391" s="43" t="s">
        <v>35</v>
      </c>
      <c r="C391" s="43" t="s">
        <v>36</v>
      </c>
      <c r="D391" s="43" t="s">
        <v>37</v>
      </c>
      <c r="E391" s="43" t="s">
        <v>38</v>
      </c>
      <c r="F391" s="43" t="s">
        <v>39</v>
      </c>
      <c r="G391" s="43" t="s">
        <v>40</v>
      </c>
      <c r="H391" s="43" t="s">
        <v>41</v>
      </c>
      <c r="I391" s="43" t="s">
        <v>42</v>
      </c>
      <c r="J391" s="43" t="s">
        <v>43</v>
      </c>
      <c r="K391" s="43" t="s">
        <v>44</v>
      </c>
      <c r="L391" s="43" t="s">
        <v>45</v>
      </c>
      <c r="M391" s="43" t="s">
        <v>46</v>
      </c>
      <c r="N391" s="43" t="s">
        <v>10</v>
      </c>
    </row>
    <row r="392" spans="1:14" ht="17" thickBot="1">
      <c r="A392" s="31" t="s">
        <v>392</v>
      </c>
      <c r="B392" s="24"/>
      <c r="C392" s="24"/>
      <c r="D392" s="22"/>
      <c r="E392" s="22"/>
      <c r="F392" s="25"/>
      <c r="G392" s="25"/>
      <c r="H392" s="22"/>
      <c r="I392" s="22"/>
      <c r="J392" s="22"/>
      <c r="K392" s="22"/>
      <c r="L392" s="24"/>
      <c r="M392" s="24"/>
      <c r="N392" s="26"/>
    </row>
    <row r="393" spans="1:14" ht="14" thickBot="1">
      <c r="A393" s="38" t="s">
        <v>189</v>
      </c>
      <c r="B393" s="39"/>
      <c r="C393" s="39"/>
      <c r="D393" s="39"/>
      <c r="E393" s="39"/>
      <c r="F393" s="39"/>
      <c r="G393" s="39"/>
      <c r="H393" s="39"/>
      <c r="I393" s="39"/>
      <c r="J393" s="39"/>
      <c r="K393" s="39"/>
      <c r="L393" s="39"/>
      <c r="M393" s="39"/>
      <c r="N393" s="40"/>
    </row>
    <row r="394" spans="1:14">
      <c r="A394" s="32" t="s">
        <v>29</v>
      </c>
      <c r="B394" s="1092">
        <v>0</v>
      </c>
      <c r="C394" s="1092">
        <v>1</v>
      </c>
      <c r="D394" s="1092">
        <v>0</v>
      </c>
      <c r="E394" s="1092">
        <v>0</v>
      </c>
      <c r="F394" s="1092">
        <v>0</v>
      </c>
      <c r="G394" s="1092">
        <v>0</v>
      </c>
      <c r="H394" s="1092">
        <v>0</v>
      </c>
      <c r="I394" s="1092">
        <v>0</v>
      </c>
      <c r="J394" s="1092">
        <v>1</v>
      </c>
      <c r="K394" s="1092">
        <v>0</v>
      </c>
      <c r="L394" s="1092">
        <v>0</v>
      </c>
      <c r="M394" s="1092">
        <v>52</v>
      </c>
      <c r="N394" s="27">
        <f>SUM(B394:M394)</f>
        <v>54</v>
      </c>
    </row>
    <row r="395" spans="1:14">
      <c r="A395" s="32" t="s">
        <v>33</v>
      </c>
      <c r="B395" s="1092">
        <v>1</v>
      </c>
      <c r="C395" s="1092">
        <v>1</v>
      </c>
      <c r="D395" s="1092">
        <v>25</v>
      </c>
      <c r="E395" s="1092">
        <v>2</v>
      </c>
      <c r="F395" s="1092">
        <v>5</v>
      </c>
      <c r="G395" s="1092">
        <v>7</v>
      </c>
      <c r="H395" s="1092">
        <v>5</v>
      </c>
      <c r="I395" s="1092">
        <v>4</v>
      </c>
      <c r="J395" s="1092">
        <v>4</v>
      </c>
      <c r="K395" s="1092">
        <v>2</v>
      </c>
      <c r="L395" s="1092">
        <v>41</v>
      </c>
      <c r="M395" s="1092">
        <v>26</v>
      </c>
      <c r="N395" s="27">
        <f t="shared" ref="N395:N408" si="58">SUM(B395:M395)</f>
        <v>123</v>
      </c>
    </row>
    <row r="396" spans="1:14">
      <c r="A396" s="32" t="s">
        <v>56</v>
      </c>
      <c r="B396" s="1092">
        <v>0</v>
      </c>
      <c r="C396" s="1092">
        <v>0</v>
      </c>
      <c r="D396" s="1092">
        <v>0</v>
      </c>
      <c r="E396" s="1092">
        <v>0</v>
      </c>
      <c r="F396" s="1092">
        <v>0</v>
      </c>
      <c r="G396" s="1092">
        <v>0</v>
      </c>
      <c r="H396" s="1092">
        <v>0</v>
      </c>
      <c r="I396" s="1092">
        <v>0</v>
      </c>
      <c r="J396" s="1092">
        <v>0</v>
      </c>
      <c r="K396" s="1092">
        <v>0</v>
      </c>
      <c r="L396" s="1092">
        <v>0</v>
      </c>
      <c r="M396" s="1092">
        <v>0</v>
      </c>
      <c r="N396" s="27">
        <f t="shared" si="58"/>
        <v>0</v>
      </c>
    </row>
    <row r="397" spans="1:14">
      <c r="A397" s="78" t="s">
        <v>30</v>
      </c>
      <c r="B397" s="1092">
        <v>0</v>
      </c>
      <c r="C397" s="1092">
        <v>4</v>
      </c>
      <c r="D397" s="1092">
        <v>8</v>
      </c>
      <c r="E397" s="1092">
        <v>1</v>
      </c>
      <c r="F397" s="1092">
        <v>1</v>
      </c>
      <c r="G397" s="1092">
        <v>4</v>
      </c>
      <c r="H397" s="1092">
        <v>2</v>
      </c>
      <c r="I397" s="1092">
        <v>1</v>
      </c>
      <c r="J397" s="1092">
        <v>3</v>
      </c>
      <c r="K397" s="1092">
        <v>5</v>
      </c>
      <c r="L397" s="1092">
        <v>3</v>
      </c>
      <c r="M397" s="1092">
        <v>6</v>
      </c>
      <c r="N397" s="27">
        <f>SUM(B397:M397)</f>
        <v>38</v>
      </c>
    </row>
    <row r="398" spans="1:14">
      <c r="A398" s="76" t="s">
        <v>213</v>
      </c>
      <c r="B398" s="1092">
        <v>0</v>
      </c>
      <c r="C398" s="1092">
        <v>0</v>
      </c>
      <c r="D398" s="1092">
        <v>0</v>
      </c>
      <c r="E398" s="1092">
        <v>0</v>
      </c>
      <c r="F398" s="1092">
        <v>0</v>
      </c>
      <c r="G398" s="1092">
        <v>0</v>
      </c>
      <c r="H398" s="1092">
        <v>0</v>
      </c>
      <c r="I398" s="1092">
        <v>1</v>
      </c>
      <c r="J398" s="1092">
        <v>1</v>
      </c>
      <c r="K398" s="1092">
        <v>1</v>
      </c>
      <c r="L398" s="1092">
        <v>0</v>
      </c>
      <c r="M398" s="1092">
        <v>1</v>
      </c>
      <c r="N398" s="27">
        <f t="shared" si="58"/>
        <v>4</v>
      </c>
    </row>
    <row r="399" spans="1:14">
      <c r="A399" s="76" t="s">
        <v>212</v>
      </c>
      <c r="B399" s="1092">
        <v>0</v>
      </c>
      <c r="C399" s="1092">
        <v>0</v>
      </c>
      <c r="D399" s="1092">
        <v>0</v>
      </c>
      <c r="E399" s="1092">
        <v>0</v>
      </c>
      <c r="F399" s="1092">
        <v>0</v>
      </c>
      <c r="G399" s="1092">
        <v>0</v>
      </c>
      <c r="H399" s="1092">
        <v>0</v>
      </c>
      <c r="I399" s="1092">
        <v>0</v>
      </c>
      <c r="J399" s="1092">
        <v>0</v>
      </c>
      <c r="K399" s="1092">
        <v>0</v>
      </c>
      <c r="L399" s="1092">
        <v>0</v>
      </c>
      <c r="M399" s="1092">
        <v>0</v>
      </c>
      <c r="N399" s="27">
        <f t="shared" si="58"/>
        <v>0</v>
      </c>
    </row>
    <row r="400" spans="1:14">
      <c r="A400" s="76" t="s">
        <v>331</v>
      </c>
      <c r="B400" s="1092">
        <v>0</v>
      </c>
      <c r="C400" s="1092">
        <v>1</v>
      </c>
      <c r="D400" s="1092">
        <v>0</v>
      </c>
      <c r="E400" s="1092">
        <v>0</v>
      </c>
      <c r="F400" s="1092">
        <v>0</v>
      </c>
      <c r="G400" s="1092">
        <v>0</v>
      </c>
      <c r="H400" s="1092">
        <v>0</v>
      </c>
      <c r="I400" s="1092">
        <v>0</v>
      </c>
      <c r="J400" s="1092">
        <v>0</v>
      </c>
      <c r="K400" s="1092">
        <v>0</v>
      </c>
      <c r="L400" s="1092">
        <v>0</v>
      </c>
      <c r="M400" s="1092">
        <v>0</v>
      </c>
      <c r="N400" s="27">
        <f t="shared" si="58"/>
        <v>1</v>
      </c>
    </row>
    <row r="401" spans="1:14" ht="14" thickBot="1">
      <c r="A401" s="76" t="s">
        <v>267</v>
      </c>
      <c r="B401" s="1092">
        <v>0</v>
      </c>
      <c r="C401" s="1092">
        <v>0</v>
      </c>
      <c r="D401" s="1092">
        <v>0</v>
      </c>
      <c r="E401" s="1092">
        <v>0</v>
      </c>
      <c r="F401" s="1092">
        <v>0</v>
      </c>
      <c r="G401" s="1092">
        <v>0</v>
      </c>
      <c r="H401" s="1092">
        <v>0</v>
      </c>
      <c r="I401" s="1092">
        <v>0</v>
      </c>
      <c r="J401" s="1092">
        <v>0</v>
      </c>
      <c r="K401" s="1092">
        <v>0</v>
      </c>
      <c r="L401" s="1092">
        <v>0</v>
      </c>
      <c r="M401" s="1092">
        <v>0</v>
      </c>
      <c r="N401" s="27">
        <f t="shared" si="58"/>
        <v>0</v>
      </c>
    </row>
    <row r="402" spans="1:14" ht="14" thickBot="1">
      <c r="A402" s="38" t="s">
        <v>190</v>
      </c>
      <c r="B402" s="39"/>
      <c r="C402" s="39"/>
      <c r="D402" s="39"/>
      <c r="E402" s="39"/>
      <c r="F402" s="39"/>
      <c r="G402" s="39"/>
      <c r="H402" s="39"/>
      <c r="I402" s="39"/>
      <c r="J402" s="39"/>
      <c r="K402" s="39"/>
      <c r="L402" s="39"/>
      <c r="M402" s="39"/>
      <c r="N402" s="27">
        <f t="shared" si="58"/>
        <v>0</v>
      </c>
    </row>
    <row r="403" spans="1:14">
      <c r="A403" s="76" t="s">
        <v>393</v>
      </c>
      <c r="B403" s="1092">
        <v>0</v>
      </c>
      <c r="C403" s="1092">
        <v>0</v>
      </c>
      <c r="D403" s="1092">
        <v>0</v>
      </c>
      <c r="E403" s="1092">
        <v>0</v>
      </c>
      <c r="F403" s="1092">
        <v>0</v>
      </c>
      <c r="G403" s="1092">
        <v>0</v>
      </c>
      <c r="H403" s="1092">
        <v>0</v>
      </c>
      <c r="I403" s="1092">
        <v>0</v>
      </c>
      <c r="J403" s="1092">
        <v>7</v>
      </c>
      <c r="K403" s="1092">
        <v>15</v>
      </c>
      <c r="L403" s="1092">
        <v>23</v>
      </c>
      <c r="M403" s="1092">
        <v>22</v>
      </c>
      <c r="N403" s="27">
        <f>SUM(B403:M403)</f>
        <v>67</v>
      </c>
    </row>
    <row r="404" spans="1:14">
      <c r="A404" s="76" t="s">
        <v>166</v>
      </c>
      <c r="B404" s="1092">
        <v>0</v>
      </c>
      <c r="C404" s="1140">
        <v>0</v>
      </c>
      <c r="D404" s="1092">
        <v>2</v>
      </c>
      <c r="E404" s="1092">
        <v>1</v>
      </c>
      <c r="F404" s="1092">
        <v>0</v>
      </c>
      <c r="G404" s="1092">
        <v>0</v>
      </c>
      <c r="H404" s="1092">
        <v>1</v>
      </c>
      <c r="I404" s="1092">
        <v>0</v>
      </c>
      <c r="J404" s="1092">
        <v>1</v>
      </c>
      <c r="K404" s="1092">
        <v>0</v>
      </c>
      <c r="L404" s="1092">
        <v>0</v>
      </c>
      <c r="M404" s="1092">
        <v>4</v>
      </c>
      <c r="N404" s="27">
        <f>SUM(B404:M404)</f>
        <v>9</v>
      </c>
    </row>
    <row r="405" spans="1:14">
      <c r="A405" s="76" t="s">
        <v>336</v>
      </c>
      <c r="B405" s="1092">
        <v>0</v>
      </c>
      <c r="C405" s="1092">
        <v>4</v>
      </c>
      <c r="D405" s="1092">
        <v>1</v>
      </c>
      <c r="E405" s="1092">
        <v>5</v>
      </c>
      <c r="F405" s="1092">
        <v>2</v>
      </c>
      <c r="G405" s="1092">
        <v>1</v>
      </c>
      <c r="H405" s="1092">
        <v>0</v>
      </c>
      <c r="I405" s="1092">
        <v>1</v>
      </c>
      <c r="J405" s="1092">
        <v>6</v>
      </c>
      <c r="K405" s="1092">
        <v>11</v>
      </c>
      <c r="L405" s="1092">
        <v>13</v>
      </c>
      <c r="M405" s="1092">
        <v>23</v>
      </c>
      <c r="N405" s="27">
        <f t="shared" si="58"/>
        <v>67</v>
      </c>
    </row>
    <row r="406" spans="1:14" ht="14" thickBot="1">
      <c r="A406" s="76" t="s">
        <v>266</v>
      </c>
      <c r="B406" s="1092">
        <v>1</v>
      </c>
      <c r="C406" s="1092">
        <v>0</v>
      </c>
      <c r="D406" s="1092">
        <v>1</v>
      </c>
      <c r="E406" s="1092">
        <v>0</v>
      </c>
      <c r="F406" s="1092">
        <v>0</v>
      </c>
      <c r="G406" s="1092">
        <v>1</v>
      </c>
      <c r="H406" s="1092">
        <v>1</v>
      </c>
      <c r="I406" s="1092">
        <v>0</v>
      </c>
      <c r="J406" s="1092">
        <v>1</v>
      </c>
      <c r="K406" s="1092">
        <v>0</v>
      </c>
      <c r="L406" s="1092">
        <v>0</v>
      </c>
      <c r="M406" s="1092">
        <v>6</v>
      </c>
      <c r="N406" s="27">
        <f t="shared" si="58"/>
        <v>11</v>
      </c>
    </row>
    <row r="407" spans="1:14" ht="14" thickBot="1">
      <c r="A407" s="53" t="s">
        <v>60</v>
      </c>
      <c r="B407" s="55">
        <f t="shared" ref="B407:M407" si="59">SUM(B394:B406)</f>
        <v>2</v>
      </c>
      <c r="C407" s="55">
        <f t="shared" si="59"/>
        <v>11</v>
      </c>
      <c r="D407" s="55">
        <f t="shared" si="59"/>
        <v>37</v>
      </c>
      <c r="E407" s="55">
        <f t="shared" si="59"/>
        <v>9</v>
      </c>
      <c r="F407" s="55">
        <f t="shared" si="59"/>
        <v>8</v>
      </c>
      <c r="G407" s="55">
        <f t="shared" si="59"/>
        <v>13</v>
      </c>
      <c r="H407" s="55">
        <f t="shared" si="59"/>
        <v>9</v>
      </c>
      <c r="I407" s="55">
        <f t="shared" si="59"/>
        <v>7</v>
      </c>
      <c r="J407" s="55">
        <f t="shared" si="59"/>
        <v>24</v>
      </c>
      <c r="K407" s="55">
        <f t="shared" si="59"/>
        <v>34</v>
      </c>
      <c r="L407" s="55">
        <f t="shared" si="59"/>
        <v>80</v>
      </c>
      <c r="M407" s="55">
        <f t="shared" si="59"/>
        <v>140</v>
      </c>
      <c r="N407" s="27">
        <f t="shared" si="58"/>
        <v>374</v>
      </c>
    </row>
    <row r="408" spans="1:14" ht="14" thickBot="1">
      <c r="A408" s="38" t="s">
        <v>194</v>
      </c>
      <c r="B408" s="39"/>
      <c r="C408" s="39"/>
      <c r="D408" s="39"/>
      <c r="E408" s="39"/>
      <c r="F408" s="39"/>
      <c r="G408" s="39"/>
      <c r="H408" s="39"/>
      <c r="I408" s="39"/>
      <c r="J408" s="39"/>
      <c r="K408" s="39"/>
      <c r="L408" s="39"/>
      <c r="M408" s="39"/>
      <c r="N408" s="27">
        <f t="shared" si="58"/>
        <v>0</v>
      </c>
    </row>
    <row r="409" spans="1:14">
      <c r="A409" s="32" t="s">
        <v>29</v>
      </c>
      <c r="B409" s="1092">
        <v>0</v>
      </c>
      <c r="C409" s="1092">
        <v>0</v>
      </c>
      <c r="D409" s="1092">
        <v>0</v>
      </c>
      <c r="E409" s="1092">
        <v>6</v>
      </c>
      <c r="F409" s="1092">
        <v>0</v>
      </c>
      <c r="G409" s="1092">
        <v>222</v>
      </c>
      <c r="H409" s="1092">
        <v>0</v>
      </c>
      <c r="I409" s="1092">
        <v>6</v>
      </c>
      <c r="J409" s="1092">
        <v>0</v>
      </c>
      <c r="K409" s="1092">
        <v>0</v>
      </c>
      <c r="L409" s="1092">
        <v>0</v>
      </c>
      <c r="M409" s="1092">
        <v>0</v>
      </c>
      <c r="N409" s="27">
        <f t="shared" ref="N409:N420" si="60">SUM(B409:M409)</f>
        <v>234</v>
      </c>
    </row>
    <row r="410" spans="1:14">
      <c r="A410" s="78" t="s">
        <v>264</v>
      </c>
      <c r="B410" s="1092">
        <v>0</v>
      </c>
      <c r="C410" s="1092">
        <v>0</v>
      </c>
      <c r="D410" s="1092">
        <v>0</v>
      </c>
      <c r="E410" s="1092">
        <v>0</v>
      </c>
      <c r="F410" s="1092">
        <v>0</v>
      </c>
      <c r="G410" s="1092">
        <v>0</v>
      </c>
      <c r="H410" s="1092">
        <v>0</v>
      </c>
      <c r="I410" s="1092">
        <v>0</v>
      </c>
      <c r="J410" s="1092">
        <v>0</v>
      </c>
      <c r="K410" s="1092">
        <v>0</v>
      </c>
      <c r="L410" s="1092">
        <v>0</v>
      </c>
      <c r="M410" s="1092">
        <v>0</v>
      </c>
      <c r="N410" s="27">
        <f t="shared" si="60"/>
        <v>0</v>
      </c>
    </row>
    <row r="411" spans="1:14">
      <c r="A411" s="34" t="s">
        <v>204</v>
      </c>
      <c r="B411" s="1092">
        <v>0</v>
      </c>
      <c r="C411" s="1092">
        <v>0</v>
      </c>
      <c r="D411" s="1092">
        <v>0</v>
      </c>
      <c r="E411" s="1092">
        <v>0</v>
      </c>
      <c r="F411" s="1092">
        <v>0</v>
      </c>
      <c r="G411" s="1092">
        <v>0</v>
      </c>
      <c r="H411" s="1092">
        <v>1</v>
      </c>
      <c r="I411" s="1092">
        <v>0</v>
      </c>
      <c r="J411" s="1092">
        <v>0</v>
      </c>
      <c r="K411" s="1092">
        <v>0</v>
      </c>
      <c r="L411" s="1092">
        <v>0</v>
      </c>
      <c r="M411" s="1092">
        <v>0</v>
      </c>
      <c r="N411" s="27">
        <f t="shared" si="60"/>
        <v>1</v>
      </c>
    </row>
    <row r="412" spans="1:14">
      <c r="A412" s="76" t="s">
        <v>30</v>
      </c>
      <c r="B412" s="1092">
        <v>0</v>
      </c>
      <c r="C412" s="1092">
        <v>11</v>
      </c>
      <c r="D412" s="1092">
        <v>0</v>
      </c>
      <c r="E412" s="1092">
        <v>0</v>
      </c>
      <c r="F412" s="1092">
        <v>0</v>
      </c>
      <c r="G412" s="1092">
        <v>0</v>
      </c>
      <c r="H412" s="1092">
        <v>0</v>
      </c>
      <c r="I412" s="1092">
        <v>0</v>
      </c>
      <c r="J412" s="1092">
        <v>0</v>
      </c>
      <c r="K412" s="1092">
        <v>0</v>
      </c>
      <c r="L412" s="1092">
        <v>0</v>
      </c>
      <c r="M412" s="1092">
        <v>12</v>
      </c>
      <c r="N412" s="27">
        <f>SUM(B412:M412)</f>
        <v>23</v>
      </c>
    </row>
    <row r="413" spans="1:14">
      <c r="A413" s="32" t="s">
        <v>56</v>
      </c>
      <c r="B413" s="1092">
        <v>0</v>
      </c>
      <c r="C413" s="1092">
        <v>1</v>
      </c>
      <c r="D413" s="1092">
        <v>0</v>
      </c>
      <c r="E413" s="1092">
        <v>0</v>
      </c>
      <c r="F413" s="1092">
        <v>0</v>
      </c>
      <c r="G413" s="1092">
        <v>0</v>
      </c>
      <c r="H413" s="1092">
        <v>0</v>
      </c>
      <c r="I413" s="1092">
        <v>0</v>
      </c>
      <c r="J413" s="1092">
        <v>0</v>
      </c>
      <c r="K413" s="1092">
        <v>0</v>
      </c>
      <c r="L413" s="1092">
        <v>0</v>
      </c>
      <c r="M413" s="1092">
        <v>0</v>
      </c>
      <c r="N413" s="27">
        <f t="shared" si="60"/>
        <v>1</v>
      </c>
    </row>
    <row r="414" spans="1:14">
      <c r="A414" s="78" t="s">
        <v>122</v>
      </c>
      <c r="B414" s="1092">
        <v>0</v>
      </c>
      <c r="C414" s="1092">
        <v>0</v>
      </c>
      <c r="D414" s="1092">
        <v>0</v>
      </c>
      <c r="E414" s="1092">
        <v>0</v>
      </c>
      <c r="F414" s="1092">
        <v>0</v>
      </c>
      <c r="G414" s="1092">
        <v>0</v>
      </c>
      <c r="H414" s="1092">
        <v>0</v>
      </c>
      <c r="I414" s="1092">
        <v>0</v>
      </c>
      <c r="J414" s="1092">
        <v>0</v>
      </c>
      <c r="K414" s="1092">
        <v>0</v>
      </c>
      <c r="L414" s="1092">
        <v>0</v>
      </c>
      <c r="M414" s="1092">
        <v>0</v>
      </c>
      <c r="N414" s="27">
        <f t="shared" si="60"/>
        <v>0</v>
      </c>
    </row>
    <row r="415" spans="1:14">
      <c r="A415" s="78" t="s">
        <v>184</v>
      </c>
      <c r="B415" s="1092">
        <v>0</v>
      </c>
      <c r="C415" s="1092">
        <v>0</v>
      </c>
      <c r="D415" s="1092">
        <v>0</v>
      </c>
      <c r="E415" s="1092">
        <v>0</v>
      </c>
      <c r="F415" s="1092">
        <v>0</v>
      </c>
      <c r="G415" s="1092">
        <v>0</v>
      </c>
      <c r="H415" s="1092">
        <v>0</v>
      </c>
      <c r="I415" s="1092">
        <v>0</v>
      </c>
      <c r="J415" s="1092">
        <v>0</v>
      </c>
      <c r="K415" s="1092">
        <v>0</v>
      </c>
      <c r="L415" s="1092">
        <v>0</v>
      </c>
      <c r="M415" s="1092">
        <v>0</v>
      </c>
      <c r="N415" s="27">
        <f t="shared" si="60"/>
        <v>0</v>
      </c>
    </row>
    <row r="416" spans="1:14">
      <c r="A416" s="78" t="s">
        <v>187</v>
      </c>
      <c r="B416" s="1092">
        <v>0</v>
      </c>
      <c r="C416" s="1092">
        <v>0</v>
      </c>
      <c r="D416" s="1092">
        <v>0</v>
      </c>
      <c r="E416" s="1092">
        <v>0</v>
      </c>
      <c r="F416" s="1092">
        <v>0</v>
      </c>
      <c r="G416" s="1092">
        <v>0</v>
      </c>
      <c r="H416" s="1092">
        <v>0</v>
      </c>
      <c r="I416" s="1092">
        <v>0</v>
      </c>
      <c r="J416" s="1092">
        <v>0</v>
      </c>
      <c r="K416" s="1092">
        <v>0</v>
      </c>
      <c r="L416" s="1092">
        <v>0</v>
      </c>
      <c r="M416" s="1092">
        <v>0</v>
      </c>
      <c r="N416" s="27">
        <f>SUM(B416:M416)</f>
        <v>0</v>
      </c>
    </row>
    <row r="417" spans="1:14">
      <c r="A417" s="78" t="s">
        <v>188</v>
      </c>
      <c r="B417" s="1092">
        <v>0</v>
      </c>
      <c r="C417" s="1092">
        <v>0</v>
      </c>
      <c r="D417" s="1092">
        <v>0</v>
      </c>
      <c r="E417" s="1092">
        <v>0</v>
      </c>
      <c r="F417" s="1092">
        <v>0</v>
      </c>
      <c r="G417" s="1092">
        <v>0</v>
      </c>
      <c r="H417" s="1092">
        <v>0</v>
      </c>
      <c r="I417" s="1092">
        <v>0</v>
      </c>
      <c r="J417" s="1092">
        <v>0</v>
      </c>
      <c r="K417" s="1092">
        <v>0</v>
      </c>
      <c r="L417" s="1092">
        <v>0</v>
      </c>
      <c r="M417" s="1092">
        <v>0</v>
      </c>
      <c r="N417" s="27">
        <f t="shared" si="60"/>
        <v>0</v>
      </c>
    </row>
    <row r="418" spans="1:14">
      <c r="A418" s="78" t="s">
        <v>213</v>
      </c>
      <c r="B418" s="1092">
        <v>0</v>
      </c>
      <c r="C418" s="1092">
        <v>0</v>
      </c>
      <c r="D418" s="1092">
        <v>0</v>
      </c>
      <c r="E418" s="1092">
        <v>0</v>
      </c>
      <c r="F418" s="1092">
        <v>0</v>
      </c>
      <c r="G418" s="1092">
        <v>0</v>
      </c>
      <c r="H418" s="1092">
        <v>0</v>
      </c>
      <c r="I418" s="1092">
        <v>0</v>
      </c>
      <c r="J418" s="1092">
        <v>0</v>
      </c>
      <c r="K418" s="1092">
        <v>0</v>
      </c>
      <c r="L418" s="1092">
        <v>0</v>
      </c>
      <c r="M418" s="1092">
        <v>0</v>
      </c>
      <c r="N418" s="27">
        <f t="shared" si="60"/>
        <v>0</v>
      </c>
    </row>
    <row r="419" spans="1:14">
      <c r="A419" s="76" t="s">
        <v>267</v>
      </c>
      <c r="B419" s="1092">
        <v>0</v>
      </c>
      <c r="C419" s="1092">
        <v>0</v>
      </c>
      <c r="D419" s="1092">
        <v>0</v>
      </c>
      <c r="E419" s="1092">
        <v>0</v>
      </c>
      <c r="F419" s="1092">
        <v>0</v>
      </c>
      <c r="G419" s="1092">
        <v>0</v>
      </c>
      <c r="H419" s="1092">
        <v>0</v>
      </c>
      <c r="I419" s="1092">
        <v>0</v>
      </c>
      <c r="J419" s="1092">
        <v>0</v>
      </c>
      <c r="K419" s="1092">
        <v>0</v>
      </c>
      <c r="L419" s="1092">
        <v>0</v>
      </c>
      <c r="M419" s="1092">
        <v>0</v>
      </c>
      <c r="N419" s="27">
        <f t="shared" si="60"/>
        <v>0</v>
      </c>
    </row>
    <row r="420" spans="1:14" ht="14" thickBot="1">
      <c r="A420" s="78" t="s">
        <v>268</v>
      </c>
      <c r="B420" s="1092">
        <v>0</v>
      </c>
      <c r="C420" s="1092">
        <v>0</v>
      </c>
      <c r="D420" s="1092">
        <v>0</v>
      </c>
      <c r="E420" s="1092">
        <v>0</v>
      </c>
      <c r="F420" s="1092">
        <v>0</v>
      </c>
      <c r="G420" s="1092">
        <v>0</v>
      </c>
      <c r="H420" s="1092">
        <v>0</v>
      </c>
      <c r="I420" s="1092">
        <v>0</v>
      </c>
      <c r="J420" s="1092">
        <v>0</v>
      </c>
      <c r="K420" s="1092">
        <v>0</v>
      </c>
      <c r="L420" s="1092">
        <v>0</v>
      </c>
      <c r="M420" s="1092">
        <v>0</v>
      </c>
      <c r="N420" s="27">
        <f t="shared" si="60"/>
        <v>0</v>
      </c>
    </row>
    <row r="421" spans="1:14" ht="14" hidden="1" thickBot="1">
      <c r="A421" s="38" t="s">
        <v>192</v>
      </c>
      <c r="B421" s="39"/>
      <c r="C421" s="39"/>
      <c r="D421" s="39"/>
      <c r="E421" s="39"/>
      <c r="F421" s="39"/>
      <c r="G421" s="39"/>
      <c r="H421" s="39"/>
      <c r="I421" s="39"/>
      <c r="J421" s="39"/>
      <c r="K421" s="39"/>
      <c r="L421" s="39"/>
      <c r="M421" s="39"/>
      <c r="N421" s="40"/>
    </row>
    <row r="422" spans="1:14" ht="14" hidden="1" thickBot="1">
      <c r="A422" s="76" t="s">
        <v>193</v>
      </c>
      <c r="B422" s="1092"/>
      <c r="C422" s="1092"/>
      <c r="D422" s="1092"/>
      <c r="E422" s="1092"/>
      <c r="F422" s="1092"/>
      <c r="G422" s="1092"/>
      <c r="H422" s="1092"/>
      <c r="I422" s="1092"/>
      <c r="J422" s="1092"/>
      <c r="K422" s="1092"/>
      <c r="L422" s="1092"/>
      <c r="M422" s="1092"/>
      <c r="N422" s="27">
        <f>SUM(B422:M422)</f>
        <v>0</v>
      </c>
    </row>
    <row r="423" spans="1:14" ht="14" thickBot="1">
      <c r="A423" s="53" t="s">
        <v>60</v>
      </c>
      <c r="B423" s="55">
        <f t="shared" ref="B423:M423" si="61">SUM(B409:B422)</f>
        <v>0</v>
      </c>
      <c r="C423" s="55">
        <f t="shared" si="61"/>
        <v>12</v>
      </c>
      <c r="D423" s="55">
        <f t="shared" si="61"/>
        <v>0</v>
      </c>
      <c r="E423" s="55">
        <f t="shared" si="61"/>
        <v>6</v>
      </c>
      <c r="F423" s="55">
        <f t="shared" si="61"/>
        <v>0</v>
      </c>
      <c r="G423" s="55">
        <f t="shared" si="61"/>
        <v>222</v>
      </c>
      <c r="H423" s="55">
        <f t="shared" si="61"/>
        <v>1</v>
      </c>
      <c r="I423" s="55">
        <f t="shared" si="61"/>
        <v>6</v>
      </c>
      <c r="J423" s="55">
        <f t="shared" si="61"/>
        <v>0</v>
      </c>
      <c r="K423" s="55">
        <f t="shared" si="61"/>
        <v>0</v>
      </c>
      <c r="L423" s="55">
        <f t="shared" si="61"/>
        <v>0</v>
      </c>
      <c r="M423" s="55">
        <f t="shared" si="61"/>
        <v>12</v>
      </c>
      <c r="N423" s="54"/>
    </row>
    <row r="425" spans="1:14" ht="14" thickBot="1">
      <c r="B425" s="43" t="s">
        <v>35</v>
      </c>
      <c r="C425" s="43" t="s">
        <v>36</v>
      </c>
      <c r="D425" s="43" t="s">
        <v>37</v>
      </c>
      <c r="E425" s="43" t="s">
        <v>38</v>
      </c>
      <c r="F425" s="43" t="s">
        <v>39</v>
      </c>
      <c r="G425" s="43" t="s">
        <v>40</v>
      </c>
      <c r="H425" s="43" t="s">
        <v>41</v>
      </c>
      <c r="I425" s="43" t="s">
        <v>42</v>
      </c>
      <c r="J425" s="43" t="s">
        <v>43</v>
      </c>
      <c r="K425" s="43" t="s">
        <v>44</v>
      </c>
      <c r="L425" s="43" t="s">
        <v>45</v>
      </c>
      <c r="M425" s="43" t="s">
        <v>46</v>
      </c>
      <c r="N425" s="43" t="s">
        <v>10</v>
      </c>
    </row>
    <row r="426" spans="1:14" ht="17" thickBot="1">
      <c r="A426" s="31" t="s">
        <v>434</v>
      </c>
      <c r="B426" s="24"/>
      <c r="C426" s="24"/>
      <c r="D426" s="22"/>
      <c r="E426" s="22"/>
      <c r="F426" s="25"/>
      <c r="G426" s="25"/>
      <c r="H426" s="22"/>
      <c r="I426" s="22"/>
      <c r="J426" s="22"/>
      <c r="K426" s="22"/>
      <c r="L426" s="24"/>
      <c r="M426" s="24"/>
      <c r="N426" s="26"/>
    </row>
    <row r="427" spans="1:14" ht="14" thickBot="1">
      <c r="A427" s="38" t="s">
        <v>189</v>
      </c>
      <c r="B427" s="39"/>
      <c r="C427" s="39"/>
      <c r="D427" s="39"/>
      <c r="E427" s="39"/>
      <c r="F427" s="39"/>
      <c r="G427" s="39"/>
      <c r="H427" s="39"/>
      <c r="I427" s="39"/>
      <c r="J427" s="39"/>
      <c r="K427" s="39"/>
      <c r="L427" s="39"/>
      <c r="M427" s="39"/>
      <c r="N427" s="40"/>
    </row>
    <row r="428" spans="1:14">
      <c r="A428" s="32" t="s">
        <v>29</v>
      </c>
      <c r="B428" s="1092">
        <v>2</v>
      </c>
      <c r="C428" s="1092">
        <v>63</v>
      </c>
      <c r="D428" s="1092">
        <v>33</v>
      </c>
      <c r="E428" s="1092">
        <v>4</v>
      </c>
      <c r="F428" s="1092">
        <v>33</v>
      </c>
      <c r="G428" s="1092">
        <v>0</v>
      </c>
      <c r="H428" s="1092">
        <v>4</v>
      </c>
      <c r="I428" s="1092">
        <v>7</v>
      </c>
      <c r="J428" s="1092">
        <v>2</v>
      </c>
      <c r="K428" s="1092">
        <v>3</v>
      </c>
      <c r="L428" s="1092">
        <v>8</v>
      </c>
      <c r="M428" s="1092">
        <v>1</v>
      </c>
      <c r="N428" s="27">
        <f>SUM(B428:M428)</f>
        <v>160</v>
      </c>
    </row>
    <row r="429" spans="1:14">
      <c r="A429" s="32" t="s">
        <v>33</v>
      </c>
      <c r="B429" s="1092">
        <v>2</v>
      </c>
      <c r="C429" s="1092">
        <v>11</v>
      </c>
      <c r="D429" s="1092">
        <v>5</v>
      </c>
      <c r="E429" s="1092">
        <v>2</v>
      </c>
      <c r="F429" s="1092">
        <v>3</v>
      </c>
      <c r="G429" s="1092">
        <v>2</v>
      </c>
      <c r="H429" s="1092">
        <v>2</v>
      </c>
      <c r="I429" s="1092">
        <v>7</v>
      </c>
      <c r="J429" s="1092">
        <v>3</v>
      </c>
      <c r="K429" s="1092">
        <v>2</v>
      </c>
      <c r="L429" s="1092">
        <v>21</v>
      </c>
      <c r="M429" s="1092">
        <v>3</v>
      </c>
      <c r="N429" s="27">
        <f t="shared" ref="N429:N430" si="62">SUM(B429:M429)</f>
        <v>63</v>
      </c>
    </row>
    <row r="430" spans="1:14">
      <c r="A430" s="32" t="s">
        <v>56</v>
      </c>
      <c r="B430" s="1092"/>
      <c r="C430" s="1092"/>
      <c r="D430" s="1092"/>
      <c r="E430" s="1092"/>
      <c r="F430" s="1092"/>
      <c r="G430" s="1092"/>
      <c r="H430" s="1092"/>
      <c r="I430" s="1092"/>
      <c r="J430" s="1092"/>
      <c r="K430" s="1092"/>
      <c r="L430" s="1092"/>
      <c r="M430" s="1092"/>
      <c r="N430" s="27">
        <f t="shared" si="62"/>
        <v>0</v>
      </c>
    </row>
    <row r="431" spans="1:14">
      <c r="A431" s="78" t="s">
        <v>30</v>
      </c>
      <c r="B431" s="1092">
        <v>2</v>
      </c>
      <c r="C431" s="1092">
        <v>7</v>
      </c>
      <c r="D431" s="1092">
        <v>5</v>
      </c>
      <c r="E431" s="1092">
        <v>5</v>
      </c>
      <c r="F431" s="1092">
        <v>4</v>
      </c>
      <c r="G431" s="1092">
        <v>0</v>
      </c>
      <c r="H431" s="1092">
        <v>0</v>
      </c>
      <c r="I431" s="1092">
        <v>2</v>
      </c>
      <c r="J431" s="1092">
        <v>2</v>
      </c>
      <c r="K431" s="1092">
        <v>2</v>
      </c>
      <c r="L431" s="1092">
        <v>2</v>
      </c>
      <c r="M431" s="1092">
        <v>5</v>
      </c>
      <c r="N431" s="27">
        <f>SUM(B431:M431)</f>
        <v>36</v>
      </c>
    </row>
    <row r="432" spans="1:14">
      <c r="A432" s="76" t="s">
        <v>213</v>
      </c>
      <c r="B432" s="1092">
        <v>1</v>
      </c>
      <c r="C432" s="1092">
        <v>1</v>
      </c>
      <c r="D432" s="1092"/>
      <c r="E432" s="1092"/>
      <c r="F432" s="1092">
        <v>2</v>
      </c>
      <c r="G432" s="1092">
        <v>1</v>
      </c>
      <c r="H432" s="1092">
        <v>2</v>
      </c>
      <c r="I432" s="1092"/>
      <c r="J432" s="1092">
        <v>1</v>
      </c>
      <c r="K432" s="1092">
        <v>2</v>
      </c>
      <c r="L432" s="1092">
        <v>1</v>
      </c>
      <c r="M432" s="1092"/>
      <c r="N432" s="27">
        <f t="shared" ref="N432:N436" si="63">SUM(B432:M432)</f>
        <v>11</v>
      </c>
    </row>
    <row r="433" spans="1:14">
      <c r="A433" s="76" t="s">
        <v>212</v>
      </c>
      <c r="B433" s="1092"/>
      <c r="C433" s="1092"/>
      <c r="D433" s="1092"/>
      <c r="E433" s="1092"/>
      <c r="F433" s="1092"/>
      <c r="G433" s="1092"/>
      <c r="H433" s="1092"/>
      <c r="I433" s="1092"/>
      <c r="J433" s="1092"/>
      <c r="K433" s="1092"/>
      <c r="L433" s="1092"/>
      <c r="M433" s="1092"/>
      <c r="N433" s="27">
        <f t="shared" si="63"/>
        <v>0</v>
      </c>
    </row>
    <row r="434" spans="1:14">
      <c r="A434" s="76" t="s">
        <v>331</v>
      </c>
      <c r="B434" s="1092"/>
      <c r="C434" s="1092"/>
      <c r="D434" s="1092"/>
      <c r="E434" s="1092"/>
      <c r="F434" s="1092"/>
      <c r="G434" s="1092"/>
      <c r="H434" s="1092"/>
      <c r="I434" s="1092"/>
      <c r="J434" s="1092"/>
      <c r="K434" s="1092"/>
      <c r="L434" s="1092"/>
      <c r="M434" s="1092"/>
      <c r="N434" s="27">
        <f t="shared" si="63"/>
        <v>0</v>
      </c>
    </row>
    <row r="435" spans="1:14" ht="14" thickBot="1">
      <c r="A435" s="76" t="s">
        <v>267</v>
      </c>
      <c r="B435" s="1092"/>
      <c r="C435" s="1092"/>
      <c r="D435" s="1092"/>
      <c r="E435" s="1092"/>
      <c r="F435" s="1092"/>
      <c r="G435" s="1092"/>
      <c r="H435" s="1092"/>
      <c r="I435" s="1092"/>
      <c r="J435" s="1092"/>
      <c r="K435" s="1092"/>
      <c r="L435" s="1092"/>
      <c r="M435" s="1092"/>
      <c r="N435" s="27">
        <f t="shared" si="63"/>
        <v>0</v>
      </c>
    </row>
    <row r="436" spans="1:14" ht="14" thickBot="1">
      <c r="A436" s="38" t="s">
        <v>190</v>
      </c>
      <c r="B436" s="39"/>
      <c r="C436" s="39"/>
      <c r="D436" s="39"/>
      <c r="E436" s="39"/>
      <c r="F436" s="39"/>
      <c r="G436" s="39"/>
      <c r="H436" s="39"/>
      <c r="I436" s="39"/>
      <c r="J436" s="39"/>
      <c r="K436" s="39"/>
      <c r="L436" s="39"/>
      <c r="M436" s="39"/>
      <c r="N436" s="27">
        <f t="shared" si="63"/>
        <v>0</v>
      </c>
    </row>
    <row r="437" spans="1:14">
      <c r="A437" s="76" t="s">
        <v>393</v>
      </c>
      <c r="B437" s="1092">
        <v>24</v>
      </c>
      <c r="C437" s="1092">
        <v>0</v>
      </c>
      <c r="D437" s="1092"/>
      <c r="E437" s="1092"/>
      <c r="F437" s="1092"/>
      <c r="G437" s="1092"/>
      <c r="H437" s="1092"/>
      <c r="I437" s="1092"/>
      <c r="J437" s="1092">
        <v>17</v>
      </c>
      <c r="K437" s="1092"/>
      <c r="L437" s="1092">
        <v>6</v>
      </c>
      <c r="M437" s="1092">
        <v>15</v>
      </c>
      <c r="N437" s="27">
        <f>SUM(B437:M437)</f>
        <v>62</v>
      </c>
    </row>
    <row r="438" spans="1:14">
      <c r="A438" s="76" t="s">
        <v>166</v>
      </c>
      <c r="B438" s="1092">
        <v>2</v>
      </c>
      <c r="C438" s="1140">
        <v>1</v>
      </c>
      <c r="D438" s="1092">
        <v>0</v>
      </c>
      <c r="E438" s="1092">
        <v>0</v>
      </c>
      <c r="F438" s="1092">
        <v>0</v>
      </c>
      <c r="G438" s="1092">
        <v>3</v>
      </c>
      <c r="H438" s="1092">
        <v>1</v>
      </c>
      <c r="I438" s="1092">
        <v>1</v>
      </c>
      <c r="J438" s="1092">
        <v>0</v>
      </c>
      <c r="K438" s="1092">
        <v>0</v>
      </c>
      <c r="L438" s="1092">
        <v>0</v>
      </c>
      <c r="M438" s="1092">
        <v>0</v>
      </c>
      <c r="N438" s="27">
        <f>SUM(B438:M438)</f>
        <v>8</v>
      </c>
    </row>
    <row r="439" spans="1:14">
      <c r="A439" s="76" t="s">
        <v>336</v>
      </c>
      <c r="B439" s="1092">
        <v>0</v>
      </c>
      <c r="C439" s="1092">
        <v>32</v>
      </c>
      <c r="D439" s="1092">
        <v>14</v>
      </c>
      <c r="E439" s="1092">
        <v>9</v>
      </c>
      <c r="F439" s="1092">
        <v>6</v>
      </c>
      <c r="G439" s="1092">
        <v>1</v>
      </c>
      <c r="H439" s="1092">
        <v>3</v>
      </c>
      <c r="I439" s="1092">
        <v>7</v>
      </c>
      <c r="J439" s="1092">
        <v>1</v>
      </c>
      <c r="K439" s="1092">
        <v>0</v>
      </c>
      <c r="L439" s="1092">
        <v>2</v>
      </c>
      <c r="M439" s="1092">
        <v>3</v>
      </c>
      <c r="N439" s="27">
        <f t="shared" ref="N439:N446" si="64">SUM(B439:M439)</f>
        <v>78</v>
      </c>
    </row>
    <row r="440" spans="1:14">
      <c r="A440" s="76" t="s">
        <v>266</v>
      </c>
      <c r="B440" s="1092">
        <v>1</v>
      </c>
      <c r="C440" s="1092">
        <v>0</v>
      </c>
      <c r="D440" s="1092">
        <v>4</v>
      </c>
      <c r="E440" s="1092">
        <v>0</v>
      </c>
      <c r="F440" s="1092">
        <v>0</v>
      </c>
      <c r="G440" s="1092">
        <v>1</v>
      </c>
      <c r="H440" s="1092">
        <v>3</v>
      </c>
      <c r="I440" s="1092">
        <v>3</v>
      </c>
      <c r="J440" s="1092">
        <v>2</v>
      </c>
      <c r="K440" s="1092">
        <v>0</v>
      </c>
      <c r="L440" s="1092">
        <v>0</v>
      </c>
      <c r="M440" s="1092">
        <v>0</v>
      </c>
      <c r="N440" s="27">
        <f t="shared" si="64"/>
        <v>14</v>
      </c>
    </row>
    <row r="441" spans="1:14" ht="14" thickBot="1">
      <c r="A441" s="76" t="s">
        <v>467</v>
      </c>
      <c r="B441" s="1092"/>
      <c r="C441" s="1092"/>
      <c r="D441" s="1092"/>
      <c r="E441" s="1092"/>
      <c r="F441" s="1092"/>
      <c r="G441" s="1092"/>
      <c r="H441" s="1092"/>
      <c r="I441" s="1092"/>
      <c r="J441" s="1092"/>
      <c r="K441" s="1092"/>
      <c r="L441" s="1092"/>
      <c r="M441" s="1092"/>
      <c r="N441" s="27">
        <f>SUM(B441:M441)</f>
        <v>0</v>
      </c>
    </row>
    <row r="442" spans="1:14" ht="14" thickBot="1">
      <c r="A442" s="53" t="s">
        <v>60</v>
      </c>
      <c r="B442" s="55">
        <f>SUM(B428:B441)</f>
        <v>34</v>
      </c>
      <c r="C442" s="55">
        <f t="shared" ref="C442:L442" si="65">SUM(C428:C441)</f>
        <v>115</v>
      </c>
      <c r="D442" s="55">
        <f t="shared" si="65"/>
        <v>61</v>
      </c>
      <c r="E442" s="55">
        <f t="shared" si="65"/>
        <v>20</v>
      </c>
      <c r="F442" s="55">
        <f t="shared" si="65"/>
        <v>48</v>
      </c>
      <c r="G442" s="55">
        <f t="shared" si="65"/>
        <v>8</v>
      </c>
      <c r="H442" s="55">
        <f t="shared" si="65"/>
        <v>15</v>
      </c>
      <c r="I442" s="55">
        <f>SUM(I428:I441)</f>
        <v>27</v>
      </c>
      <c r="J442" s="55">
        <f t="shared" si="65"/>
        <v>28</v>
      </c>
      <c r="K442" s="55">
        <f t="shared" si="65"/>
        <v>9</v>
      </c>
      <c r="L442" s="55">
        <f t="shared" si="65"/>
        <v>40</v>
      </c>
      <c r="M442" s="55">
        <f>SUM(M428:M441)</f>
        <v>27</v>
      </c>
      <c r="N442" s="27">
        <f>SUM(B442:M442)</f>
        <v>432</v>
      </c>
    </row>
    <row r="443" spans="1:14" ht="14" thickBot="1">
      <c r="A443" s="38" t="s">
        <v>194</v>
      </c>
      <c r="B443" s="39"/>
      <c r="C443" s="39"/>
      <c r="D443" s="39"/>
      <c r="E443" s="39"/>
      <c r="F443" s="39"/>
      <c r="G443" s="39"/>
      <c r="H443" s="39"/>
      <c r="I443" s="39"/>
      <c r="J443" s="39"/>
      <c r="K443" s="39"/>
      <c r="L443" s="39"/>
      <c r="M443" s="39"/>
      <c r="N443" s="27">
        <f t="shared" si="64"/>
        <v>0</v>
      </c>
    </row>
    <row r="444" spans="1:14">
      <c r="A444" s="32" t="s">
        <v>29</v>
      </c>
      <c r="B444" s="1092"/>
      <c r="C444" s="1092"/>
      <c r="D444" s="1092"/>
      <c r="E444" s="1092"/>
      <c r="F444" s="1092">
        <v>138</v>
      </c>
      <c r="G444" s="1092">
        <v>350</v>
      </c>
      <c r="H444" s="1092"/>
      <c r="I444" s="1092">
        <v>274</v>
      </c>
      <c r="J444" s="1092"/>
      <c r="K444" s="1092"/>
      <c r="L444" s="1092"/>
      <c r="M444" s="1092"/>
      <c r="N444" s="27">
        <f t="shared" si="64"/>
        <v>762</v>
      </c>
    </row>
    <row r="445" spans="1:14">
      <c r="A445" s="78" t="s">
        <v>264</v>
      </c>
      <c r="B445" s="1092"/>
      <c r="C445" s="1092"/>
      <c r="D445" s="1092"/>
      <c r="E445" s="1092"/>
      <c r="F445" s="1092"/>
      <c r="G445" s="1092"/>
      <c r="H445" s="1092"/>
      <c r="I445" s="1092"/>
      <c r="J445" s="1092"/>
      <c r="K445" s="1092"/>
      <c r="L445" s="1092"/>
      <c r="M445" s="1092"/>
      <c r="N445" s="27">
        <f t="shared" si="64"/>
        <v>0</v>
      </c>
    </row>
    <row r="446" spans="1:14">
      <c r="A446" s="34" t="s">
        <v>204</v>
      </c>
      <c r="B446" s="1092"/>
      <c r="C446" s="1092"/>
      <c r="D446" s="1092"/>
      <c r="E446" s="1092"/>
      <c r="F446" s="1092"/>
      <c r="G446" s="1092"/>
      <c r="H446" s="1092"/>
      <c r="I446" s="1092"/>
      <c r="J446" s="1092"/>
      <c r="K446" s="1092"/>
      <c r="L446" s="1092"/>
      <c r="M446" s="1092"/>
      <c r="N446" s="27">
        <f t="shared" si="64"/>
        <v>0</v>
      </c>
    </row>
    <row r="447" spans="1:14">
      <c r="A447" s="76" t="s">
        <v>30</v>
      </c>
      <c r="B447" s="1092"/>
      <c r="C447" s="1092"/>
      <c r="D447" s="1092"/>
      <c r="E447" s="1092"/>
      <c r="F447" s="1092"/>
      <c r="G447" s="1092">
        <v>4</v>
      </c>
      <c r="H447" s="1092"/>
      <c r="I447" s="1092">
        <v>1</v>
      </c>
      <c r="J447" s="1092">
        <v>1</v>
      </c>
      <c r="K447" s="1092"/>
      <c r="L447" s="1092">
        <v>1</v>
      </c>
      <c r="M447" s="1092"/>
      <c r="N447" s="27">
        <f>SUM(B447:M447)</f>
        <v>7</v>
      </c>
    </row>
    <row r="448" spans="1:14">
      <c r="A448" s="32" t="s">
        <v>56</v>
      </c>
      <c r="B448" s="1092"/>
      <c r="C448" s="1092"/>
      <c r="D448" s="1092"/>
      <c r="E448" s="1092"/>
      <c r="F448" s="1092"/>
      <c r="G448" s="1092"/>
      <c r="H448" s="1092"/>
      <c r="I448" s="1092"/>
      <c r="J448" s="1092"/>
      <c r="K448" s="1092"/>
      <c r="L448" s="1092"/>
      <c r="M448" s="1092"/>
      <c r="N448" s="27">
        <f t="shared" ref="N448:N450" si="66">SUM(B448:M448)</f>
        <v>0</v>
      </c>
    </row>
    <row r="449" spans="1:14">
      <c r="A449" s="78" t="s">
        <v>122</v>
      </c>
      <c r="B449" s="1092"/>
      <c r="C449" s="1092"/>
      <c r="D449" s="1092"/>
      <c r="E449" s="1092"/>
      <c r="F449" s="1092"/>
      <c r="G449" s="1092"/>
      <c r="H449" s="1092"/>
      <c r="I449" s="1092"/>
      <c r="J449" s="1092"/>
      <c r="K449" s="1092"/>
      <c r="L449" s="1092"/>
      <c r="M449" s="1092"/>
      <c r="N449" s="27">
        <f t="shared" si="66"/>
        <v>0</v>
      </c>
    </row>
    <row r="450" spans="1:14">
      <c r="A450" s="78" t="s">
        <v>184</v>
      </c>
      <c r="B450" s="1092"/>
      <c r="C450" s="1092"/>
      <c r="D450" s="1092"/>
      <c r="E450" s="1092"/>
      <c r="F450" s="1092"/>
      <c r="G450" s="1092"/>
      <c r="H450" s="1092"/>
      <c r="I450" s="1092"/>
      <c r="J450" s="1092"/>
      <c r="K450" s="1092"/>
      <c r="L450" s="1092"/>
      <c r="M450" s="1092"/>
      <c r="N450" s="27">
        <f t="shared" si="66"/>
        <v>0</v>
      </c>
    </row>
    <row r="451" spans="1:14">
      <c r="A451" s="78" t="s">
        <v>187</v>
      </c>
      <c r="B451" s="1092"/>
      <c r="C451" s="1092"/>
      <c r="D451" s="1092"/>
      <c r="E451" s="1092"/>
      <c r="F451" s="1092"/>
      <c r="G451" s="1092"/>
      <c r="H451" s="1092"/>
      <c r="I451" s="1092">
        <v>1241</v>
      </c>
      <c r="J451" s="1092"/>
      <c r="K451" s="1092"/>
      <c r="L451" s="1092"/>
      <c r="M451" s="1092"/>
      <c r="N451" s="27">
        <f>SUM(B451:M451)</f>
        <v>1241</v>
      </c>
    </row>
    <row r="452" spans="1:14">
      <c r="A452" s="78" t="s">
        <v>188</v>
      </c>
      <c r="B452" s="1092"/>
      <c r="C452" s="1092"/>
      <c r="D452" s="1092"/>
      <c r="E452" s="1092"/>
      <c r="F452" s="1092"/>
      <c r="G452" s="1092"/>
      <c r="H452" s="1092"/>
      <c r="I452" s="1092"/>
      <c r="J452" s="1092"/>
      <c r="K452" s="1092"/>
      <c r="L452" s="1092"/>
      <c r="M452" s="1092"/>
      <c r="N452" s="27">
        <f t="shared" ref="N452:N455" si="67">SUM(B452:M452)</f>
        <v>0</v>
      </c>
    </row>
    <row r="453" spans="1:14">
      <c r="A453" s="78" t="s">
        <v>213</v>
      </c>
      <c r="B453" s="1092">
        <v>2</v>
      </c>
      <c r="C453" s="1092">
        <v>1</v>
      </c>
      <c r="D453" s="1092"/>
      <c r="E453" s="1092"/>
      <c r="F453" s="1092"/>
      <c r="G453" s="1092"/>
      <c r="H453" s="1092">
        <v>1</v>
      </c>
      <c r="I453" s="1092"/>
      <c r="J453" s="1092">
        <v>1</v>
      </c>
      <c r="K453" s="1092"/>
      <c r="L453" s="1092"/>
      <c r="M453" s="1092"/>
      <c r="N453" s="27">
        <f t="shared" si="67"/>
        <v>5</v>
      </c>
    </row>
    <row r="454" spans="1:14">
      <c r="A454" s="76" t="s">
        <v>267</v>
      </c>
      <c r="B454" s="1092"/>
      <c r="C454" s="1092"/>
      <c r="D454" s="1092"/>
      <c r="E454" s="1092"/>
      <c r="F454" s="1092"/>
      <c r="G454" s="1092"/>
      <c r="H454" s="1092"/>
      <c r="I454" s="1092"/>
      <c r="J454" s="1092"/>
      <c r="K454" s="1092"/>
      <c r="L454" s="1092"/>
      <c r="M454" s="1092"/>
      <c r="N454" s="27">
        <f t="shared" si="67"/>
        <v>0</v>
      </c>
    </row>
    <row r="455" spans="1:14" ht="14" thickBot="1">
      <c r="A455" s="78" t="s">
        <v>268</v>
      </c>
      <c r="B455" s="1092"/>
      <c r="C455" s="1092"/>
      <c r="D455" s="1092"/>
      <c r="E455" s="1092"/>
      <c r="F455" s="1092"/>
      <c r="G455" s="1092"/>
      <c r="H455" s="1092"/>
      <c r="I455" s="1092">
        <v>166</v>
      </c>
      <c r="J455" s="1092"/>
      <c r="K455" s="1092"/>
      <c r="L455" s="1092"/>
      <c r="M455" s="1092"/>
      <c r="N455" s="27">
        <f t="shared" si="67"/>
        <v>166</v>
      </c>
    </row>
    <row r="456" spans="1:14" ht="14" hidden="1" thickBot="1">
      <c r="A456" s="38" t="s">
        <v>192</v>
      </c>
      <c r="B456" s="39"/>
      <c r="C456" s="39"/>
      <c r="D456" s="39"/>
      <c r="E456" s="39"/>
      <c r="F456" s="39"/>
      <c r="G456" s="39"/>
      <c r="H456" s="39"/>
      <c r="I456" s="39"/>
      <c r="J456" s="39"/>
      <c r="K456" s="39"/>
      <c r="L456" s="39"/>
      <c r="M456" s="39"/>
      <c r="N456" s="40"/>
    </row>
    <row r="457" spans="1:14" ht="14" hidden="1" thickBot="1">
      <c r="A457" s="76" t="s">
        <v>193</v>
      </c>
      <c r="B457" s="1092"/>
      <c r="C457" s="1092"/>
      <c r="D457" s="1092"/>
      <c r="E457" s="1092"/>
      <c r="F457" s="1092"/>
      <c r="G457" s="1092"/>
      <c r="H457" s="1092"/>
      <c r="I457" s="1092"/>
      <c r="J457" s="1092"/>
      <c r="K457" s="1092"/>
      <c r="L457" s="1092"/>
      <c r="M457" s="1092"/>
      <c r="N457" s="27">
        <f>SUM(B457:M457)</f>
        <v>0</v>
      </c>
    </row>
    <row r="458" spans="1:14" ht="14" thickBot="1">
      <c r="A458" s="53" t="s">
        <v>60</v>
      </c>
      <c r="B458" s="55">
        <f t="shared" ref="B458:M458" si="68">SUM(B444:B457)</f>
        <v>2</v>
      </c>
      <c r="C458" s="55">
        <f t="shared" si="68"/>
        <v>1</v>
      </c>
      <c r="D458" s="55">
        <f t="shared" si="68"/>
        <v>0</v>
      </c>
      <c r="E458" s="55">
        <f t="shared" si="68"/>
        <v>0</v>
      </c>
      <c r="F458" s="55">
        <f t="shared" si="68"/>
        <v>138</v>
      </c>
      <c r="G458" s="55">
        <f t="shared" si="68"/>
        <v>354</v>
      </c>
      <c r="H458" s="55">
        <f t="shared" si="68"/>
        <v>1</v>
      </c>
      <c r="I458" s="55">
        <f t="shared" si="68"/>
        <v>1682</v>
      </c>
      <c r="J458" s="55">
        <f t="shared" si="68"/>
        <v>2</v>
      </c>
      <c r="K458" s="55">
        <f t="shared" si="68"/>
        <v>0</v>
      </c>
      <c r="L458" s="55">
        <f t="shared" si="68"/>
        <v>1</v>
      </c>
      <c r="M458" s="55">
        <f t="shared" si="68"/>
        <v>0</v>
      </c>
      <c r="N458" s="54"/>
    </row>
  </sheetData>
  <printOptions gridLines="1"/>
  <pageMargins left="1.1458333333333333E-3" right="0.75" top="1" bottom="1" header="0.5" footer="0.5"/>
  <pageSetup scale="74" orientation="landscape"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rgb="FFFF0000"/>
    <pageSetUpPr fitToPage="1"/>
  </sheetPr>
  <dimension ref="A1:U650"/>
  <sheetViews>
    <sheetView view="pageBreakPreview" zoomScale="75" zoomScaleNormal="90" zoomScaleSheetLayoutView="75" zoomScalePageLayoutView="70" workbookViewId="0">
      <selection activeCell="M2" sqref="M2:N3"/>
    </sheetView>
  </sheetViews>
  <sheetFormatPr baseColWidth="10" defaultColWidth="9.1640625" defaultRowHeight="16"/>
  <cols>
    <col min="1" max="1" width="57.33203125" style="91" customWidth="1"/>
    <col min="2" max="4" width="8.83203125" style="91" customWidth="1"/>
    <col min="5" max="5" width="9.5" style="91" customWidth="1"/>
    <col min="6" max="7" width="8.83203125" style="457" customWidth="1"/>
    <col min="8" max="8" width="17.1640625" style="457" customWidth="1"/>
    <col min="9" max="12" width="17.1640625" style="91" customWidth="1"/>
    <col min="13" max="14" width="8.83203125" style="91" customWidth="1"/>
    <col min="15" max="21" width="9.1640625" style="274"/>
    <col min="22" max="16384" width="9.1640625" style="91"/>
  </cols>
  <sheetData>
    <row r="1" spans="1:21" s="363" customFormat="1">
      <c r="A1" s="98"/>
      <c r="B1" s="99"/>
      <c r="C1" s="99"/>
      <c r="D1" s="99"/>
      <c r="E1" s="99"/>
      <c r="F1" s="421"/>
      <c r="G1" s="421"/>
      <c r="H1" s="421"/>
      <c r="I1" s="1468" t="s">
        <v>0</v>
      </c>
      <c r="J1" s="1468"/>
      <c r="K1" s="1468"/>
      <c r="L1" s="1468"/>
      <c r="M1" s="99"/>
      <c r="N1" s="101"/>
      <c r="O1" s="1398"/>
      <c r="P1" s="1398"/>
      <c r="Q1" s="1398"/>
      <c r="R1" s="1398"/>
      <c r="S1" s="1398"/>
      <c r="T1" s="1398"/>
      <c r="U1" s="1398"/>
    </row>
    <row r="2" spans="1:21" customFormat="1">
      <c r="A2" s="97"/>
      <c r="B2" s="1469" t="s">
        <v>1</v>
      </c>
      <c r="C2" s="1469"/>
      <c r="D2" s="1469" t="s">
        <v>2</v>
      </c>
      <c r="E2" s="1469"/>
      <c r="F2" s="1470" t="s">
        <v>3</v>
      </c>
      <c r="G2" s="1470"/>
      <c r="H2" s="1314" t="s">
        <v>3</v>
      </c>
      <c r="I2" s="127" t="s">
        <v>195</v>
      </c>
      <c r="J2" s="102"/>
      <c r="K2" s="102"/>
      <c r="L2" s="128"/>
      <c r="M2" s="1471" t="s">
        <v>469</v>
      </c>
      <c r="N2" s="1472"/>
      <c r="O2" s="121"/>
      <c r="P2" s="121"/>
      <c r="Q2" s="121"/>
      <c r="R2" s="121"/>
      <c r="S2" s="121"/>
      <c r="T2" s="121"/>
      <c r="U2" s="121"/>
    </row>
    <row r="3" spans="1:21" customFormat="1" ht="19" thickBot="1">
      <c r="A3" s="103" t="s">
        <v>5</v>
      </c>
      <c r="B3" s="1473" t="s">
        <v>6</v>
      </c>
      <c r="C3" s="1473"/>
      <c r="D3" s="1473" t="s">
        <v>7</v>
      </c>
      <c r="E3" s="1473"/>
      <c r="F3" s="1474" t="s">
        <v>7</v>
      </c>
      <c r="G3" s="1474"/>
      <c r="H3" s="1317" t="s">
        <v>58</v>
      </c>
      <c r="I3" s="1318" t="s">
        <v>196</v>
      </c>
      <c r="J3" s="1316" t="s">
        <v>8</v>
      </c>
      <c r="K3" s="1316" t="s">
        <v>9</v>
      </c>
      <c r="L3" s="401" t="s">
        <v>10</v>
      </c>
      <c r="M3" s="1473" t="s">
        <v>470</v>
      </c>
      <c r="N3" s="1475"/>
      <c r="O3" s="121"/>
      <c r="P3" s="121"/>
      <c r="Q3" s="121"/>
      <c r="R3" s="121"/>
      <c r="S3" s="121"/>
      <c r="T3" s="121"/>
      <c r="U3" s="121"/>
    </row>
    <row r="4" spans="1:21" customFormat="1" ht="24" thickBot="1">
      <c r="A4" s="88" t="s">
        <v>435</v>
      </c>
      <c r="B4" s="1476"/>
      <c r="C4" s="1477"/>
      <c r="D4" s="1478"/>
      <c r="E4" s="1479"/>
      <c r="F4" s="1480"/>
      <c r="G4" s="1481"/>
      <c r="H4" s="1324"/>
      <c r="I4" s="213"/>
      <c r="J4" s="213"/>
      <c r="K4" s="213"/>
      <c r="L4" s="214"/>
      <c r="M4" s="1482"/>
      <c r="N4" s="1483"/>
      <c r="O4" s="121"/>
      <c r="P4" s="121"/>
      <c r="Q4" s="121"/>
      <c r="R4" s="121"/>
      <c r="S4" s="121"/>
      <c r="T4" s="121"/>
      <c r="U4" s="121"/>
    </row>
    <row r="5" spans="1:21" s="1161" customFormat="1" ht="17" thickBot="1">
      <c r="A5" s="110" t="s">
        <v>189</v>
      </c>
      <c r="B5" s="1456"/>
      <c r="C5" s="1457"/>
      <c r="D5" s="1457"/>
      <c r="E5" s="1457"/>
      <c r="F5" s="1484"/>
      <c r="G5" s="1484"/>
      <c r="H5" s="1320"/>
      <c r="I5" s="1319"/>
      <c r="J5" s="1319"/>
      <c r="K5" s="1319"/>
      <c r="L5" s="1319"/>
      <c r="M5" s="1485"/>
      <c r="N5" s="1486"/>
      <c r="O5" s="274"/>
      <c r="P5" s="274"/>
      <c r="Q5" s="274"/>
      <c r="R5" s="274"/>
      <c r="S5" s="274"/>
      <c r="T5" s="274"/>
      <c r="U5" s="274"/>
    </row>
    <row r="6" spans="1:21" s="121" customFormat="1" ht="13">
      <c r="A6" s="69" t="s">
        <v>29</v>
      </c>
      <c r="B6" s="1465">
        <f>Ontario!N428</f>
        <v>160</v>
      </c>
      <c r="C6" s="1466"/>
      <c r="D6" s="1432">
        <f>F6*325900</f>
        <v>1282742.3999999999</v>
      </c>
      <c r="E6" s="1433"/>
      <c r="F6" s="1467">
        <f>0.0246*B6</f>
        <v>3.9359999999999999</v>
      </c>
      <c r="G6" s="1433"/>
      <c r="H6" s="1325">
        <f>F6*20</f>
        <v>78.72</v>
      </c>
      <c r="I6" s="173">
        <v>0</v>
      </c>
      <c r="J6" s="173">
        <f>B6*60</f>
        <v>9600</v>
      </c>
      <c r="K6" s="173">
        <f>B6*40</f>
        <v>6400</v>
      </c>
      <c r="L6" s="174">
        <f>K6+J6+I6</f>
        <v>16000</v>
      </c>
      <c r="M6" s="1427">
        <f>J6/(F6*830)</f>
        <v>2.9385836027034968</v>
      </c>
      <c r="N6" s="1428"/>
    </row>
    <row r="7" spans="1:21" s="121" customFormat="1" ht="13">
      <c r="A7" s="69" t="s">
        <v>33</v>
      </c>
      <c r="B7" s="1435">
        <f>Ontario!N429</f>
        <v>63</v>
      </c>
      <c r="C7" s="1433"/>
      <c r="D7" s="1432">
        <f t="shared" ref="D7" si="0">F7*325900</f>
        <v>708343.65</v>
      </c>
      <c r="E7" s="1433"/>
      <c r="F7" s="1467">
        <f>0.0345*B7</f>
        <v>2.1735000000000002</v>
      </c>
      <c r="G7" s="1433"/>
      <c r="H7" s="1325">
        <f>F7*14</f>
        <v>30.429000000000002</v>
      </c>
      <c r="I7" s="173">
        <v>1580</v>
      </c>
      <c r="J7" s="173">
        <f>B7*75</f>
        <v>4725</v>
      </c>
      <c r="K7" s="173">
        <f>B7*85</f>
        <v>5355</v>
      </c>
      <c r="L7" s="174">
        <f>K7+J7+I7</f>
        <v>11660</v>
      </c>
      <c r="M7" s="1427">
        <f t="shared" ref="M7:M10" si="1">J7/(F7*830)</f>
        <v>2.6191723415400734</v>
      </c>
      <c r="N7" s="1428"/>
    </row>
    <row r="8" spans="1:21" s="121" customFormat="1" ht="13">
      <c r="A8" s="254" t="s">
        <v>363</v>
      </c>
      <c r="B8" s="1435">
        <f>Ontario!N430</f>
        <v>0</v>
      </c>
      <c r="C8" s="1433"/>
      <c r="D8" s="1432">
        <f>F8*325900</f>
        <v>0</v>
      </c>
      <c r="E8" s="1433"/>
      <c r="F8" s="1460">
        <f>0.0044*0</f>
        <v>0</v>
      </c>
      <c r="G8" s="1461"/>
      <c r="H8" s="1325">
        <f>F8*5</f>
        <v>0</v>
      </c>
      <c r="I8" s="173">
        <f>0*0</f>
        <v>0</v>
      </c>
      <c r="J8" s="173">
        <f>3*0</f>
        <v>0</v>
      </c>
      <c r="K8" s="173">
        <f>2*0</f>
        <v>0</v>
      </c>
      <c r="L8" s="174">
        <f>K8+J8+I8</f>
        <v>0</v>
      </c>
      <c r="M8" s="1427">
        <v>0</v>
      </c>
      <c r="N8" s="1428"/>
    </row>
    <row r="9" spans="1:21" s="121" customFormat="1" ht="13">
      <c r="A9" s="69" t="s">
        <v>52</v>
      </c>
      <c r="B9" s="1435">
        <f>Ontario!N431</f>
        <v>36</v>
      </c>
      <c r="C9" s="1433"/>
      <c r="D9" s="1432">
        <f>F9*325900</f>
        <v>485721.36</v>
      </c>
      <c r="E9" s="1433"/>
      <c r="F9" s="1467">
        <f>0.0414*B9</f>
        <v>1.4903999999999999</v>
      </c>
      <c r="G9" s="1433"/>
      <c r="H9" s="1325">
        <f>F9*10</f>
        <v>14.904</v>
      </c>
      <c r="I9" s="173">
        <v>0</v>
      </c>
      <c r="J9" s="173">
        <f>B9*80</f>
        <v>2880</v>
      </c>
      <c r="K9" s="173">
        <f>B9*80</f>
        <v>2880</v>
      </c>
      <c r="L9" s="174">
        <f>K9+J9+I9</f>
        <v>5760</v>
      </c>
      <c r="M9" s="1427">
        <f t="shared" si="1"/>
        <v>2.3281531924800651</v>
      </c>
      <c r="N9" s="1428"/>
    </row>
    <row r="10" spans="1:21" s="121" customFormat="1" ht="13">
      <c r="A10" s="254" t="s">
        <v>440</v>
      </c>
      <c r="B10" s="1435">
        <f>Ontario!N432</f>
        <v>11</v>
      </c>
      <c r="C10" s="1433"/>
      <c r="D10" s="1451">
        <f>F10*325900</f>
        <v>781267</v>
      </c>
      <c r="E10" s="1448"/>
      <c r="F10" s="1447">
        <f>18169*43/325900</f>
        <v>2.3972598956735194</v>
      </c>
      <c r="G10" s="1448"/>
      <c r="H10" s="1321">
        <f>F10*10</f>
        <v>23.972598956735194</v>
      </c>
      <c r="I10" s="173">
        <v>6497.5</v>
      </c>
      <c r="J10" s="173">
        <v>14269</v>
      </c>
      <c r="K10" s="173">
        <v>36338</v>
      </c>
      <c r="L10" s="174">
        <f t="shared" ref="L10:L13" si="2">K10+J10+I10</f>
        <v>57104.5</v>
      </c>
      <c r="M10" s="1427">
        <f t="shared" si="1"/>
        <v>7.1713402022396089</v>
      </c>
      <c r="N10" s="1428"/>
    </row>
    <row r="11" spans="1:21" s="121" customFormat="1" ht="13">
      <c r="A11" s="254" t="s">
        <v>214</v>
      </c>
      <c r="B11" s="1435">
        <f>Ontario!N433</f>
        <v>0</v>
      </c>
      <c r="C11" s="1433"/>
      <c r="D11" s="1432">
        <f t="shared" ref="D11" si="3">F11*325900</f>
        <v>0</v>
      </c>
      <c r="E11" s="1433"/>
      <c r="F11" s="1460">
        <f>0.0019*B11</f>
        <v>0</v>
      </c>
      <c r="G11" s="1461"/>
      <c r="H11" s="1325">
        <f>F11*5</f>
        <v>0</v>
      </c>
      <c r="I11" s="173">
        <v>0</v>
      </c>
      <c r="J11" s="173">
        <f>B11*0</f>
        <v>0</v>
      </c>
      <c r="K11" s="173">
        <f>B11*35</f>
        <v>0</v>
      </c>
      <c r="L11" s="174">
        <f t="shared" si="2"/>
        <v>0</v>
      </c>
      <c r="M11" s="1427">
        <v>0</v>
      </c>
      <c r="N11" s="1428"/>
    </row>
    <row r="12" spans="1:21" s="121" customFormat="1" ht="13">
      <c r="A12" s="254" t="s">
        <v>331</v>
      </c>
      <c r="B12" s="1435">
        <f>Ontario!N434</f>
        <v>0</v>
      </c>
      <c r="C12" s="1433"/>
      <c r="D12" s="1432">
        <f>F12*325900</f>
        <v>0</v>
      </c>
      <c r="E12" s="1433"/>
      <c r="F12" s="1460">
        <v>0</v>
      </c>
      <c r="G12" s="1461"/>
      <c r="H12" s="1325">
        <v>0</v>
      </c>
      <c r="I12" s="173">
        <v>0</v>
      </c>
      <c r="J12" s="173">
        <f>B12*0</f>
        <v>0</v>
      </c>
      <c r="K12" s="173">
        <f>B12*300</f>
        <v>0</v>
      </c>
      <c r="L12" s="174">
        <f t="shared" si="2"/>
        <v>0</v>
      </c>
      <c r="M12" s="1427">
        <v>0</v>
      </c>
      <c r="N12" s="1428"/>
    </row>
    <row r="13" spans="1:21" s="121" customFormat="1" ht="14" thickBot="1">
      <c r="A13" s="254" t="s">
        <v>269</v>
      </c>
      <c r="B13" s="1462">
        <f>Ontario!N435</f>
        <v>0</v>
      </c>
      <c r="C13" s="1437"/>
      <c r="D13" s="1432">
        <f t="shared" ref="D13" si="4">F13*325900</f>
        <v>0</v>
      </c>
      <c r="E13" s="1433"/>
      <c r="F13" s="1460">
        <f>0.0414*B13</f>
        <v>0</v>
      </c>
      <c r="G13" s="1461"/>
      <c r="H13" s="1325">
        <f>F13*10</f>
        <v>0</v>
      </c>
      <c r="I13" s="173">
        <v>0</v>
      </c>
      <c r="J13" s="173">
        <f t="shared" ref="J13" si="5">B13*65</f>
        <v>0</v>
      </c>
      <c r="K13" s="173">
        <f t="shared" ref="K13" si="6">B13*40</f>
        <v>0</v>
      </c>
      <c r="L13" s="174">
        <f t="shared" si="2"/>
        <v>0</v>
      </c>
      <c r="M13" s="1427">
        <v>0</v>
      </c>
      <c r="N13" s="1428"/>
    </row>
    <row r="14" spans="1:21" s="1161" customFormat="1" ht="17" thickBot="1">
      <c r="A14" s="110" t="s">
        <v>190</v>
      </c>
      <c r="B14" s="1456"/>
      <c r="C14" s="1457"/>
      <c r="D14" s="1457"/>
      <c r="E14" s="1457"/>
      <c r="F14" s="1457"/>
      <c r="G14" s="1457"/>
      <c r="H14" s="1319"/>
      <c r="I14" s="195"/>
      <c r="J14" s="195"/>
      <c r="K14" s="195"/>
      <c r="L14" s="195"/>
      <c r="M14" s="195"/>
      <c r="N14" s="1190"/>
      <c r="O14" s="274"/>
      <c r="P14" s="274"/>
      <c r="Q14" s="274"/>
      <c r="R14" s="274"/>
      <c r="S14" s="274"/>
      <c r="T14" s="274"/>
      <c r="U14" s="274"/>
    </row>
    <row r="15" spans="1:21" s="121" customFormat="1" ht="13">
      <c r="A15" s="76" t="s">
        <v>393</v>
      </c>
      <c r="B15" s="1435">
        <f>Ontario!N437</f>
        <v>62</v>
      </c>
      <c r="C15" s="1433"/>
      <c r="D15" s="1432">
        <f>F15*325900</f>
        <v>4687745.6000000006</v>
      </c>
      <c r="E15" s="1433"/>
      <c r="F15" s="1463">
        <f>B15*0.232</f>
        <v>14.384</v>
      </c>
      <c r="G15" s="1464"/>
      <c r="H15" s="1413">
        <f>F15*2</f>
        <v>28.768000000000001</v>
      </c>
      <c r="I15" s="173">
        <v>0</v>
      </c>
      <c r="J15" s="173">
        <f>L15-K15</f>
        <v>9696.0292251925675</v>
      </c>
      <c r="K15" s="173">
        <v>12575</v>
      </c>
      <c r="L15" s="174">
        <v>22271.029225192568</v>
      </c>
      <c r="M15" s="1427">
        <f t="shared" ref="M15:M18" si="7">J15/(F15*830)</f>
        <v>0.81214981381526385</v>
      </c>
      <c r="N15" s="1428"/>
    </row>
    <row r="16" spans="1:21" s="120" customFormat="1" ht="13">
      <c r="A16" s="254" t="s">
        <v>453</v>
      </c>
      <c r="B16" s="1435">
        <f>Ontario!N438</f>
        <v>8</v>
      </c>
      <c r="C16" s="1433"/>
      <c r="D16" s="1451">
        <f>F16*325900</f>
        <v>234191.74000000002</v>
      </c>
      <c r="E16" s="1448"/>
      <c r="F16" s="1447">
        <f>(0.0414*13)+(0.0044*41)</f>
        <v>0.71860000000000002</v>
      </c>
      <c r="G16" s="1448"/>
      <c r="H16" s="1404">
        <f>((0.0414*13)*10)+((0.0044*41)*5)</f>
        <v>6.2839999999999998</v>
      </c>
      <c r="I16" s="173">
        <v>233.97</v>
      </c>
      <c r="J16" s="173">
        <f>L16-K16-I16</f>
        <v>3627.0664115247487</v>
      </c>
      <c r="K16" s="173">
        <v>3393.25</v>
      </c>
      <c r="L16" s="174">
        <v>7254.2864115247485</v>
      </c>
      <c r="M16" s="1427">
        <f t="shared" si="7"/>
        <v>6.0812128193118964</v>
      </c>
      <c r="N16" s="1428"/>
      <c r="O16" s="121"/>
      <c r="P16" s="121"/>
      <c r="Q16" s="121"/>
      <c r="R16" s="121"/>
      <c r="S16" s="121"/>
      <c r="T16" s="121"/>
      <c r="U16" s="121"/>
    </row>
    <row r="17" spans="1:21" s="121" customFormat="1" ht="13">
      <c r="A17" s="254" t="s">
        <v>447</v>
      </c>
      <c r="B17" s="1435">
        <f>Ontario!N439</f>
        <v>78</v>
      </c>
      <c r="C17" s="1433"/>
      <c r="D17" s="1451">
        <f>F17*325900</f>
        <v>1187318.8799999999</v>
      </c>
      <c r="E17" s="1448"/>
      <c r="F17" s="1447">
        <f>0.0414*88</f>
        <v>3.6431999999999998</v>
      </c>
      <c r="G17" s="1448"/>
      <c r="H17" s="1321">
        <f>F17*10</f>
        <v>36.431999999999995</v>
      </c>
      <c r="I17" s="173">
        <v>0</v>
      </c>
      <c r="J17" s="173">
        <f>L17-K17</f>
        <v>28096.635276448607</v>
      </c>
      <c r="K17" s="173">
        <v>23938</v>
      </c>
      <c r="L17" s="174">
        <v>52034.635276448607</v>
      </c>
      <c r="M17" s="1427">
        <f t="shared" si="7"/>
        <v>9.2916578290925926</v>
      </c>
      <c r="N17" s="1428"/>
    </row>
    <row r="18" spans="1:21" s="121" customFormat="1" ht="13">
      <c r="A18" s="254" t="s">
        <v>266</v>
      </c>
      <c r="B18" s="1435">
        <f>Ontario!N440</f>
        <v>14</v>
      </c>
      <c r="C18" s="1433"/>
      <c r="D18" s="1447">
        <f>F18*325900</f>
        <v>62963.88</v>
      </c>
      <c r="E18" s="1448"/>
      <c r="F18" s="1451">
        <f>B18*0.0138</f>
        <v>0.19319999999999998</v>
      </c>
      <c r="G18" s="1448"/>
      <c r="H18" s="1321">
        <f>F18*10</f>
        <v>1.9319999999999999</v>
      </c>
      <c r="I18" s="173">
        <v>0</v>
      </c>
      <c r="J18" s="286">
        <f>L18-K18</f>
        <v>3556.7200000000003</v>
      </c>
      <c r="K18" s="286">
        <v>3694.2</v>
      </c>
      <c r="L18" s="174">
        <v>7250.92</v>
      </c>
      <c r="M18" s="1427">
        <f t="shared" si="7"/>
        <v>22.180149168100979</v>
      </c>
      <c r="N18" s="1428"/>
    </row>
    <row r="19" spans="1:21" s="121" customFormat="1" ht="14" thickBot="1">
      <c r="A19" s="76" t="s">
        <v>467</v>
      </c>
      <c r="B19" s="1435">
        <f>Ontario!N441</f>
        <v>0</v>
      </c>
      <c r="C19" s="1433"/>
      <c r="D19" s="1458">
        <f>F19*325900</f>
        <v>0</v>
      </c>
      <c r="E19" s="1459"/>
      <c r="F19" s="1458">
        <f>B19*0.075</f>
        <v>0</v>
      </c>
      <c r="G19" s="1459"/>
      <c r="H19" s="1407">
        <f>F19*10</f>
        <v>0</v>
      </c>
      <c r="I19" s="286">
        <v>0</v>
      </c>
      <c r="J19" s="286">
        <v>0</v>
      </c>
      <c r="K19" s="286">
        <v>0</v>
      </c>
      <c r="L19" s="174">
        <f>SUM(I19:K19)</f>
        <v>0</v>
      </c>
      <c r="M19" s="1427">
        <v>0</v>
      </c>
      <c r="N19" s="1428"/>
    </row>
    <row r="20" spans="1:21" customFormat="1" ht="14" thickBot="1">
      <c r="A20" s="53" t="s">
        <v>60</v>
      </c>
      <c r="B20" s="1452">
        <f>SUM(B6:C19)</f>
        <v>432</v>
      </c>
      <c r="C20" s="1453"/>
      <c r="D20" s="1452">
        <f t="shared" ref="D20" si="8">SUM(D6:E19)</f>
        <v>9430294.5099999998</v>
      </c>
      <c r="E20" s="1453"/>
      <c r="F20" s="1452">
        <f>SUM(F6:G19)</f>
        <v>28.936159895673519</v>
      </c>
      <c r="G20" s="1453"/>
      <c r="H20" s="1322">
        <f>SUM(H6:H19)</f>
        <v>221.44159895673516</v>
      </c>
      <c r="I20" s="1337">
        <f>SUM(I6:I19)</f>
        <v>8311.4699999999993</v>
      </c>
      <c r="J20" s="1409">
        <f t="shared" ref="J20:K20" si="9">SUM(J6:J19)</f>
        <v>76450.450913165929</v>
      </c>
      <c r="K20" s="1409">
        <f t="shared" si="9"/>
        <v>94573.45</v>
      </c>
      <c r="L20" s="1409">
        <f>SUM(L6:L19)</f>
        <v>179335.37091316594</v>
      </c>
      <c r="M20" s="1454"/>
      <c r="N20" s="1455"/>
      <c r="O20" s="121"/>
      <c r="P20" s="121"/>
      <c r="Q20" s="121"/>
      <c r="R20" s="121"/>
      <c r="S20" s="121"/>
      <c r="T20" s="121"/>
      <c r="U20" s="121"/>
    </row>
    <row r="21" spans="1:21" s="1161" customFormat="1" ht="17" thickBot="1">
      <c r="A21" s="110" t="s">
        <v>194</v>
      </c>
      <c r="B21" s="1456"/>
      <c r="C21" s="1457"/>
      <c r="D21" s="1457"/>
      <c r="E21" s="1457"/>
      <c r="F21" s="1457"/>
      <c r="G21" s="1457"/>
      <c r="H21" s="1319"/>
      <c r="I21" s="1334"/>
      <c r="J21" s="1334"/>
      <c r="K21" s="1334"/>
      <c r="L21" s="1334"/>
      <c r="M21" s="1334"/>
      <c r="N21" s="1335"/>
      <c r="O21" s="274"/>
      <c r="P21" s="274"/>
      <c r="Q21" s="274"/>
      <c r="R21" s="274"/>
      <c r="S21" s="274"/>
      <c r="T21" s="274"/>
      <c r="U21" s="274"/>
    </row>
    <row r="22" spans="1:21" customFormat="1" ht="13">
      <c r="A22" s="68" t="s">
        <v>29</v>
      </c>
      <c r="B22" s="1421">
        <f>Ontario!N444</f>
        <v>762</v>
      </c>
      <c r="C22" s="1422"/>
      <c r="D22" s="1431">
        <f>F22*325900</f>
        <v>6109060.6800000006</v>
      </c>
      <c r="E22" s="1422"/>
      <c r="F22" s="1444">
        <f>0.0246*B22</f>
        <v>18.745200000000001</v>
      </c>
      <c r="G22" s="1422"/>
      <c r="H22" s="1326">
        <f>F22*20</f>
        <v>374.904</v>
      </c>
      <c r="I22" s="151">
        <v>0</v>
      </c>
      <c r="J22" s="150">
        <f>B22*60</f>
        <v>45720</v>
      </c>
      <c r="K22" s="150">
        <f>B22*40</f>
        <v>30480</v>
      </c>
      <c r="L22" s="174">
        <f t="shared" ref="L22:L25" si="10">K22+J22+I22</f>
        <v>76200</v>
      </c>
      <c r="M22" s="1427">
        <f>J22/(F22*830)</f>
        <v>2.9385836027034968</v>
      </c>
      <c r="N22" s="1428"/>
      <c r="O22" s="121"/>
      <c r="P22" s="121"/>
      <c r="Q22" s="121"/>
      <c r="R22" s="121"/>
      <c r="S22" s="121"/>
      <c r="T22" s="121"/>
      <c r="U22" s="1222"/>
    </row>
    <row r="23" spans="1:21" customFormat="1" ht="13">
      <c r="A23" s="68" t="s">
        <v>51</v>
      </c>
      <c r="B23" s="1421">
        <f>Ontario!N445</f>
        <v>0</v>
      </c>
      <c r="C23" s="1422"/>
      <c r="D23" s="1431">
        <f>F23*325900</f>
        <v>0</v>
      </c>
      <c r="E23" s="1422"/>
      <c r="F23" s="1444">
        <f>0.1227*B23</f>
        <v>0</v>
      </c>
      <c r="G23" s="1422"/>
      <c r="H23" s="1326">
        <f>F23*20</f>
        <v>0</v>
      </c>
      <c r="I23" s="151">
        <v>0</v>
      </c>
      <c r="J23" s="150">
        <f>B23*200</f>
        <v>0</v>
      </c>
      <c r="K23" s="150">
        <f>B23*200</f>
        <v>0</v>
      </c>
      <c r="L23" s="174">
        <f t="shared" si="10"/>
        <v>0</v>
      </c>
      <c r="M23" s="1427">
        <v>0</v>
      </c>
      <c r="N23" s="1428"/>
      <c r="O23" s="121"/>
      <c r="P23" s="121"/>
      <c r="Q23" s="121"/>
      <c r="R23" s="121"/>
      <c r="S23" s="121"/>
      <c r="T23" s="121"/>
      <c r="U23" s="121"/>
    </row>
    <row r="24" spans="1:21" customFormat="1" ht="13">
      <c r="A24" s="2" t="s">
        <v>204</v>
      </c>
      <c r="B24" s="1421">
        <f>Ontario!N446</f>
        <v>0</v>
      </c>
      <c r="C24" s="1422"/>
      <c r="D24" s="1431">
        <f>F24*325900</f>
        <v>0</v>
      </c>
      <c r="E24" s="1422"/>
      <c r="F24" s="1444">
        <f>0.644*B24</f>
        <v>0</v>
      </c>
      <c r="G24" s="1422"/>
      <c r="H24" s="1326">
        <f>F24*5</f>
        <v>0</v>
      </c>
      <c r="I24" s="151">
        <v>0</v>
      </c>
      <c r="J24" s="150">
        <f>B24*375</f>
        <v>0</v>
      </c>
      <c r="K24" s="150">
        <f>B24*625</f>
        <v>0</v>
      </c>
      <c r="L24" s="174">
        <f t="shared" si="10"/>
        <v>0</v>
      </c>
      <c r="M24" s="1427">
        <v>0</v>
      </c>
      <c r="N24" s="1428"/>
      <c r="O24" s="121"/>
      <c r="P24" s="121"/>
      <c r="Q24" s="121"/>
      <c r="R24" s="121"/>
      <c r="S24" s="121"/>
      <c r="T24" s="121"/>
      <c r="U24" s="121"/>
    </row>
    <row r="25" spans="1:21" customFormat="1" ht="13">
      <c r="A25" s="254" t="s">
        <v>30</v>
      </c>
      <c r="B25" s="1421">
        <f>Ontario!N447</f>
        <v>7</v>
      </c>
      <c r="C25" s="1422"/>
      <c r="D25" s="1431">
        <f t="shared" ref="D25:D33" si="11">F25*325900</f>
        <v>29428.77</v>
      </c>
      <c r="E25" s="1422"/>
      <c r="F25" s="1449">
        <f>0.0129*B25</f>
        <v>9.0300000000000005E-2</v>
      </c>
      <c r="G25" s="1450"/>
      <c r="H25" s="1326">
        <f>F25*10</f>
        <v>0.90300000000000002</v>
      </c>
      <c r="I25" s="151">
        <v>0</v>
      </c>
      <c r="J25" s="150">
        <f>B25*15</f>
        <v>105</v>
      </c>
      <c r="K25" s="150">
        <f>B25*35</f>
        <v>245</v>
      </c>
      <c r="L25" s="174">
        <f t="shared" si="10"/>
        <v>350</v>
      </c>
      <c r="M25" s="1427">
        <f t="shared" ref="M25:M33" si="12">J25/(F25*830)</f>
        <v>1.4009526478005043</v>
      </c>
      <c r="N25" s="1428"/>
      <c r="O25" s="121"/>
      <c r="P25" s="121"/>
      <c r="Q25" s="121"/>
      <c r="R25" s="121"/>
      <c r="S25" s="121"/>
      <c r="T25" s="121"/>
      <c r="U25" s="121"/>
    </row>
    <row r="26" spans="1:21" customFormat="1" ht="13">
      <c r="A26" s="254" t="s">
        <v>363</v>
      </c>
      <c r="B26" s="1421">
        <f>Ontario!N448</f>
        <v>0</v>
      </c>
      <c r="C26" s="1422"/>
      <c r="D26" s="1431">
        <f t="shared" si="11"/>
        <v>0</v>
      </c>
      <c r="E26" s="1422"/>
      <c r="F26" s="1425">
        <f>0.0044*0</f>
        <v>0</v>
      </c>
      <c r="G26" s="1426"/>
      <c r="H26" s="1326">
        <f>F26*5</f>
        <v>0</v>
      </c>
      <c r="I26" s="151">
        <v>0</v>
      </c>
      <c r="J26" s="150">
        <v>0</v>
      </c>
      <c r="K26" s="150">
        <v>0</v>
      </c>
      <c r="L26" s="174">
        <v>0</v>
      </c>
      <c r="M26" s="1427">
        <v>0</v>
      </c>
      <c r="N26" s="1428"/>
      <c r="O26" s="121"/>
      <c r="P26" s="121"/>
      <c r="Q26" s="121"/>
      <c r="R26" s="121"/>
      <c r="S26" s="121"/>
      <c r="T26" s="121"/>
      <c r="U26" s="121"/>
    </row>
    <row r="27" spans="1:21" customFormat="1" ht="13">
      <c r="A27" s="254" t="s">
        <v>122</v>
      </c>
      <c r="B27" s="1421">
        <f>Ontario!N449</f>
        <v>0</v>
      </c>
      <c r="C27" s="1422"/>
      <c r="D27" s="1431">
        <f t="shared" si="11"/>
        <v>0</v>
      </c>
      <c r="E27" s="1422"/>
      <c r="F27" s="1444">
        <f>0.018*B27</f>
        <v>0</v>
      </c>
      <c r="G27" s="1422"/>
      <c r="H27" s="1326">
        <f>F27*10</f>
        <v>0</v>
      </c>
      <c r="I27" s="151">
        <v>0</v>
      </c>
      <c r="J27" s="150">
        <f>B27*5</f>
        <v>0</v>
      </c>
      <c r="K27" s="150">
        <f>B27*13</f>
        <v>0</v>
      </c>
      <c r="L27" s="174">
        <f t="shared" ref="L27:L33" si="13">K27+J27+I27</f>
        <v>0</v>
      </c>
      <c r="M27" s="1427">
        <v>0</v>
      </c>
      <c r="N27" s="1428"/>
      <c r="O27" s="121"/>
      <c r="P27" s="121"/>
      <c r="Q27" s="121"/>
      <c r="R27" s="121"/>
      <c r="S27" s="121"/>
      <c r="T27" s="121"/>
      <c r="U27" s="121"/>
    </row>
    <row r="28" spans="1:21" customFormat="1" ht="13">
      <c r="A28" s="257" t="s">
        <v>184</v>
      </c>
      <c r="B28" s="1421">
        <f>Ontario!N450</f>
        <v>0</v>
      </c>
      <c r="C28" s="1422"/>
      <c r="D28" s="1431">
        <f t="shared" si="11"/>
        <v>0</v>
      </c>
      <c r="E28" s="1422"/>
      <c r="F28" s="1444">
        <f>0.0129*B28</f>
        <v>0</v>
      </c>
      <c r="G28" s="1422"/>
      <c r="H28" s="1326">
        <f>F28*10</f>
        <v>0</v>
      </c>
      <c r="I28" s="151">
        <v>0</v>
      </c>
      <c r="J28" s="150">
        <f>B28*15</f>
        <v>0</v>
      </c>
      <c r="K28" s="150">
        <f>B28*35</f>
        <v>0</v>
      </c>
      <c r="L28" s="174">
        <f t="shared" si="13"/>
        <v>0</v>
      </c>
      <c r="M28" s="1427">
        <v>0</v>
      </c>
      <c r="N28" s="1428"/>
      <c r="O28" s="121"/>
      <c r="P28" s="121"/>
      <c r="Q28" s="121"/>
      <c r="R28" s="121"/>
      <c r="S28" s="121"/>
      <c r="T28" s="121"/>
      <c r="U28" s="121"/>
    </row>
    <row r="29" spans="1:21" s="57" customFormat="1" ht="13">
      <c r="A29" s="258" t="s">
        <v>187</v>
      </c>
      <c r="B29" s="1421">
        <f>Ontario!N451</f>
        <v>1241</v>
      </c>
      <c r="C29" s="1422"/>
      <c r="D29" s="1431">
        <f t="shared" si="11"/>
        <v>9302163.6999999993</v>
      </c>
      <c r="E29" s="1422"/>
      <c r="F29" s="1444">
        <f>0.023*B29</f>
        <v>28.542999999999999</v>
      </c>
      <c r="G29" s="1422"/>
      <c r="H29" s="1326">
        <f>F29*5</f>
        <v>142.715</v>
      </c>
      <c r="I29" s="151">
        <v>0</v>
      </c>
      <c r="J29" s="150">
        <f>B29*10</f>
        <v>12410</v>
      </c>
      <c r="K29" s="150">
        <f>B29*10</f>
        <v>12410</v>
      </c>
      <c r="L29" s="174">
        <f t="shared" si="13"/>
        <v>24820</v>
      </c>
      <c r="M29" s="1427">
        <f t="shared" si="12"/>
        <v>0.52383446830801472</v>
      </c>
      <c r="N29" s="1428"/>
      <c r="O29" s="121"/>
      <c r="P29" s="121"/>
      <c r="Q29" s="121"/>
      <c r="R29" s="121"/>
      <c r="S29" s="121"/>
      <c r="T29" s="121"/>
      <c r="U29" s="121"/>
    </row>
    <row r="30" spans="1:21" s="57" customFormat="1" ht="13">
      <c r="A30" s="258" t="s">
        <v>188</v>
      </c>
      <c r="B30" s="1421">
        <f>Ontario!N452</f>
        <v>0</v>
      </c>
      <c r="C30" s="1422"/>
      <c r="D30" s="1431">
        <f t="shared" si="11"/>
        <v>0</v>
      </c>
      <c r="E30" s="1422"/>
      <c r="F30" s="1445">
        <f>B30*0.154</f>
        <v>0</v>
      </c>
      <c r="G30" s="1446"/>
      <c r="H30" s="1329">
        <f>F30*10</f>
        <v>0</v>
      </c>
      <c r="I30" s="151">
        <v>0</v>
      </c>
      <c r="J30" s="150">
        <f>B30*1000</f>
        <v>0</v>
      </c>
      <c r="K30" s="150">
        <f>B30*1000</f>
        <v>0</v>
      </c>
      <c r="L30" s="174">
        <f t="shared" si="13"/>
        <v>0</v>
      </c>
      <c r="M30" s="1427">
        <v>0</v>
      </c>
      <c r="N30" s="1428"/>
      <c r="O30" s="121"/>
      <c r="P30" s="121"/>
      <c r="Q30" s="121"/>
      <c r="R30" s="121"/>
      <c r="S30" s="121"/>
      <c r="T30" s="121"/>
      <c r="U30" s="121"/>
    </row>
    <row r="31" spans="1:21" s="57" customFormat="1" ht="13">
      <c r="A31" s="258" t="s">
        <v>442</v>
      </c>
      <c r="B31" s="1421">
        <f>Ontario!N453</f>
        <v>5</v>
      </c>
      <c r="C31" s="1422"/>
      <c r="D31" s="1423">
        <f t="shared" si="11"/>
        <v>1412077.0000000002</v>
      </c>
      <c r="E31" s="1424"/>
      <c r="F31" s="1447">
        <f>32839*43/325900</f>
        <v>4.332853636084689</v>
      </c>
      <c r="G31" s="1448"/>
      <c r="H31" s="1321">
        <f>F31*10</f>
        <v>43.32853636084689</v>
      </c>
      <c r="I31" s="151">
        <f>SUM(3191+5220)</f>
        <v>8411</v>
      </c>
      <c r="J31" s="150">
        <v>27619</v>
      </c>
      <c r="K31" s="150">
        <v>65678</v>
      </c>
      <c r="L31" s="174">
        <f>K31+J31+I31</f>
        <v>101708</v>
      </c>
      <c r="M31" s="1427">
        <f t="shared" si="12"/>
        <v>7.6799048408491934</v>
      </c>
      <c r="N31" s="1428"/>
      <c r="O31" s="121"/>
      <c r="P31" s="121"/>
      <c r="Q31" s="121"/>
      <c r="R31" s="121"/>
      <c r="S31" s="121"/>
      <c r="T31" s="121"/>
      <c r="U31" s="121"/>
    </row>
    <row r="32" spans="1:21" s="57" customFormat="1" ht="13">
      <c r="A32" s="258" t="s">
        <v>269</v>
      </c>
      <c r="B32" s="1421">
        <f>Ontario!N454</f>
        <v>0</v>
      </c>
      <c r="C32" s="1422"/>
      <c r="D32" s="1423">
        <f t="shared" si="11"/>
        <v>0</v>
      </c>
      <c r="E32" s="1424"/>
      <c r="F32" s="1425">
        <f t="shared" ref="F32" si="14">0.0129*B32</f>
        <v>0</v>
      </c>
      <c r="G32" s="1426"/>
      <c r="H32" s="1323">
        <f>F32*10</f>
        <v>0</v>
      </c>
      <c r="I32" s="151">
        <v>0</v>
      </c>
      <c r="J32" s="150">
        <f>B32*15</f>
        <v>0</v>
      </c>
      <c r="K32" s="150">
        <f>B32*35</f>
        <v>0</v>
      </c>
      <c r="L32" s="174">
        <f t="shared" si="13"/>
        <v>0</v>
      </c>
      <c r="M32" s="1427">
        <v>0</v>
      </c>
      <c r="N32" s="1428"/>
      <c r="O32" s="121"/>
      <c r="P32" s="121"/>
      <c r="Q32" s="121"/>
      <c r="R32" s="121"/>
      <c r="S32" s="121"/>
      <c r="T32" s="121"/>
      <c r="U32" s="121"/>
    </row>
    <row r="33" spans="1:21" s="57" customFormat="1" ht="14" thickBot="1">
      <c r="A33" s="258" t="s">
        <v>268</v>
      </c>
      <c r="B33" s="1429">
        <f>Ontario!N455</f>
        <v>166</v>
      </c>
      <c r="C33" s="1430"/>
      <c r="D33" s="1431">
        <f t="shared" si="11"/>
        <v>227217.47999999998</v>
      </c>
      <c r="E33" s="1422"/>
      <c r="F33" s="1432">
        <f>(B33*0.0084)/2</f>
        <v>0.69719999999999993</v>
      </c>
      <c r="G33" s="1433"/>
      <c r="H33" s="1325">
        <f>F33*10</f>
        <v>6.9719999999999995</v>
      </c>
      <c r="I33" s="151">
        <v>0</v>
      </c>
      <c r="J33" s="150">
        <f>B33*5</f>
        <v>830</v>
      </c>
      <c r="K33" s="150">
        <f>B33*5</f>
        <v>830</v>
      </c>
      <c r="L33" s="174">
        <f t="shared" si="13"/>
        <v>1660</v>
      </c>
      <c r="M33" s="1427">
        <f t="shared" si="12"/>
        <v>1.434308663224326</v>
      </c>
      <c r="N33" s="1428"/>
      <c r="O33" s="121"/>
      <c r="P33" s="121"/>
      <c r="Q33" s="121"/>
      <c r="R33" s="121"/>
      <c r="S33" s="121"/>
      <c r="T33" s="121"/>
      <c r="U33" s="121"/>
    </row>
    <row r="34" spans="1:21" ht="16.5" hidden="1" customHeight="1" thickBot="1">
      <c r="A34" s="1046" t="s">
        <v>192</v>
      </c>
      <c r="B34" s="1434"/>
      <c r="C34" s="1434"/>
      <c r="D34" s="1434"/>
      <c r="E34" s="1434"/>
      <c r="F34" s="1425">
        <f t="shared" ref="F34:F35" si="15">0.0129*B34</f>
        <v>0</v>
      </c>
      <c r="G34" s="1426"/>
      <c r="H34" s="1327"/>
      <c r="I34" s="1133"/>
      <c r="J34" s="1133"/>
      <c r="K34" s="1133"/>
      <c r="L34" s="1133"/>
      <c r="M34" s="1133"/>
      <c r="N34" s="1134"/>
    </row>
    <row r="35" spans="1:21" s="121" customFormat="1" ht="13.5" hidden="1" customHeight="1" thickBot="1">
      <c r="A35" s="76" t="s">
        <v>193</v>
      </c>
      <c r="B35" s="1435"/>
      <c r="C35" s="1433"/>
      <c r="D35" s="1436">
        <f>F35*325900</f>
        <v>0</v>
      </c>
      <c r="E35" s="1437"/>
      <c r="F35" s="1425">
        <f t="shared" si="15"/>
        <v>0</v>
      </c>
      <c r="G35" s="1426"/>
      <c r="H35" s="1325">
        <f>F35*5</f>
        <v>0</v>
      </c>
      <c r="I35" s="216">
        <v>0</v>
      </c>
      <c r="J35" s="216">
        <f>L35-K35</f>
        <v>0</v>
      </c>
      <c r="K35" s="216">
        <f>B35*2</f>
        <v>0</v>
      </c>
      <c r="L35" s="174">
        <v>0</v>
      </c>
      <c r="M35" s="1427">
        <f>IF(ISERROR(L35/(F35*771)),0,L35/(F35*771))</f>
        <v>0</v>
      </c>
      <c r="N35" s="1428"/>
    </row>
    <row r="36" spans="1:21" customFormat="1" ht="14" thickBot="1">
      <c r="A36" s="53" t="s">
        <v>60</v>
      </c>
      <c r="B36" s="1438">
        <f>SUM(B22:C35)</f>
        <v>2181</v>
      </c>
      <c r="C36" s="1439"/>
      <c r="D36" s="1440">
        <f>SUM(D22:E35)</f>
        <v>17079947.629999999</v>
      </c>
      <c r="E36" s="1439"/>
      <c r="F36" s="1441">
        <f>SUM(F22:G35)</f>
        <v>52.408553636084697</v>
      </c>
      <c r="G36" s="1439"/>
      <c r="H36" s="1313">
        <f>SUM(H22:H35)</f>
        <v>568.82253636084693</v>
      </c>
      <c r="I36" s="1336">
        <f>SUM(I22:I35)</f>
        <v>8411</v>
      </c>
      <c r="J36" s="1336">
        <f>SUM(J22:J35)</f>
        <v>86684</v>
      </c>
      <c r="K36" s="1336">
        <f>SUM(K22:K35)</f>
        <v>109643</v>
      </c>
      <c r="L36" s="1336">
        <f>SUM(L22:L35)</f>
        <v>204738</v>
      </c>
      <c r="M36" s="1442"/>
      <c r="N36" s="1443"/>
      <c r="O36" s="121"/>
      <c r="P36" s="121"/>
      <c r="Q36" s="121"/>
      <c r="R36" s="121"/>
      <c r="S36" s="121"/>
      <c r="T36" s="121"/>
      <c r="U36" s="121"/>
    </row>
    <row r="37" spans="1:21" s="1161" customFormat="1" ht="17" thickBot="1">
      <c r="A37" s="1163" t="s">
        <v>17</v>
      </c>
      <c r="B37" s="1414">
        <f>SUM(,B20,B36)</f>
        <v>2613</v>
      </c>
      <c r="C37" s="1415"/>
      <c r="D37" s="1416">
        <f>SUM(,D20,D36)</f>
        <v>26510242.140000001</v>
      </c>
      <c r="E37" s="1415"/>
      <c r="F37" s="1416">
        <f>SUM(,F20,F36)</f>
        <v>81.344713531758217</v>
      </c>
      <c r="G37" s="1415"/>
      <c r="H37" s="1312">
        <f>SUM(H20,H36)</f>
        <v>790.26413531758203</v>
      </c>
      <c r="I37" s="1165">
        <f>SUM(,I20,I36)</f>
        <v>16722.47</v>
      </c>
      <c r="J37" s="1165">
        <f>SUM(,J20,J36)</f>
        <v>163134.45091316593</v>
      </c>
      <c r="K37" s="1165">
        <f>SUM(,K20,K36)</f>
        <v>204216.45</v>
      </c>
      <c r="L37" s="1165">
        <f>SUM(,L20,L36)</f>
        <v>384073.37091316597</v>
      </c>
      <c r="M37" s="1417"/>
      <c r="N37" s="1418"/>
      <c r="O37" s="274"/>
      <c r="P37" s="274"/>
      <c r="Q37" s="274"/>
      <c r="R37" s="274"/>
      <c r="S37" s="274"/>
      <c r="T37" s="274"/>
      <c r="U37" s="274"/>
    </row>
    <row r="38" spans="1:21" customFormat="1" ht="13">
      <c r="A38" s="50"/>
      <c r="B38" s="1332"/>
      <c r="C38" s="1332"/>
      <c r="D38" s="1332"/>
      <c r="E38" s="1332"/>
      <c r="F38" s="1331"/>
      <c r="G38" s="1331"/>
      <c r="H38" s="1331"/>
      <c r="I38" s="21"/>
      <c r="J38" s="21"/>
      <c r="K38" s="21"/>
      <c r="L38" s="21"/>
      <c r="M38" s="1328"/>
      <c r="N38" s="1328"/>
      <c r="O38" s="121"/>
      <c r="P38" s="121"/>
      <c r="Q38" s="121"/>
      <c r="R38" s="121"/>
      <c r="S38" s="121"/>
      <c r="T38" s="121"/>
      <c r="U38" s="121"/>
    </row>
    <row r="39" spans="1:21" customFormat="1" ht="15">
      <c r="A39" s="9" t="s">
        <v>18</v>
      </c>
      <c r="B39" s="1419" t="s">
        <v>59</v>
      </c>
      <c r="C39" s="1419"/>
      <c r="D39" s="1419"/>
      <c r="E39" s="1419"/>
      <c r="F39" s="1331"/>
      <c r="G39" s="1331"/>
      <c r="H39" s="1331"/>
      <c r="I39" s="21"/>
      <c r="J39" s="21"/>
      <c r="K39" s="21"/>
      <c r="L39" s="21"/>
      <c r="M39" s="1328"/>
      <c r="N39" s="1328"/>
      <c r="O39" s="121"/>
      <c r="P39" s="121"/>
      <c r="Q39" s="121"/>
      <c r="R39" s="121"/>
      <c r="S39" s="121"/>
      <c r="T39" s="121"/>
      <c r="U39" s="121"/>
    </row>
    <row r="40" spans="1:21" customFormat="1" ht="14" thickBot="1">
      <c r="B40" s="1420" t="s">
        <v>19</v>
      </c>
      <c r="C40" s="1420"/>
      <c r="D40" s="1420"/>
      <c r="E40" s="1420"/>
      <c r="F40" s="1331"/>
      <c r="G40" s="1331"/>
      <c r="H40" s="1331"/>
      <c r="I40" s="21"/>
      <c r="J40" s="21"/>
      <c r="K40" s="21"/>
      <c r="L40" s="21"/>
      <c r="N40" s="1328"/>
      <c r="O40" s="121"/>
      <c r="P40" s="121"/>
      <c r="Q40" s="121"/>
      <c r="R40" s="121"/>
      <c r="S40" s="121"/>
      <c r="T40" s="121"/>
      <c r="U40" s="121"/>
    </row>
    <row r="41" spans="1:21" s="363" customFormat="1">
      <c r="A41" s="98"/>
      <c r="B41" s="99"/>
      <c r="C41" s="99"/>
      <c r="D41" s="99"/>
      <c r="E41" s="99"/>
      <c r="F41" s="421"/>
      <c r="G41" s="421"/>
      <c r="H41" s="421"/>
      <c r="I41" s="1468" t="s">
        <v>0</v>
      </c>
      <c r="J41" s="1468"/>
      <c r="K41" s="1468"/>
      <c r="L41" s="1468"/>
      <c r="M41" s="99"/>
      <c r="N41" s="101"/>
      <c r="O41" s="1398"/>
      <c r="P41" s="1398"/>
      <c r="Q41" s="1398"/>
      <c r="R41" s="1398"/>
      <c r="S41" s="1398"/>
      <c r="T41" s="1398"/>
      <c r="U41" s="1398"/>
    </row>
    <row r="42" spans="1:21" customFormat="1">
      <c r="A42" s="97"/>
      <c r="B42" s="1469" t="s">
        <v>1</v>
      </c>
      <c r="C42" s="1469"/>
      <c r="D42" s="1469" t="s">
        <v>2</v>
      </c>
      <c r="E42" s="1469"/>
      <c r="F42" s="1470" t="s">
        <v>3</v>
      </c>
      <c r="G42" s="1470"/>
      <c r="H42" s="1116" t="s">
        <v>3</v>
      </c>
      <c r="I42" s="127" t="s">
        <v>195</v>
      </c>
      <c r="J42" s="102"/>
      <c r="K42" s="102"/>
      <c r="L42" s="128"/>
      <c r="M42" s="1525" t="s">
        <v>4</v>
      </c>
      <c r="N42" s="1526"/>
      <c r="O42" s="121"/>
      <c r="P42" s="121"/>
      <c r="Q42" s="121"/>
      <c r="R42" s="121"/>
      <c r="S42" s="121"/>
      <c r="T42" s="121"/>
      <c r="U42" s="121"/>
    </row>
    <row r="43" spans="1:21" customFormat="1" ht="19" thickBot="1">
      <c r="A43" s="103" t="s">
        <v>5</v>
      </c>
      <c r="B43" s="1473" t="s">
        <v>6</v>
      </c>
      <c r="C43" s="1473"/>
      <c r="D43" s="1473" t="s">
        <v>7</v>
      </c>
      <c r="E43" s="1473"/>
      <c r="F43" s="1474" t="s">
        <v>7</v>
      </c>
      <c r="G43" s="1474"/>
      <c r="H43" s="1118" t="s">
        <v>58</v>
      </c>
      <c r="I43" s="1121" t="s">
        <v>196</v>
      </c>
      <c r="J43" s="1117" t="s">
        <v>8</v>
      </c>
      <c r="K43" s="1117" t="s">
        <v>9</v>
      </c>
      <c r="L43" s="401" t="s">
        <v>10</v>
      </c>
      <c r="M43" s="1527" t="s">
        <v>145</v>
      </c>
      <c r="N43" s="1475"/>
      <c r="O43" s="121"/>
      <c r="P43" s="121"/>
      <c r="Q43" s="121"/>
      <c r="R43" s="121"/>
      <c r="S43" s="121"/>
      <c r="T43" s="121"/>
      <c r="U43" s="121"/>
    </row>
    <row r="44" spans="1:21" customFormat="1" ht="24" thickBot="1">
      <c r="A44" s="88" t="s">
        <v>391</v>
      </c>
      <c r="B44" s="1476"/>
      <c r="C44" s="1477"/>
      <c r="D44" s="1478"/>
      <c r="E44" s="1479"/>
      <c r="F44" s="1480"/>
      <c r="G44" s="1481"/>
      <c r="H44" s="1126"/>
      <c r="I44" s="213"/>
      <c r="J44" s="213"/>
      <c r="K44" s="213"/>
      <c r="L44" s="214"/>
      <c r="M44" s="1482"/>
      <c r="N44" s="1483"/>
      <c r="O44" s="121"/>
      <c r="P44" s="121"/>
      <c r="Q44" s="121"/>
      <c r="R44" s="121"/>
      <c r="S44" s="121"/>
      <c r="T44" s="121"/>
      <c r="U44" s="121"/>
    </row>
    <row r="45" spans="1:21" s="1161" customFormat="1" ht="17" thickBot="1">
      <c r="A45" s="110" t="s">
        <v>189</v>
      </c>
      <c r="B45" s="1456"/>
      <c r="C45" s="1457"/>
      <c r="D45" s="1457"/>
      <c r="E45" s="1457"/>
      <c r="F45" s="1484"/>
      <c r="G45" s="1484"/>
      <c r="H45" s="1158"/>
      <c r="I45" s="1141"/>
      <c r="J45" s="1141"/>
      <c r="K45" s="1141"/>
      <c r="L45" s="1141"/>
      <c r="M45" s="1485"/>
      <c r="N45" s="1486"/>
      <c r="O45" s="274"/>
      <c r="P45" s="274"/>
      <c r="Q45" s="274"/>
      <c r="R45" s="274"/>
      <c r="S45" s="274"/>
      <c r="T45" s="274"/>
      <c r="U45" s="274"/>
    </row>
    <row r="46" spans="1:21" s="121" customFormat="1" ht="13">
      <c r="A46" s="69" t="s">
        <v>29</v>
      </c>
      <c r="B46" s="1465">
        <f>Ontario!N394</f>
        <v>54</v>
      </c>
      <c r="C46" s="1466"/>
      <c r="D46" s="1432">
        <f>F46*325900</f>
        <v>432925.56</v>
      </c>
      <c r="E46" s="1433"/>
      <c r="F46" s="1460">
        <f>0.0246*B46</f>
        <v>1.3284</v>
      </c>
      <c r="G46" s="1461"/>
      <c r="H46" s="1124">
        <f>F46*20</f>
        <v>26.568000000000001</v>
      </c>
      <c r="I46" s="173">
        <v>0</v>
      </c>
      <c r="J46" s="173">
        <f>B46*60</f>
        <v>3240</v>
      </c>
      <c r="K46" s="173">
        <f>B46*40</f>
        <v>2160</v>
      </c>
      <c r="L46" s="174">
        <f>K46+J46+I46</f>
        <v>5400</v>
      </c>
      <c r="M46" s="1427">
        <f t="shared" ref="M46:M53" si="16">IF(ISERROR(L46/(F46*771)),0,L46/(F46*799))</f>
        <v>5.0876603884937479</v>
      </c>
      <c r="N46" s="1428"/>
    </row>
    <row r="47" spans="1:21" s="121" customFormat="1" ht="13">
      <c r="A47" s="69" t="s">
        <v>33</v>
      </c>
      <c r="B47" s="1435">
        <f>Ontario!N395</f>
        <v>123</v>
      </c>
      <c r="C47" s="1433"/>
      <c r="D47" s="1432">
        <f t="shared" ref="D47" si="17">F47*325900</f>
        <v>1382956.65</v>
      </c>
      <c r="E47" s="1433"/>
      <c r="F47" s="1460">
        <f>0.0345*B47</f>
        <v>4.2435</v>
      </c>
      <c r="G47" s="1461"/>
      <c r="H47" s="1124">
        <f>F47*14</f>
        <v>59.408999999999999</v>
      </c>
      <c r="I47" s="173">
        <f>0*B47</f>
        <v>0</v>
      </c>
      <c r="J47" s="173">
        <f>B47*75</f>
        <v>9225</v>
      </c>
      <c r="K47" s="173">
        <f>B47*85</f>
        <v>10455</v>
      </c>
      <c r="L47" s="174">
        <f t="shared" ref="L47:L53" si="18">K47+J47+I47</f>
        <v>19680</v>
      </c>
      <c r="M47" s="1427">
        <f t="shared" si="16"/>
        <v>5.804356895394605</v>
      </c>
      <c r="N47" s="1428"/>
    </row>
    <row r="48" spans="1:21" s="121" customFormat="1" ht="13">
      <c r="A48" s="254" t="s">
        <v>363</v>
      </c>
      <c r="B48" s="1435">
        <f>Ontario!N396</f>
        <v>0</v>
      </c>
      <c r="C48" s="1433"/>
      <c r="D48" s="1432">
        <f>F48*325900</f>
        <v>0</v>
      </c>
      <c r="E48" s="1433"/>
      <c r="F48" s="1460">
        <f>0.0044*0</f>
        <v>0</v>
      </c>
      <c r="G48" s="1461"/>
      <c r="H48" s="1289">
        <f>F48*5</f>
        <v>0</v>
      </c>
      <c r="I48" s="173">
        <f>0*0</f>
        <v>0</v>
      </c>
      <c r="J48" s="173">
        <f t="shared" ref="J48:K48" si="19">0*0</f>
        <v>0</v>
      </c>
      <c r="K48" s="173">
        <f t="shared" si="19"/>
        <v>0</v>
      </c>
      <c r="L48" s="174">
        <f t="shared" si="18"/>
        <v>0</v>
      </c>
      <c r="M48" s="1427">
        <f t="shared" si="16"/>
        <v>0</v>
      </c>
      <c r="N48" s="1428"/>
    </row>
    <row r="49" spans="1:21" s="121" customFormat="1" ht="13">
      <c r="A49" s="69" t="s">
        <v>52</v>
      </c>
      <c r="B49" s="1435">
        <f>Ontario!N397</f>
        <v>38</v>
      </c>
      <c r="C49" s="1433"/>
      <c r="D49" s="1432">
        <f>F49*325900</f>
        <v>512705.88</v>
      </c>
      <c r="E49" s="1433"/>
      <c r="F49" s="1460">
        <f>0.0414*B49</f>
        <v>1.5731999999999999</v>
      </c>
      <c r="G49" s="1461"/>
      <c r="H49" s="1124">
        <f>F49*10</f>
        <v>15.731999999999999</v>
      </c>
      <c r="I49" s="173">
        <v>0</v>
      </c>
      <c r="J49" s="173">
        <f>B49*80</f>
        <v>3040</v>
      </c>
      <c r="K49" s="173">
        <f>B49*80</f>
        <v>3040</v>
      </c>
      <c r="L49" s="174">
        <f>K49+J49+I49</f>
        <v>6080</v>
      </c>
      <c r="M49" s="1427">
        <f t="shared" si="16"/>
        <v>4.8369640794955053</v>
      </c>
      <c r="N49" s="1428"/>
    </row>
    <row r="50" spans="1:21" s="121" customFormat="1" ht="13">
      <c r="A50" s="254" t="s">
        <v>401</v>
      </c>
      <c r="B50" s="1435">
        <f>Ontario!N398</f>
        <v>4</v>
      </c>
      <c r="C50" s="1433"/>
      <c r="D50" s="1451">
        <f>F50*325900</f>
        <v>318888.00078</v>
      </c>
      <c r="E50" s="1448"/>
      <c r="F50" s="1447">
        <v>0.97848420000000003</v>
      </c>
      <c r="G50" s="1448"/>
      <c r="H50" s="1115">
        <f>F50*10</f>
        <v>9.7848420000000011</v>
      </c>
      <c r="I50" s="173">
        <v>0</v>
      </c>
      <c r="J50" s="173">
        <v>4890</v>
      </c>
      <c r="K50" s="173">
        <v>8732</v>
      </c>
      <c r="L50" s="174">
        <f t="shared" si="18"/>
        <v>13622</v>
      </c>
      <c r="M50" s="1427">
        <f t="shared" si="16"/>
        <v>17.423695767154143</v>
      </c>
      <c r="N50" s="1428"/>
    </row>
    <row r="51" spans="1:21" s="121" customFormat="1" ht="13">
      <c r="A51" s="254" t="s">
        <v>214</v>
      </c>
      <c r="B51" s="1435">
        <f>Ontario!N399</f>
        <v>0</v>
      </c>
      <c r="C51" s="1433"/>
      <c r="D51" s="1432">
        <f t="shared" ref="D51:D53" si="20">F51*325900</f>
        <v>0</v>
      </c>
      <c r="E51" s="1433"/>
      <c r="F51" s="1460">
        <f>0.0019*B51</f>
        <v>0</v>
      </c>
      <c r="G51" s="1461"/>
      <c r="H51" s="1124">
        <f>F51*5</f>
        <v>0</v>
      </c>
      <c r="I51" s="173">
        <v>0</v>
      </c>
      <c r="J51" s="173">
        <f>B51*0</f>
        <v>0</v>
      </c>
      <c r="K51" s="173">
        <f>B51*35</f>
        <v>0</v>
      </c>
      <c r="L51" s="174">
        <f t="shared" si="18"/>
        <v>0</v>
      </c>
      <c r="M51" s="1427">
        <f t="shared" si="16"/>
        <v>0</v>
      </c>
      <c r="N51" s="1428"/>
    </row>
    <row r="52" spans="1:21" s="121" customFormat="1" ht="13">
      <c r="A52" s="254" t="s">
        <v>331</v>
      </c>
      <c r="B52" s="1435">
        <f>Ontario!N400</f>
        <v>1</v>
      </c>
      <c r="C52" s="1433"/>
      <c r="D52" s="1432">
        <f>F52*325900</f>
        <v>0</v>
      </c>
      <c r="E52" s="1433"/>
      <c r="F52" s="1460">
        <v>0</v>
      </c>
      <c r="G52" s="1461"/>
      <c r="H52" s="1124">
        <v>0</v>
      </c>
      <c r="I52" s="173">
        <v>0</v>
      </c>
      <c r="J52" s="173">
        <f>B52*0</f>
        <v>0</v>
      </c>
      <c r="K52" s="173">
        <f>B52*300</f>
        <v>300</v>
      </c>
      <c r="L52" s="174">
        <f t="shared" si="18"/>
        <v>300</v>
      </c>
      <c r="M52" s="1427">
        <f t="shared" si="16"/>
        <v>0</v>
      </c>
      <c r="N52" s="1428"/>
    </row>
    <row r="53" spans="1:21" s="121" customFormat="1" ht="14" thickBot="1">
      <c r="A53" s="254" t="s">
        <v>269</v>
      </c>
      <c r="B53" s="1462">
        <f>Ontario!N401</f>
        <v>0</v>
      </c>
      <c r="C53" s="1437"/>
      <c r="D53" s="1432">
        <f t="shared" si="20"/>
        <v>0</v>
      </c>
      <c r="E53" s="1433"/>
      <c r="F53" s="1460">
        <f>0.0414*B53</f>
        <v>0</v>
      </c>
      <c r="G53" s="1461"/>
      <c r="H53" s="1124">
        <f>F53*10</f>
        <v>0</v>
      </c>
      <c r="I53" s="173">
        <v>0</v>
      </c>
      <c r="J53" s="173">
        <f t="shared" ref="J53" si="21">B53*65</f>
        <v>0</v>
      </c>
      <c r="K53" s="173">
        <f t="shared" ref="K53" si="22">B53*40</f>
        <v>0</v>
      </c>
      <c r="L53" s="174">
        <f t="shared" si="18"/>
        <v>0</v>
      </c>
      <c r="M53" s="1427">
        <f t="shared" si="16"/>
        <v>0</v>
      </c>
      <c r="N53" s="1428"/>
    </row>
    <row r="54" spans="1:21" s="1161" customFormat="1" ht="17" thickBot="1">
      <c r="A54" s="110" t="s">
        <v>190</v>
      </c>
      <c r="B54" s="1456"/>
      <c r="C54" s="1457"/>
      <c r="D54" s="1457"/>
      <c r="E54" s="1457"/>
      <c r="F54" s="1457"/>
      <c r="G54" s="1457"/>
      <c r="H54" s="1141"/>
      <c r="I54" s="195"/>
      <c r="J54" s="195"/>
      <c r="K54" s="195"/>
      <c r="L54" s="195"/>
      <c r="M54" s="195"/>
      <c r="N54" s="1190"/>
      <c r="O54" s="274"/>
      <c r="P54" s="274"/>
      <c r="Q54" s="274"/>
      <c r="R54" s="274"/>
      <c r="S54" s="274"/>
      <c r="T54" s="274"/>
      <c r="U54" s="274"/>
    </row>
    <row r="55" spans="1:21" s="121" customFormat="1" ht="13">
      <c r="A55" s="76" t="s">
        <v>422</v>
      </c>
      <c r="B55" s="1435">
        <f>Ontario!N403</f>
        <v>67</v>
      </c>
      <c r="C55" s="1433"/>
      <c r="D55" s="1432">
        <f>F55*325900</f>
        <v>976917.84</v>
      </c>
      <c r="E55" s="1433"/>
      <c r="F55" s="1467">
        <v>2.9975999999999998</v>
      </c>
      <c r="G55" s="1433"/>
      <c r="H55" s="1124">
        <f>F55*5</f>
        <v>14.988</v>
      </c>
      <c r="I55" s="173">
        <f>B55*541.27</f>
        <v>36265.089999999997</v>
      </c>
      <c r="J55" s="173">
        <v>0</v>
      </c>
      <c r="K55" s="173">
        <v>0</v>
      </c>
      <c r="L55" s="174">
        <f>I55+J55+K55</f>
        <v>36265.089999999997</v>
      </c>
      <c r="M55" s="1427">
        <f>IF(ISERROR(L55/(F55*771)),0,L55/(F55*799))</f>
        <v>15.141479057254982</v>
      </c>
      <c r="N55" s="1428"/>
    </row>
    <row r="56" spans="1:21" s="120" customFormat="1" ht="13">
      <c r="A56" s="254" t="s">
        <v>394</v>
      </c>
      <c r="B56" s="1435">
        <f>Ontario!N404</f>
        <v>9</v>
      </c>
      <c r="C56" s="1433"/>
      <c r="D56" s="1451">
        <f>F56*325900</f>
        <v>316774.8</v>
      </c>
      <c r="E56" s="1448"/>
      <c r="F56" s="1447">
        <v>0.97199999999999998</v>
      </c>
      <c r="G56" s="1448"/>
      <c r="H56" s="1286">
        <v>7.3440000000000003</v>
      </c>
      <c r="I56" s="173">
        <f>(B56*922.51)*0.49</f>
        <v>4068.2691</v>
      </c>
      <c r="J56" s="173">
        <f>(B56*922.5)*0</f>
        <v>0</v>
      </c>
      <c r="K56" s="173">
        <f>(B56*922.51)*0.51</f>
        <v>4234.3208999999997</v>
      </c>
      <c r="L56" s="174">
        <f t="shared" ref="L56:L58" si="23">K56+J56+I56</f>
        <v>8302.59</v>
      </c>
      <c r="M56" s="1427">
        <f>IF(ISERROR(L56/(F56*771)),0,L56/(F56*799))</f>
        <v>10.690562276920225</v>
      </c>
      <c r="N56" s="1428"/>
      <c r="O56" s="121"/>
      <c r="P56" s="121"/>
      <c r="Q56" s="121"/>
      <c r="R56" s="121"/>
      <c r="S56" s="121"/>
      <c r="T56" s="121"/>
      <c r="U56" s="121"/>
    </row>
    <row r="57" spans="1:21" s="121" customFormat="1" ht="13">
      <c r="A57" s="254" t="s">
        <v>426</v>
      </c>
      <c r="B57" s="1435">
        <f>Ontario!N405</f>
        <v>67</v>
      </c>
      <c r="C57" s="1433"/>
      <c r="D57" s="1451">
        <f>F57*325900</f>
        <v>957950.46</v>
      </c>
      <c r="E57" s="1448"/>
      <c r="F57" s="1447">
        <f>0.0414*71</f>
        <v>2.9394</v>
      </c>
      <c r="G57" s="1448"/>
      <c r="H57" s="1115">
        <f>F57*10</f>
        <v>29.393999999999998</v>
      </c>
      <c r="I57" s="173">
        <v>0</v>
      </c>
      <c r="J57" s="173">
        <f>(B57*674.7)*0.62</f>
        <v>28027.038</v>
      </c>
      <c r="K57" s="173">
        <f>(B57*674.7)*0.38</f>
        <v>17177.862000000001</v>
      </c>
      <c r="L57" s="174">
        <f>K57+J57+I57</f>
        <v>45204.9</v>
      </c>
      <c r="M57" s="1427">
        <f>IF(ISERROR(L57/(F57*771)),0,L57/(F57*799))</f>
        <v>19.247753302569219</v>
      </c>
      <c r="N57" s="1428"/>
    </row>
    <row r="58" spans="1:21" s="121" customFormat="1" ht="14" thickBot="1">
      <c r="A58" s="254" t="s">
        <v>266</v>
      </c>
      <c r="B58" s="1462">
        <f>Ontario!N406</f>
        <v>11</v>
      </c>
      <c r="C58" s="1437"/>
      <c r="D58" s="1458">
        <f>F58*325900</f>
        <v>423018.2</v>
      </c>
      <c r="E58" s="1459"/>
      <c r="F58" s="1693">
        <f>B58*0.118</f>
        <v>1.298</v>
      </c>
      <c r="G58" s="1459"/>
      <c r="H58" s="1290">
        <f>F58*10</f>
        <v>12.98</v>
      </c>
      <c r="I58" s="173">
        <v>0</v>
      </c>
      <c r="J58" s="286">
        <f>(B58*520.03)*0.51</f>
        <v>2917.3683000000001</v>
      </c>
      <c r="K58" s="286">
        <f>(B58*520.03)*0.49</f>
        <v>2802.9616999999998</v>
      </c>
      <c r="L58" s="174">
        <f t="shared" si="23"/>
        <v>5720.33</v>
      </c>
      <c r="M58" s="1427">
        <f>IF(ISERROR(L58/(F58*771)),0,L58/(F58*799))</f>
        <v>5.5156869816083658</v>
      </c>
      <c r="N58" s="1428"/>
    </row>
    <row r="59" spans="1:21" customFormat="1" ht="14" thickBot="1">
      <c r="A59" s="53" t="s">
        <v>60</v>
      </c>
      <c r="B59" s="1452">
        <f>SUM(B46:C58)</f>
        <v>374</v>
      </c>
      <c r="C59" s="1453"/>
      <c r="D59" s="1694">
        <f>SUM(D46:E58)</f>
        <v>5322137.3907799991</v>
      </c>
      <c r="E59" s="1453"/>
      <c r="F59" s="1452">
        <v>8.309800000000001</v>
      </c>
      <c r="G59" s="1453"/>
      <c r="H59" s="1122">
        <f>SUM(H46:H58)</f>
        <v>176.19984199999999</v>
      </c>
      <c r="I59" s="1132">
        <f>SUM(I46:I58)</f>
        <v>40333.359099999994</v>
      </c>
      <c r="J59" s="1132">
        <f>SUM(J46:J58)</f>
        <v>51339.406300000002</v>
      </c>
      <c r="K59" s="1132">
        <f>SUM(K46:K58)</f>
        <v>48902.1446</v>
      </c>
      <c r="L59" s="1132">
        <f>SUM(L46:L58)</f>
        <v>140574.90999999997</v>
      </c>
      <c r="M59" s="1454">
        <f t="shared" ref="M59" si="24">IF(ISERROR(L59/(F59*744)),0,L59/(F59*744))</f>
        <v>22.737583516495739</v>
      </c>
      <c r="N59" s="1455"/>
      <c r="O59" s="121"/>
      <c r="P59" s="121"/>
      <c r="Q59" s="121"/>
      <c r="R59" s="121"/>
      <c r="S59" s="121"/>
      <c r="T59" s="121"/>
      <c r="U59" s="121"/>
    </row>
    <row r="60" spans="1:21" s="1161" customFormat="1" ht="17" thickBot="1">
      <c r="A60" s="110" t="s">
        <v>194</v>
      </c>
      <c r="B60" s="1456"/>
      <c r="C60" s="1457"/>
      <c r="D60" s="1457"/>
      <c r="E60" s="1457"/>
      <c r="F60" s="1457"/>
      <c r="G60" s="1457"/>
      <c r="H60" s="1141"/>
      <c r="I60" s="997"/>
      <c r="J60" s="997"/>
      <c r="K60" s="997"/>
      <c r="L60" s="997"/>
      <c r="M60" s="997"/>
      <c r="N60" s="998"/>
      <c r="O60" s="274"/>
      <c r="P60" s="274"/>
      <c r="Q60" s="274"/>
      <c r="R60" s="274"/>
      <c r="S60" s="274"/>
      <c r="T60" s="274"/>
      <c r="U60" s="274"/>
    </row>
    <row r="61" spans="1:21" customFormat="1" ht="13">
      <c r="A61" s="68" t="s">
        <v>29</v>
      </c>
      <c r="B61" s="1421">
        <f>Ontario!N409</f>
        <v>234</v>
      </c>
      <c r="C61" s="1422"/>
      <c r="D61" s="1431">
        <f>F61*325900</f>
        <v>1876010.76</v>
      </c>
      <c r="E61" s="1422"/>
      <c r="F61" s="1425">
        <f>0.0246*B61</f>
        <v>5.7564000000000002</v>
      </c>
      <c r="G61" s="1426"/>
      <c r="H61" s="1123">
        <f>F61*20</f>
        <v>115.128</v>
      </c>
      <c r="I61" s="151">
        <v>0</v>
      </c>
      <c r="J61" s="150">
        <f>B61*60</f>
        <v>14040</v>
      </c>
      <c r="K61" s="150">
        <f>B61*40</f>
        <v>9360</v>
      </c>
      <c r="L61" s="174">
        <f t="shared" ref="L61:L70" si="25">K61+J61+I61</f>
        <v>23400</v>
      </c>
      <c r="M61" s="1427">
        <f t="shared" ref="M61:M72" si="26">IF(ISERROR(L61/(F61*771)),0,L61/(F61*799))</f>
        <v>5.087660388493747</v>
      </c>
      <c r="N61" s="1428"/>
      <c r="O61" s="121"/>
      <c r="P61" s="121"/>
      <c r="Q61" s="121"/>
      <c r="R61" s="121"/>
      <c r="S61" s="121"/>
      <c r="T61" s="121"/>
      <c r="U61" s="1222"/>
    </row>
    <row r="62" spans="1:21" customFormat="1" ht="13">
      <c r="A62" s="68" t="s">
        <v>51</v>
      </c>
      <c r="B62" s="1421">
        <f>Ontario!N410</f>
        <v>0</v>
      </c>
      <c r="C62" s="1422"/>
      <c r="D62" s="1431">
        <f>F62*325900</f>
        <v>0</v>
      </c>
      <c r="E62" s="1422"/>
      <c r="F62" s="1425">
        <f>0.1227*B62</f>
        <v>0</v>
      </c>
      <c r="G62" s="1426"/>
      <c r="H62" s="1123">
        <f>F62*20</f>
        <v>0</v>
      </c>
      <c r="I62" s="151">
        <v>0</v>
      </c>
      <c r="J62" s="150">
        <f>B62*200</f>
        <v>0</v>
      </c>
      <c r="K62" s="150">
        <f>B62*200</f>
        <v>0</v>
      </c>
      <c r="L62" s="174">
        <f t="shared" si="25"/>
        <v>0</v>
      </c>
      <c r="M62" s="1427">
        <f t="shared" si="26"/>
        <v>0</v>
      </c>
      <c r="N62" s="1428"/>
      <c r="O62" s="121"/>
      <c r="P62" s="121"/>
      <c r="Q62" s="121"/>
      <c r="R62" s="121"/>
      <c r="S62" s="121"/>
      <c r="T62" s="121"/>
      <c r="U62" s="121"/>
    </row>
    <row r="63" spans="1:21" customFormat="1" ht="13">
      <c r="A63" s="2" t="s">
        <v>204</v>
      </c>
      <c r="B63" s="1421">
        <f>Ontario!N411</f>
        <v>1</v>
      </c>
      <c r="C63" s="1422"/>
      <c r="D63" s="1431">
        <f>F63*325900</f>
        <v>209879.6</v>
      </c>
      <c r="E63" s="1422"/>
      <c r="F63" s="1425">
        <f>0.644*B63</f>
        <v>0.64400000000000002</v>
      </c>
      <c r="G63" s="1426"/>
      <c r="H63" s="1123">
        <f>F63*5</f>
        <v>3.22</v>
      </c>
      <c r="I63" s="151">
        <v>0</v>
      </c>
      <c r="J63" s="150">
        <f>B63*375</f>
        <v>375</v>
      </c>
      <c r="K63" s="150">
        <f>B63*625</f>
        <v>625</v>
      </c>
      <c r="L63" s="174">
        <f t="shared" si="25"/>
        <v>1000</v>
      </c>
      <c r="M63" s="1427">
        <f t="shared" si="26"/>
        <v>1.9434230676544437</v>
      </c>
      <c r="N63" s="1428"/>
      <c r="O63" s="121"/>
      <c r="P63" s="121"/>
      <c r="Q63" s="121"/>
      <c r="R63" s="121"/>
      <c r="S63" s="121"/>
      <c r="T63" s="121"/>
      <c r="U63" s="121"/>
    </row>
    <row r="64" spans="1:21" customFormat="1" ht="13">
      <c r="A64" s="254" t="s">
        <v>30</v>
      </c>
      <c r="B64" s="1421">
        <f>Ontario!N412</f>
        <v>23</v>
      </c>
      <c r="C64" s="1422"/>
      <c r="D64" s="1431">
        <f t="shared" ref="D64:D72" si="27">F64*325900</f>
        <v>96694.530000000013</v>
      </c>
      <c r="E64" s="1422"/>
      <c r="F64" s="1513">
        <f>0.0129*B64</f>
        <v>0.29670000000000002</v>
      </c>
      <c r="G64" s="1514"/>
      <c r="H64" s="1123">
        <f>F64*10</f>
        <v>2.9670000000000001</v>
      </c>
      <c r="I64" s="151">
        <v>0</v>
      </c>
      <c r="J64" s="150">
        <f>B64*15</f>
        <v>345</v>
      </c>
      <c r="K64" s="150">
        <f>B64*35</f>
        <v>805</v>
      </c>
      <c r="L64" s="174">
        <f t="shared" si="25"/>
        <v>1150</v>
      </c>
      <c r="M64" s="1427">
        <f t="shared" si="26"/>
        <v>4.8510250215870609</v>
      </c>
      <c r="N64" s="1428"/>
      <c r="O64" s="121"/>
      <c r="P64" s="121"/>
      <c r="Q64" s="121"/>
      <c r="R64" s="121"/>
      <c r="S64" s="121"/>
      <c r="T64" s="121"/>
      <c r="U64" s="121"/>
    </row>
    <row r="65" spans="1:21" customFormat="1" ht="13">
      <c r="A65" s="254" t="s">
        <v>407</v>
      </c>
      <c r="B65" s="1421">
        <f>Ontario!N413</f>
        <v>1</v>
      </c>
      <c r="C65" s="1422"/>
      <c r="D65" s="1431">
        <f t="shared" si="27"/>
        <v>0</v>
      </c>
      <c r="E65" s="1422"/>
      <c r="F65" s="1425">
        <f>0.0044*0</f>
        <v>0</v>
      </c>
      <c r="G65" s="1426"/>
      <c r="H65" s="1123">
        <f>F65*5</f>
        <v>0</v>
      </c>
      <c r="I65" s="151">
        <v>0</v>
      </c>
      <c r="J65" s="150">
        <f>1*3</f>
        <v>3</v>
      </c>
      <c r="K65" s="150">
        <f>1*2</f>
        <v>2</v>
      </c>
      <c r="L65" s="174">
        <f>K65+J65+I65</f>
        <v>5</v>
      </c>
      <c r="M65" s="1427">
        <f t="shared" si="26"/>
        <v>0</v>
      </c>
      <c r="N65" s="1428"/>
      <c r="O65" s="121"/>
      <c r="P65" s="121"/>
      <c r="Q65" s="121"/>
      <c r="R65" s="121"/>
      <c r="S65" s="121"/>
      <c r="T65" s="121"/>
      <c r="U65" s="121"/>
    </row>
    <row r="66" spans="1:21" customFormat="1" ht="13">
      <c r="A66" s="254" t="s">
        <v>122</v>
      </c>
      <c r="B66" s="1421">
        <f>Ontario!N414</f>
        <v>0</v>
      </c>
      <c r="C66" s="1422"/>
      <c r="D66" s="1431">
        <f t="shared" si="27"/>
        <v>0</v>
      </c>
      <c r="E66" s="1422"/>
      <c r="F66" s="1425">
        <f>0.018*B66</f>
        <v>0</v>
      </c>
      <c r="G66" s="1426"/>
      <c r="H66" s="1123">
        <f>F66*10</f>
        <v>0</v>
      </c>
      <c r="I66" s="151">
        <v>0</v>
      </c>
      <c r="J66" s="150">
        <f>B66*5</f>
        <v>0</v>
      </c>
      <c r="K66" s="150">
        <f>B66*13</f>
        <v>0</v>
      </c>
      <c r="L66" s="174">
        <f t="shared" si="25"/>
        <v>0</v>
      </c>
      <c r="M66" s="1427">
        <f t="shared" si="26"/>
        <v>0</v>
      </c>
      <c r="N66" s="1428"/>
      <c r="O66" s="121"/>
      <c r="P66" s="121"/>
      <c r="Q66" s="121"/>
      <c r="R66" s="121"/>
      <c r="S66" s="121"/>
      <c r="T66" s="121"/>
      <c r="U66" s="121"/>
    </row>
    <row r="67" spans="1:21" customFormat="1" ht="13">
      <c r="A67" s="257" t="s">
        <v>184</v>
      </c>
      <c r="B67" s="1421">
        <f>Ontario!N415</f>
        <v>0</v>
      </c>
      <c r="C67" s="1422"/>
      <c r="D67" s="1431">
        <f t="shared" si="27"/>
        <v>0</v>
      </c>
      <c r="E67" s="1422"/>
      <c r="F67" s="1425">
        <f>0.0129*B67</f>
        <v>0</v>
      </c>
      <c r="G67" s="1426"/>
      <c r="H67" s="1123">
        <f>F67*10</f>
        <v>0</v>
      </c>
      <c r="I67" s="151">
        <v>0</v>
      </c>
      <c r="J67" s="150">
        <f>B67*15</f>
        <v>0</v>
      </c>
      <c r="K67" s="150">
        <f>B67*35</f>
        <v>0</v>
      </c>
      <c r="L67" s="174">
        <f t="shared" si="25"/>
        <v>0</v>
      </c>
      <c r="M67" s="1427">
        <f t="shared" si="26"/>
        <v>0</v>
      </c>
      <c r="N67" s="1428"/>
      <c r="O67" s="121"/>
      <c r="P67" s="121"/>
      <c r="Q67" s="121"/>
      <c r="R67" s="121"/>
      <c r="S67" s="121"/>
      <c r="T67" s="121"/>
      <c r="U67" s="121"/>
    </row>
    <row r="68" spans="1:21" s="57" customFormat="1" ht="13">
      <c r="A68" s="258" t="s">
        <v>187</v>
      </c>
      <c r="B68" s="1421">
        <f>Ontario!N416</f>
        <v>0</v>
      </c>
      <c r="C68" s="1422"/>
      <c r="D68" s="1431">
        <f t="shared" si="27"/>
        <v>0</v>
      </c>
      <c r="E68" s="1422"/>
      <c r="F68" s="1425">
        <f t="shared" ref="F68:F74" si="28">0.0129*B68</f>
        <v>0</v>
      </c>
      <c r="G68" s="1426"/>
      <c r="H68" s="1123">
        <f>F68*5</f>
        <v>0</v>
      </c>
      <c r="I68" s="151">
        <v>0</v>
      </c>
      <c r="J68" s="150">
        <f>B68*10</f>
        <v>0</v>
      </c>
      <c r="K68" s="150">
        <f>B68*10</f>
        <v>0</v>
      </c>
      <c r="L68" s="174">
        <f t="shared" si="25"/>
        <v>0</v>
      </c>
      <c r="M68" s="1427">
        <f t="shared" si="26"/>
        <v>0</v>
      </c>
      <c r="N68" s="1428"/>
      <c r="O68" s="121"/>
      <c r="P68" s="121"/>
      <c r="Q68" s="121"/>
      <c r="R68" s="121"/>
      <c r="S68" s="121"/>
      <c r="T68" s="121"/>
      <c r="U68" s="121"/>
    </row>
    <row r="69" spans="1:21" s="57" customFormat="1" ht="13">
      <c r="A69" s="258" t="s">
        <v>188</v>
      </c>
      <c r="B69" s="1421">
        <f>Ontario!N417</f>
        <v>0</v>
      </c>
      <c r="C69" s="1422"/>
      <c r="D69" s="1431">
        <f t="shared" si="27"/>
        <v>0</v>
      </c>
      <c r="E69" s="1422"/>
      <c r="F69" s="1425">
        <f t="shared" si="28"/>
        <v>0</v>
      </c>
      <c r="G69" s="1426"/>
      <c r="H69" s="1130">
        <f>F69*10</f>
        <v>0</v>
      </c>
      <c r="I69" s="151">
        <v>0</v>
      </c>
      <c r="J69" s="150">
        <f>B69*1000</f>
        <v>0</v>
      </c>
      <c r="K69" s="150">
        <f>B69*1000</f>
        <v>0</v>
      </c>
      <c r="L69" s="174">
        <f t="shared" si="25"/>
        <v>0</v>
      </c>
      <c r="M69" s="1427">
        <f t="shared" si="26"/>
        <v>0</v>
      </c>
      <c r="N69" s="1428"/>
      <c r="O69" s="121"/>
      <c r="P69" s="121"/>
      <c r="Q69" s="121"/>
      <c r="R69" s="121"/>
      <c r="S69" s="121"/>
      <c r="T69" s="121"/>
      <c r="U69" s="121"/>
    </row>
    <row r="70" spans="1:21" s="57" customFormat="1" ht="13">
      <c r="A70" s="258" t="s">
        <v>323</v>
      </c>
      <c r="B70" s="1421">
        <f>Ontario!N418</f>
        <v>0</v>
      </c>
      <c r="C70" s="1422"/>
      <c r="D70" s="1423">
        <f t="shared" si="27"/>
        <v>0</v>
      </c>
      <c r="E70" s="1424"/>
      <c r="F70" s="1425">
        <v>0</v>
      </c>
      <c r="G70" s="1426"/>
      <c r="H70" s="1115">
        <f>F70*10</f>
        <v>0</v>
      </c>
      <c r="I70" s="151">
        <v>0</v>
      </c>
      <c r="J70" s="150">
        <v>0</v>
      </c>
      <c r="K70" s="150">
        <v>0</v>
      </c>
      <c r="L70" s="174">
        <f t="shared" si="25"/>
        <v>0</v>
      </c>
      <c r="M70" s="1427">
        <f t="shared" si="26"/>
        <v>0</v>
      </c>
      <c r="N70" s="1428"/>
      <c r="O70" s="121"/>
      <c r="P70" s="121"/>
      <c r="Q70" s="121"/>
      <c r="R70" s="121"/>
      <c r="S70" s="121"/>
      <c r="T70" s="121"/>
      <c r="U70" s="121"/>
    </row>
    <row r="71" spans="1:21" s="57" customFormat="1" ht="13">
      <c r="A71" s="258" t="s">
        <v>269</v>
      </c>
      <c r="B71" s="1421">
        <f>Ontario!N419</f>
        <v>0</v>
      </c>
      <c r="C71" s="1422"/>
      <c r="D71" s="1423">
        <f t="shared" si="27"/>
        <v>0</v>
      </c>
      <c r="E71" s="1424"/>
      <c r="F71" s="1425">
        <f t="shared" si="28"/>
        <v>0</v>
      </c>
      <c r="G71" s="1426"/>
      <c r="H71" s="1113">
        <f>F71*10</f>
        <v>0</v>
      </c>
      <c r="I71" s="151">
        <v>0</v>
      </c>
      <c r="J71" s="150">
        <f>B71*15</f>
        <v>0</v>
      </c>
      <c r="K71" s="150">
        <f>B71*35</f>
        <v>0</v>
      </c>
      <c r="L71" s="174">
        <f t="shared" ref="L71:L72" si="29">K71+J71+I71</f>
        <v>0</v>
      </c>
      <c r="M71" s="1427">
        <f t="shared" si="26"/>
        <v>0</v>
      </c>
      <c r="N71" s="1428"/>
      <c r="O71" s="121"/>
      <c r="P71" s="121"/>
      <c r="Q71" s="121"/>
      <c r="R71" s="121"/>
      <c r="S71" s="121"/>
      <c r="T71" s="121"/>
      <c r="U71" s="121"/>
    </row>
    <row r="72" spans="1:21" s="57" customFormat="1" ht="14" thickBot="1">
      <c r="A72" s="258" t="s">
        <v>268</v>
      </c>
      <c r="B72" s="1421">
        <f>Ontario!N420</f>
        <v>0</v>
      </c>
      <c r="C72" s="1422"/>
      <c r="D72" s="1431">
        <f t="shared" si="27"/>
        <v>0</v>
      </c>
      <c r="E72" s="1422"/>
      <c r="F72" s="1425">
        <f t="shared" si="28"/>
        <v>0</v>
      </c>
      <c r="G72" s="1426"/>
      <c r="H72" s="1124">
        <f>F72*10</f>
        <v>0</v>
      </c>
      <c r="I72" s="151">
        <v>0</v>
      </c>
      <c r="J72" s="150">
        <f>B72*5</f>
        <v>0</v>
      </c>
      <c r="K72" s="150">
        <f>B72*5</f>
        <v>0</v>
      </c>
      <c r="L72" s="174">
        <f t="shared" si="29"/>
        <v>0</v>
      </c>
      <c r="M72" s="1427">
        <f t="shared" si="26"/>
        <v>0</v>
      </c>
      <c r="N72" s="1428"/>
      <c r="O72" s="121"/>
      <c r="P72" s="121"/>
      <c r="Q72" s="121"/>
      <c r="R72" s="121"/>
      <c r="S72" s="121"/>
      <c r="T72" s="121"/>
      <c r="U72" s="121"/>
    </row>
    <row r="73" spans="1:21" ht="16.5" hidden="1" customHeight="1" thickBot="1">
      <c r="A73" s="1046" t="s">
        <v>192</v>
      </c>
      <c r="B73" s="1434"/>
      <c r="C73" s="1434"/>
      <c r="D73" s="1434"/>
      <c r="E73" s="1434"/>
      <c r="F73" s="1425">
        <f t="shared" si="28"/>
        <v>0</v>
      </c>
      <c r="G73" s="1426"/>
      <c r="H73" s="1114"/>
      <c r="I73" s="1133"/>
      <c r="J73" s="1133"/>
      <c r="K73" s="1133"/>
      <c r="L73" s="1133"/>
      <c r="M73" s="1133"/>
      <c r="N73" s="1134"/>
    </row>
    <row r="74" spans="1:21" s="121" customFormat="1" ht="13.5" hidden="1" customHeight="1" thickBot="1">
      <c r="A74" s="76" t="s">
        <v>193</v>
      </c>
      <c r="B74" s="1435">
        <f>Ontario!N422</f>
        <v>0</v>
      </c>
      <c r="C74" s="1433"/>
      <c r="D74" s="1436">
        <f>F74*325900</f>
        <v>0</v>
      </c>
      <c r="E74" s="1437"/>
      <c r="F74" s="1425">
        <f t="shared" si="28"/>
        <v>0</v>
      </c>
      <c r="G74" s="1426"/>
      <c r="H74" s="1124">
        <f>F74*5</f>
        <v>0</v>
      </c>
      <c r="I74" s="216">
        <v>0</v>
      </c>
      <c r="J74" s="216">
        <f>L74-K74</f>
        <v>0</v>
      </c>
      <c r="K74" s="216">
        <f>B74*2</f>
        <v>0</v>
      </c>
      <c r="L74" s="174">
        <v>0</v>
      </c>
      <c r="M74" s="1427">
        <f>IF(ISERROR(L74/(F74*771)),0,L74/(F74*771))</f>
        <v>0</v>
      </c>
      <c r="N74" s="1428"/>
    </row>
    <row r="75" spans="1:21" customFormat="1" ht="14" thickBot="1">
      <c r="A75" s="53" t="s">
        <v>60</v>
      </c>
      <c r="B75" s="1438">
        <f>SUM(B61:C74)</f>
        <v>259</v>
      </c>
      <c r="C75" s="1439"/>
      <c r="D75" s="1440">
        <f>SUM(D61:E74)</f>
        <v>2182584.89</v>
      </c>
      <c r="E75" s="1439"/>
      <c r="F75" s="1441">
        <f>SUM(F61:G74)</f>
        <v>6.6971000000000007</v>
      </c>
      <c r="G75" s="1439"/>
      <c r="H75" s="1119">
        <f>SUM(H61:H74)</f>
        <v>121.315</v>
      </c>
      <c r="I75" s="146">
        <f>SUM(I61:I74)</f>
        <v>0</v>
      </c>
      <c r="J75" s="146">
        <f>SUM(J61:J74)</f>
        <v>14763</v>
      </c>
      <c r="K75" s="146">
        <f>SUM(K61:K74)</f>
        <v>10792</v>
      </c>
      <c r="L75" s="146">
        <f>SUM(L61:L74)</f>
        <v>25555</v>
      </c>
      <c r="M75" s="1442"/>
      <c r="N75" s="1443"/>
      <c r="O75" s="121"/>
      <c r="P75" s="121"/>
      <c r="Q75" s="121"/>
      <c r="R75" s="121"/>
      <c r="S75" s="121"/>
      <c r="T75" s="121"/>
      <c r="U75" s="121"/>
    </row>
    <row r="76" spans="1:21" s="1161" customFormat="1" ht="17" thickBot="1">
      <c r="A76" s="1163" t="s">
        <v>17</v>
      </c>
      <c r="B76" s="1414">
        <f>SUM(,B59,B75)</f>
        <v>633</v>
      </c>
      <c r="C76" s="1415"/>
      <c r="D76" s="1416">
        <f>SUM(,D59,D75)</f>
        <v>7504722.2807799987</v>
      </c>
      <c r="E76" s="1415"/>
      <c r="F76" s="1416">
        <f>SUM(,F59,F75)</f>
        <v>15.006900000000002</v>
      </c>
      <c r="G76" s="1415"/>
      <c r="H76" s="1164">
        <f>SUM(H59,H75)</f>
        <v>297.51484199999999</v>
      </c>
      <c r="I76" s="1165">
        <f>SUM(,I59,I75)</f>
        <v>40333.359099999994</v>
      </c>
      <c r="J76" s="1165">
        <f>SUM(,J59,J75)</f>
        <v>66102.406300000002</v>
      </c>
      <c r="K76" s="1165">
        <f>SUM(,K59,K75)</f>
        <v>59694.1446</v>
      </c>
      <c r="L76" s="1165">
        <f>SUM(,L59,L75)</f>
        <v>166129.90999999997</v>
      </c>
      <c r="M76" s="1417"/>
      <c r="N76" s="1418"/>
      <c r="O76" s="274"/>
      <c r="P76" s="274"/>
      <c r="Q76" s="274"/>
      <c r="R76" s="274"/>
      <c r="S76" s="274"/>
      <c r="T76" s="274"/>
      <c r="U76" s="274"/>
    </row>
    <row r="77" spans="1:21" customFormat="1" ht="13">
      <c r="A77" s="50"/>
      <c r="B77" s="1127"/>
      <c r="C77" s="1127"/>
      <c r="D77" s="1127"/>
      <c r="E77" s="1127"/>
      <c r="F77" s="1128"/>
      <c r="G77" s="1128"/>
      <c r="H77" s="1128"/>
      <c r="I77" s="21"/>
      <c r="J77" s="21"/>
      <c r="K77" s="21"/>
      <c r="L77" s="21"/>
      <c r="M77" s="1125"/>
      <c r="N77" s="1125"/>
      <c r="O77" s="121"/>
      <c r="P77" s="121"/>
      <c r="Q77" s="121"/>
      <c r="R77" s="121"/>
      <c r="S77" s="121"/>
      <c r="T77" s="121"/>
      <c r="U77" s="121"/>
    </row>
    <row r="78" spans="1:21" customFormat="1" ht="15">
      <c r="A78" s="9" t="s">
        <v>18</v>
      </c>
      <c r="B78" s="1419" t="s">
        <v>59</v>
      </c>
      <c r="C78" s="1419"/>
      <c r="D78" s="1419"/>
      <c r="E78" s="1419"/>
      <c r="F78" s="1128"/>
      <c r="G78" s="1128"/>
      <c r="H78" s="1128"/>
      <c r="I78" s="21"/>
      <c r="J78" s="21"/>
      <c r="K78" s="21"/>
      <c r="L78" s="21"/>
      <c r="M78" s="1125"/>
      <c r="N78" s="1125"/>
      <c r="O78" s="121"/>
      <c r="P78" s="121"/>
      <c r="Q78" s="121"/>
      <c r="R78" s="121"/>
      <c r="S78" s="121"/>
      <c r="T78" s="121"/>
      <c r="U78" s="121"/>
    </row>
    <row r="79" spans="1:21" customFormat="1" ht="13">
      <c r="B79" s="1420" t="s">
        <v>19</v>
      </c>
      <c r="C79" s="1420"/>
      <c r="D79" s="1420"/>
      <c r="E79" s="1420"/>
      <c r="F79" s="1128"/>
      <c r="G79" s="1128"/>
      <c r="H79" s="1128"/>
      <c r="I79" s="21"/>
      <c r="J79" s="21"/>
      <c r="K79" s="21"/>
      <c r="L79" s="21"/>
      <c r="N79" s="1125"/>
      <c r="O79" s="121"/>
      <c r="P79" s="121"/>
      <c r="Q79" s="121"/>
      <c r="R79" s="121"/>
      <c r="S79" s="121"/>
      <c r="T79" s="121"/>
      <c r="U79" s="121"/>
    </row>
    <row r="80" spans="1:21" customFormat="1" ht="14" thickBot="1">
      <c r="B80" s="1125"/>
      <c r="C80" s="1125"/>
      <c r="D80" s="1125"/>
      <c r="E80" s="1125"/>
      <c r="F80" s="1128"/>
      <c r="G80" s="1128"/>
      <c r="H80" s="1128"/>
      <c r="I80" s="21"/>
      <c r="J80" s="21"/>
      <c r="K80" s="21"/>
      <c r="L80" s="21"/>
      <c r="N80" s="1125"/>
      <c r="O80" s="121"/>
      <c r="P80" s="121"/>
      <c r="Q80" s="121"/>
      <c r="R80" s="121"/>
      <c r="S80" s="121"/>
      <c r="T80" s="121"/>
      <c r="U80" s="121"/>
    </row>
    <row r="81" spans="1:21">
      <c r="A81" s="98"/>
      <c r="B81" s="99"/>
      <c r="C81" s="99"/>
      <c r="D81" s="99"/>
      <c r="E81" s="99"/>
      <c r="F81" s="421"/>
      <c r="G81" s="421"/>
      <c r="H81" s="421"/>
      <c r="I81" s="1468" t="s">
        <v>0</v>
      </c>
      <c r="J81" s="1468"/>
      <c r="K81" s="1468"/>
      <c r="L81" s="1468"/>
      <c r="M81" s="99"/>
      <c r="N81" s="101"/>
    </row>
    <row r="82" spans="1:21">
      <c r="A82" s="97"/>
      <c r="B82" s="1469" t="s">
        <v>1</v>
      </c>
      <c r="C82" s="1469"/>
      <c r="D82" s="1469" t="s">
        <v>2</v>
      </c>
      <c r="E82" s="1469"/>
      <c r="F82" s="1470" t="s">
        <v>3</v>
      </c>
      <c r="G82" s="1470"/>
      <c r="H82" s="1003" t="s">
        <v>3</v>
      </c>
      <c r="I82" s="127" t="s">
        <v>195</v>
      </c>
      <c r="J82" s="102"/>
      <c r="K82" s="102"/>
      <c r="L82" s="128"/>
      <c r="M82" s="1525" t="s">
        <v>4</v>
      </c>
      <c r="N82" s="1526"/>
    </row>
    <row r="83" spans="1:21" ht="19" thickBot="1">
      <c r="A83" s="103" t="s">
        <v>5</v>
      </c>
      <c r="B83" s="1473" t="s">
        <v>6</v>
      </c>
      <c r="C83" s="1473"/>
      <c r="D83" s="1473" t="s">
        <v>7</v>
      </c>
      <c r="E83" s="1473"/>
      <c r="F83" s="1474" t="s">
        <v>7</v>
      </c>
      <c r="G83" s="1474"/>
      <c r="H83" s="1006" t="s">
        <v>58</v>
      </c>
      <c r="I83" s="1007" t="s">
        <v>196</v>
      </c>
      <c r="J83" s="1005" t="s">
        <v>8</v>
      </c>
      <c r="K83" s="1005" t="s">
        <v>9</v>
      </c>
      <c r="L83" s="401" t="s">
        <v>10</v>
      </c>
      <c r="M83" s="1527" t="s">
        <v>145</v>
      </c>
      <c r="N83" s="1475"/>
    </row>
    <row r="84" spans="1:21" ht="24" thickBot="1">
      <c r="A84" s="88" t="s">
        <v>351</v>
      </c>
      <c r="B84" s="1528"/>
      <c r="C84" s="1529"/>
      <c r="D84" s="1530"/>
      <c r="E84" s="1531"/>
      <c r="F84" s="1532"/>
      <c r="G84" s="1533"/>
      <c r="H84" s="1008"/>
      <c r="I84" s="864"/>
      <c r="J84" s="864"/>
      <c r="K84" s="864"/>
      <c r="L84" s="736"/>
      <c r="M84" s="1534"/>
      <c r="N84" s="1535"/>
    </row>
    <row r="85" spans="1:21" s="1161" customFormat="1" ht="17" thickBot="1">
      <c r="A85" s="110" t="s">
        <v>189</v>
      </c>
      <c r="B85" s="1456"/>
      <c r="C85" s="1457"/>
      <c r="D85" s="1457"/>
      <c r="E85" s="1457"/>
      <c r="F85" s="1484"/>
      <c r="G85" s="1484"/>
      <c r="H85" s="1158"/>
      <c r="I85" s="1141"/>
      <c r="J85" s="1141"/>
      <c r="K85" s="1141"/>
      <c r="L85" s="1141"/>
      <c r="M85" s="1485"/>
      <c r="N85" s="1486"/>
      <c r="O85" s="274"/>
      <c r="P85" s="274"/>
      <c r="Q85" s="274"/>
      <c r="R85" s="274"/>
      <c r="S85" s="274"/>
      <c r="T85" s="274"/>
      <c r="U85" s="274"/>
    </row>
    <row r="86" spans="1:21" s="1087" customFormat="1" ht="13">
      <c r="A86" s="1057" t="s">
        <v>29</v>
      </c>
      <c r="B86" s="1503">
        <f>Ontario!N360</f>
        <v>171</v>
      </c>
      <c r="C86" s="1461"/>
      <c r="D86" s="1501">
        <f>F86*325900</f>
        <v>1370930.94</v>
      </c>
      <c r="E86" s="1461"/>
      <c r="F86" s="1460">
        <f>0.0246*B86</f>
        <v>4.2065999999999999</v>
      </c>
      <c r="G86" s="1461"/>
      <c r="H86" s="1073">
        <f>F86*20</f>
        <v>84.132000000000005</v>
      </c>
      <c r="I86" s="1052">
        <v>0</v>
      </c>
      <c r="J86" s="1052">
        <f>B86*60</f>
        <v>10260</v>
      </c>
      <c r="K86" s="1052">
        <f>B86*40</f>
        <v>6840</v>
      </c>
      <c r="L86" s="1054">
        <f t="shared" ref="L86:L93" si="30">K86+J86+I86</f>
        <v>17100</v>
      </c>
      <c r="M86" s="1507">
        <f t="shared" ref="M86:M93" si="31">IF(ISERROR(L86/(F86*771)),0,L86/(F86*771))</f>
        <v>5.2724262651186828</v>
      </c>
      <c r="N86" s="1508"/>
    </row>
    <row r="87" spans="1:21" s="1087" customFormat="1" ht="13">
      <c r="A87" s="1057" t="s">
        <v>33</v>
      </c>
      <c r="B87" s="1503">
        <f>Ontario!N361</f>
        <v>133</v>
      </c>
      <c r="C87" s="1461"/>
      <c r="D87" s="1501">
        <f>F87*325900</f>
        <v>1495392.1500000001</v>
      </c>
      <c r="E87" s="1461"/>
      <c r="F87" s="1460">
        <f>0.0345*B87</f>
        <v>4.5885000000000007</v>
      </c>
      <c r="G87" s="1461"/>
      <c r="H87" s="1073">
        <f>F87*14</f>
        <v>64.239000000000004</v>
      </c>
      <c r="I87" s="1052">
        <f>0*B87</f>
        <v>0</v>
      </c>
      <c r="J87" s="1052">
        <f>B87*65</f>
        <v>8645</v>
      </c>
      <c r="K87" s="1052">
        <f>B87*85</f>
        <v>11305</v>
      </c>
      <c r="L87" s="1054">
        <f t="shared" si="30"/>
        <v>19950</v>
      </c>
      <c r="M87" s="1507">
        <f t="shared" si="31"/>
        <v>5.6392037444312848</v>
      </c>
      <c r="N87" s="1508"/>
    </row>
    <row r="88" spans="1:21" s="1087" customFormat="1" ht="13">
      <c r="A88" s="1057" t="s">
        <v>363</v>
      </c>
      <c r="B88" s="1503">
        <f>Ontario!N362</f>
        <v>0</v>
      </c>
      <c r="C88" s="1461"/>
      <c r="D88" s="1501">
        <f>F88*325851</f>
        <v>0</v>
      </c>
      <c r="E88" s="1461"/>
      <c r="F88" s="1460">
        <f>0.0044*B88</f>
        <v>0</v>
      </c>
      <c r="G88" s="1461"/>
      <c r="H88" s="1073">
        <f>F88*5</f>
        <v>0</v>
      </c>
      <c r="I88" s="1052">
        <f>0*B88</f>
        <v>0</v>
      </c>
      <c r="J88" s="1052">
        <f>B88*3</f>
        <v>0</v>
      </c>
      <c r="K88" s="1052">
        <f>B88*2</f>
        <v>0</v>
      </c>
      <c r="L88" s="1054">
        <f t="shared" si="30"/>
        <v>0</v>
      </c>
      <c r="M88" s="1507">
        <f t="shared" si="31"/>
        <v>0</v>
      </c>
      <c r="N88" s="1508"/>
    </row>
    <row r="89" spans="1:21" s="1087" customFormat="1" ht="13">
      <c r="A89" s="1057" t="s">
        <v>52</v>
      </c>
      <c r="B89" s="1503">
        <f>Ontario!N363</f>
        <v>21</v>
      </c>
      <c r="C89" s="1461"/>
      <c r="D89" s="1501">
        <f>F89*325900</f>
        <v>283337.45999999996</v>
      </c>
      <c r="E89" s="1461"/>
      <c r="F89" s="1460">
        <f>0.0414*B89</f>
        <v>0.86939999999999995</v>
      </c>
      <c r="G89" s="1461"/>
      <c r="H89" s="1073">
        <f>F89*10</f>
        <v>8.6939999999999991</v>
      </c>
      <c r="I89" s="1052">
        <v>0</v>
      </c>
      <c r="J89" s="1052">
        <f>B89*70</f>
        <v>1470</v>
      </c>
      <c r="K89" s="1052">
        <f>B89*80</f>
        <v>1680</v>
      </c>
      <c r="L89" s="1054">
        <f t="shared" si="30"/>
        <v>3150</v>
      </c>
      <c r="M89" s="1507">
        <f t="shared" si="31"/>
        <v>4.6993364536927391</v>
      </c>
      <c r="N89" s="1508"/>
    </row>
    <row r="90" spans="1:21" s="1087" customFormat="1" ht="13">
      <c r="A90" s="1057" t="s">
        <v>323</v>
      </c>
      <c r="B90" s="1503">
        <f>Ontario!N364</f>
        <v>0</v>
      </c>
      <c r="C90" s="1461"/>
      <c r="D90" s="1494">
        <f>F90*325900</f>
        <v>0</v>
      </c>
      <c r="E90" s="1495"/>
      <c r="F90" s="1515">
        <v>0</v>
      </c>
      <c r="G90" s="1495"/>
      <c r="H90" s="1074">
        <f>F90*10</f>
        <v>0</v>
      </c>
      <c r="I90" s="1052">
        <v>0</v>
      </c>
      <c r="J90" s="1052">
        <f t="shared" ref="J90:J93" si="32">B90*65</f>
        <v>0</v>
      </c>
      <c r="K90" s="1052">
        <f t="shared" ref="K90:K93" si="33">B90*40</f>
        <v>0</v>
      </c>
      <c r="L90" s="1054">
        <f t="shared" si="30"/>
        <v>0</v>
      </c>
      <c r="M90" s="1507">
        <f t="shared" si="31"/>
        <v>0</v>
      </c>
      <c r="N90" s="1508"/>
    </row>
    <row r="91" spans="1:21" s="1087" customFormat="1" ht="13">
      <c r="A91" s="1057" t="s">
        <v>214</v>
      </c>
      <c r="B91" s="1503">
        <f>Ontario!N365</f>
        <v>4</v>
      </c>
      <c r="C91" s="1461"/>
      <c r="D91" s="1501">
        <f>F91*325900</f>
        <v>2476.84</v>
      </c>
      <c r="E91" s="1461"/>
      <c r="F91" s="1460">
        <f>0.0019*B91</f>
        <v>7.6E-3</v>
      </c>
      <c r="G91" s="1461"/>
      <c r="H91" s="1073">
        <f>F91*5</f>
        <v>3.7999999999999999E-2</v>
      </c>
      <c r="I91" s="1052">
        <v>0</v>
      </c>
      <c r="J91" s="1052">
        <f>B91*0</f>
        <v>0</v>
      </c>
      <c r="K91" s="1052">
        <f>B91*35</f>
        <v>140</v>
      </c>
      <c r="L91" s="1054">
        <f t="shared" si="30"/>
        <v>140</v>
      </c>
      <c r="M91" s="1507">
        <f t="shared" si="31"/>
        <v>23.892415864564132</v>
      </c>
      <c r="N91" s="1508"/>
    </row>
    <row r="92" spans="1:21" s="1087" customFormat="1" ht="13">
      <c r="A92" s="1057" t="s">
        <v>331</v>
      </c>
      <c r="B92" s="1503">
        <f>Ontario!N366</f>
        <v>0</v>
      </c>
      <c r="C92" s="1461"/>
      <c r="D92" s="1501">
        <f>F92*325900</f>
        <v>0</v>
      </c>
      <c r="E92" s="1461"/>
      <c r="F92" s="1460">
        <v>0</v>
      </c>
      <c r="G92" s="1461"/>
      <c r="H92" s="1073">
        <v>0</v>
      </c>
      <c r="I92" s="1052">
        <v>0</v>
      </c>
      <c r="J92" s="1052">
        <f>B92*0</f>
        <v>0</v>
      </c>
      <c r="K92" s="1052">
        <f>B92*300</f>
        <v>0</v>
      </c>
      <c r="L92" s="1054">
        <f t="shared" si="30"/>
        <v>0</v>
      </c>
      <c r="M92" s="1507">
        <f t="shared" si="31"/>
        <v>0</v>
      </c>
      <c r="N92" s="1508"/>
    </row>
    <row r="93" spans="1:21" s="1087" customFormat="1" ht="14" thickBot="1">
      <c r="A93" s="1057" t="s">
        <v>269</v>
      </c>
      <c r="B93" s="1503">
        <f>Ontario!N367</f>
        <v>0</v>
      </c>
      <c r="C93" s="1461"/>
      <c r="D93" s="1501">
        <f>F93*0.0095</f>
        <v>0</v>
      </c>
      <c r="E93" s="1461"/>
      <c r="F93" s="1460">
        <f>0.0414*B93</f>
        <v>0</v>
      </c>
      <c r="G93" s="1461"/>
      <c r="H93" s="1073">
        <f>F93*10</f>
        <v>0</v>
      </c>
      <c r="I93" s="1052">
        <v>0</v>
      </c>
      <c r="J93" s="1052">
        <f t="shared" si="32"/>
        <v>0</v>
      </c>
      <c r="K93" s="1052">
        <f t="shared" si="33"/>
        <v>0</v>
      </c>
      <c r="L93" s="1054">
        <f t="shared" si="30"/>
        <v>0</v>
      </c>
      <c r="M93" s="1507">
        <f t="shared" si="31"/>
        <v>0</v>
      </c>
      <c r="N93" s="1508"/>
    </row>
    <row r="94" spans="1:21" s="1228" customFormat="1" ht="17" thickBot="1">
      <c r="A94" s="1224" t="s">
        <v>190</v>
      </c>
      <c r="B94" s="1524"/>
      <c r="C94" s="1502"/>
      <c r="D94" s="1502"/>
      <c r="E94" s="1502"/>
      <c r="F94" s="1502"/>
      <c r="G94" s="1502"/>
      <c r="H94" s="1225"/>
      <c r="I94" s="1226"/>
      <c r="J94" s="1226"/>
      <c r="K94" s="1226"/>
      <c r="L94" s="1226"/>
      <c r="M94" s="1226"/>
      <c r="N94" s="1227"/>
      <c r="O94" s="1399"/>
      <c r="P94" s="1399"/>
      <c r="Q94" s="1399"/>
      <c r="R94" s="1399"/>
      <c r="S94" s="1399"/>
      <c r="T94" s="1399"/>
      <c r="U94" s="1399"/>
    </row>
    <row r="95" spans="1:21" s="1087" customFormat="1" ht="13">
      <c r="A95" s="1057" t="s">
        <v>378</v>
      </c>
      <c r="B95" s="1503">
        <f>Ontario!N369</f>
        <v>237</v>
      </c>
      <c r="C95" s="1461"/>
      <c r="D95" s="1501">
        <f>F95*325900</f>
        <v>339848.52000000008</v>
      </c>
      <c r="E95" s="1461"/>
      <c r="F95" s="1460">
        <f>B95*0.0044</f>
        <v>1.0428000000000002</v>
      </c>
      <c r="G95" s="1461"/>
      <c r="H95" s="1073">
        <f>F95*5</f>
        <v>5.2140000000000004</v>
      </c>
      <c r="I95" s="1052">
        <v>0</v>
      </c>
      <c r="J95" s="1052">
        <f>L95-K95</f>
        <v>355.5</v>
      </c>
      <c r="K95" s="1052">
        <f>B95*2</f>
        <v>474</v>
      </c>
      <c r="L95" s="1054">
        <v>829.5</v>
      </c>
      <c r="M95" s="1507">
        <f>IF(ISERROR(L95/(F95*771)),0,L95/(F95*771))</f>
        <v>1.0317179577879965</v>
      </c>
      <c r="N95" s="1508"/>
    </row>
    <row r="96" spans="1:21" s="1087" customFormat="1" ht="13">
      <c r="A96" s="1057" t="s">
        <v>352</v>
      </c>
      <c r="B96" s="1503">
        <f>Ontario!N370</f>
        <v>14</v>
      </c>
      <c r="C96" s="1461"/>
      <c r="D96" s="1494">
        <f>F96*325900</f>
        <v>439834.63999999996</v>
      </c>
      <c r="E96" s="1495"/>
      <c r="F96" s="1515">
        <v>1.3495999999999999</v>
      </c>
      <c r="G96" s="1495"/>
      <c r="H96" s="1074">
        <f>F96*7.5</f>
        <v>10.122</v>
      </c>
      <c r="I96" s="1052">
        <f>(B96*958)*0.5</f>
        <v>6706</v>
      </c>
      <c r="J96" s="1052">
        <f>(B96*958)*0.02</f>
        <v>268.24</v>
      </c>
      <c r="K96" s="1052">
        <f>(B96*958)*0.48</f>
        <v>6437.7599999999993</v>
      </c>
      <c r="L96" s="1054">
        <f t="shared" ref="L96:L97" si="34">K96+J96+I96</f>
        <v>13412</v>
      </c>
      <c r="M96" s="1507">
        <f>IF(ISERROR(L96/(F96*771)),0,L96/(F96*771))</f>
        <v>12.889441421659644</v>
      </c>
      <c r="N96" s="1508"/>
    </row>
    <row r="97" spans="1:21" s="1087" customFormat="1" ht="13">
      <c r="A97" s="1057" t="s">
        <v>370</v>
      </c>
      <c r="B97" s="1503">
        <f>Ontario!N371</f>
        <v>12</v>
      </c>
      <c r="C97" s="1461"/>
      <c r="D97" s="1494">
        <f>F97*325900</f>
        <v>215876.16</v>
      </c>
      <c r="E97" s="1495"/>
      <c r="F97" s="1515">
        <f>0.0414*16</f>
        <v>0.66239999999999999</v>
      </c>
      <c r="G97" s="1495"/>
      <c r="H97" s="1074">
        <f>F97*10</f>
        <v>6.6239999999999997</v>
      </c>
      <c r="I97" s="1052">
        <v>0</v>
      </c>
      <c r="J97" s="1052">
        <f>(B97*705)*0.84</f>
        <v>7106.4</v>
      </c>
      <c r="K97" s="1052">
        <f>(B97*705)*0.16</f>
        <v>1353.6000000000001</v>
      </c>
      <c r="L97" s="1054">
        <f t="shared" si="34"/>
        <v>8460</v>
      </c>
      <c r="M97" s="1507">
        <f>IF(ISERROR(L97/(F97*771)),0,L97/(F97*771))</f>
        <v>16.565160999266904</v>
      </c>
      <c r="N97" s="1508"/>
    </row>
    <row r="98" spans="1:21" s="1087" customFormat="1" ht="14" thickBot="1">
      <c r="A98" s="1057" t="s">
        <v>266</v>
      </c>
      <c r="B98" s="1503">
        <f>Ontario!N372</f>
        <v>20</v>
      </c>
      <c r="C98" s="1461"/>
      <c r="D98" s="1516">
        <f>F98*325900</f>
        <v>769124</v>
      </c>
      <c r="E98" s="1517"/>
      <c r="F98" s="1518">
        <f>B98*0.118</f>
        <v>2.36</v>
      </c>
      <c r="G98" s="1517"/>
      <c r="H98" s="1074">
        <f>F98*10</f>
        <v>23.599999999999998</v>
      </c>
      <c r="I98" s="1052">
        <v>0</v>
      </c>
      <c r="J98" s="1088">
        <f>(B98*461)*0.53</f>
        <v>4886.6000000000004</v>
      </c>
      <c r="K98" s="1088">
        <f>(B98*461)*0.47</f>
        <v>4333.3999999999996</v>
      </c>
      <c r="L98" s="1054">
        <f>K98+J98+I98</f>
        <v>9220</v>
      </c>
      <c r="M98" s="1507">
        <f>IF(ISERROR(L98/(F98*771)),0,L98/(F98*771))</f>
        <v>5.0671590934071977</v>
      </c>
      <c r="N98" s="1508"/>
    </row>
    <row r="99" spans="1:21" s="1055" customFormat="1" ht="14" thickBot="1">
      <c r="A99" s="1060" t="s">
        <v>60</v>
      </c>
      <c r="B99" s="1519">
        <f>SUM(B86:C98)</f>
        <v>612</v>
      </c>
      <c r="C99" s="1520"/>
      <c r="D99" s="1521">
        <f>SUM(D86:E98)</f>
        <v>4916820.71</v>
      </c>
      <c r="E99" s="1520"/>
      <c r="F99" s="1519">
        <f>SUM(F86:G98)</f>
        <v>15.086900000000002</v>
      </c>
      <c r="G99" s="1520"/>
      <c r="H99" s="1061">
        <f>SUM(H84:H98)</f>
        <v>202.66300000000001</v>
      </c>
      <c r="I99" s="1062">
        <f>SUM(I86:I98)</f>
        <v>6706</v>
      </c>
      <c r="J99" s="1062">
        <f t="shared" ref="J99" si="35">SUM(J86:J98)</f>
        <v>32991.74</v>
      </c>
      <c r="K99" s="1062">
        <f>SUM(K86:K98)</f>
        <v>32563.759999999995</v>
      </c>
      <c r="L99" s="1062">
        <f>SUM(L86:L98)</f>
        <v>72261.5</v>
      </c>
      <c r="M99" s="1522"/>
      <c r="N99" s="1523"/>
      <c r="O99" s="1087"/>
      <c r="P99" s="1087"/>
      <c r="Q99" s="1087"/>
      <c r="R99" s="1087"/>
      <c r="S99" s="1087"/>
      <c r="T99" s="1087"/>
      <c r="U99" s="1087"/>
    </row>
    <row r="100" spans="1:21" s="1228" customFormat="1" ht="17" thickBot="1">
      <c r="A100" s="1224" t="s">
        <v>194</v>
      </c>
      <c r="B100" s="1524"/>
      <c r="C100" s="1502"/>
      <c r="D100" s="1502"/>
      <c r="E100" s="1502"/>
      <c r="F100" s="1502"/>
      <c r="G100" s="1502"/>
      <c r="H100" s="1225"/>
      <c r="I100" s="1229"/>
      <c r="J100" s="1229"/>
      <c r="K100" s="1229"/>
      <c r="L100" s="1229"/>
      <c r="M100" s="1229"/>
      <c r="N100" s="1230"/>
      <c r="O100" s="1399"/>
      <c r="P100" s="1399"/>
      <c r="Q100" s="1399"/>
      <c r="R100" s="1399"/>
      <c r="S100" s="1399"/>
      <c r="T100" s="1399"/>
      <c r="U100" s="1399"/>
    </row>
    <row r="101" spans="1:21" s="1055" customFormat="1" ht="13">
      <c r="A101" s="1049" t="s">
        <v>29</v>
      </c>
      <c r="B101" s="1491">
        <f>Ontario!N375</f>
        <v>293</v>
      </c>
      <c r="C101" s="1426"/>
      <c r="D101" s="1500">
        <f>F101*325900</f>
        <v>2349022.02</v>
      </c>
      <c r="E101" s="1426"/>
      <c r="F101" s="1425">
        <f>0.0246*B101</f>
        <v>7.2077999999999998</v>
      </c>
      <c r="G101" s="1426"/>
      <c r="H101" s="1050">
        <f>F101*20</f>
        <v>144.15600000000001</v>
      </c>
      <c r="I101" s="1051">
        <v>0</v>
      </c>
      <c r="J101" s="1053">
        <f>B101*60</f>
        <v>17580</v>
      </c>
      <c r="K101" s="1053">
        <f>B101*40</f>
        <v>11720</v>
      </c>
      <c r="L101" s="1054">
        <f>K101+J101+I101</f>
        <v>29300</v>
      </c>
      <c r="M101" s="1496">
        <f t="shared" ref="M101:M112" si="36">IF(ISERROR(L101/(F101*771)),0,L101/(F101*771))</f>
        <v>5.2724262651186828</v>
      </c>
      <c r="N101" s="1497"/>
      <c r="O101" s="1087"/>
      <c r="P101" s="1087"/>
      <c r="Q101" s="1087"/>
      <c r="R101" s="1087"/>
      <c r="S101" s="1087"/>
      <c r="T101" s="1087"/>
      <c r="U101" s="1400"/>
    </row>
    <row r="102" spans="1:21" s="1055" customFormat="1" ht="13">
      <c r="A102" s="1049" t="s">
        <v>51</v>
      </c>
      <c r="B102" s="1491">
        <f>Ontario!N376</f>
        <v>0</v>
      </c>
      <c r="C102" s="1426"/>
      <c r="D102" s="1500">
        <f>F102*325900</f>
        <v>0</v>
      </c>
      <c r="E102" s="1426"/>
      <c r="F102" s="1425">
        <f>0.1227*B102</f>
        <v>0</v>
      </c>
      <c r="G102" s="1426"/>
      <c r="H102" s="1050">
        <f>F102*20</f>
        <v>0</v>
      </c>
      <c r="I102" s="1051">
        <v>0</v>
      </c>
      <c r="J102" s="1053">
        <f>B102*200</f>
        <v>0</v>
      </c>
      <c r="K102" s="1053">
        <f>B102*200</f>
        <v>0</v>
      </c>
      <c r="L102" s="1054">
        <f t="shared" ref="L102:L109" si="37">K102+J102+I102</f>
        <v>0</v>
      </c>
      <c r="M102" s="1496">
        <f t="shared" si="36"/>
        <v>0</v>
      </c>
      <c r="N102" s="1497"/>
      <c r="O102" s="1087"/>
      <c r="P102" s="1087"/>
      <c r="Q102" s="1087"/>
      <c r="R102" s="1087"/>
      <c r="S102" s="1087"/>
      <c r="T102" s="1087"/>
      <c r="U102" s="1087"/>
    </row>
    <row r="103" spans="1:21" s="1055" customFormat="1" ht="13">
      <c r="A103" s="1064" t="s">
        <v>204</v>
      </c>
      <c r="B103" s="1491">
        <f>Ontario!N377</f>
        <v>0</v>
      </c>
      <c r="C103" s="1426"/>
      <c r="D103" s="1500">
        <f>F103*325851</f>
        <v>0</v>
      </c>
      <c r="E103" s="1426"/>
      <c r="F103" s="1425">
        <f>0.644*B103</f>
        <v>0</v>
      </c>
      <c r="G103" s="1426"/>
      <c r="H103" s="1050">
        <f>F103*5</f>
        <v>0</v>
      </c>
      <c r="I103" s="1051">
        <v>0</v>
      </c>
      <c r="J103" s="1053">
        <f>B103*0</f>
        <v>0</v>
      </c>
      <c r="K103" s="1053">
        <f>B103*0</f>
        <v>0</v>
      </c>
      <c r="L103" s="1054">
        <f t="shared" si="37"/>
        <v>0</v>
      </c>
      <c r="M103" s="1496">
        <f t="shared" si="36"/>
        <v>0</v>
      </c>
      <c r="N103" s="1497"/>
      <c r="O103" s="1087"/>
      <c r="P103" s="1087"/>
      <c r="Q103" s="1087"/>
      <c r="R103" s="1087"/>
      <c r="S103" s="1087"/>
      <c r="T103" s="1087"/>
      <c r="U103" s="1087"/>
    </row>
    <row r="104" spans="1:21" s="1055" customFormat="1" ht="13">
      <c r="A104" s="1057" t="s">
        <v>30</v>
      </c>
      <c r="B104" s="1491">
        <f>Ontario!N378</f>
        <v>9</v>
      </c>
      <c r="C104" s="1426"/>
      <c r="D104" s="1500">
        <f t="shared" ref="D104:D112" si="38">F104*325900</f>
        <v>37836.99</v>
      </c>
      <c r="E104" s="1426"/>
      <c r="F104" s="1513">
        <f>0.0129*B104</f>
        <v>0.11609999999999999</v>
      </c>
      <c r="G104" s="1514"/>
      <c r="H104" s="1050">
        <f>F104*10</f>
        <v>1.161</v>
      </c>
      <c r="I104" s="1051">
        <v>0</v>
      </c>
      <c r="J104" s="1053">
        <f>B104*0</f>
        <v>0</v>
      </c>
      <c r="K104" s="1053">
        <f>B104*0</f>
        <v>0</v>
      </c>
      <c r="L104" s="1054">
        <f t="shared" si="37"/>
        <v>0</v>
      </c>
      <c r="M104" s="1496">
        <f t="shared" si="36"/>
        <v>0</v>
      </c>
      <c r="N104" s="1497"/>
      <c r="O104" s="1087"/>
      <c r="P104" s="1087"/>
      <c r="Q104" s="1087"/>
      <c r="R104" s="1087"/>
      <c r="S104" s="1087"/>
      <c r="T104" s="1087"/>
      <c r="U104" s="1087"/>
    </row>
    <row r="105" spans="1:21" s="1055" customFormat="1" ht="13">
      <c r="A105" s="1057" t="s">
        <v>365</v>
      </c>
      <c r="B105" s="1491">
        <f>Ontario!N379</f>
        <v>5050</v>
      </c>
      <c r="C105" s="1426"/>
      <c r="D105" s="1500">
        <f t="shared" si="38"/>
        <v>7241498.0000000009</v>
      </c>
      <c r="E105" s="1426"/>
      <c r="F105" s="1425">
        <f>0.0044*B105</f>
        <v>22.220000000000002</v>
      </c>
      <c r="G105" s="1426"/>
      <c r="H105" s="1050">
        <f>F105*5</f>
        <v>111.10000000000001</v>
      </c>
      <c r="I105" s="1051">
        <v>0</v>
      </c>
      <c r="J105" s="1053">
        <f>B105*2</f>
        <v>10100</v>
      </c>
      <c r="K105" s="1053">
        <f>B105*2</f>
        <v>10100</v>
      </c>
      <c r="L105" s="1054">
        <f t="shared" si="37"/>
        <v>20200</v>
      </c>
      <c r="M105" s="1496">
        <f t="shared" si="36"/>
        <v>1.1791062374719961</v>
      </c>
      <c r="N105" s="1497"/>
      <c r="O105" s="1087"/>
      <c r="P105" s="1087"/>
      <c r="Q105" s="1087"/>
      <c r="R105" s="1087"/>
      <c r="S105" s="1087"/>
      <c r="T105" s="1087"/>
      <c r="U105" s="1087"/>
    </row>
    <row r="106" spans="1:21" s="1055" customFormat="1" ht="13">
      <c r="A106" s="1057" t="s">
        <v>122</v>
      </c>
      <c r="B106" s="1491">
        <f>Ontario!N380</f>
        <v>0</v>
      </c>
      <c r="C106" s="1426"/>
      <c r="D106" s="1500">
        <f t="shared" si="38"/>
        <v>0</v>
      </c>
      <c r="E106" s="1426"/>
      <c r="F106" s="1425">
        <f>0.018*B106</f>
        <v>0</v>
      </c>
      <c r="G106" s="1426"/>
      <c r="H106" s="1050">
        <f>F106*10</f>
        <v>0</v>
      </c>
      <c r="I106" s="1051">
        <v>0</v>
      </c>
      <c r="J106" s="1053">
        <f>B106*2</f>
        <v>0</v>
      </c>
      <c r="K106" s="1053">
        <f>B106*13</f>
        <v>0</v>
      </c>
      <c r="L106" s="1054">
        <f t="shared" si="37"/>
        <v>0</v>
      </c>
      <c r="M106" s="1496">
        <f t="shared" si="36"/>
        <v>0</v>
      </c>
      <c r="N106" s="1497"/>
      <c r="O106" s="1087"/>
      <c r="P106" s="1087"/>
      <c r="Q106" s="1087"/>
      <c r="R106" s="1087"/>
      <c r="S106" s="1087"/>
      <c r="T106" s="1087"/>
      <c r="U106" s="1087"/>
    </row>
    <row r="107" spans="1:21" s="1055" customFormat="1" ht="13">
      <c r="A107" s="1049" t="s">
        <v>184</v>
      </c>
      <c r="B107" s="1491">
        <f>Ontario!N381</f>
        <v>0</v>
      </c>
      <c r="C107" s="1426"/>
      <c r="D107" s="1500">
        <f>F107*325900</f>
        <v>0</v>
      </c>
      <c r="E107" s="1426"/>
      <c r="F107" s="1425">
        <f>0.0129*B107</f>
        <v>0</v>
      </c>
      <c r="G107" s="1426"/>
      <c r="H107" s="1050">
        <f>F107*10</f>
        <v>0</v>
      </c>
      <c r="I107" s="1051">
        <v>0</v>
      </c>
      <c r="J107" s="1053">
        <f>B107*0</f>
        <v>0</v>
      </c>
      <c r="K107" s="1053">
        <f>B107*0</f>
        <v>0</v>
      </c>
      <c r="L107" s="1054">
        <f t="shared" si="37"/>
        <v>0</v>
      </c>
      <c r="M107" s="1496">
        <f t="shared" si="36"/>
        <v>0</v>
      </c>
      <c r="N107" s="1497"/>
      <c r="O107" s="1087"/>
      <c r="P107" s="1087"/>
      <c r="Q107" s="1087"/>
      <c r="R107" s="1087"/>
      <c r="S107" s="1087"/>
      <c r="T107" s="1087"/>
      <c r="U107" s="1087"/>
    </row>
    <row r="108" spans="1:21" s="1065" customFormat="1" ht="13">
      <c r="A108" s="1059" t="s">
        <v>187</v>
      </c>
      <c r="B108" s="1491">
        <f>Ontario!N382</f>
        <v>0</v>
      </c>
      <c r="C108" s="1426"/>
      <c r="D108" s="1500">
        <f t="shared" si="38"/>
        <v>0</v>
      </c>
      <c r="E108" s="1426"/>
      <c r="F108" s="1425">
        <f>B108*0.023</f>
        <v>0</v>
      </c>
      <c r="G108" s="1426"/>
      <c r="H108" s="1050">
        <f>F108*5</f>
        <v>0</v>
      </c>
      <c r="I108" s="1051">
        <v>0</v>
      </c>
      <c r="J108" s="1053">
        <f>B108*10</f>
        <v>0</v>
      </c>
      <c r="K108" s="1053">
        <f>B108*10</f>
        <v>0</v>
      </c>
      <c r="L108" s="1054">
        <f t="shared" si="37"/>
        <v>0</v>
      </c>
      <c r="M108" s="1496">
        <f t="shared" si="36"/>
        <v>0</v>
      </c>
      <c r="N108" s="1497"/>
      <c r="O108" s="1087"/>
      <c r="P108" s="1087"/>
      <c r="Q108" s="1087"/>
      <c r="R108" s="1087"/>
      <c r="S108" s="1087"/>
      <c r="T108" s="1087"/>
      <c r="U108" s="1087"/>
    </row>
    <row r="109" spans="1:21" s="1065" customFormat="1" ht="13">
      <c r="A109" s="1059" t="s">
        <v>188</v>
      </c>
      <c r="B109" s="1491">
        <f>Ontario!N383</f>
        <v>1</v>
      </c>
      <c r="C109" s="1426"/>
      <c r="D109" s="1500">
        <f t="shared" si="38"/>
        <v>50188.6</v>
      </c>
      <c r="E109" s="1426"/>
      <c r="F109" s="1509">
        <f>0.154*B109</f>
        <v>0.154</v>
      </c>
      <c r="G109" s="1510"/>
      <c r="H109" s="1066">
        <f>F109*10</f>
        <v>1.54</v>
      </c>
      <c r="I109" s="1051">
        <v>0</v>
      </c>
      <c r="J109" s="1053">
        <f>B109*1000</f>
        <v>1000</v>
      </c>
      <c r="K109" s="1053">
        <f>B109*1000</f>
        <v>1000</v>
      </c>
      <c r="L109" s="1054">
        <f t="shared" si="37"/>
        <v>2000</v>
      </c>
      <c r="M109" s="1496">
        <f t="shared" si="36"/>
        <v>16.84437482102852</v>
      </c>
      <c r="N109" s="1497"/>
      <c r="O109" s="1087"/>
      <c r="P109" s="1087"/>
      <c r="Q109" s="1087"/>
      <c r="R109" s="1087"/>
      <c r="S109" s="1087"/>
      <c r="T109" s="1087"/>
      <c r="U109" s="1087"/>
    </row>
    <row r="110" spans="1:21" s="1065" customFormat="1" ht="13">
      <c r="A110" s="1059" t="s">
        <v>323</v>
      </c>
      <c r="B110" s="1491">
        <f>Ontario!N384</f>
        <v>0</v>
      </c>
      <c r="C110" s="1426"/>
      <c r="D110" s="1492">
        <f t="shared" si="38"/>
        <v>0</v>
      </c>
      <c r="E110" s="1493"/>
      <c r="F110" s="1494">
        <v>0</v>
      </c>
      <c r="G110" s="1495"/>
      <c r="H110" s="1058">
        <f>F110*10</f>
        <v>0</v>
      </c>
      <c r="I110" s="1051">
        <v>0</v>
      </c>
      <c r="J110" s="1053">
        <f>B110*0</f>
        <v>0</v>
      </c>
      <c r="K110" s="1053">
        <f>B110*0</f>
        <v>0</v>
      </c>
      <c r="L110" s="1054">
        <v>0</v>
      </c>
      <c r="M110" s="1496">
        <f t="shared" si="36"/>
        <v>0</v>
      </c>
      <c r="N110" s="1497"/>
      <c r="O110" s="1087"/>
      <c r="P110" s="1087"/>
      <c r="Q110" s="1087"/>
      <c r="R110" s="1087"/>
      <c r="S110" s="1087"/>
      <c r="T110" s="1087"/>
      <c r="U110" s="1087"/>
    </row>
    <row r="111" spans="1:21" s="1065" customFormat="1" ht="13">
      <c r="A111" s="1059" t="s">
        <v>269</v>
      </c>
      <c r="B111" s="1491">
        <f>Ontario!N385</f>
        <v>0</v>
      </c>
      <c r="C111" s="1426"/>
      <c r="D111" s="1492">
        <f t="shared" si="38"/>
        <v>0</v>
      </c>
      <c r="E111" s="1493"/>
      <c r="F111" s="1498">
        <f>B111*0.0129</f>
        <v>0</v>
      </c>
      <c r="G111" s="1499"/>
      <c r="H111" s="1067">
        <v>0</v>
      </c>
      <c r="I111" s="1051">
        <v>0</v>
      </c>
      <c r="J111" s="1053">
        <f>B111*0</f>
        <v>0</v>
      </c>
      <c r="K111" s="1053">
        <f>B111*0</f>
        <v>0</v>
      </c>
      <c r="L111" s="1054">
        <f t="shared" ref="L111:L112" si="39">K111+J111+I111</f>
        <v>0</v>
      </c>
      <c r="M111" s="1496">
        <f t="shared" si="36"/>
        <v>0</v>
      </c>
      <c r="N111" s="1497"/>
      <c r="O111" s="1087"/>
      <c r="P111" s="1087"/>
      <c r="Q111" s="1087"/>
      <c r="R111" s="1087"/>
      <c r="S111" s="1087"/>
      <c r="T111" s="1087"/>
      <c r="U111" s="1087"/>
    </row>
    <row r="112" spans="1:21" s="1065" customFormat="1" ht="14" thickBot="1">
      <c r="A112" s="1059" t="s">
        <v>268</v>
      </c>
      <c r="B112" s="1491">
        <f>Ontario!N386</f>
        <v>1075</v>
      </c>
      <c r="C112" s="1426"/>
      <c r="D112" s="1500">
        <f t="shared" si="38"/>
        <v>1471438.5</v>
      </c>
      <c r="E112" s="1426"/>
      <c r="F112" s="1501">
        <f>(B112*0.0084)/2</f>
        <v>4.5149999999999997</v>
      </c>
      <c r="G112" s="1461"/>
      <c r="H112" s="1056">
        <f>F112*10</f>
        <v>45.15</v>
      </c>
      <c r="I112" s="1051">
        <v>0</v>
      </c>
      <c r="J112" s="1053">
        <f>B112*10</f>
        <v>10750</v>
      </c>
      <c r="K112" s="1053">
        <f>B112*5</f>
        <v>5375</v>
      </c>
      <c r="L112" s="1054">
        <f t="shared" si="39"/>
        <v>16125</v>
      </c>
      <c r="M112" s="1496">
        <f t="shared" si="36"/>
        <v>4.6322030757828427</v>
      </c>
      <c r="N112" s="1497"/>
      <c r="O112" s="1087"/>
      <c r="P112" s="1087"/>
      <c r="Q112" s="1087"/>
      <c r="R112" s="1087"/>
      <c r="S112" s="1087"/>
      <c r="T112" s="1087"/>
      <c r="U112" s="1087"/>
    </row>
    <row r="113" spans="1:21" s="1228" customFormat="1" ht="17" thickBot="1">
      <c r="A113" s="1224" t="s">
        <v>192</v>
      </c>
      <c r="B113" s="1502"/>
      <c r="C113" s="1502"/>
      <c r="D113" s="1502"/>
      <c r="E113" s="1502"/>
      <c r="F113" s="1502"/>
      <c r="G113" s="1502"/>
      <c r="H113" s="1225"/>
      <c r="I113" s="1229"/>
      <c r="J113" s="1229"/>
      <c r="K113" s="1229"/>
      <c r="L113" s="1229"/>
      <c r="M113" s="1229"/>
      <c r="N113" s="1230"/>
      <c r="O113" s="1399"/>
      <c r="P113" s="1399"/>
      <c r="Q113" s="1399"/>
      <c r="R113" s="1399"/>
      <c r="S113" s="1399"/>
      <c r="T113" s="1399"/>
      <c r="U113" s="1399"/>
    </row>
    <row r="114" spans="1:21" s="1087" customFormat="1" ht="14" thickBot="1">
      <c r="A114" s="1068" t="s">
        <v>379</v>
      </c>
      <c r="B114" s="1503">
        <f>Ontario!N388</f>
        <v>2880</v>
      </c>
      <c r="C114" s="1461"/>
      <c r="D114" s="1504">
        <f>F114*325900</f>
        <v>3754368</v>
      </c>
      <c r="E114" s="1505"/>
      <c r="F114" s="1506">
        <f>0.004*B114</f>
        <v>11.52</v>
      </c>
      <c r="G114" s="1505"/>
      <c r="H114" s="1073">
        <f>F114*5</f>
        <v>57.599999999999994</v>
      </c>
      <c r="I114" s="1089">
        <v>0</v>
      </c>
      <c r="J114" s="1089">
        <f>L114-K114</f>
        <v>9916.5</v>
      </c>
      <c r="K114" s="1089">
        <f>B114*2</f>
        <v>5760</v>
      </c>
      <c r="L114" s="1054">
        <v>15676.5</v>
      </c>
      <c r="M114" s="1507">
        <f>IF(ISERROR(L114/(F114*771)),0,L114/(F114*771))</f>
        <v>1.7649900021616947</v>
      </c>
      <c r="N114" s="1508"/>
    </row>
    <row r="115" spans="1:21" s="533" customFormat="1" ht="14" thickBot="1">
      <c r="A115" s="53" t="s">
        <v>60</v>
      </c>
      <c r="B115" s="1441">
        <f>SUM(B101:C114)</f>
        <v>9308</v>
      </c>
      <c r="C115" s="1439"/>
      <c r="D115" s="1441">
        <f>SUM(D101:E114)</f>
        <v>14904352.110000001</v>
      </c>
      <c r="E115" s="1439"/>
      <c r="F115" s="1511">
        <f>SUM(F101:G114)</f>
        <v>45.732900000000001</v>
      </c>
      <c r="G115" s="1512"/>
      <c r="H115" s="56">
        <f>SUM(H101:H114)</f>
        <v>360.70699999999999</v>
      </c>
      <c r="I115" s="146">
        <f>SUM(I101:I114)</f>
        <v>0</v>
      </c>
      <c r="J115" s="146">
        <f>SUM(J101:J114)</f>
        <v>49346.5</v>
      </c>
      <c r="K115" s="146">
        <f>SUM(K101:K114)</f>
        <v>33955</v>
      </c>
      <c r="L115" s="146">
        <f>SUM(L101:L114)</f>
        <v>83301.5</v>
      </c>
      <c r="M115" s="1442"/>
      <c r="N115" s="1443"/>
      <c r="O115" s="534"/>
      <c r="P115" s="534"/>
      <c r="Q115" s="534"/>
      <c r="R115" s="534"/>
      <c r="S115" s="534"/>
      <c r="T115" s="534"/>
      <c r="U115" s="534"/>
    </row>
    <row r="116" spans="1:21" s="1161" customFormat="1" ht="17" thickBot="1">
      <c r="A116" s="1163" t="s">
        <v>17</v>
      </c>
      <c r="B116" s="1414">
        <f>SUM(,B99,B115)</f>
        <v>9920</v>
      </c>
      <c r="C116" s="1415"/>
      <c r="D116" s="1416">
        <f>SUM(,D99,D115)</f>
        <v>19821172.82</v>
      </c>
      <c r="E116" s="1415"/>
      <c r="F116" s="1487">
        <f>SUM(,F99,F115)</f>
        <v>60.819800000000001</v>
      </c>
      <c r="G116" s="1488"/>
      <c r="H116" s="1164">
        <f>(H115+H99)</f>
        <v>563.37</v>
      </c>
      <c r="I116" s="1165">
        <f>SUM(,I99,I115)</f>
        <v>6706</v>
      </c>
      <c r="J116" s="1165">
        <f>SUM(,J99,J115)</f>
        <v>82338.239999999991</v>
      </c>
      <c r="K116" s="1165">
        <f>SUM(,K99,K115)</f>
        <v>66518.759999999995</v>
      </c>
      <c r="L116" s="1165">
        <f>SUM(,L99,L115)</f>
        <v>155563</v>
      </c>
      <c r="M116" s="1417"/>
      <c r="N116" s="1418"/>
      <c r="O116" s="274"/>
      <c r="P116" s="274"/>
      <c r="Q116" s="274"/>
      <c r="R116" s="274"/>
      <c r="S116" s="274"/>
      <c r="T116" s="274"/>
      <c r="U116" s="274"/>
    </row>
    <row r="117" spans="1:21">
      <c r="A117" s="343"/>
      <c r="B117" s="354"/>
      <c r="C117" s="354"/>
      <c r="D117" s="354"/>
      <c r="E117" s="354"/>
      <c r="F117" s="455"/>
      <c r="G117" s="455"/>
      <c r="H117" s="455"/>
      <c r="I117" s="355"/>
      <c r="J117" s="355"/>
      <c r="K117" s="355"/>
      <c r="L117" s="355"/>
      <c r="M117" s="1002"/>
      <c r="N117" s="1002"/>
      <c r="R117" s="1371"/>
    </row>
    <row r="118" spans="1:21" ht="18">
      <c r="A118" s="356" t="s">
        <v>271</v>
      </c>
      <c r="B118" s="1489" t="s">
        <v>59</v>
      </c>
      <c r="C118" s="1489"/>
      <c r="D118" s="1489"/>
      <c r="E118" s="1489"/>
      <c r="F118" s="455"/>
      <c r="G118" s="455"/>
      <c r="H118" s="455"/>
      <c r="I118" s="355"/>
      <c r="J118" s="355"/>
      <c r="K118" s="355"/>
      <c r="L118" s="355"/>
      <c r="M118" s="1002"/>
      <c r="N118" s="1002"/>
    </row>
    <row r="119" spans="1:21">
      <c r="B119" s="1490" t="s">
        <v>19</v>
      </c>
      <c r="C119" s="1490"/>
      <c r="D119" s="1490"/>
      <c r="E119" s="1490"/>
      <c r="F119" s="455"/>
      <c r="G119" s="455"/>
      <c r="H119" s="455"/>
      <c r="I119" s="355"/>
      <c r="J119" s="355"/>
      <c r="K119" s="355"/>
      <c r="L119" s="355"/>
      <c r="M119" s="1002"/>
      <c r="N119" s="1002"/>
    </row>
    <row r="120" spans="1:21" ht="17" thickBot="1">
      <c r="B120" s="1042"/>
      <c r="C120" s="1042"/>
      <c r="D120" s="1042"/>
      <c r="E120" s="1042"/>
      <c r="F120" s="455"/>
      <c r="G120" s="455"/>
      <c r="H120" s="455"/>
      <c r="I120" s="355"/>
      <c r="J120" s="355"/>
      <c r="K120" s="355"/>
      <c r="L120" s="355"/>
      <c r="M120" s="1002"/>
      <c r="N120" s="1002"/>
    </row>
    <row r="121" spans="1:21">
      <c r="A121" s="98"/>
      <c r="B121" s="99"/>
      <c r="C121" s="99"/>
      <c r="D121" s="99"/>
      <c r="E121" s="99"/>
      <c r="F121" s="421"/>
      <c r="G121" s="421"/>
      <c r="H121" s="421"/>
      <c r="I121" s="1468" t="s">
        <v>0</v>
      </c>
      <c r="J121" s="1468"/>
      <c r="K121" s="1468"/>
      <c r="L121" s="1468"/>
      <c r="M121" s="99"/>
      <c r="N121" s="101"/>
    </row>
    <row r="122" spans="1:21">
      <c r="A122" s="97"/>
      <c r="B122" s="1469" t="s">
        <v>1</v>
      </c>
      <c r="C122" s="1469"/>
      <c r="D122" s="1469" t="s">
        <v>2</v>
      </c>
      <c r="E122" s="1469"/>
      <c r="F122" s="1470" t="s">
        <v>3</v>
      </c>
      <c r="G122" s="1470"/>
      <c r="H122" s="755" t="s">
        <v>3</v>
      </c>
      <c r="I122" s="127" t="s">
        <v>195</v>
      </c>
      <c r="J122" s="102"/>
      <c r="K122" s="102"/>
      <c r="L122" s="128"/>
      <c r="M122" s="1525" t="s">
        <v>4</v>
      </c>
      <c r="N122" s="1526"/>
    </row>
    <row r="123" spans="1:21" ht="19" thickBot="1">
      <c r="A123" s="103" t="s">
        <v>5</v>
      </c>
      <c r="B123" s="1473" t="s">
        <v>6</v>
      </c>
      <c r="C123" s="1473"/>
      <c r="D123" s="1473" t="s">
        <v>7</v>
      </c>
      <c r="E123" s="1473"/>
      <c r="F123" s="1474" t="s">
        <v>7</v>
      </c>
      <c r="G123" s="1474"/>
      <c r="H123" s="757" t="s">
        <v>58</v>
      </c>
      <c r="I123" s="758" t="s">
        <v>196</v>
      </c>
      <c r="J123" s="756" t="s">
        <v>8</v>
      </c>
      <c r="K123" s="756" t="s">
        <v>9</v>
      </c>
      <c r="L123" s="401" t="s">
        <v>10</v>
      </c>
      <c r="M123" s="1527" t="s">
        <v>145</v>
      </c>
      <c r="N123" s="1475"/>
    </row>
    <row r="124" spans="1:21" ht="24" thickBot="1">
      <c r="A124" s="88" t="s">
        <v>318</v>
      </c>
      <c r="B124" s="1528"/>
      <c r="C124" s="1529"/>
      <c r="D124" s="1530"/>
      <c r="E124" s="1531"/>
      <c r="F124" s="1532"/>
      <c r="G124" s="1533"/>
      <c r="H124" s="863"/>
      <c r="I124" s="864"/>
      <c r="J124" s="864"/>
      <c r="K124" s="864"/>
      <c r="L124" s="736"/>
      <c r="M124" s="1534"/>
      <c r="N124" s="1535"/>
    </row>
    <row r="125" spans="1:21" s="1161" customFormat="1" ht="17" thickBot="1">
      <c r="A125" s="110" t="s">
        <v>189</v>
      </c>
      <c r="B125" s="1456"/>
      <c r="C125" s="1457"/>
      <c r="D125" s="1457"/>
      <c r="E125" s="1457"/>
      <c r="F125" s="1484"/>
      <c r="G125" s="1484"/>
      <c r="H125" s="1158"/>
      <c r="I125" s="1141"/>
      <c r="J125" s="1141"/>
      <c r="K125" s="1141"/>
      <c r="L125" s="1141"/>
      <c r="M125" s="1485"/>
      <c r="N125" s="1486"/>
      <c r="O125" s="274"/>
      <c r="P125" s="274"/>
      <c r="Q125" s="274"/>
      <c r="R125" s="274"/>
      <c r="S125" s="274"/>
      <c r="T125" s="274"/>
      <c r="U125" s="274"/>
    </row>
    <row r="126" spans="1:21" s="508" customFormat="1" ht="13">
      <c r="A126" s="513" t="s">
        <v>29</v>
      </c>
      <c r="B126" s="1536">
        <f>Ontario!N326</f>
        <v>859</v>
      </c>
      <c r="C126" s="1424"/>
      <c r="D126" s="1536">
        <f>F126*325900</f>
        <v>6886723.2599999998</v>
      </c>
      <c r="E126" s="1424"/>
      <c r="F126" s="1547">
        <f>0.0246*B126</f>
        <v>21.131399999999999</v>
      </c>
      <c r="G126" s="1548"/>
      <c r="H126" s="751">
        <f>F126*20</f>
        <v>422.62799999999999</v>
      </c>
      <c r="I126" s="173">
        <v>0</v>
      </c>
      <c r="J126" s="150">
        <v>61299</v>
      </c>
      <c r="K126" s="150">
        <v>34140</v>
      </c>
      <c r="L126" s="174">
        <f t="shared" ref="L126:L137" si="40">K126+J126+I126</f>
        <v>95439</v>
      </c>
      <c r="M126" s="1539">
        <f t="shared" ref="M126" si="41">IF(ISERROR(L126/(F126*744)),0,L126/(F126*744))</f>
        <v>6.070502939059959</v>
      </c>
      <c r="N126" s="1540"/>
      <c r="O126" s="512"/>
      <c r="P126" s="512"/>
      <c r="Q126" s="512"/>
      <c r="R126" s="512"/>
      <c r="S126" s="512"/>
      <c r="T126" s="512"/>
      <c r="U126" s="512"/>
    </row>
    <row r="127" spans="1:21" s="508" customFormat="1" ht="13">
      <c r="A127" s="78" t="s">
        <v>33</v>
      </c>
      <c r="B127" s="1536">
        <f>Ontario!N327</f>
        <v>101</v>
      </c>
      <c r="C127" s="1424"/>
      <c r="D127" s="1536">
        <f>F127*325900</f>
        <v>1135598.55</v>
      </c>
      <c r="E127" s="1424"/>
      <c r="F127" s="1547">
        <f>0.0345*B127</f>
        <v>3.4845000000000002</v>
      </c>
      <c r="G127" s="1548"/>
      <c r="H127" s="751">
        <f>F127*14</f>
        <v>48.783000000000001</v>
      </c>
      <c r="I127" s="173">
        <f>0*B127</f>
        <v>0</v>
      </c>
      <c r="J127" s="150">
        <v>1040</v>
      </c>
      <c r="K127" s="150">
        <v>8500</v>
      </c>
      <c r="L127" s="174">
        <f t="shared" si="40"/>
        <v>9540</v>
      </c>
      <c r="M127" s="1539">
        <f t="shared" ref="M127:M133" si="42">IF(ISERROR(L127/(F127*744)),0,L127/(F127*744))</f>
        <v>3.6798911307680555</v>
      </c>
      <c r="N127" s="1540"/>
      <c r="O127" s="512"/>
      <c r="P127" s="512"/>
      <c r="Q127" s="512"/>
      <c r="R127" s="512"/>
      <c r="S127" s="512"/>
      <c r="T127" s="512"/>
      <c r="U127" s="512"/>
    </row>
    <row r="128" spans="1:21" s="508" customFormat="1" ht="13">
      <c r="A128" s="78" t="s">
        <v>56</v>
      </c>
      <c r="B128" s="1536">
        <f>Ontario!N328</f>
        <v>30</v>
      </c>
      <c r="C128" s="1424"/>
      <c r="D128" s="1536">
        <f>F128*325851</f>
        <v>43012.332000000002</v>
      </c>
      <c r="E128" s="1424"/>
      <c r="F128" s="1549">
        <f>0.0044*B128</f>
        <v>0.13200000000000001</v>
      </c>
      <c r="G128" s="1550"/>
      <c r="H128" s="900">
        <f>F128*5</f>
        <v>0.66</v>
      </c>
      <c r="I128" s="173">
        <f>0*B128</f>
        <v>0</v>
      </c>
      <c r="J128" s="150">
        <v>60</v>
      </c>
      <c r="K128" s="150">
        <v>60</v>
      </c>
      <c r="L128" s="174">
        <f t="shared" si="40"/>
        <v>120</v>
      </c>
      <c r="M128" s="1539">
        <f t="shared" si="42"/>
        <v>1.2218963831867058</v>
      </c>
      <c r="N128" s="1540"/>
      <c r="O128" s="512"/>
      <c r="P128" s="512"/>
      <c r="Q128" s="512"/>
      <c r="R128" s="512"/>
      <c r="S128" s="512"/>
      <c r="T128" s="512"/>
      <c r="U128" s="512"/>
    </row>
    <row r="129" spans="1:21" s="508" customFormat="1" ht="13">
      <c r="A129" s="78" t="s">
        <v>52</v>
      </c>
      <c r="B129" s="1536">
        <f>Ontario!N329</f>
        <v>15</v>
      </c>
      <c r="C129" s="1424"/>
      <c r="D129" s="1536">
        <f>F129*325900</f>
        <v>202383.9</v>
      </c>
      <c r="E129" s="1424"/>
      <c r="F129" s="1557">
        <f>0.0414*B129</f>
        <v>0.621</v>
      </c>
      <c r="G129" s="1558"/>
      <c r="H129" s="906">
        <f>F129*10</f>
        <v>6.21</v>
      </c>
      <c r="I129" s="173">
        <v>0</v>
      </c>
      <c r="J129" s="173">
        <v>220</v>
      </c>
      <c r="K129" s="173">
        <v>1400</v>
      </c>
      <c r="L129" s="174">
        <f t="shared" si="40"/>
        <v>1620</v>
      </c>
      <c r="M129" s="1539">
        <f t="shared" si="42"/>
        <v>3.5063113604488079</v>
      </c>
      <c r="N129" s="1540"/>
      <c r="O129" s="512"/>
      <c r="P129" s="512"/>
      <c r="Q129" s="512"/>
      <c r="R129" s="512"/>
      <c r="S129" s="512"/>
      <c r="T129" s="512"/>
      <c r="U129" s="512"/>
    </row>
    <row r="130" spans="1:21" s="508" customFormat="1" ht="13">
      <c r="A130" s="76" t="s">
        <v>319</v>
      </c>
      <c r="B130" s="1536">
        <f>Ontario!N330</f>
        <v>5</v>
      </c>
      <c r="C130" s="1424"/>
      <c r="D130" s="1536">
        <f>F130*325900</f>
        <v>319065.87699999998</v>
      </c>
      <c r="E130" s="1424"/>
      <c r="F130" s="1557">
        <v>0.97902999999999996</v>
      </c>
      <c r="G130" s="1558"/>
      <c r="H130" s="906">
        <f>F130*10</f>
        <v>9.7903000000000002</v>
      </c>
      <c r="I130" s="173">
        <v>0</v>
      </c>
      <c r="J130" s="173">
        <v>0</v>
      </c>
      <c r="K130" s="173">
        <v>15062</v>
      </c>
      <c r="L130" s="174">
        <f t="shared" si="40"/>
        <v>15062</v>
      </c>
      <c r="M130" s="1539">
        <f t="shared" si="42"/>
        <v>20.678246484698096</v>
      </c>
      <c r="N130" s="1540"/>
      <c r="O130" s="512"/>
      <c r="P130" s="512"/>
      <c r="Q130" s="512"/>
      <c r="R130" s="512"/>
      <c r="S130" s="512"/>
      <c r="T130" s="512"/>
      <c r="U130" s="512"/>
    </row>
    <row r="131" spans="1:21" s="508" customFormat="1" ht="13">
      <c r="A131" s="76" t="s">
        <v>214</v>
      </c>
      <c r="B131" s="1536">
        <f>Ontario!N331</f>
        <v>196</v>
      </c>
      <c r="C131" s="1424"/>
      <c r="D131" s="1536">
        <f>F131*325900</f>
        <v>121365.16</v>
      </c>
      <c r="E131" s="1424"/>
      <c r="F131" s="1557">
        <f>0.0019*B131</f>
        <v>0.37240000000000001</v>
      </c>
      <c r="G131" s="1558"/>
      <c r="H131" s="753">
        <f>F131*5</f>
        <v>1.8620000000000001</v>
      </c>
      <c r="I131" s="173">
        <v>0</v>
      </c>
      <c r="J131" s="173">
        <v>0</v>
      </c>
      <c r="K131" s="173">
        <v>14520</v>
      </c>
      <c r="L131" s="174">
        <f t="shared" si="40"/>
        <v>14520</v>
      </c>
      <c r="M131" s="1539">
        <f t="shared" si="42"/>
        <v>52.406361525934649</v>
      </c>
      <c r="N131" s="1540"/>
      <c r="O131" s="512"/>
      <c r="P131" s="512"/>
      <c r="Q131" s="512"/>
      <c r="R131" s="512"/>
      <c r="S131" s="512"/>
      <c r="T131" s="512"/>
      <c r="U131" s="512"/>
    </row>
    <row r="132" spans="1:21" s="508" customFormat="1" ht="13">
      <c r="A132" s="76" t="s">
        <v>331</v>
      </c>
      <c r="B132" s="1536">
        <f>Ontario!N332</f>
        <v>0</v>
      </c>
      <c r="C132" s="1424"/>
      <c r="D132" s="1536">
        <f>F132*325900</f>
        <v>0</v>
      </c>
      <c r="E132" s="1424"/>
      <c r="F132" s="1537">
        <v>0</v>
      </c>
      <c r="G132" s="1538"/>
      <c r="H132" s="899">
        <v>0</v>
      </c>
      <c r="I132" s="173">
        <v>0</v>
      </c>
      <c r="J132" s="173">
        <v>0</v>
      </c>
      <c r="K132" s="173">
        <v>0</v>
      </c>
      <c r="L132" s="174">
        <f t="shared" si="40"/>
        <v>0</v>
      </c>
      <c r="M132" s="1539">
        <f t="shared" si="42"/>
        <v>0</v>
      </c>
      <c r="N132" s="1540"/>
      <c r="O132" s="512"/>
      <c r="P132" s="512"/>
      <c r="Q132" s="512"/>
      <c r="R132" s="512"/>
      <c r="S132" s="512"/>
      <c r="T132" s="512"/>
      <c r="U132" s="512"/>
    </row>
    <row r="133" spans="1:21" s="508" customFormat="1" ht="14" thickBot="1">
      <c r="A133" s="76" t="s">
        <v>269</v>
      </c>
      <c r="B133" s="1536">
        <f>Ontario!N333</f>
        <v>0</v>
      </c>
      <c r="C133" s="1424"/>
      <c r="D133" s="1536">
        <f>F133*0.0095</f>
        <v>0</v>
      </c>
      <c r="E133" s="1424"/>
      <c r="F133" s="1537">
        <f>0.0414*B133</f>
        <v>0</v>
      </c>
      <c r="G133" s="1538"/>
      <c r="H133" s="752">
        <f>F133*10</f>
        <v>0</v>
      </c>
      <c r="I133" s="173">
        <v>0</v>
      </c>
      <c r="J133" s="173">
        <v>0</v>
      </c>
      <c r="K133" s="173">
        <v>0</v>
      </c>
      <c r="L133" s="174">
        <f t="shared" si="40"/>
        <v>0</v>
      </c>
      <c r="M133" s="1539">
        <f t="shared" si="42"/>
        <v>0</v>
      </c>
      <c r="N133" s="1540"/>
      <c r="O133" s="512"/>
      <c r="P133" s="512"/>
      <c r="Q133" s="512"/>
      <c r="R133" s="512"/>
      <c r="S133" s="512"/>
      <c r="T133" s="512"/>
      <c r="U133" s="512"/>
    </row>
    <row r="134" spans="1:21" s="1161" customFormat="1" ht="17" thickBot="1">
      <c r="A134" s="110" t="s">
        <v>190</v>
      </c>
      <c r="B134" s="1456"/>
      <c r="C134" s="1457"/>
      <c r="D134" s="1457"/>
      <c r="E134" s="1457"/>
      <c r="F134" s="1484"/>
      <c r="G134" s="1484"/>
      <c r="H134" s="1158"/>
      <c r="I134" s="195"/>
      <c r="J134" s="195"/>
      <c r="K134" s="1541"/>
      <c r="L134" s="1541"/>
      <c r="M134" s="1541"/>
      <c r="N134" s="1542"/>
      <c r="O134" s="274"/>
      <c r="P134" s="274"/>
      <c r="Q134" s="274"/>
      <c r="R134" s="274"/>
      <c r="S134" s="274"/>
      <c r="T134" s="274"/>
      <c r="U134" s="274"/>
    </row>
    <row r="135" spans="1:21" s="508" customFormat="1" ht="13">
      <c r="A135" s="76" t="s">
        <v>205</v>
      </c>
      <c r="B135" s="1536">
        <f>Ontario!N335</f>
        <v>427</v>
      </c>
      <c r="C135" s="1424"/>
      <c r="D135" s="1451">
        <f>F135*325900</f>
        <v>612300.92000000004</v>
      </c>
      <c r="E135" s="1448"/>
      <c r="F135" s="1537">
        <f>B135*0.0044</f>
        <v>1.8788</v>
      </c>
      <c r="G135" s="1538"/>
      <c r="H135" s="906">
        <f>F135*5</f>
        <v>9.3940000000000001</v>
      </c>
      <c r="I135" s="173">
        <v>0</v>
      </c>
      <c r="J135" s="173">
        <v>683.2</v>
      </c>
      <c r="K135" s="173">
        <v>854</v>
      </c>
      <c r="L135" s="174">
        <f t="shared" si="40"/>
        <v>1537.2</v>
      </c>
      <c r="M135" s="1539">
        <f t="shared" ref="M135" si="43">IF(ISERROR(L135/(F135*744)),0,L135/(F135*744))</f>
        <v>1.0997067448680353</v>
      </c>
      <c r="N135" s="1540"/>
      <c r="O135" s="512"/>
      <c r="P135" s="512"/>
      <c r="Q135" s="512"/>
      <c r="R135" s="512"/>
      <c r="S135" s="512"/>
      <c r="T135" s="512"/>
      <c r="U135" s="512"/>
    </row>
    <row r="136" spans="1:21" s="508" customFormat="1" ht="13">
      <c r="A136" s="76" t="s">
        <v>341</v>
      </c>
      <c r="B136" s="1536">
        <f>Ontario!N336</f>
        <v>11</v>
      </c>
      <c r="C136" s="1424"/>
      <c r="D136" s="1451">
        <f>F136*325900</f>
        <v>254593.08000000002</v>
      </c>
      <c r="E136" s="1448"/>
      <c r="F136" s="1557">
        <v>0.78120000000000001</v>
      </c>
      <c r="G136" s="1558"/>
      <c r="H136" s="906">
        <v>7.218</v>
      </c>
      <c r="I136" s="173">
        <v>4717.75</v>
      </c>
      <c r="J136" s="173">
        <v>156.84</v>
      </c>
      <c r="K136" s="173">
        <v>4560.9399999999996</v>
      </c>
      <c r="L136" s="174">
        <f t="shared" si="40"/>
        <v>9435.5299999999988</v>
      </c>
      <c r="M136" s="1539">
        <f t="shared" ref="M136:M138" si="44">IF(ISERROR(L136/(F136*744)),0,L136/(F136*744))</f>
        <v>16.234208881841553</v>
      </c>
      <c r="N136" s="1540"/>
      <c r="O136" s="512"/>
      <c r="P136" s="512"/>
      <c r="Q136" s="512"/>
      <c r="R136" s="512"/>
      <c r="S136" s="512"/>
      <c r="T136" s="512"/>
      <c r="U136" s="512"/>
    </row>
    <row r="137" spans="1:21" s="508" customFormat="1" ht="13">
      <c r="A137" s="76" t="s">
        <v>349</v>
      </c>
      <c r="B137" s="1536">
        <f>Ontario!N337</f>
        <v>21</v>
      </c>
      <c r="C137" s="1424"/>
      <c r="D137" s="1451">
        <f>F137*325900</f>
        <v>283337.45999999996</v>
      </c>
      <c r="E137" s="1448"/>
      <c r="F137" s="1557">
        <v>0.86939999999999995</v>
      </c>
      <c r="G137" s="1558"/>
      <c r="H137" s="906">
        <f>F137*10</f>
        <v>8.6939999999999991</v>
      </c>
      <c r="I137" s="173">
        <v>0</v>
      </c>
      <c r="J137" s="173">
        <v>10030</v>
      </c>
      <c r="K137" s="173">
        <v>3065</v>
      </c>
      <c r="L137" s="174">
        <f t="shared" si="40"/>
        <v>13095</v>
      </c>
      <c r="M137" s="1539">
        <f t="shared" si="44"/>
        <v>20.244773926400857</v>
      </c>
      <c r="N137" s="1540"/>
      <c r="O137" s="512"/>
      <c r="P137" s="512"/>
      <c r="Q137" s="512"/>
      <c r="R137" s="512"/>
      <c r="S137" s="512"/>
      <c r="T137" s="512"/>
      <c r="U137" s="512"/>
    </row>
    <row r="138" spans="1:21" s="508" customFormat="1" ht="14" thickBot="1">
      <c r="A138" s="76" t="s">
        <v>266</v>
      </c>
      <c r="B138" s="1536">
        <f>Ontario!N338</f>
        <v>6</v>
      </c>
      <c r="C138" s="1424"/>
      <c r="D138" s="1451">
        <f>F138*325900</f>
        <v>145025.5</v>
      </c>
      <c r="E138" s="1448"/>
      <c r="F138" s="1551">
        <v>0.44500000000000001</v>
      </c>
      <c r="G138" s="1552"/>
      <c r="H138" s="906">
        <v>4.45</v>
      </c>
      <c r="I138" s="173">
        <v>0</v>
      </c>
      <c r="J138" s="286">
        <v>1299.69</v>
      </c>
      <c r="K138" s="286">
        <v>950.31</v>
      </c>
      <c r="L138" s="174">
        <f>K138+J138+I138</f>
        <v>2250</v>
      </c>
      <c r="M138" s="1539">
        <f t="shared" si="44"/>
        <v>6.7959405581732515</v>
      </c>
      <c r="N138" s="1540"/>
      <c r="O138" s="512"/>
      <c r="P138" s="512"/>
      <c r="Q138" s="512"/>
      <c r="R138" s="512"/>
      <c r="S138" s="512"/>
      <c r="T138" s="512"/>
      <c r="U138" s="512"/>
    </row>
    <row r="139" spans="1:21" s="532" customFormat="1" ht="17" thickBot="1">
      <c r="A139" s="53" t="s">
        <v>60</v>
      </c>
      <c r="B139" s="1441">
        <f>SUM(B126:C138)</f>
        <v>1671</v>
      </c>
      <c r="C139" s="1439"/>
      <c r="D139" s="1441">
        <f>SUM(D126:E138)</f>
        <v>10003406.039000001</v>
      </c>
      <c r="E139" s="1439"/>
      <c r="F139" s="1553">
        <f>SUM(F126:G138)</f>
        <v>30.69473</v>
      </c>
      <c r="G139" s="1554"/>
      <c r="H139" s="777">
        <f>SUM(H124:H138)</f>
        <v>519.68930000000012</v>
      </c>
      <c r="I139" s="859">
        <f>SUM(I126:I138)</f>
        <v>4717.75</v>
      </c>
      <c r="J139" s="859">
        <f t="shared" ref="J139" si="45">SUM(J126:J138)</f>
        <v>74788.73</v>
      </c>
      <c r="K139" s="859">
        <f>SUM(K126:K138)</f>
        <v>83112.25</v>
      </c>
      <c r="L139" s="859">
        <f>SUM(L126:L138)</f>
        <v>162618.73000000001</v>
      </c>
      <c r="M139" s="1555"/>
      <c r="N139" s="1556"/>
      <c r="O139" s="1401"/>
      <c r="P139" s="1401"/>
      <c r="Q139" s="1401"/>
      <c r="R139" s="1401"/>
      <c r="S139" s="1401"/>
      <c r="T139" s="1401"/>
      <c r="U139" s="1401"/>
    </row>
    <row r="140" spans="1:21" s="1161" customFormat="1" ht="17" thickBot="1">
      <c r="A140" s="108" t="s">
        <v>194</v>
      </c>
      <c r="B140" s="1457"/>
      <c r="C140" s="1457"/>
      <c r="D140" s="1457"/>
      <c r="E140" s="1457"/>
      <c r="F140" s="1484"/>
      <c r="G140" s="1484"/>
      <c r="H140" s="1158"/>
      <c r="I140" s="997"/>
      <c r="J140" s="997"/>
      <c r="K140" s="997"/>
      <c r="L140" s="997"/>
      <c r="M140" s="1541"/>
      <c r="N140" s="1542"/>
      <c r="O140" s="274"/>
      <c r="P140" s="274"/>
      <c r="Q140" s="274"/>
      <c r="R140" s="274"/>
      <c r="S140" s="274"/>
      <c r="T140" s="274"/>
      <c r="U140" s="274"/>
    </row>
    <row r="141" spans="1:21" s="508" customFormat="1" ht="13">
      <c r="A141" s="78" t="s">
        <v>29</v>
      </c>
      <c r="B141" s="1536">
        <f>Ontario!N341</f>
        <v>355</v>
      </c>
      <c r="C141" s="1424"/>
      <c r="D141" s="1536">
        <f>F141*325900</f>
        <v>2846084.7</v>
      </c>
      <c r="E141" s="1424"/>
      <c r="F141" s="1547">
        <f>0.0246*B141</f>
        <v>8.7330000000000005</v>
      </c>
      <c r="G141" s="1548"/>
      <c r="H141" s="751">
        <f>F141*20</f>
        <v>174.66000000000003</v>
      </c>
      <c r="I141" s="173">
        <v>0</v>
      </c>
      <c r="J141" s="173">
        <v>20030</v>
      </c>
      <c r="K141" s="286">
        <v>40870</v>
      </c>
      <c r="L141" s="174">
        <f>K141+J141+I141</f>
        <v>60900</v>
      </c>
      <c r="M141" s="1539">
        <f t="shared" ref="M141" si="46">IF(ISERROR(L141/(F141*744)),0,L141/(F141*744))</f>
        <v>9.3730492052762404</v>
      </c>
      <c r="N141" s="1540"/>
      <c r="O141" s="512"/>
      <c r="P141" s="512"/>
      <c r="Q141" s="512"/>
      <c r="R141" s="512"/>
      <c r="S141" s="512"/>
      <c r="T141" s="512"/>
      <c r="U141" s="512"/>
    </row>
    <row r="142" spans="1:21" s="508" customFormat="1" ht="13">
      <c r="A142" s="78" t="s">
        <v>51</v>
      </c>
      <c r="B142" s="1536">
        <f>Ontario!N342</f>
        <v>0</v>
      </c>
      <c r="C142" s="1424"/>
      <c r="D142" s="1536">
        <f>F142*325900</f>
        <v>0</v>
      </c>
      <c r="E142" s="1424"/>
      <c r="F142" s="1547">
        <f>0.1227*B142</f>
        <v>0</v>
      </c>
      <c r="G142" s="1548"/>
      <c r="H142" s="751">
        <f>F142*20</f>
        <v>0</v>
      </c>
      <c r="I142" s="173">
        <v>0</v>
      </c>
      <c r="J142" s="173">
        <v>0</v>
      </c>
      <c r="K142" s="286">
        <v>0</v>
      </c>
      <c r="L142" s="174">
        <f t="shared" ref="L142:L152" si="47">K142+J142+I142</f>
        <v>0</v>
      </c>
      <c r="M142" s="1539">
        <f t="shared" ref="M142:M152" si="48">IF(ISERROR(L142/(F142*744)),0,L142/(F142*744))</f>
        <v>0</v>
      </c>
      <c r="N142" s="1540"/>
      <c r="O142" s="512"/>
      <c r="P142" s="512"/>
      <c r="Q142" s="512"/>
      <c r="R142" s="512"/>
      <c r="S142" s="512"/>
      <c r="T142" s="512"/>
      <c r="U142" s="512"/>
    </row>
    <row r="143" spans="1:21" s="508" customFormat="1" ht="13">
      <c r="A143" s="78" t="s">
        <v>204</v>
      </c>
      <c r="B143" s="1536">
        <f>Ontario!N343</f>
        <v>0</v>
      </c>
      <c r="C143" s="1424"/>
      <c r="D143" s="1536">
        <f>F143*325851</f>
        <v>0</v>
      </c>
      <c r="E143" s="1424"/>
      <c r="F143" s="1547">
        <f>0.644*B143</f>
        <v>0</v>
      </c>
      <c r="G143" s="1548"/>
      <c r="H143" s="751">
        <f>F143*5</f>
        <v>0</v>
      </c>
      <c r="I143" s="173">
        <v>0</v>
      </c>
      <c r="J143" s="173">
        <v>0</v>
      </c>
      <c r="K143" s="173">
        <v>0</v>
      </c>
      <c r="L143" s="174">
        <f t="shared" si="47"/>
        <v>0</v>
      </c>
      <c r="M143" s="1539">
        <f t="shared" si="48"/>
        <v>0</v>
      </c>
      <c r="N143" s="1540"/>
      <c r="O143" s="512"/>
      <c r="P143" s="512"/>
      <c r="Q143" s="512"/>
      <c r="R143" s="512"/>
      <c r="S143" s="512"/>
      <c r="T143" s="512"/>
      <c r="U143" s="512"/>
    </row>
    <row r="144" spans="1:21" s="508" customFormat="1" ht="13">
      <c r="A144" s="76" t="s">
        <v>30</v>
      </c>
      <c r="B144" s="1536">
        <f>Ontario!N344</f>
        <v>70</v>
      </c>
      <c r="C144" s="1424"/>
      <c r="D144" s="1536">
        <f t="shared" ref="D144:D152" si="49">F144*325900</f>
        <v>294287.7</v>
      </c>
      <c r="E144" s="1424"/>
      <c r="F144" s="1549">
        <f>0.0129*B144</f>
        <v>0.90300000000000002</v>
      </c>
      <c r="G144" s="1550"/>
      <c r="H144" s="751">
        <f>F144*10</f>
        <v>9.0300000000000011</v>
      </c>
      <c r="I144" s="173">
        <v>0</v>
      </c>
      <c r="J144" s="173">
        <v>19065</v>
      </c>
      <c r="K144" s="173">
        <v>81138.06</v>
      </c>
      <c r="L144" s="174">
        <f t="shared" si="47"/>
        <v>100203.06</v>
      </c>
      <c r="M144" s="1539">
        <f t="shared" si="48"/>
        <v>149.14898367449004</v>
      </c>
      <c r="N144" s="1540"/>
      <c r="O144" s="512"/>
      <c r="P144" s="512"/>
      <c r="Q144" s="512"/>
      <c r="R144" s="512"/>
      <c r="S144" s="512"/>
      <c r="T144" s="512"/>
      <c r="U144" s="512"/>
    </row>
    <row r="145" spans="1:21" s="508" customFormat="1" ht="13">
      <c r="A145" s="76" t="s">
        <v>56</v>
      </c>
      <c r="B145" s="1536">
        <f>Ontario!N345</f>
        <v>0</v>
      </c>
      <c r="C145" s="1424"/>
      <c r="D145" s="1536">
        <f t="shared" si="49"/>
        <v>0</v>
      </c>
      <c r="E145" s="1424"/>
      <c r="F145" s="1547">
        <f>0.0044*B145</f>
        <v>0</v>
      </c>
      <c r="G145" s="1548"/>
      <c r="H145" s="751">
        <f>F145*5</f>
        <v>0</v>
      </c>
      <c r="I145" s="173">
        <v>0</v>
      </c>
      <c r="J145" s="173">
        <v>0</v>
      </c>
      <c r="K145" s="173">
        <v>0</v>
      </c>
      <c r="L145" s="174">
        <f t="shared" si="47"/>
        <v>0</v>
      </c>
      <c r="M145" s="1539">
        <f t="shared" si="48"/>
        <v>0</v>
      </c>
      <c r="N145" s="1540"/>
      <c r="O145" s="512"/>
      <c r="P145" s="512"/>
      <c r="Q145" s="512"/>
      <c r="R145" s="512"/>
      <c r="S145" s="512"/>
      <c r="T145" s="512"/>
      <c r="U145" s="512"/>
    </row>
    <row r="146" spans="1:21" s="508" customFormat="1" ht="13">
      <c r="A146" s="76" t="s">
        <v>122</v>
      </c>
      <c r="B146" s="1536">
        <f>Ontario!N346</f>
        <v>0</v>
      </c>
      <c r="C146" s="1424"/>
      <c r="D146" s="1536">
        <f t="shared" si="49"/>
        <v>0</v>
      </c>
      <c r="E146" s="1424"/>
      <c r="F146" s="1547">
        <f>0.018*B146</f>
        <v>0</v>
      </c>
      <c r="G146" s="1548"/>
      <c r="H146" s="751">
        <f>F146*10</f>
        <v>0</v>
      </c>
      <c r="I146" s="173">
        <v>0</v>
      </c>
      <c r="J146" s="173">
        <v>0</v>
      </c>
      <c r="K146" s="173">
        <v>0</v>
      </c>
      <c r="L146" s="174">
        <f t="shared" si="47"/>
        <v>0</v>
      </c>
      <c r="M146" s="1539">
        <f t="shared" si="48"/>
        <v>0</v>
      </c>
      <c r="N146" s="1540"/>
      <c r="O146" s="512"/>
      <c r="P146" s="512"/>
      <c r="Q146" s="512"/>
      <c r="R146" s="512"/>
      <c r="S146" s="512"/>
      <c r="T146" s="512"/>
      <c r="U146" s="512"/>
    </row>
    <row r="147" spans="1:21" s="508" customFormat="1" ht="13">
      <c r="A147" s="76" t="s">
        <v>184</v>
      </c>
      <c r="B147" s="1536">
        <f>Ontario!N347</f>
        <v>0</v>
      </c>
      <c r="C147" s="1424"/>
      <c r="D147" s="1451">
        <f t="shared" si="49"/>
        <v>0</v>
      </c>
      <c r="E147" s="1448"/>
      <c r="F147" s="1537">
        <f>0.0129*B147</f>
        <v>0</v>
      </c>
      <c r="G147" s="1538"/>
      <c r="H147" s="897">
        <f>F147*10</f>
        <v>0</v>
      </c>
      <c r="I147" s="173">
        <v>0</v>
      </c>
      <c r="J147" s="173">
        <v>0</v>
      </c>
      <c r="K147" s="173">
        <v>0</v>
      </c>
      <c r="L147" s="174">
        <f t="shared" si="47"/>
        <v>0</v>
      </c>
      <c r="M147" s="1539">
        <f t="shared" si="48"/>
        <v>0</v>
      </c>
      <c r="N147" s="1540"/>
      <c r="O147" s="512"/>
      <c r="P147" s="512"/>
      <c r="Q147" s="512"/>
      <c r="R147" s="512"/>
      <c r="S147" s="512"/>
      <c r="T147" s="512"/>
      <c r="U147" s="512"/>
    </row>
    <row r="148" spans="1:21" s="520" customFormat="1" ht="13">
      <c r="A148" s="76" t="s">
        <v>187</v>
      </c>
      <c r="B148" s="1536">
        <f>Ontario!N348</f>
        <v>0</v>
      </c>
      <c r="C148" s="1424"/>
      <c r="D148" s="1451">
        <f t="shared" si="49"/>
        <v>0</v>
      </c>
      <c r="E148" s="1448"/>
      <c r="F148" s="1537">
        <f>B148*0.023</f>
        <v>0</v>
      </c>
      <c r="G148" s="1538"/>
      <c r="H148" s="897">
        <f>F148*5</f>
        <v>0</v>
      </c>
      <c r="I148" s="173">
        <v>0</v>
      </c>
      <c r="J148" s="173">
        <v>0</v>
      </c>
      <c r="K148" s="286">
        <v>0</v>
      </c>
      <c r="L148" s="174">
        <f t="shared" si="47"/>
        <v>0</v>
      </c>
      <c r="M148" s="1539">
        <f t="shared" si="48"/>
        <v>0</v>
      </c>
      <c r="N148" s="1540"/>
      <c r="O148" s="512"/>
      <c r="P148" s="512"/>
      <c r="Q148" s="512"/>
      <c r="R148" s="512"/>
      <c r="S148" s="512"/>
      <c r="T148" s="512"/>
      <c r="U148" s="512"/>
    </row>
    <row r="149" spans="1:21" s="520" customFormat="1" ht="13">
      <c r="A149" s="76" t="s">
        <v>188</v>
      </c>
      <c r="B149" s="1536">
        <f>Ontario!N349</f>
        <v>0</v>
      </c>
      <c r="C149" s="1424"/>
      <c r="D149" s="1451">
        <f t="shared" si="49"/>
        <v>0</v>
      </c>
      <c r="E149" s="1448"/>
      <c r="F149" s="1537">
        <f>0.154*B149</f>
        <v>0</v>
      </c>
      <c r="G149" s="1538"/>
      <c r="H149" s="897">
        <f>F149*10</f>
        <v>0</v>
      </c>
      <c r="I149" s="173">
        <v>0</v>
      </c>
      <c r="J149" s="173">
        <v>0</v>
      </c>
      <c r="K149" s="286">
        <v>0</v>
      </c>
      <c r="L149" s="174">
        <f t="shared" si="47"/>
        <v>0</v>
      </c>
      <c r="M149" s="1539">
        <f t="shared" si="48"/>
        <v>0</v>
      </c>
      <c r="N149" s="1540"/>
      <c r="O149" s="512"/>
      <c r="P149" s="512"/>
      <c r="Q149" s="512"/>
      <c r="R149" s="512"/>
      <c r="S149" s="512"/>
      <c r="T149" s="512"/>
      <c r="U149" s="512"/>
    </row>
    <row r="150" spans="1:21" s="520" customFormat="1" ht="13">
      <c r="A150" s="76" t="s">
        <v>340</v>
      </c>
      <c r="B150" s="1536">
        <f>Ontario!N350</f>
        <v>4</v>
      </c>
      <c r="C150" s="1424"/>
      <c r="D150" s="1451">
        <f t="shared" si="49"/>
        <v>11969567.207</v>
      </c>
      <c r="E150" s="1448"/>
      <c r="F150" s="1537">
        <v>36.727730000000001</v>
      </c>
      <c r="G150" s="1538"/>
      <c r="H150" s="906">
        <f>F150*10</f>
        <v>367.27730000000003</v>
      </c>
      <c r="I150" s="173">
        <v>0</v>
      </c>
      <c r="J150" s="173">
        <v>0</v>
      </c>
      <c r="K150" s="286">
        <v>345882.84</v>
      </c>
      <c r="L150" s="174">
        <f>K150+J150+I150</f>
        <v>345882.84</v>
      </c>
      <c r="M150" s="1539">
        <f t="shared" si="48"/>
        <v>12.657909713521109</v>
      </c>
      <c r="N150" s="1540"/>
      <c r="O150" s="512"/>
      <c r="P150" s="512"/>
      <c r="Q150" s="512"/>
      <c r="R150" s="512"/>
      <c r="S150" s="512"/>
      <c r="T150" s="512"/>
      <c r="U150" s="512"/>
    </row>
    <row r="151" spans="1:21" s="520" customFormat="1" ht="13">
      <c r="A151" s="76" t="s">
        <v>269</v>
      </c>
      <c r="B151" s="1536">
        <f>Ontario!N351</f>
        <v>0</v>
      </c>
      <c r="C151" s="1424"/>
      <c r="D151" s="1451">
        <f t="shared" si="49"/>
        <v>0</v>
      </c>
      <c r="E151" s="1448"/>
      <c r="F151" s="1537">
        <f>B151*0.0129</f>
        <v>0</v>
      </c>
      <c r="G151" s="1538"/>
      <c r="H151" s="897">
        <v>0</v>
      </c>
      <c r="I151" s="173">
        <v>0</v>
      </c>
      <c r="J151" s="173">
        <v>0</v>
      </c>
      <c r="K151" s="286">
        <v>0</v>
      </c>
      <c r="L151" s="174">
        <f t="shared" si="47"/>
        <v>0</v>
      </c>
      <c r="M151" s="1539">
        <f t="shared" si="48"/>
        <v>0</v>
      </c>
      <c r="N151" s="1540"/>
      <c r="O151" s="512"/>
      <c r="P151" s="512"/>
      <c r="Q151" s="512"/>
      <c r="R151" s="512"/>
      <c r="S151" s="512"/>
      <c r="T151" s="512"/>
      <c r="U151" s="512"/>
    </row>
    <row r="152" spans="1:21" s="520" customFormat="1" ht="14" thickBot="1">
      <c r="A152" s="104" t="s">
        <v>268</v>
      </c>
      <c r="B152" s="1536">
        <f>Ontario!N352</f>
        <v>0</v>
      </c>
      <c r="C152" s="1424"/>
      <c r="D152" s="1451">
        <f t="shared" si="49"/>
        <v>0</v>
      </c>
      <c r="E152" s="1448"/>
      <c r="F152" s="1537">
        <f>(B152*0.0084)/2</f>
        <v>0</v>
      </c>
      <c r="G152" s="1538"/>
      <c r="H152" s="897">
        <f>F152*10</f>
        <v>0</v>
      </c>
      <c r="I152" s="173">
        <v>0</v>
      </c>
      <c r="J152" s="173">
        <v>0</v>
      </c>
      <c r="K152" s="286">
        <v>0</v>
      </c>
      <c r="L152" s="174">
        <f t="shared" si="47"/>
        <v>0</v>
      </c>
      <c r="M152" s="1539">
        <f t="shared" si="48"/>
        <v>0</v>
      </c>
      <c r="N152" s="1540"/>
      <c r="O152" s="512"/>
      <c r="P152" s="1361"/>
      <c r="Q152" s="512"/>
      <c r="R152" s="512"/>
      <c r="S152" s="512"/>
      <c r="T152" s="512"/>
      <c r="U152" s="512"/>
    </row>
    <row r="153" spans="1:21" s="1161" customFormat="1" ht="17" thickBot="1">
      <c r="A153" s="108" t="s">
        <v>192</v>
      </c>
      <c r="B153" s="1457"/>
      <c r="C153" s="1457"/>
      <c r="D153" s="1457"/>
      <c r="E153" s="1457"/>
      <c r="F153" s="1484"/>
      <c r="G153" s="1484"/>
      <c r="H153" s="1158"/>
      <c r="I153" s="997"/>
      <c r="J153" s="997"/>
      <c r="K153" s="997"/>
      <c r="L153" s="997"/>
      <c r="M153" s="1541"/>
      <c r="N153" s="1542"/>
      <c r="O153" s="274"/>
      <c r="P153" s="274"/>
      <c r="Q153" s="274"/>
      <c r="R153" s="274"/>
      <c r="S153" s="274"/>
      <c r="T153" s="274"/>
      <c r="U153" s="274"/>
    </row>
    <row r="154" spans="1:21" s="508" customFormat="1" ht="14" thickBot="1">
      <c r="A154" s="76" t="s">
        <v>165</v>
      </c>
      <c r="B154" s="1536">
        <f>Ontario!N354</f>
        <v>0</v>
      </c>
      <c r="C154" s="1424"/>
      <c r="D154" s="1543">
        <f>F154*325900</f>
        <v>0</v>
      </c>
      <c r="E154" s="1544"/>
      <c r="F154" s="1545">
        <f>0.004*B154</f>
        <v>0</v>
      </c>
      <c r="G154" s="1546"/>
      <c r="H154" s="751">
        <f>F154*5</f>
        <v>0</v>
      </c>
      <c r="I154" s="215">
        <v>0</v>
      </c>
      <c r="J154" s="216">
        <v>0</v>
      </c>
      <c r="K154" s="216">
        <f>(B154*2)</f>
        <v>0</v>
      </c>
      <c r="L154" s="522">
        <f>J154+K154</f>
        <v>0</v>
      </c>
      <c r="M154" s="1539">
        <f t="shared" ref="M154" si="50">IF(ISERROR(L154/(F154*744)),0,L154/(F154*744))</f>
        <v>0</v>
      </c>
      <c r="N154" s="1540"/>
      <c r="O154" s="512"/>
      <c r="P154" s="512"/>
      <c r="Q154" s="512"/>
      <c r="R154" s="512"/>
      <c r="S154" s="512"/>
      <c r="T154" s="512"/>
      <c r="U154" s="512"/>
    </row>
    <row r="155" spans="1:21" s="533" customFormat="1" ht="14" thickBot="1">
      <c r="A155" s="53" t="s">
        <v>60</v>
      </c>
      <c r="B155" s="1441">
        <f>SUM(B141:C154)</f>
        <v>429</v>
      </c>
      <c r="C155" s="1439"/>
      <c r="D155" s="1441">
        <f>SUM(D141:E154)</f>
        <v>15109939.607000001</v>
      </c>
      <c r="E155" s="1439"/>
      <c r="F155" s="1511">
        <f>SUM(F141:G154)</f>
        <v>46.363730000000004</v>
      </c>
      <c r="G155" s="1512"/>
      <c r="H155" s="56">
        <f>SUM(H141:H154)</f>
        <v>550.96730000000002</v>
      </c>
      <c r="I155" s="146">
        <f>SUM(I141:I154)</f>
        <v>0</v>
      </c>
      <c r="J155" s="146">
        <f>SUM(J141:J154)</f>
        <v>39095</v>
      </c>
      <c r="K155" s="146">
        <f>SUM(K141:K154)</f>
        <v>467890.9</v>
      </c>
      <c r="L155" s="146">
        <f>SUM(L141:L154)</f>
        <v>506985.9</v>
      </c>
      <c r="M155" s="1442"/>
      <c r="N155" s="1443"/>
      <c r="O155" s="534"/>
      <c r="P155" s="534"/>
      <c r="Q155" s="534"/>
      <c r="R155" s="534"/>
      <c r="S155" s="534"/>
      <c r="T155" s="534"/>
      <c r="U155" s="534"/>
    </row>
    <row r="156" spans="1:21" s="1161" customFormat="1" ht="17" thickBot="1">
      <c r="A156" s="1163" t="s">
        <v>17</v>
      </c>
      <c r="B156" s="1414">
        <f>SUM(,B139,B155)</f>
        <v>2100</v>
      </c>
      <c r="C156" s="1415"/>
      <c r="D156" s="1416">
        <f>SUM(,D139,D155)</f>
        <v>25113345.646000002</v>
      </c>
      <c r="E156" s="1415"/>
      <c r="F156" s="1487">
        <f>SUM(,F139,F155)</f>
        <v>77.058459999999997</v>
      </c>
      <c r="G156" s="1488"/>
      <c r="H156" s="1164">
        <f>(H155+H139)</f>
        <v>1070.6566000000003</v>
      </c>
      <c r="I156" s="1165">
        <f>SUM(,I139,I155)</f>
        <v>4717.75</v>
      </c>
      <c r="J156" s="1165">
        <f>SUM(,J139,J155)</f>
        <v>113883.73</v>
      </c>
      <c r="K156" s="1165">
        <f>SUM(,K139,K155)</f>
        <v>551003.15</v>
      </c>
      <c r="L156" s="1165">
        <f>SUM(,L139,L155)</f>
        <v>669604.63</v>
      </c>
      <c r="M156" s="1417"/>
      <c r="N156" s="1418"/>
      <c r="O156" s="274"/>
      <c r="P156" s="274"/>
      <c r="Q156" s="274"/>
      <c r="R156" s="274"/>
      <c r="S156" s="274"/>
      <c r="T156" s="274"/>
      <c r="U156" s="274"/>
    </row>
    <row r="157" spans="1:21">
      <c r="A157" s="343"/>
      <c r="B157" s="354"/>
      <c r="C157" s="354"/>
      <c r="D157" s="354"/>
      <c r="E157" s="354"/>
      <c r="F157" s="455"/>
      <c r="G157" s="455"/>
      <c r="H157" s="455"/>
      <c r="I157" s="355"/>
      <c r="J157" s="355"/>
      <c r="K157" s="355"/>
      <c r="L157" s="355"/>
      <c r="M157" s="749"/>
      <c r="N157" s="749"/>
      <c r="R157" s="1371"/>
    </row>
    <row r="158" spans="1:21" ht="18">
      <c r="A158" s="356" t="s">
        <v>271</v>
      </c>
      <c r="B158" s="1489" t="s">
        <v>59</v>
      </c>
      <c r="C158" s="1489"/>
      <c r="D158" s="1489"/>
      <c r="E158" s="1489"/>
      <c r="F158" s="455"/>
      <c r="G158" s="455"/>
      <c r="H158" s="455"/>
      <c r="I158" s="355"/>
      <c r="J158" s="355"/>
      <c r="K158" s="355"/>
      <c r="L158" s="355"/>
      <c r="M158" s="749"/>
      <c r="N158" s="749"/>
    </row>
    <row r="159" spans="1:21">
      <c r="B159" s="1490" t="s">
        <v>19</v>
      </c>
      <c r="C159" s="1490"/>
      <c r="D159" s="1490"/>
      <c r="E159" s="1490"/>
      <c r="F159" s="455"/>
      <c r="G159" s="455"/>
      <c r="H159" s="455"/>
      <c r="I159" s="355"/>
      <c r="J159" s="355"/>
      <c r="K159" s="355"/>
      <c r="L159" s="355"/>
      <c r="M159" s="749"/>
      <c r="N159" s="749"/>
    </row>
    <row r="160" spans="1:21" ht="17" thickBot="1">
      <c r="A160" s="854"/>
      <c r="B160" s="855"/>
      <c r="C160" s="855"/>
      <c r="D160" s="855"/>
      <c r="E160" s="855"/>
      <c r="F160" s="856"/>
      <c r="G160" s="856"/>
      <c r="H160" s="856"/>
      <c r="I160" s="857"/>
      <c r="J160" s="857"/>
      <c r="K160" s="857"/>
      <c r="L160" s="857"/>
      <c r="M160" s="858"/>
      <c r="N160" s="858"/>
      <c r="O160" s="1371"/>
    </row>
    <row r="161" spans="1:21" ht="17" thickTop="1">
      <c r="A161" s="97"/>
      <c r="B161" s="102"/>
      <c r="C161" s="102"/>
      <c r="D161" s="102"/>
      <c r="E161" s="102"/>
      <c r="F161" s="488"/>
      <c r="G161" s="488"/>
      <c r="H161" s="488"/>
      <c r="I161" s="1565" t="s">
        <v>0</v>
      </c>
      <c r="J161" s="1565"/>
      <c r="K161" s="1565"/>
      <c r="L161" s="1565"/>
      <c r="M161" s="102"/>
      <c r="N161" s="490"/>
    </row>
    <row r="162" spans="1:21">
      <c r="A162" s="97"/>
      <c r="B162" s="1469" t="s">
        <v>1</v>
      </c>
      <c r="C162" s="1469"/>
      <c r="D162" s="1469" t="s">
        <v>2</v>
      </c>
      <c r="E162" s="1469"/>
      <c r="F162" s="1470" t="s">
        <v>3</v>
      </c>
      <c r="G162" s="1470"/>
      <c r="H162" s="438" t="s">
        <v>3</v>
      </c>
      <c r="I162" s="127" t="s">
        <v>195</v>
      </c>
      <c r="J162" s="102"/>
      <c r="K162" s="102"/>
      <c r="L162" s="128"/>
      <c r="M162" s="1525" t="s">
        <v>4</v>
      </c>
      <c r="N162" s="1526"/>
    </row>
    <row r="163" spans="1:21" ht="19" thickBot="1">
      <c r="A163" s="103" t="s">
        <v>5</v>
      </c>
      <c r="B163" s="1473" t="s">
        <v>6</v>
      </c>
      <c r="C163" s="1473"/>
      <c r="D163" s="1473" t="s">
        <v>7</v>
      </c>
      <c r="E163" s="1473"/>
      <c r="F163" s="1474" t="s">
        <v>7</v>
      </c>
      <c r="G163" s="1474"/>
      <c r="H163" s="439" t="s">
        <v>58</v>
      </c>
      <c r="I163" s="398" t="s">
        <v>196</v>
      </c>
      <c r="J163" s="397" t="s">
        <v>8</v>
      </c>
      <c r="K163" s="397" t="s">
        <v>9</v>
      </c>
      <c r="L163" s="401" t="s">
        <v>10</v>
      </c>
      <c r="M163" s="1527" t="s">
        <v>145</v>
      </c>
      <c r="N163" s="1475"/>
    </row>
    <row r="164" spans="1:21" ht="24" thickBot="1">
      <c r="A164" s="88" t="s">
        <v>265</v>
      </c>
      <c r="B164" s="1528"/>
      <c r="C164" s="1529"/>
      <c r="D164" s="1530"/>
      <c r="E164" s="1531"/>
      <c r="F164" s="1532"/>
      <c r="G164" s="1533"/>
      <c r="H164" s="863"/>
      <c r="I164" s="864"/>
      <c r="J164" s="864"/>
      <c r="K164" s="864"/>
      <c r="L164" s="736"/>
      <c r="M164" s="1534"/>
      <c r="N164" s="1535"/>
    </row>
    <row r="165" spans="1:21" s="1161" customFormat="1" ht="17" thickBot="1">
      <c r="A165" s="110" t="s">
        <v>189</v>
      </c>
      <c r="B165" s="1456"/>
      <c r="C165" s="1457"/>
      <c r="D165" s="1457"/>
      <c r="E165" s="1457"/>
      <c r="F165" s="1484"/>
      <c r="G165" s="1484"/>
      <c r="H165" s="1158"/>
      <c r="I165" s="1141"/>
      <c r="J165" s="1141"/>
      <c r="K165" s="1141"/>
      <c r="L165" s="1141"/>
      <c r="M165" s="1485"/>
      <c r="N165" s="1486"/>
      <c r="O165" s="274"/>
      <c r="P165" s="274"/>
      <c r="Q165" s="274"/>
      <c r="R165" s="274"/>
      <c r="S165" s="274"/>
      <c r="T165" s="274"/>
      <c r="U165" s="274"/>
    </row>
    <row r="166" spans="1:21" s="508" customFormat="1" ht="13">
      <c r="A166" s="257" t="s">
        <v>29</v>
      </c>
      <c r="B166" s="1563">
        <f>Ontario!N292</f>
        <v>760</v>
      </c>
      <c r="C166" s="1424"/>
      <c r="D166" s="1536">
        <f>F166*325900</f>
        <v>10526570.000000002</v>
      </c>
      <c r="E166" s="1424"/>
      <c r="F166" s="1547">
        <f>0.0425*B166</f>
        <v>32.300000000000004</v>
      </c>
      <c r="G166" s="1548"/>
      <c r="H166" s="475">
        <f>F166*20</f>
        <v>646.00000000000011</v>
      </c>
      <c r="I166" s="151">
        <v>0</v>
      </c>
      <c r="J166" s="150">
        <v>20702.09</v>
      </c>
      <c r="K166" s="150">
        <v>74804.41</v>
      </c>
      <c r="L166" s="172">
        <f t="shared" ref="L166:L172" si="51">I166+J166+K166</f>
        <v>95506.5</v>
      </c>
      <c r="M166" s="1539">
        <f t="shared" ref="M166:M172" si="52">IF(ISERROR(L166/(F166*752)),0,L166/(F166*752))</f>
        <v>3.9319914696001579</v>
      </c>
      <c r="N166" s="1540"/>
      <c r="O166" s="512"/>
      <c r="P166" s="512"/>
      <c r="Q166" s="512"/>
      <c r="R166" s="512"/>
      <c r="S166" s="512"/>
      <c r="T166" s="512"/>
      <c r="U166" s="512"/>
    </row>
    <row r="167" spans="1:21" s="508" customFormat="1" ht="13">
      <c r="A167" s="257" t="s">
        <v>33</v>
      </c>
      <c r="B167" s="1563">
        <f>Ontario!N293</f>
        <v>146</v>
      </c>
      <c r="C167" s="1424"/>
      <c r="D167" s="1536">
        <f>F167*325900</f>
        <v>1641558.3000000003</v>
      </c>
      <c r="E167" s="1424"/>
      <c r="F167" s="1547">
        <f>0.0345*B167</f>
        <v>5.0370000000000008</v>
      </c>
      <c r="G167" s="1548"/>
      <c r="H167" s="475">
        <f>F167*15</f>
        <v>75.555000000000007</v>
      </c>
      <c r="I167" s="150">
        <f>0*B167</f>
        <v>0</v>
      </c>
      <c r="J167" s="150">
        <v>1430</v>
      </c>
      <c r="K167" s="150">
        <v>12325</v>
      </c>
      <c r="L167" s="172">
        <f t="shared" si="51"/>
        <v>13755</v>
      </c>
      <c r="M167" s="1539">
        <f t="shared" si="52"/>
        <v>3.631372524172189</v>
      </c>
      <c r="N167" s="1540"/>
      <c r="O167" s="512"/>
      <c r="P167" s="512"/>
      <c r="Q167" s="512"/>
      <c r="R167" s="512"/>
      <c r="S167" s="512"/>
      <c r="T167" s="512"/>
      <c r="U167" s="512"/>
    </row>
    <row r="168" spans="1:21" s="508" customFormat="1" ht="13">
      <c r="A168" s="257" t="s">
        <v>56</v>
      </c>
      <c r="B168" s="1563">
        <f>Ontario!N294</f>
        <v>0</v>
      </c>
      <c r="C168" s="1424"/>
      <c r="D168" s="1536">
        <f>F168*325851</f>
        <v>0</v>
      </c>
      <c r="E168" s="1424"/>
      <c r="F168" s="1547">
        <f>0.0044*B168</f>
        <v>0</v>
      </c>
      <c r="G168" s="1548"/>
      <c r="H168" s="475">
        <f>F168*5</f>
        <v>0</v>
      </c>
      <c r="I168" s="150">
        <f>0*B168</f>
        <v>0</v>
      </c>
      <c r="J168" s="150">
        <f>1*B168</f>
        <v>0</v>
      </c>
      <c r="K168" s="150">
        <f>B168*4</f>
        <v>0</v>
      </c>
      <c r="L168" s="172">
        <f t="shared" si="51"/>
        <v>0</v>
      </c>
      <c r="M168" s="1539">
        <f t="shared" si="52"/>
        <v>0</v>
      </c>
      <c r="N168" s="1540"/>
      <c r="O168" s="512"/>
      <c r="P168" s="512"/>
      <c r="Q168" s="512"/>
      <c r="R168" s="512"/>
      <c r="S168" s="512"/>
      <c r="T168" s="512"/>
      <c r="U168" s="512"/>
    </row>
    <row r="169" spans="1:21" s="508" customFormat="1" ht="13">
      <c r="A169" s="257" t="s">
        <v>52</v>
      </c>
      <c r="B169" s="1563">
        <f>Ontario!N295</f>
        <v>16</v>
      </c>
      <c r="C169" s="1424"/>
      <c r="D169" s="1536">
        <f>F169*325900</f>
        <v>1694680</v>
      </c>
      <c r="E169" s="1424"/>
      <c r="F169" s="1537">
        <f>0.325*B169</f>
        <v>5.2</v>
      </c>
      <c r="G169" s="1538"/>
      <c r="H169" s="473">
        <f>F169*10</f>
        <v>52</v>
      </c>
      <c r="I169" s="151">
        <v>0</v>
      </c>
      <c r="J169" s="173">
        <v>250</v>
      </c>
      <c r="K169" s="173">
        <v>1259.5999999999999</v>
      </c>
      <c r="L169" s="174">
        <f t="shared" si="51"/>
        <v>1509.6</v>
      </c>
      <c r="M169" s="1539">
        <f t="shared" si="52"/>
        <v>0.38604746317512273</v>
      </c>
      <c r="N169" s="1540"/>
      <c r="O169" s="512"/>
      <c r="P169" s="512"/>
      <c r="Q169" s="512"/>
      <c r="R169" s="512"/>
      <c r="S169" s="512"/>
      <c r="T169" s="512"/>
      <c r="U169" s="512"/>
    </row>
    <row r="170" spans="1:21" s="508" customFormat="1" ht="13">
      <c r="A170" s="254" t="s">
        <v>293</v>
      </c>
      <c r="B170" s="1563">
        <f>Ontario!N296</f>
        <v>65</v>
      </c>
      <c r="C170" s="1424"/>
      <c r="D170" s="1536">
        <f>F170*325900</f>
        <v>6122116.2339999992</v>
      </c>
      <c r="E170" s="1424"/>
      <c r="F170" s="1537">
        <f>(144502*0.00013)</f>
        <v>18.785259999999997</v>
      </c>
      <c r="G170" s="1538"/>
      <c r="H170" s="473">
        <f>F170*10</f>
        <v>187.85259999999997</v>
      </c>
      <c r="I170" s="151">
        <v>0</v>
      </c>
      <c r="J170" s="173">
        <v>0</v>
      </c>
      <c r="K170" s="173">
        <v>286804</v>
      </c>
      <c r="L170" s="174">
        <f t="shared" si="51"/>
        <v>286804</v>
      </c>
      <c r="M170" s="1539">
        <f t="shared" si="52"/>
        <v>20.302529636126437</v>
      </c>
      <c r="N170" s="1540"/>
      <c r="O170" s="512"/>
      <c r="P170" s="512"/>
      <c r="Q170" s="512"/>
      <c r="R170" s="512"/>
      <c r="S170" s="512"/>
      <c r="T170" s="512"/>
      <c r="U170" s="512"/>
    </row>
    <row r="171" spans="1:21" s="508" customFormat="1" ht="13">
      <c r="A171" s="254" t="s">
        <v>214</v>
      </c>
      <c r="B171" s="1563">
        <f>Ontario!N297</f>
        <v>15</v>
      </c>
      <c r="C171" s="1424"/>
      <c r="D171" s="1536">
        <f>F171*325900</f>
        <v>9288.15</v>
      </c>
      <c r="E171" s="1424"/>
      <c r="F171" s="1557">
        <f>0.0019*B171</f>
        <v>2.8500000000000001E-2</v>
      </c>
      <c r="G171" s="1558"/>
      <c r="H171" s="727">
        <f>F171*5</f>
        <v>0.14250000000000002</v>
      </c>
      <c r="I171" s="151">
        <v>0</v>
      </c>
      <c r="J171" s="173">
        <f>0*B171</f>
        <v>0</v>
      </c>
      <c r="K171" s="173">
        <v>1114.99</v>
      </c>
      <c r="L171" s="174">
        <f t="shared" si="51"/>
        <v>1114.99</v>
      </c>
      <c r="M171" s="1539">
        <f t="shared" si="52"/>
        <v>52.024542739828291</v>
      </c>
      <c r="N171" s="1540"/>
      <c r="O171" s="512"/>
      <c r="P171" s="512"/>
      <c r="Q171" s="512"/>
      <c r="R171" s="512"/>
      <c r="S171" s="512"/>
      <c r="T171" s="512"/>
      <c r="U171" s="512"/>
    </row>
    <row r="172" spans="1:21" s="508" customFormat="1" ht="14" thickBot="1">
      <c r="A172" s="258" t="s">
        <v>269</v>
      </c>
      <c r="B172" s="1563">
        <f>Ontario!N298</f>
        <v>0</v>
      </c>
      <c r="C172" s="1424"/>
      <c r="D172" s="1536">
        <f>F172*0.0095</f>
        <v>0</v>
      </c>
      <c r="E172" s="1424"/>
      <c r="F172" s="1537">
        <f>0.0414*B172</f>
        <v>0</v>
      </c>
      <c r="G172" s="1538"/>
      <c r="H172" s="473">
        <f>F172*10</f>
        <v>0</v>
      </c>
      <c r="I172" s="151">
        <v>0</v>
      </c>
      <c r="J172" s="173">
        <f>0*B172</f>
        <v>0</v>
      </c>
      <c r="K172" s="173">
        <f>B172*75</f>
        <v>0</v>
      </c>
      <c r="L172" s="174">
        <f t="shared" si="51"/>
        <v>0</v>
      </c>
      <c r="M172" s="1539">
        <f t="shared" si="52"/>
        <v>0</v>
      </c>
      <c r="N172" s="1540"/>
      <c r="O172" s="512"/>
      <c r="P172" s="512"/>
      <c r="Q172" s="512"/>
      <c r="R172" s="512"/>
      <c r="S172" s="512"/>
      <c r="T172" s="512"/>
      <c r="U172" s="512"/>
    </row>
    <row r="173" spans="1:21" s="1161" customFormat="1" ht="17" thickBot="1">
      <c r="A173" s="110" t="s">
        <v>190</v>
      </c>
      <c r="B173" s="1456"/>
      <c r="C173" s="1457"/>
      <c r="D173" s="1457"/>
      <c r="E173" s="1457"/>
      <c r="F173" s="1484"/>
      <c r="G173" s="1484"/>
      <c r="H173" s="1158"/>
      <c r="I173" s="195"/>
      <c r="J173" s="195"/>
      <c r="K173" s="195"/>
      <c r="L173" s="195"/>
      <c r="M173" s="1541"/>
      <c r="N173" s="1542"/>
      <c r="O173" s="274"/>
      <c r="P173" s="274"/>
      <c r="Q173" s="274"/>
      <c r="R173" s="274"/>
      <c r="S173" s="274"/>
      <c r="T173" s="274"/>
      <c r="U173" s="274"/>
    </row>
    <row r="174" spans="1:21" s="508" customFormat="1" ht="13">
      <c r="A174" s="254" t="s">
        <v>205</v>
      </c>
      <c r="B174" s="1563">
        <f>Ontario!N300</f>
        <v>729</v>
      </c>
      <c r="C174" s="1424"/>
      <c r="D174" s="1451">
        <f>F174*325900</f>
        <v>1045356.8400000001</v>
      </c>
      <c r="E174" s="1448"/>
      <c r="F174" s="1537">
        <f>B174*0.0044</f>
        <v>3.2076000000000002</v>
      </c>
      <c r="G174" s="1538"/>
      <c r="H174" s="473">
        <f>F174*5</f>
        <v>16.038</v>
      </c>
      <c r="I174" s="151">
        <v>0</v>
      </c>
      <c r="J174" s="173">
        <f>(B174*1.6)</f>
        <v>1166.4000000000001</v>
      </c>
      <c r="K174" s="173">
        <f>(B174*2)</f>
        <v>1458</v>
      </c>
      <c r="L174" s="174">
        <f>I174+J174+K174</f>
        <v>2624.4</v>
      </c>
      <c r="M174" s="1539">
        <f>IF(ISERROR(L174/(F174*752)),0,L174/(F174*752))</f>
        <v>1.0880077369439072</v>
      </c>
      <c r="N174" s="1540"/>
      <c r="O174" s="512"/>
      <c r="P174" s="512"/>
      <c r="Q174" s="512"/>
      <c r="R174" s="512"/>
      <c r="S174" s="512"/>
      <c r="T174" s="512"/>
      <c r="U174" s="512"/>
    </row>
    <row r="175" spans="1:21" s="508" customFormat="1" ht="13">
      <c r="A175" s="254" t="s">
        <v>310</v>
      </c>
      <c r="B175" s="1563">
        <f>Ontario!N301</f>
        <v>88</v>
      </c>
      <c r="C175" s="1424"/>
      <c r="D175" s="1451">
        <f>F175*325900</f>
        <v>14927067.34</v>
      </c>
      <c r="E175" s="1448"/>
      <c r="F175" s="1537">
        <v>45.802599999999998</v>
      </c>
      <c r="G175" s="1538"/>
      <c r="H175" s="473">
        <v>435.38799999999998</v>
      </c>
      <c r="I175" s="173">
        <v>37647.33</v>
      </c>
      <c r="J175" s="173">
        <v>0</v>
      </c>
      <c r="K175" s="173">
        <v>37647.33</v>
      </c>
      <c r="L175" s="170">
        <f>I175+J175+K175</f>
        <v>75294.66</v>
      </c>
      <c r="M175" s="1539">
        <f>IF(ISERROR(L175/(F175*752)),0,L175/(F175*752))</f>
        <v>2.1860304362541534</v>
      </c>
      <c r="N175" s="1540"/>
      <c r="O175" s="512"/>
      <c r="P175" s="512"/>
      <c r="Q175" s="512"/>
      <c r="R175" s="512"/>
      <c r="S175" s="512"/>
      <c r="T175" s="512"/>
      <c r="U175" s="512"/>
    </row>
    <row r="176" spans="1:21" s="508" customFormat="1" ht="13">
      <c r="A176" s="254" t="s">
        <v>294</v>
      </c>
      <c r="B176" s="1563">
        <f>Ontario!N302</f>
        <v>7</v>
      </c>
      <c r="C176" s="1424"/>
      <c r="D176" s="1451">
        <f>F176*325900</f>
        <v>305694.19999999995</v>
      </c>
      <c r="E176" s="1448"/>
      <c r="F176" s="1537">
        <f>(6700*0.00014)</f>
        <v>0.93799999999999994</v>
      </c>
      <c r="G176" s="1538"/>
      <c r="H176" s="473">
        <f>F176*10</f>
        <v>9.379999999999999</v>
      </c>
      <c r="I176" s="173">
        <v>2010</v>
      </c>
      <c r="J176" s="173">
        <v>20150</v>
      </c>
      <c r="K176" s="173">
        <v>0</v>
      </c>
      <c r="L176" s="170">
        <f>I176+J176+K176</f>
        <v>22160</v>
      </c>
      <c r="M176" s="1539">
        <f>IF(ISERROR(L176/(F176*752)),0,L176/(F176*752))</f>
        <v>31.415868983350723</v>
      </c>
      <c r="N176" s="1540"/>
      <c r="O176" s="512"/>
      <c r="P176" s="512"/>
      <c r="Q176" s="512"/>
      <c r="R176" s="512"/>
      <c r="S176" s="512"/>
      <c r="T176" s="512"/>
      <c r="U176" s="512"/>
    </row>
    <row r="177" spans="1:21" s="508" customFormat="1" ht="14" thickBot="1">
      <c r="A177" s="254" t="s">
        <v>266</v>
      </c>
      <c r="B177" s="1563">
        <f>Ontario!N303</f>
        <v>0</v>
      </c>
      <c r="C177" s="1424"/>
      <c r="D177" s="1451">
        <f>F177*325900</f>
        <v>0</v>
      </c>
      <c r="E177" s="1448"/>
      <c r="F177" s="1692">
        <v>0</v>
      </c>
      <c r="G177" s="1602"/>
      <c r="H177" s="473">
        <v>0</v>
      </c>
      <c r="I177" s="173">
        <v>0</v>
      </c>
      <c r="J177" s="286">
        <v>0</v>
      </c>
      <c r="K177" s="220">
        <v>0</v>
      </c>
      <c r="L177" s="170">
        <f>I177+J177+K177</f>
        <v>0</v>
      </c>
      <c r="M177" s="1539">
        <f>IF(ISERROR(L177/(F177*752)),0,L177/(F177*752))</f>
        <v>0</v>
      </c>
      <c r="N177" s="1540"/>
      <c r="O177" s="512"/>
      <c r="P177" s="512"/>
      <c r="Q177" s="512"/>
      <c r="R177" s="512"/>
      <c r="S177" s="512"/>
      <c r="T177" s="512"/>
      <c r="U177" s="512"/>
    </row>
    <row r="178" spans="1:21" s="532" customFormat="1" ht="17" thickBot="1">
      <c r="A178" s="256" t="s">
        <v>60</v>
      </c>
      <c r="B178" s="1564">
        <f>SUM(B166:B177)</f>
        <v>1826</v>
      </c>
      <c r="C178" s="1453"/>
      <c r="D178" s="1452">
        <f>SUM(D166:E177)</f>
        <v>36272331.064000003</v>
      </c>
      <c r="E178" s="1452"/>
      <c r="F178" s="1553">
        <f>SUM(F166:G177)</f>
        <v>111.29896000000001</v>
      </c>
      <c r="G178" s="1554"/>
      <c r="H178" s="798">
        <f>SUM(H164:H177)</f>
        <v>1422.3561000000002</v>
      </c>
      <c r="I178" s="859">
        <f>SUM(I166:I177)</f>
        <v>39657.33</v>
      </c>
      <c r="J178" s="859">
        <f>SUM(J166:J177)</f>
        <v>43698.490000000005</v>
      </c>
      <c r="K178" s="859">
        <f>SUM(K166:K177)</f>
        <v>415413.33</v>
      </c>
      <c r="L178" s="862">
        <f>SUM(L166:L177)</f>
        <v>498769.15</v>
      </c>
      <c r="M178" s="1555"/>
      <c r="N178" s="1556"/>
      <c r="O178" s="1401"/>
      <c r="P178" s="1401"/>
      <c r="Q178" s="1401"/>
      <c r="R178" s="1401"/>
      <c r="S178" s="1401"/>
      <c r="T178" s="1401"/>
      <c r="U178" s="1401"/>
    </row>
    <row r="179" spans="1:21" s="1161" customFormat="1" ht="17" thickBot="1">
      <c r="A179" s="110" t="s">
        <v>194</v>
      </c>
      <c r="B179" s="1456"/>
      <c r="C179" s="1457"/>
      <c r="D179" s="1457"/>
      <c r="E179" s="1457"/>
      <c r="F179" s="1484"/>
      <c r="G179" s="1484"/>
      <c r="H179" s="1158"/>
      <c r="I179" s="997"/>
      <c r="J179" s="997"/>
      <c r="K179" s="997"/>
      <c r="L179" s="997"/>
      <c r="M179" s="1541"/>
      <c r="N179" s="1542"/>
      <c r="O179" s="274"/>
      <c r="P179" s="274"/>
      <c r="Q179" s="274"/>
      <c r="R179" s="274"/>
      <c r="S179" s="274"/>
      <c r="T179" s="274"/>
      <c r="U179" s="274"/>
    </row>
    <row r="180" spans="1:21" s="508" customFormat="1" ht="13">
      <c r="A180" s="257" t="s">
        <v>29</v>
      </c>
      <c r="B180" s="1563">
        <f>Ontario!N307</f>
        <v>1041</v>
      </c>
      <c r="C180" s="1424"/>
      <c r="D180" s="1536">
        <f>F180*325900</f>
        <v>14452556.940000001</v>
      </c>
      <c r="E180" s="1424"/>
      <c r="F180" s="1547">
        <f>0.0426*B180</f>
        <v>44.346600000000002</v>
      </c>
      <c r="G180" s="1548"/>
      <c r="H180" s="475">
        <f>F180*20</f>
        <v>886.93200000000002</v>
      </c>
      <c r="I180" s="173">
        <v>0</v>
      </c>
      <c r="J180" s="150">
        <v>40905</v>
      </c>
      <c r="K180" s="221">
        <v>105214.95</v>
      </c>
      <c r="L180" s="172">
        <f t="shared" ref="L180:L191" si="53">SUM(I180:K180)</f>
        <v>146119.95000000001</v>
      </c>
      <c r="M180" s="1539">
        <f>IF(ISERROR(L180/(F180*752)),0,L180/(F180*752))</f>
        <v>4.38158605505126</v>
      </c>
      <c r="N180" s="1540"/>
      <c r="O180" s="512"/>
      <c r="P180" s="512"/>
      <c r="Q180" s="512"/>
      <c r="R180" s="512"/>
      <c r="S180" s="512"/>
      <c r="T180" s="512"/>
      <c r="U180" s="512"/>
    </row>
    <row r="181" spans="1:21" s="508" customFormat="1" ht="13">
      <c r="A181" s="257" t="s">
        <v>51</v>
      </c>
      <c r="B181" s="1563">
        <f>Ontario!N308</f>
        <v>0</v>
      </c>
      <c r="C181" s="1424"/>
      <c r="D181" s="1536">
        <f>F181*325900</f>
        <v>0</v>
      </c>
      <c r="E181" s="1424"/>
      <c r="F181" s="1547">
        <f>0.1227*B181</f>
        <v>0</v>
      </c>
      <c r="G181" s="1548"/>
      <c r="H181" s="475">
        <f>F181*20</f>
        <v>0</v>
      </c>
      <c r="I181" s="173">
        <v>0</v>
      </c>
      <c r="J181" s="150">
        <v>0</v>
      </c>
      <c r="K181" s="221">
        <v>0</v>
      </c>
      <c r="L181" s="172">
        <f t="shared" si="53"/>
        <v>0</v>
      </c>
      <c r="M181" s="1539">
        <f t="shared" ref="M181:M189" si="54">IF(ISERROR(L181/(F181*752)),0,L181/(F181*752))</f>
        <v>0</v>
      </c>
      <c r="N181" s="1540"/>
      <c r="O181" s="512"/>
      <c r="P181" s="512"/>
      <c r="Q181" s="512"/>
      <c r="R181" s="512"/>
      <c r="S181" s="512"/>
      <c r="T181" s="512"/>
      <c r="U181" s="512"/>
    </row>
    <row r="182" spans="1:21" s="508" customFormat="1" ht="13">
      <c r="A182" s="257" t="s">
        <v>204</v>
      </c>
      <c r="B182" s="1563">
        <f>Ontario!N309</f>
        <v>0</v>
      </c>
      <c r="C182" s="1424"/>
      <c r="D182" s="1536">
        <f>F182*325851</f>
        <v>0</v>
      </c>
      <c r="E182" s="1424"/>
      <c r="F182" s="1547">
        <f>0.644*B182</f>
        <v>0</v>
      </c>
      <c r="G182" s="1548"/>
      <c r="H182" s="475">
        <f>F182*5</f>
        <v>0</v>
      </c>
      <c r="I182" s="173">
        <v>0</v>
      </c>
      <c r="J182" s="173">
        <v>0</v>
      </c>
      <c r="K182" s="173">
        <v>0</v>
      </c>
      <c r="L182" s="172">
        <f t="shared" si="53"/>
        <v>0</v>
      </c>
      <c r="M182" s="1539">
        <f t="shared" si="54"/>
        <v>0</v>
      </c>
      <c r="N182" s="1540"/>
      <c r="O182" s="512"/>
      <c r="P182" s="512"/>
      <c r="Q182" s="512"/>
      <c r="R182" s="512"/>
      <c r="S182" s="512"/>
      <c r="T182" s="512"/>
      <c r="U182" s="512"/>
    </row>
    <row r="183" spans="1:21" s="508" customFormat="1" ht="13">
      <c r="A183" s="254" t="s">
        <v>30</v>
      </c>
      <c r="B183" s="1563">
        <f>Ontario!N310</f>
        <v>51</v>
      </c>
      <c r="C183" s="1424"/>
      <c r="D183" s="1536">
        <f t="shared" ref="D183:D191" si="55">F183*325900</f>
        <v>5401792.5</v>
      </c>
      <c r="E183" s="1424"/>
      <c r="F183" s="1547">
        <f>0.325*B183</f>
        <v>16.574999999999999</v>
      </c>
      <c r="G183" s="1548"/>
      <c r="H183" s="475">
        <f>F183*10</f>
        <v>165.75</v>
      </c>
      <c r="I183" s="173">
        <v>0</v>
      </c>
      <c r="J183" s="173">
        <v>6341.86</v>
      </c>
      <c r="K183" s="173">
        <v>14494.54</v>
      </c>
      <c r="L183" s="172">
        <f t="shared" si="53"/>
        <v>20836.400000000001</v>
      </c>
      <c r="M183" s="1539">
        <f t="shared" si="54"/>
        <v>1.6716729244889448</v>
      </c>
      <c r="N183" s="1540"/>
      <c r="O183" s="512"/>
      <c r="P183" s="512"/>
      <c r="Q183" s="512"/>
      <c r="R183" s="512"/>
      <c r="S183" s="512"/>
      <c r="T183" s="512"/>
      <c r="U183" s="512"/>
    </row>
    <row r="184" spans="1:21" s="508" customFormat="1" ht="13">
      <c r="A184" s="254" t="s">
        <v>56</v>
      </c>
      <c r="B184" s="1563">
        <f>Ontario!N311</f>
        <v>1500</v>
      </c>
      <c r="C184" s="1424"/>
      <c r="D184" s="1536">
        <f t="shared" si="55"/>
        <v>2150940</v>
      </c>
      <c r="E184" s="1424"/>
      <c r="F184" s="1547">
        <f>0.0044*B184</f>
        <v>6.6000000000000005</v>
      </c>
      <c r="G184" s="1548"/>
      <c r="H184" s="475">
        <f>F184*5</f>
        <v>33</v>
      </c>
      <c r="I184" s="173">
        <v>0</v>
      </c>
      <c r="J184" s="173">
        <v>1500</v>
      </c>
      <c r="K184" s="173">
        <v>3000</v>
      </c>
      <c r="L184" s="172">
        <f t="shared" si="53"/>
        <v>4500</v>
      </c>
      <c r="M184" s="1539">
        <f t="shared" si="54"/>
        <v>0.90667311411992246</v>
      </c>
      <c r="N184" s="1540"/>
      <c r="O184" s="512"/>
      <c r="P184" s="512"/>
      <c r="Q184" s="512"/>
      <c r="R184" s="512"/>
      <c r="S184" s="512"/>
      <c r="T184" s="512"/>
      <c r="U184" s="512"/>
    </row>
    <row r="185" spans="1:21" s="508" customFormat="1" ht="13">
      <c r="A185" s="254" t="s">
        <v>122</v>
      </c>
      <c r="B185" s="1563">
        <f>Ontario!N312</f>
        <v>0</v>
      </c>
      <c r="C185" s="1424"/>
      <c r="D185" s="1536">
        <f t="shared" si="55"/>
        <v>0</v>
      </c>
      <c r="E185" s="1424"/>
      <c r="F185" s="1547">
        <f>0.018*B185</f>
        <v>0</v>
      </c>
      <c r="G185" s="1548"/>
      <c r="H185" s="475">
        <f>F185*10</f>
        <v>0</v>
      </c>
      <c r="I185" s="173">
        <v>0</v>
      </c>
      <c r="J185" s="150">
        <v>0</v>
      </c>
      <c r="K185" s="150">
        <v>0</v>
      </c>
      <c r="L185" s="172">
        <f t="shared" si="53"/>
        <v>0</v>
      </c>
      <c r="M185" s="1539">
        <f t="shared" si="54"/>
        <v>0</v>
      </c>
      <c r="N185" s="1540"/>
      <c r="O185" s="512"/>
      <c r="P185" s="512"/>
      <c r="Q185" s="512"/>
      <c r="R185" s="512"/>
      <c r="S185" s="512"/>
      <c r="T185" s="512"/>
      <c r="U185" s="512"/>
    </row>
    <row r="186" spans="1:21" s="508" customFormat="1" ht="13">
      <c r="A186" s="257" t="s">
        <v>184</v>
      </c>
      <c r="B186" s="1563">
        <f>Ontario!N313</f>
        <v>0</v>
      </c>
      <c r="C186" s="1424"/>
      <c r="D186" s="1451">
        <f t="shared" si="55"/>
        <v>0</v>
      </c>
      <c r="E186" s="1448"/>
      <c r="F186" s="1537">
        <f>0.0129*B186</f>
        <v>0</v>
      </c>
      <c r="G186" s="1538"/>
      <c r="H186" s="897">
        <f>F186*10</f>
        <v>0</v>
      </c>
      <c r="I186" s="173">
        <v>0</v>
      </c>
      <c r="J186" s="173">
        <v>0</v>
      </c>
      <c r="K186" s="173">
        <v>0</v>
      </c>
      <c r="L186" s="174">
        <f t="shared" si="53"/>
        <v>0</v>
      </c>
      <c r="M186" s="1539">
        <f t="shared" si="54"/>
        <v>0</v>
      </c>
      <c r="N186" s="1540"/>
      <c r="O186" s="512"/>
      <c r="P186" s="512"/>
      <c r="Q186" s="512"/>
      <c r="R186" s="512"/>
      <c r="S186" s="512"/>
      <c r="T186" s="512"/>
      <c r="U186" s="512"/>
    </row>
    <row r="187" spans="1:21" s="520" customFormat="1" ht="13">
      <c r="A187" s="258" t="s">
        <v>187</v>
      </c>
      <c r="B187" s="1563">
        <f>Ontario!N314</f>
        <v>0</v>
      </c>
      <c r="C187" s="1424"/>
      <c r="D187" s="1451">
        <f t="shared" si="55"/>
        <v>0</v>
      </c>
      <c r="E187" s="1448"/>
      <c r="F187" s="1537">
        <f>B187*0.023</f>
        <v>0</v>
      </c>
      <c r="G187" s="1538"/>
      <c r="H187" s="897">
        <f>F187*5</f>
        <v>0</v>
      </c>
      <c r="I187" s="173">
        <v>0</v>
      </c>
      <c r="J187" s="173">
        <v>0</v>
      </c>
      <c r="K187" s="286">
        <v>0</v>
      </c>
      <c r="L187" s="174">
        <f t="shared" si="53"/>
        <v>0</v>
      </c>
      <c r="M187" s="1539">
        <f t="shared" si="54"/>
        <v>0</v>
      </c>
      <c r="N187" s="1540"/>
      <c r="O187" s="512"/>
      <c r="P187" s="512"/>
      <c r="Q187" s="512"/>
      <c r="R187" s="512"/>
      <c r="S187" s="512"/>
      <c r="T187" s="512"/>
      <c r="U187" s="512"/>
    </row>
    <row r="188" spans="1:21" s="520" customFormat="1" ht="13">
      <c r="A188" s="258" t="s">
        <v>188</v>
      </c>
      <c r="B188" s="1563">
        <f>Ontario!N315</f>
        <v>0</v>
      </c>
      <c r="C188" s="1424"/>
      <c r="D188" s="1451">
        <f t="shared" si="55"/>
        <v>0</v>
      </c>
      <c r="E188" s="1448"/>
      <c r="F188" s="1537">
        <f>0.154*B188</f>
        <v>0</v>
      </c>
      <c r="G188" s="1538"/>
      <c r="H188" s="897">
        <f>F188*10</f>
        <v>0</v>
      </c>
      <c r="I188" s="173">
        <v>0</v>
      </c>
      <c r="J188" s="173">
        <v>0</v>
      </c>
      <c r="K188" s="286">
        <v>0</v>
      </c>
      <c r="L188" s="174">
        <f t="shared" si="53"/>
        <v>0</v>
      </c>
      <c r="M188" s="1539">
        <f t="shared" si="54"/>
        <v>0</v>
      </c>
      <c r="N188" s="1540"/>
      <c r="O188" s="512"/>
      <c r="P188" s="512"/>
      <c r="Q188" s="512"/>
      <c r="R188" s="512"/>
      <c r="S188" s="512"/>
      <c r="T188" s="512"/>
      <c r="U188" s="512"/>
    </row>
    <row r="189" spans="1:21" s="520" customFormat="1" ht="13">
      <c r="A189" s="258" t="s">
        <v>284</v>
      </c>
      <c r="B189" s="1563">
        <f>Ontario!N316</f>
        <v>10</v>
      </c>
      <c r="C189" s="1424"/>
      <c r="D189" s="1451">
        <f t="shared" si="55"/>
        <v>16059889.221999999</v>
      </c>
      <c r="E189" s="1448"/>
      <c r="F189" s="1537">
        <f>(379066*0.00013)</f>
        <v>49.278579999999998</v>
      </c>
      <c r="G189" s="1538"/>
      <c r="H189" s="897">
        <f>F189*10</f>
        <v>492.78579999999999</v>
      </c>
      <c r="I189" s="173">
        <v>0</v>
      </c>
      <c r="J189" s="173">
        <v>379066</v>
      </c>
      <c r="K189" s="286">
        <v>689732</v>
      </c>
      <c r="L189" s="174">
        <f t="shared" si="53"/>
        <v>1068798</v>
      </c>
      <c r="M189" s="1539">
        <f t="shared" si="54"/>
        <v>28.841617111739271</v>
      </c>
      <c r="N189" s="1540"/>
      <c r="O189" s="512"/>
      <c r="P189" s="512"/>
      <c r="Q189" s="512"/>
      <c r="R189" s="512"/>
      <c r="S189" s="512"/>
      <c r="T189" s="512"/>
      <c r="U189" s="512"/>
    </row>
    <row r="190" spans="1:21" s="520" customFormat="1" ht="13">
      <c r="A190" s="258" t="s">
        <v>269</v>
      </c>
      <c r="B190" s="1563">
        <f>Ontario!N317</f>
        <v>0</v>
      </c>
      <c r="C190" s="1424"/>
      <c r="D190" s="1451">
        <f t="shared" si="55"/>
        <v>0</v>
      </c>
      <c r="E190" s="1448"/>
      <c r="F190" s="1537">
        <f>B190*0.0129</f>
        <v>0</v>
      </c>
      <c r="G190" s="1538"/>
      <c r="H190" s="897">
        <v>0</v>
      </c>
      <c r="I190" s="173">
        <v>0</v>
      </c>
      <c r="J190" s="173">
        <v>0</v>
      </c>
      <c r="K190" s="286">
        <v>0</v>
      </c>
      <c r="L190" s="174">
        <f t="shared" si="53"/>
        <v>0</v>
      </c>
      <c r="M190" s="1539">
        <f>IF(ISERROR(L190/(F190*752)),0,L190/(F190*752))</f>
        <v>0</v>
      </c>
      <c r="N190" s="1540"/>
      <c r="O190" s="512"/>
      <c r="P190" s="512"/>
      <c r="Q190" s="512"/>
      <c r="R190" s="512"/>
      <c r="S190" s="512"/>
      <c r="T190" s="512"/>
      <c r="U190" s="512"/>
    </row>
    <row r="191" spans="1:21" s="520" customFormat="1" ht="14" thickBot="1">
      <c r="A191" s="258" t="s">
        <v>268</v>
      </c>
      <c r="B191" s="1563">
        <f>Ontario!N318</f>
        <v>525</v>
      </c>
      <c r="C191" s="1424"/>
      <c r="D191" s="1451">
        <f t="shared" si="55"/>
        <v>718609.5</v>
      </c>
      <c r="E191" s="1448"/>
      <c r="F191" s="1537">
        <f>B191*0.0084/2</f>
        <v>2.2050000000000001</v>
      </c>
      <c r="G191" s="1538"/>
      <c r="H191" s="897">
        <f>F191*10</f>
        <v>22.05</v>
      </c>
      <c r="I191" s="173">
        <v>0</v>
      </c>
      <c r="J191" s="173">
        <v>2625</v>
      </c>
      <c r="K191" s="286">
        <v>2625</v>
      </c>
      <c r="L191" s="174">
        <f t="shared" si="53"/>
        <v>5250</v>
      </c>
      <c r="M191" s="1539">
        <f>IF(ISERROR(L191/(F191*752)),0,L191/(F191*752))</f>
        <v>3.1661600810536981</v>
      </c>
      <c r="N191" s="1540"/>
      <c r="O191" s="512"/>
      <c r="P191" s="1361"/>
      <c r="Q191" s="512"/>
      <c r="R191" s="512"/>
      <c r="S191" s="512"/>
      <c r="T191" s="512"/>
      <c r="U191" s="512"/>
    </row>
    <row r="192" spans="1:21" s="1161" customFormat="1" ht="17" thickBot="1">
      <c r="A192" s="110" t="s">
        <v>192</v>
      </c>
      <c r="B192" s="1456"/>
      <c r="C192" s="1457"/>
      <c r="D192" s="1457"/>
      <c r="E192" s="1457"/>
      <c r="F192" s="1484"/>
      <c r="G192" s="1484"/>
      <c r="H192" s="1158"/>
      <c r="I192" s="997"/>
      <c r="J192" s="997"/>
      <c r="K192" s="997"/>
      <c r="L192" s="997"/>
      <c r="M192" s="1541"/>
      <c r="N192" s="1542"/>
      <c r="O192" s="274"/>
      <c r="P192" s="274"/>
      <c r="Q192" s="274"/>
      <c r="R192" s="274"/>
      <c r="S192" s="274"/>
      <c r="T192" s="274"/>
      <c r="U192" s="274"/>
    </row>
    <row r="193" spans="1:21" s="508" customFormat="1" ht="14" thickBot="1">
      <c r="A193" s="76" t="s">
        <v>165</v>
      </c>
      <c r="B193" s="1560">
        <f>Ontario!N320</f>
        <v>3806</v>
      </c>
      <c r="C193" s="1544"/>
      <c r="D193" s="1543">
        <f>F193*325900</f>
        <v>4961501.5999999996</v>
      </c>
      <c r="E193" s="1544"/>
      <c r="F193" s="1545">
        <f>0.004*B193</f>
        <v>15.224</v>
      </c>
      <c r="G193" s="1546"/>
      <c r="H193" s="475">
        <f>F193*5</f>
        <v>76.12</v>
      </c>
      <c r="I193" s="215">
        <v>0</v>
      </c>
      <c r="J193" s="216">
        <v>4548</v>
      </c>
      <c r="K193" s="216">
        <f>(B193*2)</f>
        <v>7612</v>
      </c>
      <c r="L193" s="522">
        <f>J193+K193</f>
        <v>12160</v>
      </c>
      <c r="M193" s="1561">
        <f>IF(ISERROR(L193/(F193*752)),0,L193/(F193*752))</f>
        <v>1.0621527040171732</v>
      </c>
      <c r="N193" s="1562"/>
      <c r="O193" s="512"/>
      <c r="P193" s="512"/>
      <c r="Q193" s="512"/>
      <c r="R193" s="512"/>
      <c r="S193" s="512"/>
      <c r="T193" s="512"/>
      <c r="U193" s="512"/>
    </row>
    <row r="194" spans="1:21" s="533" customFormat="1" ht="14" thickBot="1">
      <c r="A194" s="53" t="s">
        <v>60</v>
      </c>
      <c r="B194" s="1438">
        <f>SUM(B180:B193)</f>
        <v>6933</v>
      </c>
      <c r="C194" s="1439"/>
      <c r="D194" s="1441">
        <f>SUM(D180:E193)</f>
        <v>43745289.762000002</v>
      </c>
      <c r="E194" s="1439"/>
      <c r="F194" s="1511">
        <f>SUM(F180:G193)</f>
        <v>134.22917999999999</v>
      </c>
      <c r="G194" s="1512"/>
      <c r="H194" s="56">
        <f>SUM(H180:H193)</f>
        <v>1676.6378</v>
      </c>
      <c r="I194" s="146">
        <f>SUM(I180:I193)</f>
        <v>0</v>
      </c>
      <c r="J194" s="146">
        <f>SUM(J180:J193)</f>
        <v>434985.86</v>
      </c>
      <c r="K194" s="146">
        <f>SUM(K180:K193)</f>
        <v>822678.49</v>
      </c>
      <c r="L194" s="146">
        <f>SUM(L180:L193)</f>
        <v>1257664.3500000001</v>
      </c>
      <c r="M194" s="1442"/>
      <c r="N194" s="1443"/>
      <c r="O194" s="534"/>
      <c r="P194" s="534"/>
      <c r="Q194" s="534"/>
      <c r="R194" s="534"/>
      <c r="S194" s="534"/>
      <c r="T194" s="534"/>
      <c r="U194" s="534"/>
    </row>
    <row r="195" spans="1:21" s="1161" customFormat="1" ht="17" thickBot="1">
      <c r="A195" s="1163" t="s">
        <v>17</v>
      </c>
      <c r="B195" s="1414">
        <f>SUM(,B178,B194)</f>
        <v>8759</v>
      </c>
      <c r="C195" s="1415"/>
      <c r="D195" s="1416">
        <f>SUM(,D178,D194)</f>
        <v>80017620.826000005</v>
      </c>
      <c r="E195" s="1415"/>
      <c r="F195" s="1487">
        <f>SUM(,F178,F194)</f>
        <v>245.52814000000001</v>
      </c>
      <c r="G195" s="1488"/>
      <c r="H195" s="1164">
        <f>(H194+H178)</f>
        <v>3098.9939000000004</v>
      </c>
      <c r="I195" s="1165">
        <f>SUM(,I178,I194)</f>
        <v>39657.33</v>
      </c>
      <c r="J195" s="1165">
        <f>SUM(,J178,J194)</f>
        <v>478684.35</v>
      </c>
      <c r="K195" s="1165">
        <f>SUM(,K178,K194)</f>
        <v>1238091.82</v>
      </c>
      <c r="L195" s="1165">
        <f>SUM(,L178,L194)</f>
        <v>1756433.5</v>
      </c>
      <c r="M195" s="1417"/>
      <c r="N195" s="1418"/>
      <c r="O195" s="274"/>
      <c r="P195" s="274"/>
      <c r="Q195" s="274"/>
      <c r="R195" s="274"/>
      <c r="S195" s="274"/>
      <c r="T195" s="274"/>
      <c r="U195" s="274"/>
    </row>
    <row r="196" spans="1:21">
      <c r="A196" s="343"/>
      <c r="B196" s="354"/>
      <c r="C196" s="354"/>
      <c r="D196" s="354"/>
      <c r="E196" s="354"/>
      <c r="F196" s="455"/>
      <c r="G196" s="455"/>
      <c r="H196" s="455"/>
      <c r="I196" s="355"/>
      <c r="J196" s="355"/>
      <c r="K196" s="355"/>
      <c r="L196" s="355"/>
      <c r="M196" s="394"/>
      <c r="N196" s="394"/>
      <c r="R196" s="1371"/>
    </row>
    <row r="197" spans="1:21" ht="18">
      <c r="A197" s="356" t="s">
        <v>271</v>
      </c>
      <c r="B197" s="1489" t="s">
        <v>59</v>
      </c>
      <c r="C197" s="1489"/>
      <c r="D197" s="1489"/>
      <c r="E197" s="1489"/>
      <c r="F197" s="455"/>
      <c r="G197" s="455"/>
      <c r="H197" s="455"/>
      <c r="I197" s="355"/>
      <c r="J197" s="355"/>
      <c r="K197" s="355"/>
      <c r="L197" s="355"/>
      <c r="M197" s="394"/>
      <c r="N197" s="394"/>
    </row>
    <row r="198" spans="1:21">
      <c r="B198" s="1559" t="s">
        <v>19</v>
      </c>
      <c r="C198" s="1559"/>
      <c r="D198" s="1559"/>
      <c r="E198" s="1559"/>
      <c r="F198" s="455"/>
      <c r="G198" s="455"/>
      <c r="H198" s="455"/>
      <c r="I198" s="355"/>
      <c r="J198" s="355"/>
      <c r="K198" s="355"/>
      <c r="L198" s="355"/>
      <c r="M198" s="394"/>
      <c r="N198" s="394"/>
    </row>
    <row r="199" spans="1:21" ht="17" thickBot="1">
      <c r="B199" s="549"/>
      <c r="C199" s="549"/>
      <c r="D199" s="549"/>
      <c r="E199" s="549"/>
      <c r="F199" s="455"/>
      <c r="G199" s="455"/>
      <c r="H199" s="455"/>
      <c r="I199" s="355"/>
      <c r="J199" s="355"/>
      <c r="K199" s="355"/>
      <c r="L199" s="355"/>
      <c r="M199" s="549"/>
      <c r="N199" s="549"/>
    </row>
    <row r="200" spans="1:21">
      <c r="A200" s="98"/>
      <c r="B200" s="99"/>
      <c r="C200" s="99"/>
      <c r="D200" s="99"/>
      <c r="E200" s="99"/>
      <c r="F200" s="421"/>
      <c r="G200" s="421"/>
      <c r="H200" s="421"/>
      <c r="I200" s="1468" t="s">
        <v>0</v>
      </c>
      <c r="J200" s="1468"/>
      <c r="K200" s="1468"/>
      <c r="L200" s="1468"/>
      <c r="M200" s="99"/>
      <c r="N200" s="101"/>
    </row>
    <row r="201" spans="1:21">
      <c r="A201" s="97"/>
      <c r="B201" s="1469" t="s">
        <v>1</v>
      </c>
      <c r="C201" s="1469"/>
      <c r="D201" s="1469" t="s">
        <v>2</v>
      </c>
      <c r="E201" s="1469"/>
      <c r="F201" s="1470" t="s">
        <v>3</v>
      </c>
      <c r="G201" s="1470"/>
      <c r="H201" s="550" t="s">
        <v>3</v>
      </c>
      <c r="I201" s="127" t="s">
        <v>195</v>
      </c>
      <c r="J201" s="102"/>
      <c r="K201" s="102"/>
      <c r="L201" s="128"/>
      <c r="M201" s="1525" t="s">
        <v>4</v>
      </c>
      <c r="N201" s="1526"/>
    </row>
    <row r="202" spans="1:21" ht="19" thickBot="1">
      <c r="A202" s="103" t="s">
        <v>5</v>
      </c>
      <c r="B202" s="1473" t="s">
        <v>6</v>
      </c>
      <c r="C202" s="1473"/>
      <c r="D202" s="1473" t="s">
        <v>7</v>
      </c>
      <c r="E202" s="1473"/>
      <c r="F202" s="1474" t="s">
        <v>7</v>
      </c>
      <c r="G202" s="1474"/>
      <c r="H202" s="552" t="s">
        <v>58</v>
      </c>
      <c r="I202" s="556" t="s">
        <v>196</v>
      </c>
      <c r="J202" s="551" t="s">
        <v>8</v>
      </c>
      <c r="K202" s="551" t="s">
        <v>9</v>
      </c>
      <c r="L202" s="401" t="s">
        <v>10</v>
      </c>
      <c r="M202" s="1527" t="s">
        <v>145</v>
      </c>
      <c r="N202" s="1475"/>
    </row>
    <row r="203" spans="1:21" ht="24" thickBot="1">
      <c r="A203" s="88" t="s">
        <v>232</v>
      </c>
      <c r="B203" s="1528"/>
      <c r="C203" s="1529"/>
      <c r="D203" s="1530"/>
      <c r="E203" s="1531"/>
      <c r="F203" s="1532"/>
      <c r="G203" s="1533"/>
      <c r="H203" s="863"/>
      <c r="I203" s="864"/>
      <c r="J203" s="864"/>
      <c r="K203" s="864"/>
      <c r="L203" s="736"/>
      <c r="M203" s="1534"/>
      <c r="N203" s="1535"/>
    </row>
    <row r="204" spans="1:21" s="1161" customFormat="1" ht="17" thickBot="1">
      <c r="A204" s="110" t="s">
        <v>189</v>
      </c>
      <c r="B204" s="1456"/>
      <c r="C204" s="1457"/>
      <c r="D204" s="1567"/>
      <c r="E204" s="1457"/>
      <c r="F204" s="1587"/>
      <c r="G204" s="1484"/>
      <c r="H204" s="1144"/>
      <c r="I204" s="1148"/>
      <c r="J204" s="1148"/>
      <c r="K204" s="1148"/>
      <c r="L204" s="109"/>
      <c r="M204" s="1485"/>
      <c r="N204" s="1486"/>
      <c r="O204" s="274"/>
      <c r="P204" s="274"/>
      <c r="Q204" s="274"/>
      <c r="R204" s="274"/>
      <c r="S204" s="274"/>
      <c r="T204" s="274"/>
      <c r="U204" s="274"/>
    </row>
    <row r="205" spans="1:21" s="508" customFormat="1" ht="13">
      <c r="A205" s="257" t="s">
        <v>29</v>
      </c>
      <c r="B205" s="1563">
        <f>Ontario!N253</f>
        <v>154</v>
      </c>
      <c r="C205" s="1424"/>
      <c r="D205" s="1536">
        <f>F205*325900</f>
        <v>2133015.5000000005</v>
      </c>
      <c r="E205" s="1424"/>
      <c r="F205" s="1549">
        <f>0.0425*B205</f>
        <v>6.5450000000000008</v>
      </c>
      <c r="G205" s="1550"/>
      <c r="H205" s="930">
        <f>F205*20</f>
        <v>130.9</v>
      </c>
      <c r="I205" s="151">
        <v>0</v>
      </c>
      <c r="J205" s="150">
        <f>50*B205</f>
        <v>7700</v>
      </c>
      <c r="K205" s="150">
        <f>B205*50</f>
        <v>7700</v>
      </c>
      <c r="L205" s="172">
        <f t="shared" ref="L205:L210" si="56">I205+J205+K205</f>
        <v>15400</v>
      </c>
      <c r="M205" s="1539">
        <f t="shared" ref="M205:M210" si="57">IF(ISERROR(L205/(F205*752)),0,L205/(F205*752))</f>
        <v>3.1289111389236539</v>
      </c>
      <c r="N205" s="1540"/>
      <c r="O205" s="512"/>
      <c r="P205" s="512"/>
      <c r="Q205" s="512"/>
      <c r="R205" s="512"/>
      <c r="S205" s="512"/>
      <c r="T205" s="512"/>
      <c r="U205" s="512"/>
    </row>
    <row r="206" spans="1:21" s="508" customFormat="1" ht="13">
      <c r="A206" s="257" t="s">
        <v>33</v>
      </c>
      <c r="B206" s="1563">
        <f>Ontario!N254</f>
        <v>86</v>
      </c>
      <c r="C206" s="1424"/>
      <c r="D206" s="1536">
        <f>F206*325900</f>
        <v>773556.24000000011</v>
      </c>
      <c r="E206" s="1424"/>
      <c r="F206" s="1549">
        <f>0.0276*B206</f>
        <v>2.3736000000000002</v>
      </c>
      <c r="G206" s="1550"/>
      <c r="H206" s="930">
        <f>F206*15</f>
        <v>35.603999999999999</v>
      </c>
      <c r="I206" s="150">
        <f>0*B206</f>
        <v>0</v>
      </c>
      <c r="J206" s="150">
        <f>B206*65</f>
        <v>5590</v>
      </c>
      <c r="K206" s="150">
        <f>B206*85</f>
        <v>7310</v>
      </c>
      <c r="L206" s="172">
        <f t="shared" si="56"/>
        <v>12900</v>
      </c>
      <c r="M206" s="1539">
        <f t="shared" si="57"/>
        <v>7.227104532839963</v>
      </c>
      <c r="N206" s="1540"/>
      <c r="O206" s="512"/>
      <c r="P206" s="512"/>
      <c r="Q206" s="512"/>
      <c r="R206" s="512"/>
      <c r="S206" s="512"/>
      <c r="T206" s="512"/>
      <c r="U206" s="512"/>
    </row>
    <row r="207" spans="1:21" s="508" customFormat="1" ht="13">
      <c r="A207" s="257" t="s">
        <v>56</v>
      </c>
      <c r="B207" s="1563">
        <f>Ontario!N255</f>
        <v>33</v>
      </c>
      <c r="C207" s="1424"/>
      <c r="D207" s="1536">
        <f>F207*325851</f>
        <v>47313.565199999997</v>
      </c>
      <c r="E207" s="1424"/>
      <c r="F207" s="1549">
        <f>0.0044*B207</f>
        <v>0.1452</v>
      </c>
      <c r="G207" s="1550"/>
      <c r="H207" s="930">
        <f>F207*5</f>
        <v>0.72599999999999998</v>
      </c>
      <c r="I207" s="150">
        <f>0*B207</f>
        <v>0</v>
      </c>
      <c r="J207" s="150">
        <f>1*B207</f>
        <v>33</v>
      </c>
      <c r="K207" s="150">
        <f>B207*4</f>
        <v>132</v>
      </c>
      <c r="L207" s="172">
        <f t="shared" si="56"/>
        <v>165</v>
      </c>
      <c r="M207" s="1539">
        <f t="shared" si="57"/>
        <v>1.5111218568665377</v>
      </c>
      <c r="N207" s="1540"/>
      <c r="O207" s="512"/>
      <c r="P207" s="512"/>
      <c r="Q207" s="512"/>
      <c r="R207" s="512"/>
      <c r="S207" s="512"/>
      <c r="T207" s="512"/>
      <c r="U207" s="512"/>
    </row>
    <row r="208" spans="1:21" s="508" customFormat="1" ht="13">
      <c r="A208" s="257" t="s">
        <v>52</v>
      </c>
      <c r="B208" s="1563">
        <f>Ontario!N256</f>
        <v>5</v>
      </c>
      <c r="C208" s="1424"/>
      <c r="D208" s="1536">
        <f>F208*325900</f>
        <v>529587.5</v>
      </c>
      <c r="E208" s="1424"/>
      <c r="F208" s="1557">
        <f>0.325*B208</f>
        <v>1.625</v>
      </c>
      <c r="G208" s="1558"/>
      <c r="H208" s="935">
        <f>F208*10</f>
        <v>16.25</v>
      </c>
      <c r="I208" s="151">
        <v>0</v>
      </c>
      <c r="J208" s="173">
        <f>70*B208</f>
        <v>350</v>
      </c>
      <c r="K208" s="173">
        <f>B208*80</f>
        <v>400</v>
      </c>
      <c r="L208" s="174">
        <f t="shared" si="56"/>
        <v>750</v>
      </c>
      <c r="M208" s="1539">
        <f t="shared" si="57"/>
        <v>0.61374795417348604</v>
      </c>
      <c r="N208" s="1540"/>
      <c r="O208" s="512"/>
      <c r="P208" s="512"/>
      <c r="Q208" s="512"/>
      <c r="R208" s="512"/>
      <c r="S208" s="512"/>
      <c r="T208" s="512"/>
      <c r="U208" s="512"/>
    </row>
    <row r="209" spans="1:21" s="508" customFormat="1" ht="13">
      <c r="A209" s="254" t="s">
        <v>261</v>
      </c>
      <c r="B209" s="1563">
        <v>4</v>
      </c>
      <c r="C209" s="1424"/>
      <c r="D209" s="1536">
        <f>F209*325900</f>
        <v>234648</v>
      </c>
      <c r="E209" s="1424"/>
      <c r="F209" s="1557">
        <v>0.72</v>
      </c>
      <c r="G209" s="1558"/>
      <c r="H209" s="935">
        <f>F209*10</f>
        <v>7.1999999999999993</v>
      </c>
      <c r="I209" s="151">
        <v>0</v>
      </c>
      <c r="J209" s="173">
        <v>0</v>
      </c>
      <c r="K209" s="173">
        <v>11008</v>
      </c>
      <c r="L209" s="174">
        <f t="shared" si="56"/>
        <v>11008</v>
      </c>
      <c r="M209" s="1539">
        <f t="shared" si="57"/>
        <v>20.330969267139483</v>
      </c>
      <c r="N209" s="1540"/>
      <c r="O209" s="512"/>
      <c r="P209" s="512"/>
      <c r="Q209" s="512"/>
      <c r="R209" s="512"/>
      <c r="S209" s="512"/>
      <c r="T209" s="512"/>
      <c r="U209" s="512"/>
    </row>
    <row r="210" spans="1:21" s="508" customFormat="1" ht="14" thickBot="1">
      <c r="A210" s="254" t="s">
        <v>214</v>
      </c>
      <c r="B210" s="1563">
        <f>Ontario!N258</f>
        <v>6</v>
      </c>
      <c r="C210" s="1424"/>
      <c r="D210" s="1536">
        <v>635505</v>
      </c>
      <c r="E210" s="1424"/>
      <c r="F210" s="1537">
        <v>2</v>
      </c>
      <c r="G210" s="1538"/>
      <c r="H210" s="929">
        <v>20</v>
      </c>
      <c r="I210" s="151">
        <v>0</v>
      </c>
      <c r="J210" s="173">
        <f>0*B210</f>
        <v>0</v>
      </c>
      <c r="K210" s="173">
        <f>B210*75</f>
        <v>450</v>
      </c>
      <c r="L210" s="174">
        <f t="shared" si="56"/>
        <v>450</v>
      </c>
      <c r="M210" s="1539">
        <f t="shared" si="57"/>
        <v>0.29920212765957449</v>
      </c>
      <c r="N210" s="1540"/>
      <c r="O210" s="512"/>
      <c r="P210" s="512"/>
      <c r="Q210" s="512"/>
      <c r="R210" s="512"/>
      <c r="S210" s="512"/>
      <c r="T210" s="512"/>
      <c r="U210" s="512"/>
    </row>
    <row r="211" spans="1:21" s="1161" customFormat="1" ht="17" thickBot="1">
      <c r="A211" s="110" t="s">
        <v>190</v>
      </c>
      <c r="B211" s="1456"/>
      <c r="C211" s="1457"/>
      <c r="D211" s="1567"/>
      <c r="E211" s="1586"/>
      <c r="F211" s="1484"/>
      <c r="G211" s="1484"/>
      <c r="H211" s="1144"/>
      <c r="I211" s="1231"/>
      <c r="J211" s="1231"/>
      <c r="K211" s="1231"/>
      <c r="L211" s="194"/>
      <c r="M211" s="1541"/>
      <c r="N211" s="1542"/>
      <c r="O211" s="274"/>
      <c r="P211" s="274"/>
      <c r="Q211" s="274"/>
      <c r="R211" s="274"/>
      <c r="S211" s="274"/>
      <c r="T211" s="274"/>
      <c r="U211" s="274"/>
    </row>
    <row r="212" spans="1:21" s="508" customFormat="1" ht="13">
      <c r="A212" s="254" t="s">
        <v>205</v>
      </c>
      <c r="B212" s="1563">
        <f>Ontario!N260</f>
        <v>1261</v>
      </c>
      <c r="C212" s="1424"/>
      <c r="D212" s="1536">
        <f>F212*325900</f>
        <v>1643839.6</v>
      </c>
      <c r="E212" s="1424"/>
      <c r="F212" s="1557">
        <f>B212*0.004</f>
        <v>5.0440000000000005</v>
      </c>
      <c r="G212" s="1558"/>
      <c r="H212" s="935">
        <f>F212*5</f>
        <v>25.220000000000002</v>
      </c>
      <c r="I212" s="151">
        <v>0</v>
      </c>
      <c r="J212" s="151">
        <v>0</v>
      </c>
      <c r="K212" s="173">
        <f>B212*3.6</f>
        <v>4539.6000000000004</v>
      </c>
      <c r="L212" s="174">
        <f>I212+J212+K212</f>
        <v>4539.6000000000004</v>
      </c>
      <c r="M212" s="1539">
        <f>IF(ISERROR(L212/(F212*752)),0,L212/(F212*752))</f>
        <v>1.196808510638298</v>
      </c>
      <c r="N212" s="1540"/>
      <c r="O212" s="512"/>
      <c r="P212" s="512"/>
      <c r="Q212" s="512"/>
      <c r="R212" s="512"/>
      <c r="S212" s="512"/>
      <c r="T212" s="512"/>
      <c r="U212" s="512"/>
    </row>
    <row r="213" spans="1:21" s="508" customFormat="1" ht="13">
      <c r="A213" s="254" t="s">
        <v>243</v>
      </c>
      <c r="B213" s="1563">
        <f>Ontario!N261</f>
        <v>14</v>
      </c>
      <c r="C213" s="1424"/>
      <c r="D213" s="1536">
        <f>F213*325900</f>
        <v>2281300</v>
      </c>
      <c r="E213" s="1424"/>
      <c r="F213" s="1580">
        <v>7</v>
      </c>
      <c r="G213" s="1581"/>
      <c r="H213" s="967">
        <v>67</v>
      </c>
      <c r="I213" s="151">
        <v>6638.42</v>
      </c>
      <c r="J213" s="173">
        <v>0</v>
      </c>
      <c r="K213" s="151">
        <v>6638.42</v>
      </c>
      <c r="L213" s="170">
        <f>SUM(I213:K213)</f>
        <v>13276.84</v>
      </c>
      <c r="M213" s="1539">
        <f>IF(ISERROR(L213/(F213*752)),0,L213/(F213*752))</f>
        <v>2.5221960486322188</v>
      </c>
      <c r="N213" s="1540"/>
      <c r="O213" s="512"/>
      <c r="P213" s="512"/>
      <c r="Q213" s="1361"/>
      <c r="R213" s="512"/>
      <c r="S213" s="512"/>
      <c r="T213" s="512"/>
      <c r="U213" s="512"/>
    </row>
    <row r="214" spans="1:21" s="508" customFormat="1" ht="14" thickBot="1">
      <c r="A214" s="254" t="s">
        <v>235</v>
      </c>
      <c r="B214" s="1560">
        <f>Ontario!N262</f>
        <v>30</v>
      </c>
      <c r="C214" s="1544"/>
      <c r="D214" s="1570">
        <v>482312.3</v>
      </c>
      <c r="E214" s="1544"/>
      <c r="F214" s="1584">
        <v>1.3</v>
      </c>
      <c r="G214" s="1585"/>
      <c r="H214" s="967">
        <v>15</v>
      </c>
      <c r="I214" s="151">
        <v>0</v>
      </c>
      <c r="J214" s="173">
        <f>87990.5-K214</f>
        <v>34990.5</v>
      </c>
      <c r="K214" s="151">
        <f>26500*2</f>
        <v>53000</v>
      </c>
      <c r="L214" s="170">
        <f>J214+K214</f>
        <v>87990.5</v>
      </c>
      <c r="M214" s="1561">
        <f>IF(ISERROR(L214/(F214*752)),0,L214/(F214*752))</f>
        <v>90.006648936170208</v>
      </c>
      <c r="N214" s="1562"/>
      <c r="O214" s="512"/>
      <c r="P214" s="512"/>
      <c r="Q214" s="512"/>
      <c r="R214" s="512"/>
      <c r="S214" s="512"/>
      <c r="T214" s="512"/>
      <c r="U214" s="512"/>
    </row>
    <row r="215" spans="1:21" s="532" customFormat="1" ht="17" thickBot="1">
      <c r="A215" s="256" t="s">
        <v>60</v>
      </c>
      <c r="B215" s="1438">
        <f>SUM(B205:B214)</f>
        <v>1593</v>
      </c>
      <c r="C215" s="1439"/>
      <c r="D215" s="1441">
        <f>SUM(D205:E214)</f>
        <v>8761077.7052000016</v>
      </c>
      <c r="E215" s="1439"/>
      <c r="F215" s="1512">
        <f>SUM(F205:G214)</f>
        <v>26.752800000000004</v>
      </c>
      <c r="G215" s="1575"/>
      <c r="H215" s="547">
        <v>317</v>
      </c>
      <c r="I215" s="146">
        <f>SUM(I205:I214)</f>
        <v>6638.42</v>
      </c>
      <c r="J215" s="146">
        <f>SUM(J205:J214)</f>
        <v>48663.5</v>
      </c>
      <c r="K215" s="146">
        <f>SUM(K205:K214)</f>
        <v>91178.01999999999</v>
      </c>
      <c r="L215" s="312">
        <f>SUM(L205:L214)</f>
        <v>146479.94</v>
      </c>
      <c r="M215" s="1591"/>
      <c r="N215" s="1592"/>
      <c r="O215" s="1401"/>
      <c r="P215" s="1401"/>
      <c r="Q215" s="1401"/>
      <c r="R215" s="1401"/>
      <c r="S215" s="1401"/>
      <c r="T215" s="1401"/>
      <c r="U215" s="1401"/>
    </row>
    <row r="216" spans="1:21" ht="17" hidden="1" thickBot="1">
      <c r="A216" s="108" t="s">
        <v>191</v>
      </c>
      <c r="B216" s="1456"/>
      <c r="C216" s="1586"/>
      <c r="D216" s="1457"/>
      <c r="E216" s="1586"/>
      <c r="F216" s="1587"/>
      <c r="G216" s="1588"/>
      <c r="H216" s="555"/>
      <c r="I216" s="194"/>
      <c r="J216" s="194"/>
      <c r="K216" s="194"/>
      <c r="L216" s="195"/>
      <c r="M216" s="1593"/>
      <c r="N216" s="1542"/>
    </row>
    <row r="217" spans="1:21" hidden="1">
      <c r="A217" s="76" t="s">
        <v>146</v>
      </c>
      <c r="B217" s="1594">
        <v>0</v>
      </c>
      <c r="C217" s="1595"/>
      <c r="D217" s="1596">
        <f>F217*325851</f>
        <v>0</v>
      </c>
      <c r="E217" s="1595"/>
      <c r="F217" s="1597">
        <f>0.0425*B217</f>
        <v>0</v>
      </c>
      <c r="G217" s="1598"/>
      <c r="H217" s="548">
        <f>F217*20</f>
        <v>0</v>
      </c>
      <c r="I217" s="140">
        <f>73.34*B217</f>
        <v>0</v>
      </c>
      <c r="J217" s="140">
        <f>35.66*B217</f>
        <v>0</v>
      </c>
      <c r="K217" s="140">
        <f>B217*50</f>
        <v>0</v>
      </c>
      <c r="L217" s="217">
        <f>I217+J217+K217</f>
        <v>0</v>
      </c>
      <c r="M217" s="1599">
        <f>IF(ISERROR(L217/(F217*727)),0,L217/(F217*727))</f>
        <v>0</v>
      </c>
      <c r="N217" s="1600"/>
    </row>
    <row r="218" spans="1:21" ht="17" hidden="1" thickBot="1">
      <c r="A218" s="76" t="s">
        <v>181</v>
      </c>
      <c r="B218" s="1560">
        <v>0</v>
      </c>
      <c r="C218" s="1544"/>
      <c r="D218" s="1570">
        <f>F218*325851</f>
        <v>0</v>
      </c>
      <c r="E218" s="1544"/>
      <c r="F218" s="1601">
        <f>0.0425*B218</f>
        <v>0</v>
      </c>
      <c r="G218" s="1602"/>
      <c r="H218" s="548">
        <f>F218*20</f>
        <v>0</v>
      </c>
      <c r="I218" s="140">
        <f>73.34*B218</f>
        <v>0</v>
      </c>
      <c r="J218" s="140">
        <f>35.66*B218</f>
        <v>0</v>
      </c>
      <c r="K218" s="140">
        <f>B218*50</f>
        <v>0</v>
      </c>
      <c r="L218" s="217">
        <f>I218+J218+K218</f>
        <v>0</v>
      </c>
      <c r="M218" s="1561">
        <f>IF(ISERROR(L218/(F218*727)),0,L218/(F218*727))</f>
        <v>0</v>
      </c>
      <c r="N218" s="1562"/>
    </row>
    <row r="219" spans="1:21" s="532" customFormat="1" ht="17" hidden="1" thickBot="1">
      <c r="A219" s="53" t="s">
        <v>60</v>
      </c>
      <c r="B219" s="1564"/>
      <c r="C219" s="1453"/>
      <c r="D219" s="1452">
        <f>SUM(D217:D218)</f>
        <v>0</v>
      </c>
      <c r="E219" s="1603"/>
      <c r="F219" s="1604">
        <f>SUM(F217:F218)</f>
        <v>0</v>
      </c>
      <c r="G219" s="1554"/>
      <c r="H219" s="824">
        <f>SUM(H217:H218)</f>
        <v>0</v>
      </c>
      <c r="I219" s="859">
        <f>SUM(I217:I218)</f>
        <v>0</v>
      </c>
      <c r="J219" s="860">
        <f>SUM(J217:J218)</f>
        <v>0</v>
      </c>
      <c r="K219" s="860">
        <f>SUM(K217:K218)</f>
        <v>0</v>
      </c>
      <c r="L219" s="859">
        <f>SUM(L217:L218)</f>
        <v>0</v>
      </c>
      <c r="M219" s="1605"/>
      <c r="N219" s="1606"/>
      <c r="O219" s="1401"/>
      <c r="P219" s="1401"/>
      <c r="Q219" s="1401"/>
      <c r="R219" s="1401"/>
      <c r="S219" s="1401"/>
      <c r="T219" s="1401"/>
      <c r="U219" s="1401"/>
    </row>
    <row r="220" spans="1:21" s="1161" customFormat="1" ht="17" thickBot="1">
      <c r="A220" s="110" t="s">
        <v>194</v>
      </c>
      <c r="B220" s="1456"/>
      <c r="C220" s="1586"/>
      <c r="D220" s="1457"/>
      <c r="E220" s="1457"/>
      <c r="F220" s="1587"/>
      <c r="G220" s="1588"/>
      <c r="H220" s="447"/>
      <c r="I220" s="161"/>
      <c r="J220" s="161"/>
      <c r="K220" s="161"/>
      <c r="L220" s="161"/>
      <c r="M220" s="1589"/>
      <c r="N220" s="1590"/>
      <c r="O220" s="274"/>
      <c r="P220" s="274"/>
      <c r="Q220" s="274"/>
      <c r="R220" s="274"/>
      <c r="S220" s="274"/>
      <c r="T220" s="274"/>
      <c r="U220" s="274"/>
    </row>
    <row r="221" spans="1:21">
      <c r="A221" s="257" t="s">
        <v>29</v>
      </c>
      <c r="B221" s="1563">
        <f>Ontario!N270</f>
        <v>603</v>
      </c>
      <c r="C221" s="1424"/>
      <c r="D221" s="1536">
        <f>F221*325900</f>
        <v>8352002.25</v>
      </c>
      <c r="E221" s="1424"/>
      <c r="F221" s="1549">
        <f>0.0425*B221</f>
        <v>25.627500000000001</v>
      </c>
      <c r="G221" s="1550"/>
      <c r="H221" s="930">
        <f>F221*20</f>
        <v>512.55000000000007</v>
      </c>
      <c r="I221" s="151">
        <v>0</v>
      </c>
      <c r="J221" s="150">
        <v>4850</v>
      </c>
      <c r="K221" s="150">
        <v>9700</v>
      </c>
      <c r="L221" s="172">
        <f t="shared" ref="L221:L234" si="58">SUM(I221:K221)</f>
        <v>14550</v>
      </c>
      <c r="M221" s="1539">
        <f>IF(ISERROR(L221/(F221*752)),0,L221/(F221*752))</f>
        <v>0.75498602108356838</v>
      </c>
      <c r="N221" s="1540"/>
    </row>
    <row r="222" spans="1:21">
      <c r="A222" s="257" t="s">
        <v>51</v>
      </c>
      <c r="B222" s="1563">
        <f>Ontario!N271</f>
        <v>9</v>
      </c>
      <c r="C222" s="1424"/>
      <c r="D222" s="1536">
        <f>F222*325900</f>
        <v>359891.37</v>
      </c>
      <c r="E222" s="1424"/>
      <c r="F222" s="1549">
        <f>0.1227*B222</f>
        <v>1.1043000000000001</v>
      </c>
      <c r="G222" s="1550"/>
      <c r="H222" s="930">
        <f>F222*20</f>
        <v>22.086000000000002</v>
      </c>
      <c r="I222" s="151">
        <v>0</v>
      </c>
      <c r="J222" s="150">
        <f>50*B222</f>
        <v>450</v>
      </c>
      <c r="K222" s="150">
        <f>200*B222</f>
        <v>1800</v>
      </c>
      <c r="L222" s="172">
        <f t="shared" si="58"/>
        <v>2250</v>
      </c>
      <c r="M222" s="1539">
        <f t="shared" ref="M222:M234" si="59">IF(ISERROR(L222/(F222*752)),0,L222/(F222*752))</f>
        <v>2.7094279422219909</v>
      </c>
      <c r="N222" s="1540"/>
    </row>
    <row r="223" spans="1:21">
      <c r="A223" s="257" t="s">
        <v>204</v>
      </c>
      <c r="B223" s="1563">
        <f>Ontario!N272</f>
        <v>0</v>
      </c>
      <c r="C223" s="1424"/>
      <c r="D223" s="1536">
        <f t="shared" ref="D223:D230" si="60">F223*325851</f>
        <v>0</v>
      </c>
      <c r="E223" s="1424"/>
      <c r="F223" s="1549">
        <f>0.1227*B223</f>
        <v>0</v>
      </c>
      <c r="G223" s="1550"/>
      <c r="H223" s="930">
        <f>F223*5</f>
        <v>0</v>
      </c>
      <c r="I223" s="151">
        <v>0</v>
      </c>
      <c r="J223" s="150">
        <f>B223*1000</f>
        <v>0</v>
      </c>
      <c r="K223" s="150">
        <f>B223*1750</f>
        <v>0</v>
      </c>
      <c r="L223" s="172">
        <f t="shared" si="58"/>
        <v>0</v>
      </c>
      <c r="M223" s="1539">
        <f t="shared" si="59"/>
        <v>0</v>
      </c>
      <c r="N223" s="1540"/>
    </row>
    <row r="224" spans="1:21" hidden="1">
      <c r="A224" s="257" t="s">
        <v>13</v>
      </c>
      <c r="B224" s="1563">
        <f>Ontario!N273</f>
        <v>0</v>
      </c>
      <c r="C224" s="1424"/>
      <c r="D224" s="1536">
        <f t="shared" si="60"/>
        <v>0</v>
      </c>
      <c r="E224" s="1424"/>
      <c r="F224" s="1549">
        <f>0.1075*B224</f>
        <v>0</v>
      </c>
      <c r="G224" s="1550"/>
      <c r="H224" s="930">
        <f>F224*10</f>
        <v>0</v>
      </c>
      <c r="I224" s="151">
        <v>0</v>
      </c>
      <c r="J224" s="150">
        <f>100*B224</f>
        <v>0</v>
      </c>
      <c r="K224" s="150">
        <f>80*B224</f>
        <v>0</v>
      </c>
      <c r="L224" s="172">
        <f t="shared" si="58"/>
        <v>0</v>
      </c>
      <c r="M224" s="1539">
        <f t="shared" si="59"/>
        <v>0</v>
      </c>
      <c r="N224" s="1540"/>
    </row>
    <row r="225" spans="1:21" hidden="1">
      <c r="A225" s="254" t="s">
        <v>47</v>
      </c>
      <c r="B225" s="1563">
        <f>Ontario!N274</f>
        <v>0</v>
      </c>
      <c r="C225" s="1424"/>
      <c r="D225" s="1536">
        <f t="shared" si="60"/>
        <v>0</v>
      </c>
      <c r="E225" s="1424"/>
      <c r="F225" s="1549">
        <f>0.1534*B225</f>
        <v>0</v>
      </c>
      <c r="G225" s="1550"/>
      <c r="H225" s="930">
        <f>F225*5</f>
        <v>0</v>
      </c>
      <c r="I225" s="151">
        <v>0</v>
      </c>
      <c r="J225" s="150">
        <f>0*B225</f>
        <v>0</v>
      </c>
      <c r="K225" s="150">
        <f>150*B225</f>
        <v>0</v>
      </c>
      <c r="L225" s="172">
        <f t="shared" si="58"/>
        <v>0</v>
      </c>
      <c r="M225" s="1539">
        <f t="shared" si="59"/>
        <v>0</v>
      </c>
      <c r="N225" s="1540"/>
    </row>
    <row r="226" spans="1:21">
      <c r="A226" s="254" t="s">
        <v>30</v>
      </c>
      <c r="B226" s="1563">
        <f>Ontario!N275</f>
        <v>14</v>
      </c>
      <c r="C226" s="1424"/>
      <c r="D226" s="1536">
        <f>F226*325900</f>
        <v>1482845</v>
      </c>
      <c r="E226" s="1424"/>
      <c r="F226" s="1549">
        <f>0.325*B226</f>
        <v>4.55</v>
      </c>
      <c r="G226" s="1550"/>
      <c r="H226" s="930">
        <f>F226*10</f>
        <v>45.5</v>
      </c>
      <c r="I226" s="151">
        <v>0</v>
      </c>
      <c r="J226" s="151">
        <v>1398</v>
      </c>
      <c r="K226" s="151">
        <v>5386</v>
      </c>
      <c r="L226" s="172">
        <f t="shared" si="58"/>
        <v>6784</v>
      </c>
      <c r="M226" s="1539">
        <f t="shared" si="59"/>
        <v>1.9826981529109189</v>
      </c>
      <c r="N226" s="1540"/>
    </row>
    <row r="227" spans="1:21" hidden="1">
      <c r="A227" s="254" t="s">
        <v>53</v>
      </c>
      <c r="B227" s="1563">
        <f>Ontario!N276</f>
        <v>0</v>
      </c>
      <c r="C227" s="1424"/>
      <c r="D227" s="1536">
        <f t="shared" si="60"/>
        <v>0</v>
      </c>
      <c r="E227" s="1424"/>
      <c r="F227" s="1549">
        <f>0.00014*B227</f>
        <v>0</v>
      </c>
      <c r="G227" s="1550"/>
      <c r="H227" s="930">
        <f>F227*10</f>
        <v>0</v>
      </c>
      <c r="I227" s="151">
        <v>0</v>
      </c>
      <c r="J227" s="150">
        <f>0.45*B227</f>
        <v>0</v>
      </c>
      <c r="K227" s="150">
        <f>0.3*B227</f>
        <v>0</v>
      </c>
      <c r="L227" s="172">
        <f t="shared" si="58"/>
        <v>0</v>
      </c>
      <c r="M227" s="1539">
        <f t="shared" si="59"/>
        <v>0</v>
      </c>
      <c r="N227" s="1540"/>
    </row>
    <row r="228" spans="1:21">
      <c r="A228" s="254" t="s">
        <v>56</v>
      </c>
      <c r="B228" s="1563">
        <f>Ontario!N277</f>
        <v>608</v>
      </c>
      <c r="C228" s="1424"/>
      <c r="D228" s="1536">
        <f>F228*325900</f>
        <v>792588.79999999993</v>
      </c>
      <c r="E228" s="1424"/>
      <c r="F228" s="1549">
        <f>0.004*B228</f>
        <v>2.4319999999999999</v>
      </c>
      <c r="G228" s="1550"/>
      <c r="H228" s="930">
        <f>F228*5</f>
        <v>12.16</v>
      </c>
      <c r="I228" s="151">
        <v>0</v>
      </c>
      <c r="J228" s="150">
        <f>1*B228</f>
        <v>608</v>
      </c>
      <c r="K228" s="150">
        <v>928</v>
      </c>
      <c r="L228" s="172">
        <f t="shared" si="58"/>
        <v>1536</v>
      </c>
      <c r="M228" s="1539">
        <f t="shared" si="59"/>
        <v>0.83986562150055988</v>
      </c>
      <c r="N228" s="1540"/>
    </row>
    <row r="229" spans="1:21">
      <c r="A229" s="254" t="s">
        <v>122</v>
      </c>
      <c r="B229" s="1563">
        <f>Ontario!N278</f>
        <v>0</v>
      </c>
      <c r="C229" s="1424"/>
      <c r="D229" s="1536">
        <f>F229*325900</f>
        <v>0</v>
      </c>
      <c r="E229" s="1424"/>
      <c r="F229" s="1549">
        <f>0.018*B229</f>
        <v>0</v>
      </c>
      <c r="G229" s="1550"/>
      <c r="H229" s="930">
        <f>F229*10</f>
        <v>0</v>
      </c>
      <c r="I229" s="151">
        <v>0</v>
      </c>
      <c r="J229" s="150">
        <f>0*B229</f>
        <v>0</v>
      </c>
      <c r="K229" s="150">
        <f>13*B229</f>
        <v>0</v>
      </c>
      <c r="L229" s="172">
        <f t="shared" si="58"/>
        <v>0</v>
      </c>
      <c r="M229" s="1539">
        <f t="shared" si="59"/>
        <v>0</v>
      </c>
      <c r="N229" s="1540"/>
    </row>
    <row r="230" spans="1:21" hidden="1">
      <c r="A230" s="254" t="s">
        <v>102</v>
      </c>
      <c r="B230" s="1563">
        <f>Ontario!N279</f>
        <v>0</v>
      </c>
      <c r="C230" s="1424"/>
      <c r="D230" s="1536">
        <f t="shared" si="60"/>
        <v>0</v>
      </c>
      <c r="E230" s="1424"/>
      <c r="F230" s="1549">
        <f>0.018*B230</f>
        <v>0</v>
      </c>
      <c r="G230" s="1550"/>
      <c r="H230" s="930">
        <f>F230*10</f>
        <v>0</v>
      </c>
      <c r="I230" s="151">
        <v>0</v>
      </c>
      <c r="J230" s="150">
        <f>0*B230</f>
        <v>0</v>
      </c>
      <c r="K230" s="150">
        <f>13*B230</f>
        <v>0</v>
      </c>
      <c r="L230" s="172">
        <f t="shared" si="58"/>
        <v>0</v>
      </c>
      <c r="M230" s="1539">
        <f t="shared" si="59"/>
        <v>0</v>
      </c>
      <c r="N230" s="1540"/>
    </row>
    <row r="231" spans="1:21">
      <c r="A231" s="257" t="s">
        <v>184</v>
      </c>
      <c r="B231" s="1563">
        <f>Ontario!N280</f>
        <v>0</v>
      </c>
      <c r="C231" s="1424"/>
      <c r="D231" s="1536">
        <f>F231*325900</f>
        <v>0</v>
      </c>
      <c r="E231" s="1424"/>
      <c r="F231" s="1549">
        <f>0.018*B231</f>
        <v>0</v>
      </c>
      <c r="G231" s="1550"/>
      <c r="H231" s="930">
        <f>F231*10</f>
        <v>0</v>
      </c>
      <c r="I231" s="151">
        <v>0</v>
      </c>
      <c r="J231" s="150">
        <f>0*B231</f>
        <v>0</v>
      </c>
      <c r="K231" s="150">
        <f>13*B231</f>
        <v>0</v>
      </c>
      <c r="L231" s="172">
        <f t="shared" si="58"/>
        <v>0</v>
      </c>
      <c r="M231" s="1539">
        <f t="shared" si="59"/>
        <v>0</v>
      </c>
      <c r="N231" s="1540"/>
    </row>
    <row r="232" spans="1:21" s="353" customFormat="1">
      <c r="A232" s="258" t="s">
        <v>187</v>
      </c>
      <c r="B232" s="1563">
        <f>Ontario!N281</f>
        <v>0</v>
      </c>
      <c r="C232" s="1424"/>
      <c r="D232" s="1578">
        <f>F232*325900</f>
        <v>0</v>
      </c>
      <c r="E232" s="1579"/>
      <c r="F232" s="1580">
        <f>B232*0.023</f>
        <v>0</v>
      </c>
      <c r="G232" s="1581"/>
      <c r="H232" s="967">
        <f>F232*5</f>
        <v>0</v>
      </c>
      <c r="I232" s="151">
        <v>0</v>
      </c>
      <c r="J232" s="151">
        <f>10*B232</f>
        <v>0</v>
      </c>
      <c r="K232" s="151">
        <f>10*B232</f>
        <v>0</v>
      </c>
      <c r="L232" s="170">
        <f t="shared" si="58"/>
        <v>0</v>
      </c>
      <c r="M232" s="1539">
        <f t="shared" si="59"/>
        <v>0</v>
      </c>
      <c r="N232" s="1540"/>
      <c r="O232" s="274"/>
      <c r="P232" s="274"/>
      <c r="Q232" s="274"/>
      <c r="R232" s="274"/>
      <c r="S232" s="274"/>
      <c r="T232" s="274"/>
      <c r="U232" s="274"/>
    </row>
    <row r="233" spans="1:21" s="353" customFormat="1">
      <c r="A233" s="258" t="s">
        <v>188</v>
      </c>
      <c r="B233" s="1563">
        <f>Ontario!N282</f>
        <v>0</v>
      </c>
      <c r="C233" s="1424"/>
      <c r="D233" s="1578">
        <f>F233*325900</f>
        <v>0</v>
      </c>
      <c r="E233" s="1579"/>
      <c r="F233" s="1580">
        <f>0.018*B233</f>
        <v>0</v>
      </c>
      <c r="G233" s="1581"/>
      <c r="H233" s="967">
        <f>F233*10</f>
        <v>0</v>
      </c>
      <c r="I233" s="151">
        <v>0</v>
      </c>
      <c r="J233" s="151">
        <f>0*B233</f>
        <v>0</v>
      </c>
      <c r="K233" s="151">
        <f>13*B233</f>
        <v>0</v>
      </c>
      <c r="L233" s="170">
        <f t="shared" si="58"/>
        <v>0</v>
      </c>
      <c r="M233" s="1539">
        <f t="shared" si="59"/>
        <v>0</v>
      </c>
      <c r="N233" s="1540"/>
      <c r="O233" s="274"/>
      <c r="P233" s="274"/>
      <c r="Q233" s="274"/>
      <c r="R233" s="274"/>
      <c r="S233" s="274"/>
      <c r="T233" s="274"/>
      <c r="U233" s="274"/>
    </row>
    <row r="234" spans="1:21" s="353" customFormat="1" ht="17" thickBot="1">
      <c r="A234" s="561" t="s">
        <v>256</v>
      </c>
      <c r="B234" s="1560">
        <v>14</v>
      </c>
      <c r="C234" s="1544"/>
      <c r="D234" s="1582">
        <f>F234*325900</f>
        <v>4683248.18</v>
      </c>
      <c r="E234" s="1583"/>
      <c r="F234" s="1584">
        <f>110540*0.00013</f>
        <v>14.370199999999999</v>
      </c>
      <c r="G234" s="1585"/>
      <c r="H234" s="961">
        <f>F234*10</f>
        <v>143.702</v>
      </c>
      <c r="I234" s="219">
        <v>0</v>
      </c>
      <c r="J234" s="219">
        <v>86447</v>
      </c>
      <c r="K234" s="219">
        <v>225494</v>
      </c>
      <c r="L234" s="306">
        <f t="shared" si="58"/>
        <v>311941</v>
      </c>
      <c r="M234" s="1561">
        <f t="shared" si="59"/>
        <v>28.866345602320646</v>
      </c>
      <c r="N234" s="1562"/>
      <c r="O234" s="274"/>
      <c r="P234" s="274"/>
      <c r="Q234" s="274"/>
      <c r="R234" s="274"/>
      <c r="S234" s="274"/>
      <c r="T234" s="274"/>
      <c r="U234" s="274"/>
    </row>
    <row r="235" spans="1:21" s="353" customFormat="1" ht="17" hidden="1" thickBot="1">
      <c r="A235" s="561"/>
      <c r="B235" s="780"/>
      <c r="C235" s="781"/>
      <c r="D235" s="782"/>
      <c r="E235" s="783"/>
      <c r="F235" s="788"/>
      <c r="G235" s="789"/>
      <c r="H235" s="789"/>
      <c r="I235" s="151"/>
      <c r="J235" s="151"/>
      <c r="K235" s="151"/>
      <c r="L235" s="170"/>
      <c r="M235" s="784"/>
      <c r="N235" s="785"/>
      <c r="O235" s="274"/>
      <c r="P235" s="274"/>
      <c r="Q235" s="274"/>
      <c r="R235" s="274"/>
      <c r="S235" s="274"/>
      <c r="T235" s="274"/>
      <c r="U235" s="274"/>
    </row>
    <row r="236" spans="1:21" s="1161" customFormat="1" ht="17" thickBot="1">
      <c r="A236" s="110" t="s">
        <v>192</v>
      </c>
      <c r="B236" s="1456"/>
      <c r="C236" s="1457"/>
      <c r="D236" s="1567"/>
      <c r="E236" s="1457"/>
      <c r="F236" s="1568"/>
      <c r="G236" s="1569"/>
      <c r="H236" s="1144"/>
      <c r="I236" s="1232"/>
      <c r="J236" s="1232"/>
      <c r="K236" s="1232"/>
      <c r="L236" s="161"/>
      <c r="M236" s="1485"/>
      <c r="N236" s="1486"/>
      <c r="O236" s="274"/>
      <c r="P236" s="274"/>
      <c r="Q236" s="274"/>
      <c r="R236" s="274"/>
      <c r="S236" s="274"/>
      <c r="T236" s="274"/>
      <c r="U236" s="274"/>
    </row>
    <row r="237" spans="1:21" s="508" customFormat="1" ht="13" hidden="1">
      <c r="A237" s="76" t="s">
        <v>167</v>
      </c>
      <c r="B237" s="1563"/>
      <c r="C237" s="1424"/>
      <c r="D237" s="1536">
        <f>F237*325851</f>
        <v>0</v>
      </c>
      <c r="E237" s="1424"/>
      <c r="F237" s="1547">
        <f>0.018*B237</f>
        <v>0</v>
      </c>
      <c r="G237" s="1548"/>
      <c r="H237" s="505">
        <f>F237*10</f>
        <v>0</v>
      </c>
      <c r="I237" s="323">
        <v>0</v>
      </c>
      <c r="J237" s="140">
        <f>0*B237</f>
        <v>0</v>
      </c>
      <c r="K237" s="140">
        <f>13*B237</f>
        <v>0</v>
      </c>
      <c r="L237" s="217">
        <f>SUM(I237:K237)</f>
        <v>0</v>
      </c>
      <c r="M237" s="1539">
        <f>IF(ISERROR(L237/(F237*727)),0,L237/(F237*727))</f>
        <v>0</v>
      </c>
      <c r="N237" s="1540"/>
      <c r="O237" s="512"/>
      <c r="P237" s="512"/>
      <c r="Q237" s="512"/>
      <c r="R237" s="512"/>
      <c r="S237" s="512"/>
      <c r="T237" s="512"/>
      <c r="U237" s="512"/>
    </row>
    <row r="238" spans="1:21" s="508" customFormat="1" ht="14" thickBot="1">
      <c r="A238" s="76" t="s">
        <v>165</v>
      </c>
      <c r="B238" s="1560">
        <f>Ontario!N286</f>
        <v>3831</v>
      </c>
      <c r="C238" s="1544"/>
      <c r="D238" s="1570">
        <f>F238*325900</f>
        <v>4994091.5999999996</v>
      </c>
      <c r="E238" s="1544"/>
      <c r="F238" s="1571">
        <f>0.004*B238</f>
        <v>15.324</v>
      </c>
      <c r="G238" s="1572"/>
      <c r="H238" s="930">
        <f>F238*5</f>
        <v>76.62</v>
      </c>
      <c r="I238" s="215">
        <v>0</v>
      </c>
      <c r="J238" s="140">
        <f>0*B238</f>
        <v>0</v>
      </c>
      <c r="K238" s="140">
        <f>B238*3.25</f>
        <v>12450.75</v>
      </c>
      <c r="L238" s="217">
        <f>SUM(I238:K238)</f>
        <v>12450.75</v>
      </c>
      <c r="M238" s="1561">
        <f>IF(ISERROR(L238/(F238*752)),0,L238/(F238*752))</f>
        <v>1.0804521276595744</v>
      </c>
      <c r="N238" s="1562"/>
      <c r="O238" s="512"/>
      <c r="P238" s="512"/>
      <c r="Q238" s="512"/>
      <c r="R238" s="512"/>
      <c r="S238" s="512"/>
      <c r="T238" s="512"/>
      <c r="U238" s="512"/>
    </row>
    <row r="239" spans="1:21" s="532" customFormat="1" ht="17" thickBot="1">
      <c r="A239" s="53" t="s">
        <v>60</v>
      </c>
      <c r="B239" s="1438">
        <f>SUM(B221:C238)</f>
        <v>5079</v>
      </c>
      <c r="C239" s="1439"/>
      <c r="D239" s="1573">
        <f>SUM(D221:E238)</f>
        <v>20664667.199999999</v>
      </c>
      <c r="E239" s="1574"/>
      <c r="F239" s="1512">
        <f>SUM(F221:G238)</f>
        <v>63.407999999999994</v>
      </c>
      <c r="G239" s="1575"/>
      <c r="H239" s="504">
        <f>SUM(H221:H238)</f>
        <v>812.61800000000005</v>
      </c>
      <c r="I239" s="146">
        <f>SUM(I221:I238)</f>
        <v>0</v>
      </c>
      <c r="J239" s="146">
        <f>SUM(J221:J238)</f>
        <v>93753</v>
      </c>
      <c r="K239" s="146">
        <f>SUM(K221:K238)</f>
        <v>255758.75</v>
      </c>
      <c r="L239" s="146">
        <f>SUM(L221:L238)</f>
        <v>349511.75</v>
      </c>
      <c r="M239" s="1576"/>
      <c r="N239" s="1577"/>
      <c r="O239" s="1401"/>
      <c r="P239" s="1401"/>
      <c r="Q239" s="1401"/>
      <c r="R239" s="1401"/>
      <c r="S239" s="1401"/>
      <c r="T239" s="1401"/>
      <c r="U239" s="1401"/>
    </row>
    <row r="240" spans="1:21" s="1161" customFormat="1" ht="17" thickBot="1">
      <c r="A240" s="1163" t="s">
        <v>17</v>
      </c>
      <c r="B240" s="1414">
        <f>B239+B215</f>
        <v>6672</v>
      </c>
      <c r="C240" s="1415"/>
      <c r="D240" s="1416">
        <f>SUM(,D215,D219,D239)</f>
        <v>29425744.905200001</v>
      </c>
      <c r="E240" s="1415"/>
      <c r="F240" s="1487">
        <f>SUM(,F215,F219,F239)</f>
        <v>90.160799999999995</v>
      </c>
      <c r="G240" s="1488"/>
      <c r="H240" s="1164">
        <f>(H239+H215+H219)</f>
        <v>1129.6179999999999</v>
      </c>
      <c r="I240" s="1165">
        <f>SUM(,I215,I219,I239)</f>
        <v>6638.42</v>
      </c>
      <c r="J240" s="1165">
        <f>SUM(,J215,J219,J239)</f>
        <v>142416.5</v>
      </c>
      <c r="K240" s="1165">
        <f>SUM(,K215,K219,K239)</f>
        <v>346936.77</v>
      </c>
      <c r="L240" s="1165">
        <f>SUM(,L215,L219,L239)</f>
        <v>495991.69</v>
      </c>
      <c r="M240" s="1417"/>
      <c r="N240" s="1418"/>
      <c r="O240" s="274"/>
      <c r="P240" s="274"/>
      <c r="Q240" s="274"/>
      <c r="R240" s="274"/>
      <c r="S240" s="274"/>
      <c r="T240" s="274"/>
      <c r="U240" s="274"/>
    </row>
    <row r="241" spans="1:21">
      <c r="A241" s="343"/>
      <c r="B241" s="354"/>
      <c r="C241" s="354"/>
      <c r="D241" s="354"/>
      <c r="E241" s="354"/>
      <c r="F241" s="455"/>
      <c r="G241" s="455"/>
      <c r="H241" s="455"/>
      <c r="I241" s="355"/>
      <c r="J241" s="355"/>
      <c r="K241" s="355"/>
      <c r="L241" s="355"/>
      <c r="M241" s="394"/>
      <c r="N241" s="394"/>
    </row>
    <row r="242" spans="1:21" ht="18">
      <c r="A242" s="356" t="s">
        <v>271</v>
      </c>
      <c r="B242" s="1566" t="s">
        <v>59</v>
      </c>
      <c r="C242" s="1566"/>
      <c r="D242" s="1566"/>
      <c r="E242" s="1566"/>
      <c r="F242" s="455"/>
      <c r="G242" s="455"/>
      <c r="H242" s="455"/>
      <c r="I242" s="355"/>
      <c r="J242" s="355"/>
      <c r="K242" s="355"/>
      <c r="L242" s="355"/>
      <c r="M242" s="394"/>
      <c r="N242" s="394"/>
    </row>
    <row r="243" spans="1:21">
      <c r="B243" s="1559" t="s">
        <v>19</v>
      </c>
      <c r="C243" s="1559"/>
      <c r="D243" s="1559"/>
      <c r="E243" s="1559"/>
      <c r="F243" s="455"/>
      <c r="G243" s="455"/>
      <c r="H243" s="455"/>
      <c r="I243" s="355"/>
      <c r="J243" s="355"/>
      <c r="K243" s="355"/>
      <c r="L243" s="355"/>
      <c r="M243" s="394"/>
      <c r="N243" s="394"/>
    </row>
    <row r="244" spans="1:21" ht="17" thickBot="1">
      <c r="B244" s="495"/>
      <c r="C244" s="495"/>
      <c r="D244" s="495"/>
      <c r="E244" s="495"/>
      <c r="F244" s="455"/>
      <c r="G244" s="455"/>
      <c r="H244" s="455"/>
      <c r="I244" s="355"/>
      <c r="J244" s="355"/>
      <c r="K244" s="355"/>
      <c r="L244" s="355"/>
      <c r="M244" s="495"/>
      <c r="N244" s="495"/>
    </row>
    <row r="245" spans="1:21">
      <c r="A245" s="98"/>
      <c r="B245" s="99"/>
      <c r="C245" s="99"/>
      <c r="D245" s="99"/>
      <c r="E245" s="99"/>
      <c r="F245" s="421"/>
      <c r="G245" s="421"/>
      <c r="H245" s="421"/>
      <c r="I245" s="1468" t="s">
        <v>0</v>
      </c>
      <c r="J245" s="1468"/>
      <c r="K245" s="1468"/>
      <c r="L245" s="1468"/>
      <c r="M245" s="99"/>
      <c r="N245" s="101"/>
    </row>
    <row r="246" spans="1:21">
      <c r="A246" s="97"/>
      <c r="B246" s="1469" t="s">
        <v>1</v>
      </c>
      <c r="C246" s="1469"/>
      <c r="D246" s="1469" t="s">
        <v>2</v>
      </c>
      <c r="E246" s="1469"/>
      <c r="F246" s="1470" t="s">
        <v>3</v>
      </c>
      <c r="G246" s="1470"/>
      <c r="H246" s="496" t="s">
        <v>3</v>
      </c>
      <c r="I246" s="127" t="s">
        <v>195</v>
      </c>
      <c r="J246" s="102"/>
      <c r="K246" s="102"/>
      <c r="L246" s="128"/>
      <c r="M246" s="1469" t="s">
        <v>4</v>
      </c>
      <c r="N246" s="1526"/>
    </row>
    <row r="247" spans="1:21" ht="19" thickBot="1">
      <c r="A247" s="103" t="s">
        <v>5</v>
      </c>
      <c r="B247" s="1473" t="s">
        <v>6</v>
      </c>
      <c r="C247" s="1473"/>
      <c r="D247" s="1473" t="s">
        <v>7</v>
      </c>
      <c r="E247" s="1473"/>
      <c r="F247" s="1474" t="s">
        <v>7</v>
      </c>
      <c r="G247" s="1474"/>
      <c r="H247" s="499" t="s">
        <v>58</v>
      </c>
      <c r="I247" s="500" t="s">
        <v>196</v>
      </c>
      <c r="J247" s="498" t="s">
        <v>8</v>
      </c>
      <c r="K247" s="498" t="s">
        <v>9</v>
      </c>
      <c r="L247" s="401" t="s">
        <v>10</v>
      </c>
      <c r="M247" s="1473" t="s">
        <v>145</v>
      </c>
      <c r="N247" s="1475"/>
    </row>
    <row r="248" spans="1:21" ht="24" thickBot="1">
      <c r="A248" s="88" t="s">
        <v>211</v>
      </c>
      <c r="B248" s="1623"/>
      <c r="C248" s="1624"/>
      <c r="D248" s="1625"/>
      <c r="E248" s="1626"/>
      <c r="F248" s="1627"/>
      <c r="G248" s="1628"/>
      <c r="H248" s="501"/>
      <c r="I248" s="351"/>
      <c r="J248" s="351"/>
      <c r="K248" s="351"/>
      <c r="L248" s="352"/>
      <c r="M248" s="1629"/>
      <c r="N248" s="1630"/>
    </row>
    <row r="249" spans="1:21" s="1161" customFormat="1" ht="17" thickBot="1">
      <c r="A249" s="108" t="s">
        <v>189</v>
      </c>
      <c r="B249" s="1457"/>
      <c r="C249" s="1586"/>
      <c r="D249" s="1567"/>
      <c r="E249" s="1586"/>
      <c r="F249" s="1587"/>
      <c r="G249" s="1588"/>
      <c r="H249" s="1145"/>
      <c r="I249" s="109"/>
      <c r="J249" s="109"/>
      <c r="K249" s="109"/>
      <c r="L249" s="1141"/>
      <c r="M249" s="1617"/>
      <c r="N249" s="1486"/>
      <c r="O249" s="274"/>
      <c r="P249" s="274"/>
      <c r="Q249" s="274"/>
      <c r="R249" s="274"/>
      <c r="S249" s="274"/>
      <c r="T249" s="274"/>
      <c r="U249" s="274"/>
    </row>
    <row r="250" spans="1:21" s="508" customFormat="1" ht="13">
      <c r="A250" s="78" t="s">
        <v>29</v>
      </c>
      <c r="B250" s="1536">
        <f>Ontario!N215</f>
        <v>49</v>
      </c>
      <c r="C250" s="1424"/>
      <c r="D250" s="1423">
        <f t="shared" ref="D250:D255" si="61">F250*325851</f>
        <v>678584.70750000002</v>
      </c>
      <c r="E250" s="1424"/>
      <c r="F250" s="1549">
        <f>0.0425*B250</f>
        <v>2.0825</v>
      </c>
      <c r="G250" s="1550"/>
      <c r="H250" s="930">
        <f>F250*20</f>
        <v>41.65</v>
      </c>
      <c r="I250" s="151">
        <v>0</v>
      </c>
      <c r="J250" s="150">
        <f>50*B250</f>
        <v>2450</v>
      </c>
      <c r="K250" s="150">
        <f>B250*50</f>
        <v>2450</v>
      </c>
      <c r="L250" s="172">
        <f t="shared" ref="L250:L255" si="62">I250+J250+K250</f>
        <v>4900</v>
      </c>
      <c r="M250" s="1539">
        <f t="shared" ref="M250:M255" si="63">IF(ISERROR(L250/(F250*752)),0,L250/(F250*752))</f>
        <v>3.1289111389236548</v>
      </c>
      <c r="N250" s="1540"/>
      <c r="O250" s="512"/>
      <c r="P250" s="512"/>
      <c r="Q250" s="512"/>
      <c r="R250" s="512"/>
      <c r="S250" s="512"/>
      <c r="T250" s="512"/>
      <c r="U250" s="512"/>
    </row>
    <row r="251" spans="1:21" s="508" customFormat="1" ht="13">
      <c r="A251" s="78" t="s">
        <v>33</v>
      </c>
      <c r="B251" s="1563">
        <f>Ontario!N216</f>
        <v>140</v>
      </c>
      <c r="C251" s="1424"/>
      <c r="D251" s="1423">
        <f t="shared" si="61"/>
        <v>1259088.264</v>
      </c>
      <c r="E251" s="1424"/>
      <c r="F251" s="1549">
        <f>0.0276*B251</f>
        <v>3.8639999999999999</v>
      </c>
      <c r="G251" s="1550"/>
      <c r="H251" s="930">
        <f>F251*15</f>
        <v>57.96</v>
      </c>
      <c r="I251" s="150">
        <f>0*B251</f>
        <v>0</v>
      </c>
      <c r="J251" s="150">
        <f>B251*65</f>
        <v>9100</v>
      </c>
      <c r="K251" s="150">
        <f>B251*85</f>
        <v>11900</v>
      </c>
      <c r="L251" s="172">
        <f t="shared" si="62"/>
        <v>21000</v>
      </c>
      <c r="M251" s="1539">
        <f t="shared" si="63"/>
        <v>7.227104532839963</v>
      </c>
      <c r="N251" s="1540"/>
      <c r="O251" s="512"/>
      <c r="P251" s="512"/>
      <c r="Q251" s="512"/>
      <c r="R251" s="512"/>
      <c r="S251" s="512"/>
      <c r="T251" s="512"/>
      <c r="U251" s="512"/>
    </row>
    <row r="252" spans="1:21" s="508" customFormat="1" ht="13">
      <c r="A252" s="78" t="s">
        <v>56</v>
      </c>
      <c r="B252" s="1563">
        <f>Ontario!N217</f>
        <v>0</v>
      </c>
      <c r="C252" s="1424"/>
      <c r="D252" s="1423">
        <f t="shared" si="61"/>
        <v>0</v>
      </c>
      <c r="E252" s="1424"/>
      <c r="F252" s="1549">
        <f>0.0044*B252</f>
        <v>0</v>
      </c>
      <c r="G252" s="1550"/>
      <c r="H252" s="930">
        <f>F252*5</f>
        <v>0</v>
      </c>
      <c r="I252" s="150">
        <f>0*B252</f>
        <v>0</v>
      </c>
      <c r="J252" s="150">
        <f>1*B252</f>
        <v>0</v>
      </c>
      <c r="K252" s="150">
        <f>B252*4</f>
        <v>0</v>
      </c>
      <c r="L252" s="172">
        <f t="shared" si="62"/>
        <v>0</v>
      </c>
      <c r="M252" s="1539">
        <f t="shared" si="63"/>
        <v>0</v>
      </c>
      <c r="N252" s="1540"/>
      <c r="O252" s="512"/>
      <c r="P252" s="512"/>
      <c r="Q252" s="512"/>
      <c r="R252" s="512"/>
      <c r="S252" s="512"/>
      <c r="T252" s="512"/>
      <c r="U252" s="512"/>
    </row>
    <row r="253" spans="1:21" s="508" customFormat="1" ht="13">
      <c r="A253" s="78" t="s">
        <v>52</v>
      </c>
      <c r="B253" s="1563">
        <f>Ontario!N218</f>
        <v>2</v>
      </c>
      <c r="C253" s="1424"/>
      <c r="D253" s="1423">
        <f t="shared" si="61"/>
        <v>211803.15</v>
      </c>
      <c r="E253" s="1424"/>
      <c r="F253" s="1557">
        <f>0.325*B253</f>
        <v>0.65</v>
      </c>
      <c r="G253" s="1558"/>
      <c r="H253" s="935">
        <f>F253*10</f>
        <v>6.5</v>
      </c>
      <c r="I253" s="151">
        <v>0</v>
      </c>
      <c r="J253" s="173">
        <f>70*B253</f>
        <v>140</v>
      </c>
      <c r="K253" s="173">
        <f>B253*80</f>
        <v>160</v>
      </c>
      <c r="L253" s="174">
        <f t="shared" si="62"/>
        <v>300</v>
      </c>
      <c r="M253" s="1539">
        <f t="shared" si="63"/>
        <v>0.61374795417348604</v>
      </c>
      <c r="N253" s="1540"/>
      <c r="O253" s="512"/>
      <c r="P253" s="512"/>
      <c r="Q253" s="512"/>
      <c r="R253" s="512"/>
      <c r="S253" s="512"/>
      <c r="T253" s="512"/>
      <c r="U253" s="512"/>
    </row>
    <row r="254" spans="1:21" s="508" customFormat="1" ht="13" hidden="1">
      <c r="A254" s="76" t="s">
        <v>182</v>
      </c>
      <c r="B254" s="1563">
        <f>Ontario!N219</f>
        <v>0</v>
      </c>
      <c r="C254" s="1424"/>
      <c r="D254" s="1423">
        <f t="shared" si="61"/>
        <v>0</v>
      </c>
      <c r="E254" s="1424"/>
      <c r="F254" s="1557">
        <f>0.325*B254</f>
        <v>0</v>
      </c>
      <c r="G254" s="1558"/>
      <c r="H254" s="935">
        <f>F254*10</f>
        <v>0</v>
      </c>
      <c r="I254" s="151">
        <v>0</v>
      </c>
      <c r="J254" s="173">
        <f>70*B254</f>
        <v>0</v>
      </c>
      <c r="K254" s="173">
        <f>B254*80</f>
        <v>0</v>
      </c>
      <c r="L254" s="174">
        <f t="shared" si="62"/>
        <v>0</v>
      </c>
      <c r="M254" s="1539">
        <f t="shared" si="63"/>
        <v>0</v>
      </c>
      <c r="N254" s="1540"/>
      <c r="O254" s="512"/>
      <c r="P254" s="512"/>
      <c r="Q254" s="512"/>
      <c r="R254" s="512"/>
      <c r="S254" s="512"/>
      <c r="T254" s="512"/>
      <c r="U254" s="512"/>
    </row>
    <row r="255" spans="1:21" s="508" customFormat="1" ht="14" thickBot="1">
      <c r="A255" s="76" t="s">
        <v>214</v>
      </c>
      <c r="B255" s="1563">
        <f>Ontario!N220</f>
        <v>0</v>
      </c>
      <c r="C255" s="1424"/>
      <c r="D255" s="1423">
        <f t="shared" si="61"/>
        <v>0</v>
      </c>
      <c r="E255" s="1424"/>
      <c r="F255" s="1557">
        <f>0.325*B255</f>
        <v>0</v>
      </c>
      <c r="G255" s="1558"/>
      <c r="H255" s="935">
        <f>F255*5</f>
        <v>0</v>
      </c>
      <c r="I255" s="151">
        <v>0</v>
      </c>
      <c r="J255" s="173">
        <f>0*B255</f>
        <v>0</v>
      </c>
      <c r="K255" s="173">
        <f>B255*75</f>
        <v>0</v>
      </c>
      <c r="L255" s="174">
        <f t="shared" si="62"/>
        <v>0</v>
      </c>
      <c r="M255" s="1539">
        <f t="shared" si="63"/>
        <v>0</v>
      </c>
      <c r="N255" s="1540"/>
      <c r="O255" s="512"/>
      <c r="P255" s="512"/>
      <c r="Q255" s="512"/>
      <c r="R255" s="512"/>
      <c r="S255" s="512"/>
      <c r="T255" s="512"/>
      <c r="U255" s="512"/>
    </row>
    <row r="256" spans="1:21" s="1161" customFormat="1" ht="17" thickBot="1">
      <c r="A256" s="108" t="s">
        <v>190</v>
      </c>
      <c r="B256" s="1456"/>
      <c r="C256" s="1586"/>
      <c r="D256" s="1567"/>
      <c r="E256" s="1586"/>
      <c r="F256" s="1619"/>
      <c r="G256" s="1620"/>
      <c r="H256" s="1157"/>
      <c r="I256" s="194"/>
      <c r="J256" s="194"/>
      <c r="K256" s="194"/>
      <c r="L256" s="195"/>
      <c r="M256" s="1593"/>
      <c r="N256" s="1542"/>
      <c r="O256" s="274"/>
      <c r="P256" s="274"/>
      <c r="Q256" s="274"/>
      <c r="R256" s="274"/>
      <c r="S256" s="274"/>
      <c r="T256" s="274"/>
      <c r="U256" s="274"/>
    </row>
    <row r="257" spans="1:21" s="508" customFormat="1" ht="13">
      <c r="A257" s="76" t="s">
        <v>205</v>
      </c>
      <c r="B257" s="1594">
        <f>Ontario!N222</f>
        <v>1014</v>
      </c>
      <c r="C257" s="1595"/>
      <c r="D257" s="1423">
        <f>F257*325851</f>
        <v>1321651.656</v>
      </c>
      <c r="E257" s="1424"/>
      <c r="F257" s="1557">
        <f>B257*0.004</f>
        <v>4.056</v>
      </c>
      <c r="G257" s="1558"/>
      <c r="H257" s="935">
        <f>F257*5</f>
        <v>20.28</v>
      </c>
      <c r="I257" s="151">
        <v>0</v>
      </c>
      <c r="J257" s="151">
        <v>0</v>
      </c>
      <c r="K257" s="173">
        <f>B257*3.25</f>
        <v>3295.5</v>
      </c>
      <c r="L257" s="174">
        <f>I257+J257+K257</f>
        <v>3295.5</v>
      </c>
      <c r="M257" s="1539">
        <f>IF(ISERROR(L257/(F257*752)),0,L257/(F257*752))</f>
        <v>1.0804521276595744</v>
      </c>
      <c r="N257" s="1540"/>
      <c r="O257" s="512"/>
      <c r="P257" s="512"/>
      <c r="Q257" s="512"/>
      <c r="R257" s="512"/>
      <c r="S257" s="512"/>
      <c r="T257" s="512"/>
      <c r="U257" s="512"/>
    </row>
    <row r="258" spans="1:21" s="508" customFormat="1" ht="13">
      <c r="A258" s="76" t="s">
        <v>226</v>
      </c>
      <c r="B258" s="1563">
        <f>Ontario!N223</f>
        <v>31</v>
      </c>
      <c r="C258" s="1424"/>
      <c r="D258" s="1423">
        <f>F258*325851</f>
        <v>755974.32</v>
      </c>
      <c r="E258" s="1424"/>
      <c r="F258" s="1580">
        <v>2.3199999999999998</v>
      </c>
      <c r="G258" s="1581"/>
      <c r="H258" s="967">
        <v>179</v>
      </c>
      <c r="I258" s="151">
        <v>15080.47</v>
      </c>
      <c r="J258" s="173">
        <v>0</v>
      </c>
      <c r="K258" s="151">
        <v>15080.47</v>
      </c>
      <c r="L258" s="170">
        <f>SUM(I258:K258)</f>
        <v>30160.94</v>
      </c>
      <c r="M258" s="1539">
        <f>IF(ISERROR(L258/(F258*752)),0,L258/(F258*752))</f>
        <v>17.287772835656639</v>
      </c>
      <c r="N258" s="1540"/>
      <c r="O258" s="512"/>
      <c r="P258" s="512"/>
      <c r="Q258" s="512"/>
      <c r="R258" s="512"/>
      <c r="S258" s="512"/>
      <c r="T258" s="512"/>
      <c r="U258" s="512"/>
    </row>
    <row r="259" spans="1:21" s="508" customFormat="1" ht="14" thickBot="1">
      <c r="A259" s="76" t="s">
        <v>224</v>
      </c>
      <c r="B259" s="1560">
        <f>Ontario!N224</f>
        <v>11</v>
      </c>
      <c r="C259" s="1544"/>
      <c r="D259" s="1423">
        <f>F259*325851</f>
        <v>482239.92893999995</v>
      </c>
      <c r="E259" s="1424"/>
      <c r="F259" s="1584">
        <f>10571*0.00014</f>
        <v>1.4799399999999998</v>
      </c>
      <c r="G259" s="1585"/>
      <c r="H259" s="967">
        <f>F259*10</f>
        <v>14.799399999999999</v>
      </c>
      <c r="I259" s="151">
        <v>0</v>
      </c>
      <c r="J259" s="173">
        <v>17121.93</v>
      </c>
      <c r="K259" s="151">
        <v>14571</v>
      </c>
      <c r="L259" s="170">
        <v>0</v>
      </c>
      <c r="M259" s="1539">
        <f>IF(ISERROR(L259/(F259*752)),0,L259/(F259*752))</f>
        <v>0</v>
      </c>
      <c r="N259" s="1540"/>
      <c r="O259" s="512"/>
      <c r="P259" s="512"/>
      <c r="Q259" s="512"/>
      <c r="R259" s="512"/>
      <c r="S259" s="512"/>
      <c r="T259" s="512"/>
      <c r="U259" s="512"/>
    </row>
    <row r="260" spans="1:21" s="533" customFormat="1" ht="14" thickBot="1">
      <c r="A260" s="53" t="s">
        <v>60</v>
      </c>
      <c r="B260" s="1438">
        <f>SUM(B250:C259)</f>
        <v>1247</v>
      </c>
      <c r="C260" s="1439"/>
      <c r="D260" s="1440">
        <f>SUM(D250:E259)</f>
        <v>4709342.0264400002</v>
      </c>
      <c r="E260" s="1621"/>
      <c r="F260" s="1511">
        <f>SUM(F250:G259)</f>
        <v>14.452439999999999</v>
      </c>
      <c r="G260" s="1575"/>
      <c r="H260" s="504">
        <f>SUM(H250:H259)</f>
        <v>320.18939999999998</v>
      </c>
      <c r="I260" s="146">
        <f>SUM(I250:I259)</f>
        <v>15080.47</v>
      </c>
      <c r="J260" s="146">
        <f>SUM(J250:J259)</f>
        <v>28811.93</v>
      </c>
      <c r="K260" s="146">
        <f>SUM(K250:K259)</f>
        <v>47456.97</v>
      </c>
      <c r="L260" s="312">
        <f>SUM(L250:L259)</f>
        <v>59656.44</v>
      </c>
      <c r="M260" s="1441"/>
      <c r="N260" s="1622"/>
      <c r="O260" s="534"/>
      <c r="P260" s="534"/>
      <c r="Q260" s="534"/>
      <c r="R260" s="534"/>
      <c r="S260" s="534"/>
      <c r="T260" s="534"/>
      <c r="U260" s="534"/>
    </row>
    <row r="261" spans="1:21" ht="17" hidden="1" thickBot="1">
      <c r="A261" s="108" t="s">
        <v>191</v>
      </c>
      <c r="B261" s="1456"/>
      <c r="C261" s="1586"/>
      <c r="D261" s="1457"/>
      <c r="E261" s="1586"/>
      <c r="F261" s="1587"/>
      <c r="G261" s="1588"/>
      <c r="H261" s="502"/>
      <c r="I261" s="194"/>
      <c r="J261" s="194"/>
      <c r="K261" s="194"/>
      <c r="L261" s="195"/>
      <c r="M261" s="1593"/>
      <c r="N261" s="1542"/>
    </row>
    <row r="262" spans="1:21" s="508" customFormat="1" ht="13" hidden="1">
      <c r="A262" s="76" t="s">
        <v>146</v>
      </c>
      <c r="B262" s="1594">
        <f>Ontario!N227</f>
        <v>0</v>
      </c>
      <c r="C262" s="1595"/>
      <c r="D262" s="1536">
        <f>F262*325851</f>
        <v>0</v>
      </c>
      <c r="E262" s="1424"/>
      <c r="F262" s="1537">
        <f>0.0425*B262</f>
        <v>0</v>
      </c>
      <c r="G262" s="1538"/>
      <c r="H262" s="503">
        <f>F262*20</f>
        <v>0</v>
      </c>
      <c r="I262" s="140">
        <f>73.34*B262</f>
        <v>0</v>
      </c>
      <c r="J262" s="140">
        <f>35.66*B262</f>
        <v>0</v>
      </c>
      <c r="K262" s="140">
        <f>B262*50</f>
        <v>0</v>
      </c>
      <c r="L262" s="217">
        <f>I262+J262+K262</f>
        <v>0</v>
      </c>
      <c r="M262" s="1539">
        <f>IF(ISERROR(L262/(F262*727)),0,L262/(F262*727))</f>
        <v>0</v>
      </c>
      <c r="N262" s="1540"/>
      <c r="O262" s="512"/>
      <c r="P262" s="512"/>
      <c r="Q262" s="512"/>
      <c r="R262" s="512"/>
      <c r="S262" s="512"/>
      <c r="T262" s="512"/>
      <c r="U262" s="512"/>
    </row>
    <row r="263" spans="1:21" s="508" customFormat="1" ht="14" hidden="1" thickBot="1">
      <c r="A263" s="76" t="s">
        <v>181</v>
      </c>
      <c r="B263" s="1560">
        <f>Ontario!N228</f>
        <v>0</v>
      </c>
      <c r="C263" s="1544"/>
      <c r="D263" s="1536">
        <f>F263*325851</f>
        <v>0</v>
      </c>
      <c r="E263" s="1424"/>
      <c r="F263" s="1537">
        <f>0.0425*B263</f>
        <v>0</v>
      </c>
      <c r="G263" s="1538"/>
      <c r="H263" s="503">
        <f>F263*20</f>
        <v>0</v>
      </c>
      <c r="I263" s="140">
        <f>73.34*B263</f>
        <v>0</v>
      </c>
      <c r="J263" s="140">
        <f>35.66*B263</f>
        <v>0</v>
      </c>
      <c r="K263" s="140">
        <f>B263*50</f>
        <v>0</v>
      </c>
      <c r="L263" s="217">
        <f>I263+J263+K263</f>
        <v>0</v>
      </c>
      <c r="M263" s="1539">
        <f>IF(ISERROR(L263/(F263*727)),0,L263/(F263*727))</f>
        <v>0</v>
      </c>
      <c r="N263" s="1540"/>
      <c r="O263" s="512"/>
      <c r="P263" s="512"/>
      <c r="Q263" s="512"/>
      <c r="R263" s="512"/>
      <c r="S263" s="512"/>
      <c r="T263" s="512"/>
      <c r="U263" s="512"/>
    </row>
    <row r="264" spans="1:21" s="533" customFormat="1" ht="14" hidden="1" thickBot="1">
      <c r="A264" s="53" t="s">
        <v>60</v>
      </c>
      <c r="B264" s="1438">
        <f>SUM(B262:B263)</f>
        <v>0</v>
      </c>
      <c r="C264" s="1439"/>
      <c r="D264" s="1440">
        <f>SUM(D262:D263)</f>
        <v>0</v>
      </c>
      <c r="E264" s="1609"/>
      <c r="F264" s="1618">
        <f>SUM(F262:F263)</f>
        <v>0</v>
      </c>
      <c r="G264" s="1575"/>
      <c r="H264" s="504">
        <f>SUM(H262:H263)</f>
        <v>0</v>
      </c>
      <c r="I264" s="146">
        <f>SUM(I262:I263)</f>
        <v>0</v>
      </c>
      <c r="J264" s="160">
        <f>SUM(J262:J263)</f>
        <v>0</v>
      </c>
      <c r="K264" s="160">
        <f>SUM(K262:K263)</f>
        <v>0</v>
      </c>
      <c r="L264" s="146">
        <f>SUM(L262:L263)</f>
        <v>0</v>
      </c>
      <c r="M264" s="1610"/>
      <c r="N264" s="1611"/>
      <c r="O264" s="534"/>
      <c r="P264" s="534"/>
      <c r="Q264" s="534"/>
      <c r="R264" s="534"/>
      <c r="S264" s="534"/>
      <c r="T264" s="534"/>
      <c r="U264" s="534"/>
    </row>
    <row r="265" spans="1:21" s="1161" customFormat="1" ht="17" thickBot="1">
      <c r="A265" s="108" t="s">
        <v>194</v>
      </c>
      <c r="B265" s="1456"/>
      <c r="C265" s="1586"/>
      <c r="D265" s="1457"/>
      <c r="E265" s="1586"/>
      <c r="F265" s="1587"/>
      <c r="G265" s="1588"/>
      <c r="H265" s="1145"/>
      <c r="I265" s="161"/>
      <c r="J265" s="161"/>
      <c r="K265" s="161"/>
      <c r="L265" s="162"/>
      <c r="M265" s="1617"/>
      <c r="N265" s="1486"/>
      <c r="O265" s="274"/>
      <c r="P265" s="274"/>
      <c r="Q265" s="274"/>
      <c r="R265" s="274"/>
      <c r="S265" s="274"/>
      <c r="T265" s="274"/>
      <c r="U265" s="274"/>
    </row>
    <row r="266" spans="1:21">
      <c r="A266" s="78" t="s">
        <v>29</v>
      </c>
      <c r="B266" s="1594">
        <f>Ontario!N231</f>
        <v>97</v>
      </c>
      <c r="C266" s="1595"/>
      <c r="D266" s="1536">
        <f t="shared" ref="D266:D278" si="64">F266*325851</f>
        <v>1343320.7475000001</v>
      </c>
      <c r="E266" s="1424"/>
      <c r="F266" s="1549">
        <f>0.0425*B266</f>
        <v>4.1225000000000005</v>
      </c>
      <c r="G266" s="1550"/>
      <c r="H266" s="930">
        <f>F266*20</f>
        <v>82.450000000000017</v>
      </c>
      <c r="I266" s="173">
        <v>0</v>
      </c>
      <c r="J266" s="150">
        <v>4850</v>
      </c>
      <c r="K266" s="150">
        <v>9700</v>
      </c>
      <c r="L266" s="172">
        <f t="shared" ref="L266:L278" si="65">SUM(I266:K266)</f>
        <v>14550</v>
      </c>
      <c r="M266" s="1539">
        <f>IF(ISERROR(L266/(F266*752)),0,L266/(F266*752))</f>
        <v>4.6933667083854811</v>
      </c>
      <c r="N266" s="1540"/>
    </row>
    <row r="267" spans="1:21">
      <c r="A267" s="78" t="s">
        <v>51</v>
      </c>
      <c r="B267" s="1563">
        <f>Ontario!N232</f>
        <v>0</v>
      </c>
      <c r="C267" s="1424"/>
      <c r="D267" s="1536">
        <f t="shared" si="64"/>
        <v>0</v>
      </c>
      <c r="E267" s="1424"/>
      <c r="F267" s="1549">
        <f>0.1227*B267</f>
        <v>0</v>
      </c>
      <c r="G267" s="1550"/>
      <c r="H267" s="930">
        <f>F267*20</f>
        <v>0</v>
      </c>
      <c r="I267" s="151">
        <v>0</v>
      </c>
      <c r="J267" s="150">
        <f>50*B267</f>
        <v>0</v>
      </c>
      <c r="K267" s="150">
        <f>200*B267</f>
        <v>0</v>
      </c>
      <c r="L267" s="172">
        <f t="shared" si="65"/>
        <v>0</v>
      </c>
      <c r="M267" s="1539">
        <f t="shared" ref="M267:M279" si="66">IF(ISERROR(L267/(F267*752)),0,L267/(F267*752))</f>
        <v>0</v>
      </c>
      <c r="N267" s="1540"/>
    </row>
    <row r="268" spans="1:21">
      <c r="A268" s="78" t="s">
        <v>204</v>
      </c>
      <c r="B268" s="1563">
        <f>Ontario!N233</f>
        <v>0</v>
      </c>
      <c r="C268" s="1424"/>
      <c r="D268" s="1536">
        <f t="shared" si="64"/>
        <v>0</v>
      </c>
      <c r="E268" s="1424"/>
      <c r="F268" s="1549">
        <f>0.1227*B268</f>
        <v>0</v>
      </c>
      <c r="G268" s="1550"/>
      <c r="H268" s="930">
        <f>F268*5</f>
        <v>0</v>
      </c>
      <c r="I268" s="151">
        <v>0</v>
      </c>
      <c r="J268" s="150">
        <f>B268*1000</f>
        <v>0</v>
      </c>
      <c r="K268" s="150">
        <f>B268*1750</f>
        <v>0</v>
      </c>
      <c r="L268" s="172">
        <f t="shared" si="65"/>
        <v>0</v>
      </c>
      <c r="M268" s="1539">
        <f t="shared" si="66"/>
        <v>0</v>
      </c>
      <c r="N268" s="1540"/>
    </row>
    <row r="269" spans="1:21" hidden="1">
      <c r="A269" s="78" t="s">
        <v>13</v>
      </c>
      <c r="B269" s="1563">
        <f>Ontario!N234</f>
        <v>0</v>
      </c>
      <c r="C269" s="1424"/>
      <c r="D269" s="1536">
        <f t="shared" si="64"/>
        <v>0</v>
      </c>
      <c r="E269" s="1424"/>
      <c r="F269" s="1549">
        <f>0.1075*B269</f>
        <v>0</v>
      </c>
      <c r="G269" s="1550"/>
      <c r="H269" s="930">
        <f>F269*10</f>
        <v>0</v>
      </c>
      <c r="I269" s="151">
        <v>0</v>
      </c>
      <c r="J269" s="150">
        <f>100*B269</f>
        <v>0</v>
      </c>
      <c r="K269" s="150">
        <f>80*B269</f>
        <v>0</v>
      </c>
      <c r="L269" s="172">
        <f t="shared" si="65"/>
        <v>0</v>
      </c>
      <c r="M269" s="1539">
        <f t="shared" si="66"/>
        <v>0</v>
      </c>
      <c r="N269" s="1540"/>
    </row>
    <row r="270" spans="1:21" hidden="1">
      <c r="A270" s="76" t="s">
        <v>47</v>
      </c>
      <c r="B270" s="1563">
        <f>Ontario!N235</f>
        <v>0</v>
      </c>
      <c r="C270" s="1424"/>
      <c r="D270" s="1536">
        <f t="shared" si="64"/>
        <v>0</v>
      </c>
      <c r="E270" s="1424"/>
      <c r="F270" s="1549">
        <f>0.1534*B270</f>
        <v>0</v>
      </c>
      <c r="G270" s="1550"/>
      <c r="H270" s="930">
        <f>F270*5</f>
        <v>0</v>
      </c>
      <c r="I270" s="151">
        <v>0</v>
      </c>
      <c r="J270" s="150">
        <f>0*B270</f>
        <v>0</v>
      </c>
      <c r="K270" s="150">
        <f>150*B270</f>
        <v>0</v>
      </c>
      <c r="L270" s="172">
        <f t="shared" si="65"/>
        <v>0</v>
      </c>
      <c r="M270" s="1539">
        <f t="shared" si="66"/>
        <v>0</v>
      </c>
      <c r="N270" s="1540"/>
    </row>
    <row r="271" spans="1:21">
      <c r="A271" s="76" t="s">
        <v>30</v>
      </c>
      <c r="B271" s="1563">
        <f>Ontario!N236</f>
        <v>8</v>
      </c>
      <c r="C271" s="1424"/>
      <c r="D271" s="1536">
        <f t="shared" si="64"/>
        <v>847212.6</v>
      </c>
      <c r="E271" s="1424"/>
      <c r="F271" s="1549">
        <f>0.325*B271</f>
        <v>2.6</v>
      </c>
      <c r="G271" s="1550"/>
      <c r="H271" s="930">
        <f>F271*10</f>
        <v>26</v>
      </c>
      <c r="I271" s="151">
        <v>0</v>
      </c>
      <c r="J271" s="151">
        <v>1398</v>
      </c>
      <c r="K271" s="151">
        <v>5386</v>
      </c>
      <c r="L271" s="172">
        <f t="shared" si="65"/>
        <v>6784</v>
      </c>
      <c r="M271" s="1539">
        <f t="shared" si="66"/>
        <v>3.4697217675941081</v>
      </c>
      <c r="N271" s="1540"/>
    </row>
    <row r="272" spans="1:21" hidden="1">
      <c r="A272" s="76" t="s">
        <v>53</v>
      </c>
      <c r="B272" s="1563">
        <f>Ontario!N237</f>
        <v>0</v>
      </c>
      <c r="C272" s="1424"/>
      <c r="D272" s="1536">
        <f t="shared" si="64"/>
        <v>0</v>
      </c>
      <c r="E272" s="1424"/>
      <c r="F272" s="1549">
        <f>0.00014*B272</f>
        <v>0</v>
      </c>
      <c r="G272" s="1550"/>
      <c r="H272" s="930">
        <f>F272*10</f>
        <v>0</v>
      </c>
      <c r="I272" s="151">
        <v>0</v>
      </c>
      <c r="J272" s="150">
        <f>0.45*B272</f>
        <v>0</v>
      </c>
      <c r="K272" s="150">
        <f>0.3*B272</f>
        <v>0</v>
      </c>
      <c r="L272" s="172">
        <f t="shared" si="65"/>
        <v>0</v>
      </c>
      <c r="M272" s="1539">
        <f t="shared" si="66"/>
        <v>0</v>
      </c>
      <c r="N272" s="1540"/>
    </row>
    <row r="273" spans="1:21">
      <c r="A273" s="76" t="s">
        <v>56</v>
      </c>
      <c r="B273" s="1563">
        <f>Ontario!N238</f>
        <v>232</v>
      </c>
      <c r="C273" s="1424"/>
      <c r="D273" s="1536">
        <f t="shared" si="64"/>
        <v>302389.728</v>
      </c>
      <c r="E273" s="1424"/>
      <c r="F273" s="1549">
        <f>0.004*B273</f>
        <v>0.92800000000000005</v>
      </c>
      <c r="G273" s="1550"/>
      <c r="H273" s="930">
        <f>F273*5</f>
        <v>4.6400000000000006</v>
      </c>
      <c r="I273" s="151">
        <v>0</v>
      </c>
      <c r="J273" s="150">
        <f>1*B273</f>
        <v>232</v>
      </c>
      <c r="K273" s="150">
        <v>928</v>
      </c>
      <c r="L273" s="172">
        <f t="shared" si="65"/>
        <v>1160</v>
      </c>
      <c r="M273" s="1539">
        <f t="shared" si="66"/>
        <v>1.6622340425531914</v>
      </c>
      <c r="N273" s="1540"/>
    </row>
    <row r="274" spans="1:21">
      <c r="A274" s="76" t="s">
        <v>122</v>
      </c>
      <c r="B274" s="1563">
        <f>Ontario!N239</f>
        <v>0</v>
      </c>
      <c r="C274" s="1424"/>
      <c r="D274" s="1536">
        <f t="shared" si="64"/>
        <v>0</v>
      </c>
      <c r="E274" s="1424"/>
      <c r="F274" s="1549">
        <f>0.018*B274</f>
        <v>0</v>
      </c>
      <c r="G274" s="1550"/>
      <c r="H274" s="930">
        <f>F274*10</f>
        <v>0</v>
      </c>
      <c r="I274" s="151">
        <v>0</v>
      </c>
      <c r="J274" s="150">
        <f>0*B274</f>
        <v>0</v>
      </c>
      <c r="K274" s="150">
        <f>13*B274</f>
        <v>0</v>
      </c>
      <c r="L274" s="172">
        <f t="shared" si="65"/>
        <v>0</v>
      </c>
      <c r="M274" s="1539">
        <f t="shared" si="66"/>
        <v>0</v>
      </c>
      <c r="N274" s="1540"/>
    </row>
    <row r="275" spans="1:21" hidden="1">
      <c r="A275" s="76" t="s">
        <v>102</v>
      </c>
      <c r="B275" s="1563">
        <f>Ontario!N240</f>
        <v>0</v>
      </c>
      <c r="C275" s="1424"/>
      <c r="D275" s="1536">
        <f t="shared" si="64"/>
        <v>0</v>
      </c>
      <c r="E275" s="1424"/>
      <c r="F275" s="1549">
        <f>0.018*B275</f>
        <v>0</v>
      </c>
      <c r="G275" s="1550"/>
      <c r="H275" s="930">
        <f>F275*10</f>
        <v>0</v>
      </c>
      <c r="I275" s="151">
        <v>0</v>
      </c>
      <c r="J275" s="150">
        <f>0*B275</f>
        <v>0</v>
      </c>
      <c r="K275" s="150">
        <f>13*B275</f>
        <v>0</v>
      </c>
      <c r="L275" s="172">
        <f t="shared" si="65"/>
        <v>0</v>
      </c>
      <c r="M275" s="1539">
        <f t="shared" si="66"/>
        <v>0</v>
      </c>
      <c r="N275" s="1540"/>
    </row>
    <row r="276" spans="1:21">
      <c r="A276" s="78" t="s">
        <v>184</v>
      </c>
      <c r="B276" s="1563">
        <f>Ontario!N241</f>
        <v>0</v>
      </c>
      <c r="C276" s="1424"/>
      <c r="D276" s="1536">
        <f t="shared" si="64"/>
        <v>0</v>
      </c>
      <c r="E276" s="1424"/>
      <c r="F276" s="1549">
        <f>0.018*B276</f>
        <v>0</v>
      </c>
      <c r="G276" s="1550"/>
      <c r="H276" s="930">
        <f>F276*10</f>
        <v>0</v>
      </c>
      <c r="I276" s="151">
        <v>0</v>
      </c>
      <c r="J276" s="150">
        <f>0*B276</f>
        <v>0</v>
      </c>
      <c r="K276" s="150">
        <f>13*B276</f>
        <v>0</v>
      </c>
      <c r="L276" s="172">
        <f t="shared" si="65"/>
        <v>0</v>
      </c>
      <c r="M276" s="1539">
        <f t="shared" si="66"/>
        <v>0</v>
      </c>
      <c r="N276" s="1540"/>
    </row>
    <row r="277" spans="1:21" s="353" customFormat="1">
      <c r="A277" s="107" t="s">
        <v>187</v>
      </c>
      <c r="B277" s="1563">
        <f>Ontario!N242</f>
        <v>0</v>
      </c>
      <c r="C277" s="1424"/>
      <c r="D277" s="1578">
        <f t="shared" si="64"/>
        <v>0</v>
      </c>
      <c r="E277" s="1579"/>
      <c r="F277" s="1580">
        <f>B277*0.023</f>
        <v>0</v>
      </c>
      <c r="G277" s="1581"/>
      <c r="H277" s="967">
        <f>F277*5</f>
        <v>0</v>
      </c>
      <c r="I277" s="151">
        <v>0</v>
      </c>
      <c r="J277" s="151">
        <f>10*B277</f>
        <v>0</v>
      </c>
      <c r="K277" s="151">
        <f>10*B277</f>
        <v>0</v>
      </c>
      <c r="L277" s="170">
        <f t="shared" si="65"/>
        <v>0</v>
      </c>
      <c r="M277" s="1539">
        <f t="shared" si="66"/>
        <v>0</v>
      </c>
      <c r="N277" s="1540"/>
      <c r="O277" s="274"/>
      <c r="P277" s="274"/>
      <c r="Q277" s="274"/>
      <c r="R277" s="274"/>
      <c r="S277" s="274"/>
      <c r="T277" s="274"/>
      <c r="U277" s="274"/>
    </row>
    <row r="278" spans="1:21" s="353" customFormat="1">
      <c r="A278" s="107" t="s">
        <v>188</v>
      </c>
      <c r="B278" s="1563">
        <f>Ontario!N243</f>
        <v>0</v>
      </c>
      <c r="C278" s="1424"/>
      <c r="D278" s="1578">
        <f t="shared" si="64"/>
        <v>0</v>
      </c>
      <c r="E278" s="1579"/>
      <c r="F278" s="1580">
        <f>0.018*B278</f>
        <v>0</v>
      </c>
      <c r="G278" s="1581"/>
      <c r="H278" s="967">
        <f>F278*10</f>
        <v>0</v>
      </c>
      <c r="I278" s="151">
        <v>0</v>
      </c>
      <c r="J278" s="151">
        <f>0*B278</f>
        <v>0</v>
      </c>
      <c r="K278" s="151">
        <f>13*B278</f>
        <v>0</v>
      </c>
      <c r="L278" s="170">
        <f t="shared" si="65"/>
        <v>0</v>
      </c>
      <c r="M278" s="1539">
        <f t="shared" si="66"/>
        <v>0</v>
      </c>
      <c r="N278" s="1540"/>
      <c r="O278" s="274"/>
      <c r="P278" s="274"/>
      <c r="Q278" s="274"/>
      <c r="R278" s="274"/>
      <c r="S278" s="274"/>
      <c r="T278" s="274"/>
      <c r="U278" s="274"/>
    </row>
    <row r="279" spans="1:21" s="353" customFormat="1" ht="17" thickBot="1">
      <c r="A279" s="107" t="s">
        <v>213</v>
      </c>
      <c r="B279" s="1560">
        <f>Ontario!N244</f>
        <v>0</v>
      </c>
      <c r="C279" s="1544"/>
      <c r="D279" s="1616">
        <f>F279*325851</f>
        <v>0</v>
      </c>
      <c r="E279" s="1583"/>
      <c r="F279" s="1584">
        <f>0.018*B279</f>
        <v>0</v>
      </c>
      <c r="G279" s="1585"/>
      <c r="H279" s="967">
        <f>F279*10</f>
        <v>0</v>
      </c>
      <c r="I279" s="151">
        <v>0</v>
      </c>
      <c r="J279" s="151">
        <f>0*B279</f>
        <v>0</v>
      </c>
      <c r="K279" s="151">
        <f>13*B279</f>
        <v>0</v>
      </c>
      <c r="L279" s="170">
        <f>SUM(I279:K279)</f>
        <v>0</v>
      </c>
      <c r="M279" s="1539">
        <f t="shared" si="66"/>
        <v>0</v>
      </c>
      <c r="N279" s="1540"/>
      <c r="O279" s="274"/>
      <c r="P279" s="274"/>
      <c r="Q279" s="274"/>
      <c r="R279" s="274"/>
      <c r="S279" s="274"/>
      <c r="T279" s="274"/>
      <c r="U279" s="274"/>
    </row>
    <row r="280" spans="1:21" s="1161" customFormat="1" ht="17" thickBot="1">
      <c r="A280" s="108" t="s">
        <v>192</v>
      </c>
      <c r="B280" s="1456"/>
      <c r="C280" s="1457"/>
      <c r="D280" s="1567"/>
      <c r="E280" s="1586"/>
      <c r="F280" s="1587"/>
      <c r="G280" s="1588"/>
      <c r="H280" s="1145"/>
      <c r="I280" s="161"/>
      <c r="J280" s="161"/>
      <c r="K280" s="161"/>
      <c r="L280" s="162"/>
      <c r="M280" s="1617"/>
      <c r="N280" s="1486"/>
      <c r="O280" s="274"/>
      <c r="P280" s="274"/>
      <c r="Q280" s="274"/>
      <c r="R280" s="274"/>
      <c r="S280" s="274"/>
      <c r="T280" s="274"/>
      <c r="U280" s="274"/>
    </row>
    <row r="281" spans="1:21" s="508" customFormat="1" ht="13" hidden="1">
      <c r="A281" s="76" t="s">
        <v>167</v>
      </c>
      <c r="B281" s="1594">
        <f>Ontario!N246</f>
        <v>0</v>
      </c>
      <c r="C281" s="1595"/>
      <c r="D281" s="1536">
        <f>F281*325851</f>
        <v>0</v>
      </c>
      <c r="E281" s="1424"/>
      <c r="F281" s="1547">
        <f>0.018*B281</f>
        <v>0</v>
      </c>
      <c r="G281" s="1548"/>
      <c r="H281" s="505">
        <f>F281*10</f>
        <v>0</v>
      </c>
      <c r="I281" s="323">
        <v>0</v>
      </c>
      <c r="J281" s="140">
        <f>0*B281</f>
        <v>0</v>
      </c>
      <c r="K281" s="140">
        <f>13*B281</f>
        <v>0</v>
      </c>
      <c r="L281" s="217">
        <f>SUM(I281:K281)</f>
        <v>0</v>
      </c>
      <c r="M281" s="1539">
        <f>IF(ISERROR(L281/(F281*727)),0,L281/(F281*727))</f>
        <v>0</v>
      </c>
      <c r="N281" s="1540"/>
      <c r="O281" s="512"/>
      <c r="P281" s="512"/>
      <c r="Q281" s="512"/>
      <c r="R281" s="512"/>
      <c r="S281" s="512"/>
      <c r="T281" s="512"/>
      <c r="U281" s="512"/>
    </row>
    <row r="282" spans="1:21" s="508" customFormat="1" ht="14" thickBot="1">
      <c r="A282" s="76" t="s">
        <v>165</v>
      </c>
      <c r="B282" s="1560">
        <f>Ontario!N247</f>
        <v>1660</v>
      </c>
      <c r="C282" s="1544"/>
      <c r="D282" s="1536">
        <f>F282*325851</f>
        <v>2163650.64</v>
      </c>
      <c r="E282" s="1424"/>
      <c r="F282" s="1549">
        <f>0.004*B282</f>
        <v>6.6400000000000006</v>
      </c>
      <c r="G282" s="1550"/>
      <c r="H282" s="930">
        <f>F282*5</f>
        <v>33.200000000000003</v>
      </c>
      <c r="I282" s="215">
        <v>0</v>
      </c>
      <c r="J282" s="140">
        <f>0*B282</f>
        <v>0</v>
      </c>
      <c r="K282" s="140">
        <f>B282*3.25</f>
        <v>5395</v>
      </c>
      <c r="L282" s="217">
        <f>SUM(I282:K282)</f>
        <v>5395</v>
      </c>
      <c r="M282" s="1539">
        <f>IF(ISERROR(L282/(F282*752)),0,L282/(F282*752))</f>
        <v>1.0804521276595744</v>
      </c>
      <c r="N282" s="1540"/>
      <c r="O282" s="512"/>
      <c r="P282" s="512"/>
      <c r="Q282" s="512"/>
      <c r="R282" s="512"/>
      <c r="S282" s="512"/>
      <c r="T282" s="512"/>
      <c r="U282" s="512"/>
    </row>
    <row r="283" spans="1:21" s="533" customFormat="1" ht="14" thickBot="1">
      <c r="A283" s="53" t="s">
        <v>60</v>
      </c>
      <c r="B283" s="1607">
        <f>SUM(B266:C282)</f>
        <v>1997</v>
      </c>
      <c r="C283" s="1608"/>
      <c r="D283" s="1440">
        <f>SUM(D266:E282)</f>
        <v>4656573.7155000009</v>
      </c>
      <c r="E283" s="1609"/>
      <c r="F283" s="1512">
        <f>SUM(F266:G282)</f>
        <v>14.290500000000002</v>
      </c>
      <c r="G283" s="1575"/>
      <c r="H283" s="504">
        <f>SUM(H266:H282)</f>
        <v>146.29000000000002</v>
      </c>
      <c r="I283" s="146">
        <f>SUM(I266:I282)</f>
        <v>0</v>
      </c>
      <c r="J283" s="146">
        <f>SUM(J266:J282)</f>
        <v>6480</v>
      </c>
      <c r="K283" s="146">
        <f>SUM(K266:K282)</f>
        <v>21409</v>
      </c>
      <c r="L283" s="146">
        <f>SUM(L266:L282)</f>
        <v>27889</v>
      </c>
      <c r="M283" s="1610"/>
      <c r="N283" s="1611"/>
      <c r="O283" s="534"/>
      <c r="P283" s="534"/>
      <c r="Q283" s="534"/>
      <c r="R283" s="534"/>
      <c r="S283" s="534"/>
      <c r="T283" s="534"/>
      <c r="U283" s="534"/>
    </row>
    <row r="284" spans="1:21" s="1161" customFormat="1" ht="17" thickBot="1">
      <c r="A284" s="1163" t="s">
        <v>17</v>
      </c>
      <c r="B284" s="1612">
        <f>SUM(,B260,B264,B283)</f>
        <v>3244</v>
      </c>
      <c r="C284" s="1415"/>
      <c r="D284" s="1612">
        <f>SUM(,D260,D264,D283)</f>
        <v>9365915.741940001</v>
      </c>
      <c r="E284" s="1415"/>
      <c r="F284" s="1613">
        <f>F283+F260</f>
        <v>28.742940000000001</v>
      </c>
      <c r="G284" s="1488"/>
      <c r="H284" s="1164">
        <f>(H283+H260+H264)</f>
        <v>466.4794</v>
      </c>
      <c r="I284" s="1165">
        <f>SUM(,I260,I264,I283)</f>
        <v>15080.47</v>
      </c>
      <c r="J284" s="1165">
        <f>SUM(,J260,J264,J283)</f>
        <v>35291.93</v>
      </c>
      <c r="K284" s="1165">
        <f>SUM(,K260,K264,K283)</f>
        <v>68865.97</v>
      </c>
      <c r="L284" s="1165">
        <f>SUM(,L260,L264,L283)</f>
        <v>87545.44</v>
      </c>
      <c r="M284" s="1417"/>
      <c r="N284" s="1614"/>
      <c r="O284" s="274"/>
      <c r="P284" s="274"/>
      <c r="Q284" s="274"/>
      <c r="R284" s="274"/>
      <c r="S284" s="274"/>
      <c r="T284" s="274"/>
      <c r="U284" s="274"/>
    </row>
    <row r="285" spans="1:21">
      <c r="A285" s="559"/>
      <c r="B285" s="354"/>
      <c r="C285" s="354"/>
      <c r="D285" s="354"/>
      <c r="E285" s="354"/>
      <c r="F285" s="455"/>
      <c r="G285" s="455"/>
      <c r="H285" s="455"/>
      <c r="I285" s="355"/>
      <c r="J285" s="355"/>
      <c r="K285" s="355"/>
      <c r="L285" s="355"/>
      <c r="M285" s="495"/>
      <c r="N285" s="497"/>
    </row>
    <row r="286" spans="1:21" ht="18">
      <c r="A286" s="560" t="s">
        <v>271</v>
      </c>
      <c r="B286" s="1489" t="s">
        <v>59</v>
      </c>
      <c r="C286" s="1489"/>
      <c r="D286" s="1489"/>
      <c r="E286" s="1615"/>
      <c r="F286" s="455"/>
      <c r="G286" s="455" t="s">
        <v>274</v>
      </c>
      <c r="H286" s="455"/>
      <c r="I286" s="355"/>
      <c r="J286" s="355"/>
      <c r="K286" s="355"/>
      <c r="L286" s="355"/>
      <c r="M286" s="495"/>
      <c r="N286" s="497"/>
    </row>
    <row r="287" spans="1:21">
      <c r="A287" s="102"/>
      <c r="B287" s="1559" t="s">
        <v>19</v>
      </c>
      <c r="C287" s="1559"/>
      <c r="D287" s="1559"/>
      <c r="E287" s="1559"/>
      <c r="F287" s="455"/>
      <c r="G287" s="455"/>
      <c r="H287" s="455"/>
      <c r="I287" s="355"/>
      <c r="J287" s="355"/>
      <c r="K287" s="355"/>
      <c r="L287" s="355"/>
      <c r="M287" s="549"/>
      <c r="N287" s="549"/>
    </row>
    <row r="288" spans="1:21" ht="17" thickBot="1">
      <c r="A288" s="102"/>
      <c r="B288" s="549"/>
      <c r="C288" s="549"/>
      <c r="D288" s="549"/>
      <c r="E288" s="549"/>
      <c r="F288" s="455"/>
      <c r="G288" s="455"/>
      <c r="H288" s="455"/>
      <c r="I288" s="355"/>
      <c r="J288" s="355"/>
      <c r="K288" s="355"/>
      <c r="L288" s="355"/>
      <c r="M288" s="549"/>
      <c r="N288" s="549"/>
    </row>
    <row r="289" spans="1:21">
      <c r="A289" s="98"/>
      <c r="B289" s="99"/>
      <c r="C289" s="99"/>
      <c r="D289" s="99"/>
      <c r="E289" s="99"/>
      <c r="F289" s="421"/>
      <c r="G289" s="421"/>
      <c r="H289" s="421"/>
      <c r="I289" s="1468" t="s">
        <v>0</v>
      </c>
      <c r="J289" s="1468"/>
      <c r="K289" s="1468"/>
      <c r="L289" s="1468"/>
      <c r="M289" s="99"/>
      <c r="N289" s="101"/>
    </row>
    <row r="290" spans="1:21">
      <c r="A290" s="97"/>
      <c r="B290" s="1469" t="s">
        <v>1</v>
      </c>
      <c r="C290" s="1469"/>
      <c r="D290" s="1469" t="s">
        <v>2</v>
      </c>
      <c r="E290" s="1469"/>
      <c r="F290" s="1470" t="s">
        <v>3</v>
      </c>
      <c r="G290" s="1470"/>
      <c r="H290" s="550" t="s">
        <v>3</v>
      </c>
      <c r="I290" s="127" t="s">
        <v>195</v>
      </c>
      <c r="J290" s="102"/>
      <c r="K290" s="102"/>
      <c r="L290" s="128"/>
      <c r="M290" s="1469" t="s">
        <v>4</v>
      </c>
      <c r="N290" s="1526"/>
    </row>
    <row r="291" spans="1:21" ht="19" thickBot="1">
      <c r="A291" s="103" t="s">
        <v>5</v>
      </c>
      <c r="B291" s="1473" t="s">
        <v>6</v>
      </c>
      <c r="C291" s="1473"/>
      <c r="D291" s="1473" t="s">
        <v>7</v>
      </c>
      <c r="E291" s="1473"/>
      <c r="F291" s="1474" t="s">
        <v>7</v>
      </c>
      <c r="G291" s="1474"/>
      <c r="H291" s="552" t="s">
        <v>58</v>
      </c>
      <c r="I291" s="556" t="s">
        <v>196</v>
      </c>
      <c r="J291" s="551" t="s">
        <v>8</v>
      </c>
      <c r="K291" s="551" t="s">
        <v>9</v>
      </c>
      <c r="L291" s="401" t="s">
        <v>10</v>
      </c>
      <c r="M291" s="1473" t="s">
        <v>145</v>
      </c>
      <c r="N291" s="1475"/>
    </row>
    <row r="292" spans="1:21" ht="24" thickBot="1">
      <c r="A292" s="88" t="s">
        <v>185</v>
      </c>
      <c r="B292" s="1623"/>
      <c r="C292" s="1624"/>
      <c r="D292" s="1625"/>
      <c r="E292" s="1626"/>
      <c r="F292" s="1627"/>
      <c r="G292" s="1628"/>
      <c r="H292" s="553"/>
      <c r="I292" s="351"/>
      <c r="J292" s="351"/>
      <c r="K292" s="351"/>
      <c r="L292" s="352"/>
      <c r="M292" s="1629"/>
      <c r="N292" s="1630"/>
    </row>
    <row r="293" spans="1:21" s="1161" customFormat="1" ht="17" thickBot="1">
      <c r="A293" s="108" t="s">
        <v>189</v>
      </c>
      <c r="B293" s="1457"/>
      <c r="C293" s="1586"/>
      <c r="D293" s="1567"/>
      <c r="E293" s="1586"/>
      <c r="F293" s="1587"/>
      <c r="G293" s="1588"/>
      <c r="H293" s="1145"/>
      <c r="I293" s="109"/>
      <c r="J293" s="109"/>
      <c r="K293" s="109"/>
      <c r="L293" s="1141"/>
      <c r="M293" s="1617"/>
      <c r="N293" s="1486"/>
      <c r="O293" s="274"/>
      <c r="P293" s="274"/>
      <c r="Q293" s="274"/>
      <c r="R293" s="274"/>
      <c r="S293" s="274"/>
      <c r="T293" s="274"/>
      <c r="U293" s="274"/>
    </row>
    <row r="294" spans="1:21" s="508" customFormat="1" ht="13">
      <c r="A294" s="78" t="s">
        <v>29</v>
      </c>
      <c r="B294" s="1536">
        <f>Ontario!N178</f>
        <v>0</v>
      </c>
      <c r="C294" s="1424"/>
      <c r="D294" s="1423">
        <f>F294*325851</f>
        <v>0</v>
      </c>
      <c r="E294" s="1424"/>
      <c r="F294" s="1549">
        <f>0.0425*B294</f>
        <v>0</v>
      </c>
      <c r="G294" s="1550"/>
      <c r="H294" s="930">
        <f>F294*20</f>
        <v>0</v>
      </c>
      <c r="I294" s="151">
        <v>0</v>
      </c>
      <c r="J294" s="150">
        <f>50*B294</f>
        <v>0</v>
      </c>
      <c r="K294" s="150">
        <f>B294*50</f>
        <v>0</v>
      </c>
      <c r="L294" s="172">
        <f t="shared" ref="L294:L300" si="67">I294+J294+K294</f>
        <v>0</v>
      </c>
      <c r="M294" s="1539">
        <f>IF(ISERROR(L294/(F294*727)),0,L294/(F294*727))</f>
        <v>0</v>
      </c>
      <c r="N294" s="1540"/>
      <c r="O294" s="512"/>
      <c r="P294" s="512"/>
      <c r="Q294" s="512"/>
      <c r="R294" s="512"/>
      <c r="S294" s="512"/>
      <c r="T294" s="512"/>
      <c r="U294" s="512"/>
    </row>
    <row r="295" spans="1:21" s="508" customFormat="1" ht="13">
      <c r="A295" s="78" t="s">
        <v>33</v>
      </c>
      <c r="B295" s="1536">
        <f>Ontario!N179</f>
        <v>96</v>
      </c>
      <c r="C295" s="1424"/>
      <c r="D295" s="1423">
        <f t="shared" ref="D295:D301" si="68">F295*325851</f>
        <v>863374.80960000004</v>
      </c>
      <c r="E295" s="1424"/>
      <c r="F295" s="1549">
        <f>0.0276*B295</f>
        <v>2.6496</v>
      </c>
      <c r="G295" s="1550"/>
      <c r="H295" s="930">
        <f>F295*15</f>
        <v>39.744</v>
      </c>
      <c r="I295" s="150">
        <f>0*B295</f>
        <v>0</v>
      </c>
      <c r="J295" s="150">
        <f>B295*65</f>
        <v>6240</v>
      </c>
      <c r="K295" s="150">
        <f>B295*85</f>
        <v>8160</v>
      </c>
      <c r="L295" s="172">
        <f t="shared" si="67"/>
        <v>14400</v>
      </c>
      <c r="M295" s="1539">
        <f t="shared" ref="M295:M301" si="69">IF(ISERROR(L295/(F295*727)),0,L295/(F295*727))</f>
        <v>7.4756294479995216</v>
      </c>
      <c r="N295" s="1540"/>
      <c r="O295" s="512"/>
      <c r="P295" s="512"/>
      <c r="Q295" s="512"/>
      <c r="R295" s="512"/>
      <c r="S295" s="512"/>
      <c r="T295" s="512"/>
      <c r="U295" s="512"/>
    </row>
    <row r="296" spans="1:21" s="508" customFormat="1" ht="13">
      <c r="A296" s="78" t="s">
        <v>56</v>
      </c>
      <c r="B296" s="1536">
        <f>Ontario!N180</f>
        <v>0</v>
      </c>
      <c r="C296" s="1424"/>
      <c r="D296" s="1423">
        <f t="shared" si="68"/>
        <v>0</v>
      </c>
      <c r="E296" s="1424"/>
      <c r="F296" s="1549">
        <f>0.004*B296</f>
        <v>0</v>
      </c>
      <c r="G296" s="1550"/>
      <c r="H296" s="930">
        <f>F296*5</f>
        <v>0</v>
      </c>
      <c r="I296" s="150">
        <f>0*B296</f>
        <v>0</v>
      </c>
      <c r="J296" s="150">
        <f>1*B296</f>
        <v>0</v>
      </c>
      <c r="K296" s="150">
        <f>B296*4</f>
        <v>0</v>
      </c>
      <c r="L296" s="172">
        <f t="shared" si="67"/>
        <v>0</v>
      </c>
      <c r="M296" s="1539">
        <f t="shared" si="69"/>
        <v>0</v>
      </c>
      <c r="N296" s="1540"/>
      <c r="O296" s="512"/>
      <c r="P296" s="512"/>
      <c r="Q296" s="512"/>
      <c r="R296" s="512"/>
      <c r="S296" s="512"/>
      <c r="T296" s="512"/>
      <c r="U296" s="512"/>
    </row>
    <row r="297" spans="1:21" s="508" customFormat="1" ht="14" thickBot="1">
      <c r="A297" s="78" t="s">
        <v>52</v>
      </c>
      <c r="B297" s="1536">
        <f>Ontario!N181</f>
        <v>2</v>
      </c>
      <c r="C297" s="1424"/>
      <c r="D297" s="1423">
        <f t="shared" si="68"/>
        <v>211803.15</v>
      </c>
      <c r="E297" s="1424"/>
      <c r="F297" s="1557">
        <f>0.325*B297</f>
        <v>0.65</v>
      </c>
      <c r="G297" s="1558"/>
      <c r="H297" s="935">
        <f>F297*10</f>
        <v>6.5</v>
      </c>
      <c r="I297" s="151">
        <v>0</v>
      </c>
      <c r="J297" s="173">
        <f>70*B297</f>
        <v>140</v>
      </c>
      <c r="K297" s="173">
        <f>B297*80</f>
        <v>160</v>
      </c>
      <c r="L297" s="174">
        <f t="shared" si="67"/>
        <v>300</v>
      </c>
      <c r="M297" s="1539">
        <f t="shared" si="69"/>
        <v>0.63485345466088239</v>
      </c>
      <c r="N297" s="1540"/>
      <c r="O297" s="512"/>
      <c r="P297" s="512"/>
      <c r="Q297" s="512"/>
      <c r="R297" s="512"/>
      <c r="S297" s="512"/>
      <c r="T297" s="512"/>
      <c r="U297" s="512"/>
    </row>
    <row r="298" spans="1:21" s="508" customFormat="1" ht="14" hidden="1" thickBot="1">
      <c r="A298" s="76" t="s">
        <v>182</v>
      </c>
      <c r="B298" s="1536">
        <f>Ontario!N182</f>
        <v>0</v>
      </c>
      <c r="C298" s="1424"/>
      <c r="D298" s="1423">
        <f t="shared" si="68"/>
        <v>0</v>
      </c>
      <c r="E298" s="1424"/>
      <c r="F298" s="1537">
        <f>0.325*B298</f>
        <v>0</v>
      </c>
      <c r="G298" s="1538"/>
      <c r="H298" s="548">
        <f>F298*10</f>
        <v>0</v>
      </c>
      <c r="I298" s="151">
        <v>0</v>
      </c>
      <c r="J298" s="151">
        <v>0</v>
      </c>
      <c r="K298" s="151">
        <v>0</v>
      </c>
      <c r="L298" s="151">
        <v>0</v>
      </c>
      <c r="M298" s="1539">
        <f t="shared" si="69"/>
        <v>0</v>
      </c>
      <c r="N298" s="1540"/>
      <c r="O298" s="512"/>
      <c r="P298" s="512"/>
      <c r="Q298" s="512"/>
      <c r="R298" s="512"/>
      <c r="S298" s="512"/>
      <c r="T298" s="512"/>
      <c r="U298" s="512"/>
    </row>
    <row r="299" spans="1:21" s="1161" customFormat="1" ht="17" thickBot="1">
      <c r="A299" s="108" t="s">
        <v>190</v>
      </c>
      <c r="B299" s="1457"/>
      <c r="C299" s="1586"/>
      <c r="D299" s="1567"/>
      <c r="E299" s="1586"/>
      <c r="F299" s="1587"/>
      <c r="G299" s="1588"/>
      <c r="H299" s="1145"/>
      <c r="I299" s="1233"/>
      <c r="J299" s="1233"/>
      <c r="K299" s="1233"/>
      <c r="L299" s="1209"/>
      <c r="M299" s="1617"/>
      <c r="N299" s="1486"/>
      <c r="O299" s="274"/>
      <c r="P299" s="274"/>
      <c r="Q299" s="274"/>
      <c r="R299" s="274"/>
      <c r="S299" s="274"/>
      <c r="T299" s="274"/>
      <c r="U299" s="274"/>
    </row>
    <row r="300" spans="1:21" s="508" customFormat="1" ht="13">
      <c r="A300" s="76" t="s">
        <v>205</v>
      </c>
      <c r="B300" s="1536">
        <f>Ontario!N184</f>
        <v>1508</v>
      </c>
      <c r="C300" s="1424"/>
      <c r="D300" s="1423">
        <f t="shared" si="68"/>
        <v>1965533.2320000001</v>
      </c>
      <c r="E300" s="1424"/>
      <c r="F300" s="1557">
        <f>B300*0.004</f>
        <v>6.032</v>
      </c>
      <c r="G300" s="1558"/>
      <c r="H300" s="935">
        <f>F300*5</f>
        <v>30.16</v>
      </c>
      <c r="I300" s="151">
        <v>0</v>
      </c>
      <c r="J300" s="151">
        <v>0</v>
      </c>
      <c r="K300" s="173">
        <f>B300*3.25</f>
        <v>4901</v>
      </c>
      <c r="L300" s="174">
        <f t="shared" si="67"/>
        <v>4901</v>
      </c>
      <c r="M300" s="1539">
        <f t="shared" si="69"/>
        <v>1.1176066024759284</v>
      </c>
      <c r="N300" s="1540"/>
      <c r="O300" s="512"/>
      <c r="P300" s="512"/>
      <c r="Q300" s="512"/>
      <c r="R300" s="512"/>
      <c r="S300" s="512"/>
      <c r="T300" s="512"/>
      <c r="U300" s="512"/>
    </row>
    <row r="301" spans="1:21" s="508" customFormat="1" ht="13">
      <c r="A301" s="76" t="s">
        <v>206</v>
      </c>
      <c r="B301" s="1536">
        <f>Ontario!N185</f>
        <v>27</v>
      </c>
      <c r="C301" s="1424"/>
      <c r="D301" s="1423">
        <f t="shared" si="68"/>
        <v>4236063</v>
      </c>
      <c r="E301" s="1424"/>
      <c r="F301" s="1580">
        <v>13</v>
      </c>
      <c r="G301" s="1581"/>
      <c r="H301" s="967">
        <v>115</v>
      </c>
      <c r="I301" s="151">
        <v>9451</v>
      </c>
      <c r="J301" s="173">
        <v>1539</v>
      </c>
      <c r="K301" s="151">
        <v>10990.02</v>
      </c>
      <c r="L301" s="170">
        <f>SUM(I301:K301)</f>
        <v>21980.02</v>
      </c>
      <c r="M301" s="1539">
        <f t="shared" si="69"/>
        <v>2.3256819384192151</v>
      </c>
      <c r="N301" s="1540"/>
      <c r="O301" s="512"/>
      <c r="P301" s="512"/>
      <c r="Q301" s="512"/>
      <c r="R301" s="512"/>
      <c r="S301" s="512"/>
      <c r="T301" s="512"/>
      <c r="U301" s="512"/>
    </row>
    <row r="302" spans="1:21" s="508" customFormat="1" ht="14" thickBot="1">
      <c r="A302" s="76" t="s">
        <v>193</v>
      </c>
      <c r="B302" s="1536">
        <f>Ontario!N186</f>
        <v>0</v>
      </c>
      <c r="C302" s="1424"/>
      <c r="D302" s="1423">
        <f>F302*325851</f>
        <v>0</v>
      </c>
      <c r="E302" s="1424"/>
      <c r="F302" s="1584">
        <v>0</v>
      </c>
      <c r="G302" s="1585"/>
      <c r="H302" s="967">
        <v>0</v>
      </c>
      <c r="I302" s="151">
        <v>0</v>
      </c>
      <c r="J302" s="173">
        <f>L302-K302</f>
        <v>0</v>
      </c>
      <c r="K302" s="151">
        <v>0</v>
      </c>
      <c r="L302" s="151">
        <v>0</v>
      </c>
      <c r="M302" s="1634">
        <f>IF(ISERROR(L302/(F302*727)),0,L302/(F302*727))</f>
        <v>0</v>
      </c>
      <c r="N302" s="1540"/>
      <c r="O302" s="512"/>
      <c r="P302" s="512"/>
      <c r="Q302" s="512"/>
      <c r="R302" s="512"/>
      <c r="S302" s="512"/>
      <c r="T302" s="512"/>
      <c r="U302" s="512"/>
    </row>
    <row r="303" spans="1:21" s="533" customFormat="1" ht="14" thickBot="1">
      <c r="A303" s="53" t="s">
        <v>60</v>
      </c>
      <c r="B303" s="1438">
        <f>SUM(B294:C302)</f>
        <v>1633</v>
      </c>
      <c r="C303" s="1609"/>
      <c r="D303" s="1441">
        <f>SUM(D294:E302)</f>
        <v>7276774.1916000005</v>
      </c>
      <c r="E303" s="1609"/>
      <c r="F303" s="1512">
        <f>SUM(F294:G302)</f>
        <v>22.331600000000002</v>
      </c>
      <c r="G303" s="1575"/>
      <c r="H303" s="547">
        <f>SUM(H294:H302)</f>
        <v>191.404</v>
      </c>
      <c r="I303" s="146">
        <f>SUM(I294:I302)</f>
        <v>9451</v>
      </c>
      <c r="J303" s="146">
        <f>SUM(J294:J302)</f>
        <v>7919</v>
      </c>
      <c r="K303" s="146">
        <f>SUM(K294:K302)</f>
        <v>24211.02</v>
      </c>
      <c r="L303" s="160">
        <f>SUM(L294:L302)</f>
        <v>41581.020000000004</v>
      </c>
      <c r="M303" s="1440"/>
      <c r="N303" s="1622"/>
      <c r="O303" s="534"/>
      <c r="P303" s="534"/>
      <c r="Q303" s="534"/>
      <c r="R303" s="534"/>
      <c r="S303" s="534"/>
      <c r="T303" s="534"/>
      <c r="U303" s="534"/>
    </row>
    <row r="304" spans="1:21" s="1161" customFormat="1" ht="17" thickBot="1">
      <c r="A304" s="108" t="s">
        <v>191</v>
      </c>
      <c r="B304" s="1456"/>
      <c r="C304" s="1586"/>
      <c r="D304" s="1457"/>
      <c r="E304" s="1586"/>
      <c r="F304" s="1587"/>
      <c r="G304" s="1588"/>
      <c r="H304" s="1145"/>
      <c r="I304" s="1233"/>
      <c r="J304" s="1233"/>
      <c r="K304" s="1233"/>
      <c r="L304" s="1233"/>
      <c r="M304" s="1485"/>
      <c r="N304" s="1486"/>
      <c r="O304" s="274"/>
      <c r="P304" s="274"/>
      <c r="Q304" s="274"/>
      <c r="R304" s="274"/>
      <c r="S304" s="274"/>
      <c r="T304" s="274"/>
      <c r="U304" s="274"/>
    </row>
    <row r="305" spans="1:21" s="512" customFormat="1" ht="13">
      <c r="A305" s="76" t="s">
        <v>146</v>
      </c>
      <c r="B305" s="1644">
        <f>Ontario!N189</f>
        <v>34</v>
      </c>
      <c r="C305" s="1448"/>
      <c r="D305" s="1451">
        <f>F305*325851</f>
        <v>470854.69500000001</v>
      </c>
      <c r="E305" s="1448"/>
      <c r="F305" s="1557">
        <f>0.0425*B305</f>
        <v>1.4450000000000001</v>
      </c>
      <c r="G305" s="1558"/>
      <c r="H305" s="935">
        <f>F305*20</f>
        <v>28.900000000000002</v>
      </c>
      <c r="I305" s="216">
        <f>73.34*B305</f>
        <v>2493.56</v>
      </c>
      <c r="J305" s="216">
        <f>35.66*B305</f>
        <v>1212.4399999999998</v>
      </c>
      <c r="K305" s="216">
        <f>B305*50</f>
        <v>1700</v>
      </c>
      <c r="L305" s="216">
        <f>I305+J305+K305</f>
        <v>5406</v>
      </c>
      <c r="M305" s="1688">
        <f>IF(ISERROR(L305/(F305*727)),0,L305/(F305*727))</f>
        <v>5.146047414839388</v>
      </c>
      <c r="N305" s="1428"/>
    </row>
    <row r="306" spans="1:21" s="508" customFormat="1" ht="14" thickBot="1">
      <c r="A306" s="76" t="s">
        <v>181</v>
      </c>
      <c r="B306" s="1563">
        <f>Ontario!N190</f>
        <v>226</v>
      </c>
      <c r="C306" s="1424"/>
      <c r="D306" s="1536">
        <f>F306*325851</f>
        <v>3129798.855</v>
      </c>
      <c r="E306" s="1424"/>
      <c r="F306" s="1557">
        <f>0.0425*B306</f>
        <v>9.6050000000000004</v>
      </c>
      <c r="G306" s="1558"/>
      <c r="H306" s="935">
        <f>F306*20</f>
        <v>192.10000000000002</v>
      </c>
      <c r="I306" s="140">
        <f>73.34*B306</f>
        <v>16574.84</v>
      </c>
      <c r="J306" s="140">
        <f>35.66*B306</f>
        <v>8059.1599999999989</v>
      </c>
      <c r="K306" s="140">
        <f>B306*50</f>
        <v>11300</v>
      </c>
      <c r="L306" s="518">
        <f>I306+J306+K306</f>
        <v>35934</v>
      </c>
      <c r="M306" s="1634">
        <f>IF(ISERROR(L306/(F306*727)),0,L306/(F306*727))</f>
        <v>5.146047414839388</v>
      </c>
      <c r="N306" s="1540"/>
      <c r="O306" s="512"/>
      <c r="P306" s="512"/>
      <c r="Q306" s="512"/>
      <c r="R306" s="512"/>
      <c r="S306" s="512"/>
      <c r="T306" s="512"/>
      <c r="U306" s="512"/>
    </row>
    <row r="307" spans="1:21" s="533" customFormat="1" ht="14" thickBot="1">
      <c r="A307" s="53" t="s">
        <v>60</v>
      </c>
      <c r="B307" s="1438">
        <f>SUM(B305:B306)</f>
        <v>260</v>
      </c>
      <c r="C307" s="1609"/>
      <c r="D307" s="1440">
        <f>SUM(D305:D306)</f>
        <v>3600653.55</v>
      </c>
      <c r="E307" s="1621"/>
      <c r="F307" s="1511">
        <f>SUM(F305:F306)</f>
        <v>11.05</v>
      </c>
      <c r="G307" s="1575"/>
      <c r="H307" s="547">
        <f>SUM(H305:H306)</f>
        <v>221.00000000000003</v>
      </c>
      <c r="I307" s="146">
        <f>SUM(I305:I306)</f>
        <v>19068.400000000001</v>
      </c>
      <c r="J307" s="160">
        <f>SUM(J305:J306)</f>
        <v>9271.5999999999985</v>
      </c>
      <c r="K307" s="160">
        <f>SUM(K305:K306)</f>
        <v>13000</v>
      </c>
      <c r="L307" s="146">
        <f>SUM(L305:L306)</f>
        <v>41340</v>
      </c>
      <c r="M307" s="1610"/>
      <c r="N307" s="1611"/>
      <c r="O307" s="534"/>
      <c r="P307" s="534"/>
      <c r="Q307" s="534"/>
      <c r="R307" s="534"/>
      <c r="S307" s="534"/>
      <c r="T307" s="534"/>
      <c r="U307" s="534"/>
    </row>
    <row r="308" spans="1:21" s="1161" customFormat="1" ht="17" thickBot="1">
      <c r="A308" s="108" t="s">
        <v>194</v>
      </c>
      <c r="B308" s="1456"/>
      <c r="C308" s="1586"/>
      <c r="D308" s="1457"/>
      <c r="E308" s="1586"/>
      <c r="F308" s="1587"/>
      <c r="G308" s="1588"/>
      <c r="H308" s="1145"/>
      <c r="I308" s="161"/>
      <c r="J308" s="161"/>
      <c r="K308" s="161"/>
      <c r="L308" s="162"/>
      <c r="M308" s="1617"/>
      <c r="N308" s="1486"/>
      <c r="O308" s="274"/>
      <c r="P308" s="274"/>
      <c r="Q308" s="274"/>
      <c r="R308" s="274"/>
      <c r="S308" s="274"/>
      <c r="T308" s="274"/>
      <c r="U308" s="274"/>
    </row>
    <row r="309" spans="1:21">
      <c r="A309" s="78" t="s">
        <v>29</v>
      </c>
      <c r="B309" s="1563">
        <f>Ontario!N193</f>
        <v>0</v>
      </c>
      <c r="C309" s="1424"/>
      <c r="D309" s="1536">
        <f>F309*325851</f>
        <v>0</v>
      </c>
      <c r="E309" s="1424"/>
      <c r="F309" s="1549">
        <f>0.0425*B309</f>
        <v>0</v>
      </c>
      <c r="G309" s="1550"/>
      <c r="H309" s="930">
        <f>F309*20</f>
        <v>0</v>
      </c>
      <c r="I309" s="151">
        <v>0</v>
      </c>
      <c r="J309" s="150">
        <f>35*B309</f>
        <v>0</v>
      </c>
      <c r="K309" s="150">
        <f>50*B309</f>
        <v>0</v>
      </c>
      <c r="L309" s="172">
        <f t="shared" ref="L309:L324" si="70">SUM(I309:K309)</f>
        <v>0</v>
      </c>
      <c r="M309" s="1539">
        <f>IF(ISERROR(L309/(F309*727)),0,L309/(F309*727))</f>
        <v>0</v>
      </c>
      <c r="N309" s="1540"/>
    </row>
    <row r="310" spans="1:21">
      <c r="A310" s="78" t="s">
        <v>51</v>
      </c>
      <c r="B310" s="1563">
        <f>Ontario!N194</f>
        <v>0</v>
      </c>
      <c r="C310" s="1424"/>
      <c r="D310" s="1536">
        <f t="shared" ref="D310:D324" si="71">F310*325851</f>
        <v>0</v>
      </c>
      <c r="E310" s="1424"/>
      <c r="F310" s="1549">
        <f>0.1227*B310</f>
        <v>0</v>
      </c>
      <c r="G310" s="1550"/>
      <c r="H310" s="930">
        <f>F310*20</f>
        <v>0</v>
      </c>
      <c r="I310" s="151">
        <v>0</v>
      </c>
      <c r="J310" s="150">
        <f>50*B310</f>
        <v>0</v>
      </c>
      <c r="K310" s="150">
        <f>200*B310</f>
        <v>0</v>
      </c>
      <c r="L310" s="172">
        <f t="shared" si="70"/>
        <v>0</v>
      </c>
      <c r="M310" s="1539">
        <f t="shared" ref="M310:M324" si="72">IF(ISERROR(L310/(F310*727)),0,L310/(F310*727))</f>
        <v>0</v>
      </c>
      <c r="N310" s="1540"/>
    </row>
    <row r="311" spans="1:21">
      <c r="A311" s="78" t="s">
        <v>204</v>
      </c>
      <c r="B311" s="1563">
        <f>Ontario!N195</f>
        <v>4</v>
      </c>
      <c r="C311" s="1424"/>
      <c r="D311" s="1536">
        <f t="shared" si="71"/>
        <v>159927.67079999999</v>
      </c>
      <c r="E311" s="1424"/>
      <c r="F311" s="1549">
        <f>0.1227*B311</f>
        <v>0.49080000000000001</v>
      </c>
      <c r="G311" s="1550"/>
      <c r="H311" s="930">
        <f>F311*5</f>
        <v>2.4540000000000002</v>
      </c>
      <c r="I311" s="151">
        <v>0</v>
      </c>
      <c r="J311" s="150">
        <f>B311*1000</f>
        <v>4000</v>
      </c>
      <c r="K311" s="150">
        <f>B311*1750</f>
        <v>7000</v>
      </c>
      <c r="L311" s="172">
        <f t="shared" si="70"/>
        <v>11000</v>
      </c>
      <c r="M311" s="1539">
        <f t="shared" si="72"/>
        <v>30.828594137634539</v>
      </c>
      <c r="N311" s="1540"/>
    </row>
    <row r="312" spans="1:21">
      <c r="A312" s="78" t="s">
        <v>13</v>
      </c>
      <c r="B312" s="1563">
        <f>Ontario!N196</f>
        <v>0</v>
      </c>
      <c r="C312" s="1424"/>
      <c r="D312" s="1536">
        <f t="shared" si="71"/>
        <v>0</v>
      </c>
      <c r="E312" s="1424"/>
      <c r="F312" s="1549">
        <f>0.1075*B312</f>
        <v>0</v>
      </c>
      <c r="G312" s="1550"/>
      <c r="H312" s="930">
        <f>F312*10</f>
        <v>0</v>
      </c>
      <c r="I312" s="151">
        <v>0</v>
      </c>
      <c r="J312" s="150">
        <f>100*B312</f>
        <v>0</v>
      </c>
      <c r="K312" s="150">
        <f>80*B312</f>
        <v>0</v>
      </c>
      <c r="L312" s="172">
        <f t="shared" si="70"/>
        <v>0</v>
      </c>
      <c r="M312" s="1539">
        <f t="shared" si="72"/>
        <v>0</v>
      </c>
      <c r="N312" s="1540"/>
    </row>
    <row r="313" spans="1:21">
      <c r="A313" s="76" t="s">
        <v>47</v>
      </c>
      <c r="B313" s="1563">
        <f>Ontario!N197</f>
        <v>0</v>
      </c>
      <c r="C313" s="1424"/>
      <c r="D313" s="1536">
        <f t="shared" si="71"/>
        <v>0</v>
      </c>
      <c r="E313" s="1424"/>
      <c r="F313" s="1549">
        <f>0.1534*B313</f>
        <v>0</v>
      </c>
      <c r="G313" s="1550"/>
      <c r="H313" s="930">
        <f>F313*5</f>
        <v>0</v>
      </c>
      <c r="I313" s="151">
        <v>0</v>
      </c>
      <c r="J313" s="150">
        <f>0*B313</f>
        <v>0</v>
      </c>
      <c r="K313" s="150">
        <f>150*B313</f>
        <v>0</v>
      </c>
      <c r="L313" s="172">
        <f t="shared" si="70"/>
        <v>0</v>
      </c>
      <c r="M313" s="1539">
        <f t="shared" si="72"/>
        <v>0</v>
      </c>
      <c r="N313" s="1540"/>
    </row>
    <row r="314" spans="1:21">
      <c r="A314" s="76" t="s">
        <v>52</v>
      </c>
      <c r="B314" s="1563">
        <f>Ontario!N198</f>
        <v>2</v>
      </c>
      <c r="C314" s="1424"/>
      <c r="D314" s="1536">
        <f t="shared" si="71"/>
        <v>211803.15</v>
      </c>
      <c r="E314" s="1424"/>
      <c r="F314" s="1549">
        <f>0.325*B314</f>
        <v>0.65</v>
      </c>
      <c r="G314" s="1550"/>
      <c r="H314" s="930">
        <f>F314*10</f>
        <v>6.5</v>
      </c>
      <c r="I314" s="151">
        <v>0</v>
      </c>
      <c r="J314" s="151">
        <f>B314*540</f>
        <v>1080</v>
      </c>
      <c r="K314" s="151">
        <f>B314*900</f>
        <v>1800</v>
      </c>
      <c r="L314" s="172">
        <f t="shared" si="70"/>
        <v>2880</v>
      </c>
      <c r="M314" s="1539">
        <f t="shared" si="72"/>
        <v>6.0945931647444711</v>
      </c>
      <c r="N314" s="1540"/>
    </row>
    <row r="315" spans="1:21">
      <c r="A315" s="76" t="s">
        <v>53</v>
      </c>
      <c r="B315" s="1563">
        <f>Ontario!N199</f>
        <v>0</v>
      </c>
      <c r="C315" s="1424"/>
      <c r="D315" s="1536">
        <f t="shared" si="71"/>
        <v>0</v>
      </c>
      <c r="E315" s="1424"/>
      <c r="F315" s="1549">
        <f>0.00014*B315</f>
        <v>0</v>
      </c>
      <c r="G315" s="1550"/>
      <c r="H315" s="930">
        <f>F315*10</f>
        <v>0</v>
      </c>
      <c r="I315" s="151">
        <v>0</v>
      </c>
      <c r="J315" s="150">
        <f>0.45*B315</f>
        <v>0</v>
      </c>
      <c r="K315" s="150">
        <f>0.3*B315</f>
        <v>0</v>
      </c>
      <c r="L315" s="172">
        <f t="shared" si="70"/>
        <v>0</v>
      </c>
      <c r="M315" s="1539">
        <f t="shared" si="72"/>
        <v>0</v>
      </c>
      <c r="N315" s="1540"/>
    </row>
    <row r="316" spans="1:21">
      <c r="A316" s="76" t="s">
        <v>56</v>
      </c>
      <c r="B316" s="1691">
        <v>1307</v>
      </c>
      <c r="C316" s="1579"/>
      <c r="D316" s="1536">
        <f t="shared" si="71"/>
        <v>1703549.0279999999</v>
      </c>
      <c r="E316" s="1424"/>
      <c r="F316" s="1549">
        <f>0.004*B316</f>
        <v>5.2279999999999998</v>
      </c>
      <c r="G316" s="1550"/>
      <c r="H316" s="930">
        <f>F316*5</f>
        <v>26.14</v>
      </c>
      <c r="I316" s="151">
        <v>0</v>
      </c>
      <c r="J316" s="150">
        <f>1*B316</f>
        <v>1307</v>
      </c>
      <c r="K316" s="150">
        <f>3*B316</f>
        <v>3921</v>
      </c>
      <c r="L316" s="172">
        <f t="shared" si="70"/>
        <v>5228</v>
      </c>
      <c r="M316" s="1539">
        <f t="shared" si="72"/>
        <v>1.3755158184319121</v>
      </c>
      <c r="N316" s="1540"/>
    </row>
    <row r="317" spans="1:21">
      <c r="A317" s="76" t="s">
        <v>122</v>
      </c>
      <c r="B317" s="1563">
        <f>Ontario!N201</f>
        <v>0</v>
      </c>
      <c r="C317" s="1424"/>
      <c r="D317" s="1536">
        <f t="shared" si="71"/>
        <v>0</v>
      </c>
      <c r="E317" s="1424"/>
      <c r="F317" s="1549">
        <f t="shared" ref="F317:F323" si="73">0.018*B317</f>
        <v>0</v>
      </c>
      <c r="G317" s="1550"/>
      <c r="H317" s="930">
        <f t="shared" ref="H317:H323" si="74">F317*10</f>
        <v>0</v>
      </c>
      <c r="I317" s="151">
        <v>0</v>
      </c>
      <c r="J317" s="150">
        <f t="shared" ref="J317:J324" si="75">0*B317</f>
        <v>0</v>
      </c>
      <c r="K317" s="150">
        <f>13*B317</f>
        <v>0</v>
      </c>
      <c r="L317" s="172">
        <f t="shared" si="70"/>
        <v>0</v>
      </c>
      <c r="M317" s="1539">
        <f t="shared" si="72"/>
        <v>0</v>
      </c>
      <c r="N317" s="1540"/>
    </row>
    <row r="318" spans="1:21" hidden="1">
      <c r="A318" s="76" t="s">
        <v>102</v>
      </c>
      <c r="B318" s="1563">
        <f>Ontario!N202</f>
        <v>0</v>
      </c>
      <c r="C318" s="1424"/>
      <c r="D318" s="1536">
        <f t="shared" si="71"/>
        <v>0</v>
      </c>
      <c r="E318" s="1424"/>
      <c r="F318" s="1549">
        <f t="shared" si="73"/>
        <v>0</v>
      </c>
      <c r="G318" s="1550"/>
      <c r="H318" s="930">
        <f t="shared" si="74"/>
        <v>0</v>
      </c>
      <c r="I318" s="151">
        <v>0</v>
      </c>
      <c r="J318" s="150">
        <f t="shared" si="75"/>
        <v>0</v>
      </c>
      <c r="K318" s="150">
        <f>13*B318</f>
        <v>0</v>
      </c>
      <c r="L318" s="172">
        <f t="shared" si="70"/>
        <v>0</v>
      </c>
      <c r="M318" s="1539">
        <f t="shared" si="72"/>
        <v>0</v>
      </c>
      <c r="N318" s="1540"/>
    </row>
    <row r="319" spans="1:21">
      <c r="A319" s="78" t="s">
        <v>184</v>
      </c>
      <c r="B319" s="1563">
        <f>Ontario!N203</f>
        <v>0</v>
      </c>
      <c r="C319" s="1424"/>
      <c r="D319" s="1536">
        <f t="shared" si="71"/>
        <v>0</v>
      </c>
      <c r="E319" s="1424"/>
      <c r="F319" s="1549">
        <f t="shared" si="73"/>
        <v>0</v>
      </c>
      <c r="G319" s="1550"/>
      <c r="H319" s="930">
        <f t="shared" si="74"/>
        <v>0</v>
      </c>
      <c r="I319" s="151">
        <v>0</v>
      </c>
      <c r="J319" s="150">
        <f t="shared" si="75"/>
        <v>0</v>
      </c>
      <c r="K319" s="150">
        <f>13*B319</f>
        <v>0</v>
      </c>
      <c r="L319" s="172">
        <f t="shared" si="70"/>
        <v>0</v>
      </c>
      <c r="M319" s="1539">
        <f t="shared" si="72"/>
        <v>0</v>
      </c>
      <c r="N319" s="1540"/>
    </row>
    <row r="320" spans="1:21" s="353" customFormat="1">
      <c r="A320" s="107" t="s">
        <v>187</v>
      </c>
      <c r="B320" s="1691">
        <v>46</v>
      </c>
      <c r="C320" s="1579"/>
      <c r="D320" s="1578">
        <f t="shared" si="71"/>
        <v>344750.35800000001</v>
      </c>
      <c r="E320" s="1579"/>
      <c r="F320" s="1580">
        <f>B320*0.023</f>
        <v>1.0580000000000001</v>
      </c>
      <c r="G320" s="1581"/>
      <c r="H320" s="967">
        <f>F320*5</f>
        <v>5.29</v>
      </c>
      <c r="I320" s="151">
        <v>0</v>
      </c>
      <c r="J320" s="151">
        <f>10*B320</f>
        <v>460</v>
      </c>
      <c r="K320" s="151">
        <f>10*B320</f>
        <v>460</v>
      </c>
      <c r="L320" s="170">
        <f t="shared" si="70"/>
        <v>920</v>
      </c>
      <c r="M320" s="1689">
        <f t="shared" si="72"/>
        <v>1.1961007116799234</v>
      </c>
      <c r="N320" s="1690"/>
      <c r="O320" s="274"/>
      <c r="P320" s="274"/>
      <c r="Q320" s="274"/>
      <c r="R320" s="274"/>
      <c r="S320" s="274"/>
      <c r="T320" s="274"/>
      <c r="U320" s="274"/>
    </row>
    <row r="321" spans="1:21" s="353" customFormat="1" ht="17" thickBot="1">
      <c r="A321" s="107" t="s">
        <v>188</v>
      </c>
      <c r="B321" s="1691">
        <f>Ontario!N205</f>
        <v>0</v>
      </c>
      <c r="C321" s="1579"/>
      <c r="D321" s="1578">
        <f t="shared" si="71"/>
        <v>0</v>
      </c>
      <c r="E321" s="1579"/>
      <c r="F321" s="1580">
        <f t="shared" si="73"/>
        <v>0</v>
      </c>
      <c r="G321" s="1581"/>
      <c r="H321" s="967">
        <f t="shared" si="74"/>
        <v>0</v>
      </c>
      <c r="I321" s="151">
        <v>0</v>
      </c>
      <c r="J321" s="151">
        <f t="shared" si="75"/>
        <v>0</v>
      </c>
      <c r="K321" s="151">
        <f>13*B321</f>
        <v>0</v>
      </c>
      <c r="L321" s="170">
        <f t="shared" si="70"/>
        <v>0</v>
      </c>
      <c r="M321" s="1689">
        <f t="shared" si="72"/>
        <v>0</v>
      </c>
      <c r="N321" s="1690"/>
      <c r="O321" s="274"/>
      <c r="P321" s="274"/>
      <c r="Q321" s="274"/>
      <c r="R321" s="274"/>
      <c r="S321" s="274"/>
      <c r="T321" s="274"/>
      <c r="U321" s="274"/>
    </row>
    <row r="322" spans="1:21" s="1161" customFormat="1" ht="17" thickBot="1">
      <c r="A322" s="108" t="s">
        <v>192</v>
      </c>
      <c r="B322" s="1456"/>
      <c r="C322" s="1586"/>
      <c r="D322" s="1457"/>
      <c r="E322" s="1586"/>
      <c r="F322" s="1587"/>
      <c r="G322" s="1588"/>
      <c r="H322" s="1145"/>
      <c r="I322" s="161"/>
      <c r="J322" s="161"/>
      <c r="K322" s="161"/>
      <c r="L322" s="162"/>
      <c r="M322" s="1617"/>
      <c r="N322" s="1486"/>
      <c r="O322" s="274"/>
      <c r="P322" s="274"/>
      <c r="Q322" s="274"/>
      <c r="R322" s="274"/>
      <c r="S322" s="274"/>
      <c r="T322" s="274"/>
      <c r="U322" s="274"/>
    </row>
    <row r="323" spans="1:21" s="508" customFormat="1" ht="13">
      <c r="A323" s="76" t="s">
        <v>167</v>
      </c>
      <c r="B323" s="1563">
        <f>Ontario!N207</f>
        <v>0</v>
      </c>
      <c r="C323" s="1424"/>
      <c r="D323" s="1536">
        <f t="shared" si="71"/>
        <v>0</v>
      </c>
      <c r="E323" s="1424"/>
      <c r="F323" s="1549">
        <f t="shared" si="73"/>
        <v>0</v>
      </c>
      <c r="G323" s="1550"/>
      <c r="H323" s="930">
        <f t="shared" si="74"/>
        <v>0</v>
      </c>
      <c r="I323" s="323">
        <v>0</v>
      </c>
      <c r="J323" s="140">
        <f t="shared" si="75"/>
        <v>0</v>
      </c>
      <c r="K323" s="140">
        <f>13*B323</f>
        <v>0</v>
      </c>
      <c r="L323" s="217">
        <f t="shared" si="70"/>
        <v>0</v>
      </c>
      <c r="M323" s="1427">
        <f t="shared" si="72"/>
        <v>0</v>
      </c>
      <c r="N323" s="1428"/>
      <c r="O323" s="512"/>
      <c r="P323" s="512"/>
      <c r="Q323" s="512"/>
      <c r="R323" s="512"/>
      <c r="S323" s="512"/>
      <c r="T323" s="512"/>
      <c r="U323" s="512"/>
    </row>
    <row r="324" spans="1:21" s="508" customFormat="1" ht="14" thickBot="1">
      <c r="A324" s="76" t="s">
        <v>165</v>
      </c>
      <c r="B324" s="1563">
        <f>Ontario!N208</f>
        <v>6700</v>
      </c>
      <c r="C324" s="1424"/>
      <c r="D324" s="1536">
        <f t="shared" si="71"/>
        <v>8732806.8000000007</v>
      </c>
      <c r="E324" s="1424"/>
      <c r="F324" s="1549">
        <f>0.004*B324</f>
        <v>26.8</v>
      </c>
      <c r="G324" s="1550"/>
      <c r="H324" s="930">
        <f>F324*5</f>
        <v>134</v>
      </c>
      <c r="I324" s="215">
        <v>0</v>
      </c>
      <c r="J324" s="140">
        <f t="shared" si="75"/>
        <v>0</v>
      </c>
      <c r="K324" s="140">
        <f>B324*3.25</f>
        <v>21775</v>
      </c>
      <c r="L324" s="217">
        <f t="shared" si="70"/>
        <v>21775</v>
      </c>
      <c r="M324" s="1539">
        <f t="shared" si="72"/>
        <v>1.1176066024759284</v>
      </c>
      <c r="N324" s="1540"/>
      <c r="O324" s="512"/>
      <c r="P324" s="512"/>
      <c r="Q324" s="512"/>
      <c r="R324" s="512"/>
      <c r="S324" s="512"/>
      <c r="T324" s="512"/>
      <c r="U324" s="512"/>
    </row>
    <row r="325" spans="1:21" s="533" customFormat="1" ht="14" thickBot="1">
      <c r="A325" s="53" t="s">
        <v>60</v>
      </c>
      <c r="B325" s="1438">
        <f>SUM(B309:C324)</f>
        <v>8059</v>
      </c>
      <c r="C325" s="1609"/>
      <c r="D325" s="1440">
        <f>SUM(D309:E324)</f>
        <v>11152837.0068</v>
      </c>
      <c r="E325" s="1609"/>
      <c r="F325" s="1512">
        <f>SUM(F309:G324)</f>
        <v>34.226799999999997</v>
      </c>
      <c r="G325" s="1575"/>
      <c r="H325" s="504">
        <f>SUM(H309:H324)</f>
        <v>174.38400000000001</v>
      </c>
      <c r="I325" s="146">
        <f>SUM(I309:I324)</f>
        <v>0</v>
      </c>
      <c r="J325" s="146">
        <f>SUM(J309:J324)</f>
        <v>6847</v>
      </c>
      <c r="K325" s="146">
        <f>SUM(K309:K324)</f>
        <v>34956</v>
      </c>
      <c r="L325" s="146">
        <f>SUM(L309:L324)</f>
        <v>41803</v>
      </c>
      <c r="M325" s="1610"/>
      <c r="N325" s="1611"/>
      <c r="O325" s="534"/>
      <c r="P325" s="534"/>
      <c r="Q325" s="534"/>
      <c r="R325" s="534"/>
      <c r="S325" s="534"/>
      <c r="T325" s="534"/>
      <c r="U325" s="534"/>
    </row>
    <row r="326" spans="1:21" s="1161" customFormat="1" ht="17" thickBot="1">
      <c r="A326" s="1163" t="s">
        <v>17</v>
      </c>
      <c r="B326" s="1414">
        <f>SUM(,B303,B307,B325)</f>
        <v>9952</v>
      </c>
      <c r="C326" s="1415"/>
      <c r="D326" s="1612">
        <f>SUM(,D303,D307,D325)</f>
        <v>22030264.748399999</v>
      </c>
      <c r="E326" s="1415"/>
      <c r="F326" s="1613">
        <f>SUM(,F303,F307,F325)</f>
        <v>67.608400000000003</v>
      </c>
      <c r="G326" s="1488"/>
      <c r="H326" s="1164">
        <f>(H325+H303+H307)</f>
        <v>586.78800000000001</v>
      </c>
      <c r="I326" s="1165">
        <f>SUM(,I303,I307,I325)</f>
        <v>28519.4</v>
      </c>
      <c r="J326" s="1165">
        <f>SUM(,J303,J307,J325)</f>
        <v>24037.599999999999</v>
      </c>
      <c r="K326" s="1165">
        <f>SUM(,K303,K307,K325)</f>
        <v>72167.02</v>
      </c>
      <c r="L326" s="1165">
        <f>SUM(,L303,L307,L325)</f>
        <v>124724.02</v>
      </c>
      <c r="M326" s="1631"/>
      <c r="N326" s="1640"/>
      <c r="O326" s="274"/>
      <c r="P326" s="274"/>
      <c r="Q326" s="274"/>
      <c r="R326" s="274"/>
      <c r="S326" s="274"/>
      <c r="T326" s="274"/>
      <c r="U326" s="274"/>
    </row>
    <row r="327" spans="1:21">
      <c r="A327" s="343"/>
      <c r="B327" s="354"/>
      <c r="C327" s="354"/>
      <c r="D327" s="354"/>
      <c r="E327" s="354"/>
      <c r="F327" s="455"/>
      <c r="G327" s="455"/>
      <c r="H327" s="455"/>
      <c r="I327" s="355"/>
      <c r="J327" s="355"/>
      <c r="K327" s="355"/>
      <c r="L327" s="355"/>
      <c r="M327" s="394"/>
      <c r="N327" s="394"/>
    </row>
    <row r="328" spans="1:21" ht="18">
      <c r="A328" s="356" t="s">
        <v>271</v>
      </c>
      <c r="B328" s="1566" t="s">
        <v>59</v>
      </c>
      <c r="C328" s="1566"/>
      <c r="D328" s="1566"/>
      <c r="E328" s="1641"/>
      <c r="F328" s="455"/>
      <c r="G328" s="455"/>
      <c r="H328" s="455"/>
      <c r="I328" s="355"/>
      <c r="J328" s="355"/>
      <c r="K328" s="355"/>
      <c r="L328" s="355"/>
      <c r="M328" s="394"/>
      <c r="N328" s="394"/>
    </row>
    <row r="329" spans="1:21">
      <c r="B329" s="1559" t="s">
        <v>19</v>
      </c>
      <c r="C329" s="1559"/>
      <c r="D329" s="1559"/>
      <c r="E329" s="1559"/>
      <c r="F329" s="455"/>
      <c r="G329" s="455"/>
      <c r="H329" s="455"/>
      <c r="I329" s="355"/>
      <c r="J329" s="355"/>
      <c r="K329" s="355"/>
      <c r="L329" s="355"/>
      <c r="M329" s="394"/>
      <c r="N329" s="394"/>
    </row>
    <row r="330" spans="1:21" ht="17" thickBot="1">
      <c r="B330" s="495"/>
      <c r="C330" s="495"/>
      <c r="D330" s="495"/>
      <c r="E330" s="495"/>
      <c r="F330" s="455"/>
      <c r="G330" s="455"/>
      <c r="H330" s="455"/>
      <c r="I330" s="355"/>
      <c r="J330" s="355"/>
      <c r="K330" s="355"/>
      <c r="L330" s="355"/>
      <c r="M330" s="495"/>
      <c r="N330" s="495"/>
    </row>
    <row r="331" spans="1:21">
      <c r="A331" s="98"/>
      <c r="B331" s="99"/>
      <c r="C331" s="99"/>
      <c r="D331" s="99"/>
      <c r="E331" s="99"/>
      <c r="F331" s="421"/>
      <c r="G331" s="421"/>
      <c r="H331" s="421"/>
      <c r="I331" s="1468" t="s">
        <v>0</v>
      </c>
      <c r="J331" s="1468"/>
      <c r="K331" s="1468"/>
      <c r="L331" s="1468"/>
      <c r="M331" s="99"/>
      <c r="N331" s="101"/>
    </row>
    <row r="332" spans="1:21">
      <c r="A332" s="97"/>
      <c r="B332" s="1469" t="s">
        <v>1</v>
      </c>
      <c r="C332" s="1469"/>
      <c r="D332" s="1469" t="s">
        <v>2</v>
      </c>
      <c r="E332" s="1469"/>
      <c r="F332" s="1470" t="s">
        <v>3</v>
      </c>
      <c r="G332" s="1470"/>
      <c r="H332" s="438" t="s">
        <v>3</v>
      </c>
      <c r="I332" s="127" t="s">
        <v>195</v>
      </c>
      <c r="J332" s="102"/>
      <c r="K332" s="102"/>
      <c r="L332" s="128"/>
      <c r="M332" s="1469" t="s">
        <v>4</v>
      </c>
      <c r="N332" s="1526"/>
    </row>
    <row r="333" spans="1:21" ht="19" thickBot="1">
      <c r="A333" s="103" t="s">
        <v>5</v>
      </c>
      <c r="B333" s="1473" t="s">
        <v>6</v>
      </c>
      <c r="C333" s="1473"/>
      <c r="D333" s="1473" t="s">
        <v>7</v>
      </c>
      <c r="E333" s="1473"/>
      <c r="F333" s="1474" t="s">
        <v>7</v>
      </c>
      <c r="G333" s="1474"/>
      <c r="H333" s="439" t="s">
        <v>58</v>
      </c>
      <c r="I333" s="398" t="s">
        <v>196</v>
      </c>
      <c r="J333" s="397" t="s">
        <v>8</v>
      </c>
      <c r="K333" s="397" t="s">
        <v>9</v>
      </c>
      <c r="L333" s="401" t="s">
        <v>10</v>
      </c>
      <c r="M333" s="1473" t="s">
        <v>145</v>
      </c>
      <c r="N333" s="1475"/>
    </row>
    <row r="334" spans="1:21" ht="24" thickBot="1">
      <c r="A334" s="88" t="s">
        <v>180</v>
      </c>
      <c r="B334" s="1623"/>
      <c r="C334" s="1624"/>
      <c r="D334" s="1625"/>
      <c r="E334" s="1626"/>
      <c r="F334" s="1627"/>
      <c r="G334" s="1628"/>
      <c r="H334" s="486"/>
      <c r="I334" s="351"/>
      <c r="J334" s="351"/>
      <c r="K334" s="351"/>
      <c r="L334" s="487"/>
      <c r="M334" s="1623"/>
      <c r="N334" s="1630"/>
    </row>
    <row r="335" spans="1:21" s="1161" customFormat="1" ht="17" thickBot="1">
      <c r="A335" s="108" t="s">
        <v>48</v>
      </c>
      <c r="B335" s="1457"/>
      <c r="C335" s="1586"/>
      <c r="D335" s="1567"/>
      <c r="E335" s="1586"/>
      <c r="F335" s="1587"/>
      <c r="G335" s="1588"/>
      <c r="H335" s="1158"/>
      <c r="I335" s="109"/>
      <c r="J335" s="109"/>
      <c r="K335" s="109"/>
      <c r="L335" s="1142"/>
      <c r="M335" s="1485"/>
      <c r="N335" s="1486"/>
      <c r="O335" s="274"/>
      <c r="P335" s="274"/>
      <c r="Q335" s="274"/>
      <c r="R335" s="274"/>
      <c r="S335" s="274"/>
      <c r="T335" s="274"/>
      <c r="U335" s="274"/>
    </row>
    <row r="336" spans="1:21" s="508" customFormat="1" ht="13" hidden="1">
      <c r="A336" s="78" t="s">
        <v>29</v>
      </c>
      <c r="B336" s="1536">
        <f>Ontario!N146</f>
        <v>0</v>
      </c>
      <c r="C336" s="1424"/>
      <c r="D336" s="1423">
        <f>F336*325851</f>
        <v>0</v>
      </c>
      <c r="E336" s="1424"/>
      <c r="F336" s="1549">
        <f>0.0425*B336</f>
        <v>0</v>
      </c>
      <c r="G336" s="1550"/>
      <c r="H336" s="480">
        <f>F336*20</f>
        <v>0</v>
      </c>
      <c r="I336" s="151">
        <v>0</v>
      </c>
      <c r="J336" s="151">
        <v>0</v>
      </c>
      <c r="K336" s="150">
        <f>B336*50</f>
        <v>0</v>
      </c>
      <c r="L336" s="221">
        <f t="shared" ref="L336:L341" si="76">I336+J336+K336</f>
        <v>0</v>
      </c>
      <c r="M336" s="1539">
        <f>IF(ISERROR(L336/(F336*727)),0,L336/(F336*727))</f>
        <v>0</v>
      </c>
      <c r="N336" s="1540"/>
      <c r="O336" s="512"/>
      <c r="P336" s="512"/>
      <c r="Q336" s="512"/>
      <c r="R336" s="512"/>
      <c r="S336" s="512"/>
      <c r="T336" s="512"/>
      <c r="U336" s="512"/>
    </row>
    <row r="337" spans="1:21" s="508" customFormat="1" ht="13">
      <c r="A337" s="78" t="s">
        <v>33</v>
      </c>
      <c r="B337" s="1536">
        <f>Ontario!N147</f>
        <v>124</v>
      </c>
      <c r="C337" s="1424"/>
      <c r="D337" s="1423">
        <f>F337*325851</f>
        <v>1115192.4624000001</v>
      </c>
      <c r="E337" s="1424"/>
      <c r="F337" s="1549">
        <f>0.0276*B337</f>
        <v>3.4224000000000001</v>
      </c>
      <c r="G337" s="1550"/>
      <c r="H337" s="934">
        <f>F337*15</f>
        <v>51.335999999999999</v>
      </c>
      <c r="I337" s="151">
        <v>0</v>
      </c>
      <c r="J337" s="150">
        <v>0</v>
      </c>
      <c r="K337" s="150">
        <f>B337*85</f>
        <v>10540</v>
      </c>
      <c r="L337" s="221">
        <f t="shared" si="76"/>
        <v>10540</v>
      </c>
      <c r="M337" s="1634">
        <f>L337/(F337*681)</f>
        <v>4.5223350145778802</v>
      </c>
      <c r="N337" s="1540"/>
      <c r="O337" s="512"/>
      <c r="P337" s="512"/>
      <c r="Q337" s="512"/>
      <c r="R337" s="512"/>
      <c r="S337" s="512"/>
      <c r="T337" s="512"/>
      <c r="U337" s="512"/>
    </row>
    <row r="338" spans="1:21" s="508" customFormat="1" ht="13">
      <c r="A338" s="78" t="s">
        <v>56</v>
      </c>
      <c r="B338" s="1536">
        <f>Ontario!N148</f>
        <v>98</v>
      </c>
      <c r="C338" s="1424"/>
      <c r="D338" s="1423">
        <f>F338*325851</f>
        <v>127733.592</v>
      </c>
      <c r="E338" s="1424"/>
      <c r="F338" s="1549">
        <f>0.004*B338</f>
        <v>0.39200000000000002</v>
      </c>
      <c r="G338" s="1550"/>
      <c r="H338" s="934">
        <f>F338*5</f>
        <v>1.96</v>
      </c>
      <c r="I338" s="151">
        <v>0</v>
      </c>
      <c r="J338" s="150">
        <f>2*B338</f>
        <v>196</v>
      </c>
      <c r="K338" s="150">
        <f>B338*3</f>
        <v>294</v>
      </c>
      <c r="L338" s="221">
        <f t="shared" si="76"/>
        <v>490</v>
      </c>
      <c r="M338" s="1634">
        <f>L338/(F338*681)</f>
        <v>1.8355359765051396</v>
      </c>
      <c r="N338" s="1540"/>
      <c r="O338" s="512"/>
      <c r="P338" s="512"/>
      <c r="Q338" s="512"/>
      <c r="R338" s="512"/>
      <c r="S338" s="512"/>
      <c r="T338" s="512"/>
      <c r="U338" s="512"/>
    </row>
    <row r="339" spans="1:21" s="508" customFormat="1" ht="13">
      <c r="A339" s="78" t="s">
        <v>52</v>
      </c>
      <c r="B339" s="1536">
        <f>Ontario!N149</f>
        <v>9</v>
      </c>
      <c r="C339" s="1424"/>
      <c r="D339" s="1447">
        <f>F339*325851</f>
        <v>953114.17500000005</v>
      </c>
      <c r="E339" s="1448"/>
      <c r="F339" s="1557">
        <f>0.325*B339</f>
        <v>2.9250000000000003</v>
      </c>
      <c r="G339" s="1558"/>
      <c r="H339" s="938">
        <f>F339*10</f>
        <v>29.250000000000004</v>
      </c>
      <c r="I339" s="151">
        <v>0</v>
      </c>
      <c r="J339" s="173">
        <f>45*B339</f>
        <v>405</v>
      </c>
      <c r="K339" s="173">
        <f>B339*80</f>
        <v>720</v>
      </c>
      <c r="L339" s="286">
        <f t="shared" si="76"/>
        <v>1125</v>
      </c>
      <c r="M339" s="1634">
        <f>L339/(F339*681)</f>
        <v>0.56478030046311978</v>
      </c>
      <c r="N339" s="1540"/>
      <c r="O339" s="512"/>
      <c r="P339" s="512"/>
      <c r="Q339" s="512"/>
      <c r="R339" s="512"/>
      <c r="S339" s="512"/>
      <c r="T339" s="512"/>
      <c r="U339" s="512"/>
    </row>
    <row r="340" spans="1:21" s="508" customFormat="1" ht="13" hidden="1">
      <c r="A340" s="76" t="s">
        <v>182</v>
      </c>
      <c r="B340" s="1536">
        <f>Ontario!N150</f>
        <v>0</v>
      </c>
      <c r="C340" s="1424"/>
      <c r="D340" s="1447"/>
      <c r="E340" s="1448"/>
      <c r="F340" s="1557">
        <v>0</v>
      </c>
      <c r="G340" s="1558"/>
      <c r="H340" s="938">
        <f>F340*10</f>
        <v>0</v>
      </c>
      <c r="I340" s="151">
        <v>0</v>
      </c>
      <c r="J340" s="173">
        <v>0</v>
      </c>
      <c r="K340" s="173">
        <v>0</v>
      </c>
      <c r="L340" s="286">
        <f t="shared" si="76"/>
        <v>0</v>
      </c>
      <c r="M340" s="1539">
        <f>IF(ISERROR(L340/(F340*727)),0,L340/(F340*727))</f>
        <v>0</v>
      </c>
      <c r="N340" s="1540"/>
      <c r="O340" s="512"/>
      <c r="P340" s="512"/>
      <c r="Q340" s="512"/>
      <c r="R340" s="512"/>
      <c r="S340" s="512"/>
      <c r="T340" s="512"/>
      <c r="U340" s="512"/>
    </row>
    <row r="341" spans="1:21" s="508" customFormat="1" ht="13">
      <c r="A341" s="76" t="s">
        <v>165</v>
      </c>
      <c r="B341" s="1536">
        <f>Ontario!N151</f>
        <v>4178</v>
      </c>
      <c r="C341" s="1424"/>
      <c r="D341" s="1447">
        <f>F341*325900</f>
        <v>5446440.7999999998</v>
      </c>
      <c r="E341" s="1448"/>
      <c r="F341" s="1557">
        <f>B341*0.004</f>
        <v>16.712</v>
      </c>
      <c r="G341" s="1558"/>
      <c r="H341" s="934">
        <f>F341*5</f>
        <v>83.56</v>
      </c>
      <c r="I341" s="151">
        <v>0</v>
      </c>
      <c r="J341" s="173">
        <v>0</v>
      </c>
      <c r="K341" s="173">
        <f>B341*3</f>
        <v>12534</v>
      </c>
      <c r="L341" s="286">
        <f t="shared" si="76"/>
        <v>12534</v>
      </c>
      <c r="M341" s="1634">
        <f>L341/(F341*681)</f>
        <v>1.1013215859030838</v>
      </c>
      <c r="N341" s="1540"/>
      <c r="O341" s="512"/>
      <c r="P341" s="512"/>
      <c r="Q341" s="512"/>
      <c r="R341" s="512"/>
      <c r="S341" s="512"/>
      <c r="T341" s="512"/>
      <c r="U341" s="512"/>
    </row>
    <row r="342" spans="1:21" s="508" customFormat="1" ht="14" thickBot="1">
      <c r="A342" s="76" t="s">
        <v>166</v>
      </c>
      <c r="B342" s="1563">
        <v>7</v>
      </c>
      <c r="C342" s="1424"/>
      <c r="D342" s="1447">
        <f>F342*325900</f>
        <v>1629500</v>
      </c>
      <c r="E342" s="1448"/>
      <c r="F342" s="1635">
        <v>5</v>
      </c>
      <c r="G342" s="1558"/>
      <c r="H342" s="938">
        <v>45</v>
      </c>
      <c r="I342" s="151">
        <v>0</v>
      </c>
      <c r="J342" s="173">
        <f>L342-K342</f>
        <v>5106.45</v>
      </c>
      <c r="K342" s="173">
        <v>3852.45</v>
      </c>
      <c r="L342" s="286">
        <v>8958.9</v>
      </c>
      <c r="M342" s="1634">
        <f>L342/(F342*681)</f>
        <v>2.6311013215859029</v>
      </c>
      <c r="N342" s="1540"/>
      <c r="O342" s="512"/>
      <c r="P342" s="512"/>
      <c r="Q342" s="512"/>
      <c r="R342" s="512"/>
      <c r="S342" s="512"/>
      <c r="T342" s="512"/>
      <c r="U342" s="512"/>
    </row>
    <row r="343" spans="1:21" s="533" customFormat="1" ht="14" thickBot="1">
      <c r="A343" s="53" t="s">
        <v>60</v>
      </c>
      <c r="B343" s="1438">
        <f>SUM(B336:C342)</f>
        <v>4416</v>
      </c>
      <c r="C343" s="1609"/>
      <c r="D343" s="1441">
        <f>SUM(D336:E342)</f>
        <v>9271981.0294000003</v>
      </c>
      <c r="E343" s="1609"/>
      <c r="F343" s="1512">
        <f>SUM(F336:G342)</f>
        <v>28.4514</v>
      </c>
      <c r="G343" s="1575"/>
      <c r="H343" s="611">
        <f>SUM(H336:H342)</f>
        <v>211.10599999999999</v>
      </c>
      <c r="I343" s="160">
        <f>SUM(I336:I342)</f>
        <v>0</v>
      </c>
      <c r="J343" s="146">
        <f>SUM(J336:J342)</f>
        <v>5707.45</v>
      </c>
      <c r="K343" s="146">
        <f>SUM(K336:K342)</f>
        <v>27940.45</v>
      </c>
      <c r="L343" s="146">
        <f>SUM(L336:L342)</f>
        <v>33647.9</v>
      </c>
      <c r="M343" s="1637"/>
      <c r="N343" s="1611"/>
      <c r="O343" s="534"/>
      <c r="P343" s="534"/>
      <c r="Q343" s="534"/>
      <c r="R343" s="534"/>
      <c r="S343" s="534"/>
      <c r="T343" s="534"/>
      <c r="U343" s="534"/>
    </row>
    <row r="344" spans="1:21" s="1161" customFormat="1" ht="17" thickBot="1">
      <c r="A344" s="108" t="s">
        <v>146</v>
      </c>
      <c r="B344" s="1456"/>
      <c r="C344" s="1586"/>
      <c r="D344" s="1567"/>
      <c r="E344" s="1586"/>
      <c r="F344" s="1484"/>
      <c r="G344" s="1588"/>
      <c r="H344" s="1158"/>
      <c r="I344" s="109"/>
      <c r="J344" s="109"/>
      <c r="K344" s="109"/>
      <c r="L344" s="1142"/>
      <c r="M344" s="1485"/>
      <c r="N344" s="1486"/>
      <c r="O344" s="274"/>
      <c r="P344" s="274"/>
      <c r="Q344" s="274"/>
      <c r="R344" s="274"/>
      <c r="S344" s="274"/>
      <c r="T344" s="274"/>
      <c r="U344" s="274"/>
    </row>
    <row r="345" spans="1:21" s="508" customFormat="1" ht="13">
      <c r="A345" s="76" t="s">
        <v>146</v>
      </c>
      <c r="B345" s="1563">
        <f>Ontario!N155</f>
        <v>64</v>
      </c>
      <c r="C345" s="1424"/>
      <c r="D345" s="1423">
        <f>F345*325851</f>
        <v>886314.72000000009</v>
      </c>
      <c r="E345" s="1424"/>
      <c r="F345" s="1635">
        <f>0.0425*B345</f>
        <v>2.72</v>
      </c>
      <c r="G345" s="1558"/>
      <c r="H345" s="938">
        <f>F345*20</f>
        <v>54.400000000000006</v>
      </c>
      <c r="I345" s="516">
        <f>73.34*B345</f>
        <v>4693.76</v>
      </c>
      <c r="J345" s="516">
        <f>35.66*B345</f>
        <v>2282.2399999999998</v>
      </c>
      <c r="K345" s="516">
        <f>B345*50</f>
        <v>3200</v>
      </c>
      <c r="L345" s="517">
        <f>I345+J345+K345</f>
        <v>10176</v>
      </c>
      <c r="M345" s="1634">
        <f>L345/(F345*681)</f>
        <v>5.4936512049753814</v>
      </c>
      <c r="N345" s="1540"/>
      <c r="O345" s="512"/>
      <c r="P345" s="512"/>
      <c r="Q345" s="512"/>
      <c r="R345" s="512"/>
      <c r="S345" s="512"/>
      <c r="T345" s="512"/>
      <c r="U345" s="512"/>
    </row>
    <row r="346" spans="1:21" s="508" customFormat="1" ht="14" thickBot="1">
      <c r="A346" s="76" t="s">
        <v>181</v>
      </c>
      <c r="B346" s="1563">
        <f>Ontario!N156</f>
        <v>370</v>
      </c>
      <c r="C346" s="1424"/>
      <c r="D346" s="1423">
        <f>F346*325851</f>
        <v>5124006.9750000006</v>
      </c>
      <c r="E346" s="1424"/>
      <c r="F346" s="1635">
        <f>0.0425*B346</f>
        <v>15.725000000000001</v>
      </c>
      <c r="G346" s="1558"/>
      <c r="H346" s="938">
        <f>F346*20</f>
        <v>314.5</v>
      </c>
      <c r="I346" s="516">
        <f>73.34*B346</f>
        <v>27135.800000000003</v>
      </c>
      <c r="J346" s="516">
        <f>35.66*B346</f>
        <v>13194.199999999999</v>
      </c>
      <c r="K346" s="516">
        <f>B346*50</f>
        <v>18500</v>
      </c>
      <c r="L346" s="517">
        <f>I346+J346+K346</f>
        <v>58830</v>
      </c>
      <c r="M346" s="1634">
        <f>L346/(F346*681)</f>
        <v>5.4936512049753823</v>
      </c>
      <c r="N346" s="1540"/>
      <c r="O346" s="512"/>
      <c r="P346" s="512"/>
      <c r="Q346" s="512"/>
      <c r="R346" s="512"/>
      <c r="S346" s="512"/>
      <c r="T346" s="512"/>
      <c r="U346" s="512"/>
    </row>
    <row r="347" spans="1:21" s="533" customFormat="1" ht="14" thickBot="1">
      <c r="A347" s="53" t="s">
        <v>60</v>
      </c>
      <c r="B347" s="1438">
        <f>SUM(B345:B346)</f>
        <v>434</v>
      </c>
      <c r="C347" s="1609"/>
      <c r="D347" s="1441">
        <f>SUM(D345:D346)</f>
        <v>6010321.6950000003</v>
      </c>
      <c r="E347" s="1609"/>
      <c r="F347" s="1512">
        <f>SUM(F345:F346)</f>
        <v>18.445</v>
      </c>
      <c r="G347" s="1575"/>
      <c r="H347" s="611">
        <f>SUM(H345:H346)</f>
        <v>368.9</v>
      </c>
      <c r="I347" s="160">
        <f>SUM(I345:I346)</f>
        <v>31829.560000000005</v>
      </c>
      <c r="J347" s="146">
        <f>SUM(J345:J346)</f>
        <v>15476.439999999999</v>
      </c>
      <c r="K347" s="146">
        <f>SUM(K345:K346)</f>
        <v>21700</v>
      </c>
      <c r="L347" s="146">
        <f>SUM(L345:L346)</f>
        <v>69006</v>
      </c>
      <c r="M347" s="1637"/>
      <c r="N347" s="1611"/>
      <c r="O347" s="534"/>
      <c r="P347" s="534"/>
      <c r="Q347" s="534"/>
      <c r="R347" s="534"/>
      <c r="S347" s="534"/>
      <c r="T347" s="534"/>
      <c r="U347" s="534"/>
    </row>
    <row r="348" spans="1:21" s="1161" customFormat="1" ht="17" thickBot="1">
      <c r="A348" s="108" t="s">
        <v>50</v>
      </c>
      <c r="B348" s="1456"/>
      <c r="C348" s="1586"/>
      <c r="D348" s="1567"/>
      <c r="E348" s="1586"/>
      <c r="F348" s="1484"/>
      <c r="G348" s="1588"/>
      <c r="H348" s="1158"/>
      <c r="I348" s="109"/>
      <c r="J348" s="109"/>
      <c r="K348" s="109"/>
      <c r="L348" s="1142"/>
      <c r="M348" s="1485"/>
      <c r="N348" s="1486"/>
      <c r="O348" s="274"/>
      <c r="P348" s="274"/>
      <c r="Q348" s="274"/>
      <c r="R348" s="274"/>
      <c r="S348" s="274"/>
      <c r="T348" s="274"/>
      <c r="U348" s="274"/>
    </row>
    <row r="349" spans="1:21" s="508" customFormat="1" ht="13">
      <c r="A349" s="78" t="s">
        <v>29</v>
      </c>
      <c r="B349" s="1563">
        <f>Ontario!N159</f>
        <v>4</v>
      </c>
      <c r="C349" s="1424"/>
      <c r="D349" s="1423">
        <f t="shared" ref="D349:D355" si="77">F349*325851</f>
        <v>55394.670000000006</v>
      </c>
      <c r="E349" s="1424"/>
      <c r="F349" s="1633">
        <f>0.0425*B349</f>
        <v>0.17</v>
      </c>
      <c r="G349" s="1550"/>
      <c r="H349" s="934">
        <f>F349*20</f>
        <v>3.4000000000000004</v>
      </c>
      <c r="I349" s="80">
        <v>0</v>
      </c>
      <c r="J349" s="79">
        <f>35*B349</f>
        <v>140</v>
      </c>
      <c r="K349" s="80">
        <f>50*B349</f>
        <v>200</v>
      </c>
      <c r="L349" s="461">
        <f t="shared" ref="L349:L356" si="78">SUM(I349:K349)</f>
        <v>340</v>
      </c>
      <c r="M349" s="1634">
        <f>L349/(F349*681)</f>
        <v>2.9368575624082229</v>
      </c>
      <c r="N349" s="1540"/>
      <c r="O349" s="512"/>
      <c r="P349" s="512"/>
      <c r="Q349" s="512"/>
      <c r="R349" s="512"/>
      <c r="S349" s="512"/>
      <c r="T349" s="512"/>
      <c r="U349" s="512"/>
    </row>
    <row r="350" spans="1:21" s="508" customFormat="1" ht="13">
      <c r="A350" s="78" t="s">
        <v>51</v>
      </c>
      <c r="B350" s="1563">
        <f>Ontario!N160</f>
        <v>42</v>
      </c>
      <c r="C350" s="1424"/>
      <c r="D350" s="1423">
        <f t="shared" si="77"/>
        <v>1679240.5434000001</v>
      </c>
      <c r="E350" s="1424"/>
      <c r="F350" s="1633">
        <f>0.1227*B350</f>
        <v>5.1534000000000004</v>
      </c>
      <c r="G350" s="1550"/>
      <c r="H350" s="934">
        <f>F350*20</f>
        <v>103.06800000000001</v>
      </c>
      <c r="I350" s="80">
        <v>0</v>
      </c>
      <c r="J350" s="80">
        <f>50*B350</f>
        <v>2100</v>
      </c>
      <c r="K350" s="80">
        <f>200*B350</f>
        <v>8400</v>
      </c>
      <c r="L350" s="461">
        <f t="shared" si="78"/>
        <v>10500</v>
      </c>
      <c r="M350" s="1634">
        <f t="shared" ref="M350:M356" si="79">L350/(F350*681)</f>
        <v>2.9919086821599663</v>
      </c>
      <c r="N350" s="1540"/>
      <c r="O350" s="512"/>
      <c r="P350" s="512"/>
      <c r="Q350" s="512"/>
      <c r="R350" s="512"/>
      <c r="S350" s="512"/>
      <c r="T350" s="512"/>
      <c r="U350" s="512"/>
    </row>
    <row r="351" spans="1:21" s="508" customFormat="1" ht="13">
      <c r="A351" s="78" t="s">
        <v>170</v>
      </c>
      <c r="B351" s="1563">
        <f>Ontario!N161</f>
        <v>1</v>
      </c>
      <c r="C351" s="1424"/>
      <c r="D351" s="1423">
        <f t="shared" si="77"/>
        <v>209848.04399999999</v>
      </c>
      <c r="E351" s="1424"/>
      <c r="F351" s="1633">
        <f>0.644*B351</f>
        <v>0.64400000000000002</v>
      </c>
      <c r="G351" s="1550"/>
      <c r="H351" s="934">
        <f>F351*5</f>
        <v>3.22</v>
      </c>
      <c r="I351" s="80">
        <v>0</v>
      </c>
      <c r="J351" s="80">
        <f>B351*500</f>
        <v>500</v>
      </c>
      <c r="K351" s="80">
        <f>B351*1750</f>
        <v>1750</v>
      </c>
      <c r="L351" s="461">
        <f t="shared" si="78"/>
        <v>2250</v>
      </c>
      <c r="M351" s="1634">
        <f t="shared" si="79"/>
        <v>5.1303800585547377</v>
      </c>
      <c r="N351" s="1540"/>
      <c r="O351" s="512"/>
      <c r="P351" s="512"/>
      <c r="Q351" s="512"/>
      <c r="R351" s="512"/>
      <c r="S351" s="512"/>
      <c r="T351" s="512"/>
      <c r="U351" s="512"/>
    </row>
    <row r="352" spans="1:21" s="508" customFormat="1" ht="13">
      <c r="A352" s="78" t="s">
        <v>13</v>
      </c>
      <c r="B352" s="1563">
        <f>Ontario!N162</f>
        <v>0</v>
      </c>
      <c r="C352" s="1424"/>
      <c r="D352" s="1423">
        <f t="shared" si="77"/>
        <v>0</v>
      </c>
      <c r="E352" s="1424"/>
      <c r="F352" s="1633">
        <f>0.1075*B352</f>
        <v>0</v>
      </c>
      <c r="G352" s="1550"/>
      <c r="H352" s="934">
        <f>F352*10</f>
        <v>0</v>
      </c>
      <c r="I352" s="80">
        <v>0</v>
      </c>
      <c r="J352" s="80">
        <f>100*B352</f>
        <v>0</v>
      </c>
      <c r="K352" s="80">
        <f>80*B352</f>
        <v>0</v>
      </c>
      <c r="L352" s="461">
        <f t="shared" si="78"/>
        <v>0</v>
      </c>
      <c r="M352" s="1634">
        <v>0</v>
      </c>
      <c r="N352" s="1540"/>
      <c r="O352" s="512"/>
      <c r="P352" s="512"/>
      <c r="Q352" s="512"/>
      <c r="R352" s="512"/>
      <c r="S352" s="512"/>
      <c r="T352" s="512"/>
      <c r="U352" s="512"/>
    </row>
    <row r="353" spans="1:21" s="508" customFormat="1" ht="13" hidden="1">
      <c r="A353" s="76" t="s">
        <v>47</v>
      </c>
      <c r="B353" s="1563">
        <f>Ontario!N163</f>
        <v>0</v>
      </c>
      <c r="C353" s="1424"/>
      <c r="D353" s="1423">
        <f t="shared" si="77"/>
        <v>0</v>
      </c>
      <c r="E353" s="1424"/>
      <c r="F353" s="1633">
        <f>0.1534*B353</f>
        <v>0</v>
      </c>
      <c r="G353" s="1550"/>
      <c r="H353" s="934">
        <f>F353*5</f>
        <v>0</v>
      </c>
      <c r="I353" s="80">
        <v>0</v>
      </c>
      <c r="J353" s="80">
        <f>0*B353</f>
        <v>0</v>
      </c>
      <c r="K353" s="80">
        <f>150*B353</f>
        <v>0</v>
      </c>
      <c r="L353" s="461">
        <f t="shared" si="78"/>
        <v>0</v>
      </c>
      <c r="M353" s="1539">
        <f>IF(ISERROR(L353/(F353*727)),0,L353/(F353*727))</f>
        <v>0</v>
      </c>
      <c r="N353" s="1540"/>
      <c r="O353" s="512"/>
      <c r="P353" s="512"/>
      <c r="Q353" s="512"/>
      <c r="R353" s="512"/>
      <c r="S353" s="512"/>
      <c r="T353" s="512"/>
      <c r="U353" s="512"/>
    </row>
    <row r="354" spans="1:21" s="508" customFormat="1" ht="13">
      <c r="A354" s="76" t="s">
        <v>52</v>
      </c>
      <c r="B354" s="1563">
        <f>Ontario!N164</f>
        <v>5</v>
      </c>
      <c r="C354" s="1424"/>
      <c r="D354" s="1423">
        <f t="shared" si="77"/>
        <v>529507.875</v>
      </c>
      <c r="E354" s="1424"/>
      <c r="F354" s="1633">
        <f>0.325*B354</f>
        <v>1.625</v>
      </c>
      <c r="G354" s="1550"/>
      <c r="H354" s="934">
        <f>F354*10</f>
        <v>16.25</v>
      </c>
      <c r="I354" s="80">
        <v>0</v>
      </c>
      <c r="J354" s="80">
        <v>1625</v>
      </c>
      <c r="K354" s="80">
        <v>529</v>
      </c>
      <c r="L354" s="461">
        <f t="shared" si="78"/>
        <v>2154</v>
      </c>
      <c r="M354" s="1634">
        <f t="shared" si="79"/>
        <v>1.9464588275160963</v>
      </c>
      <c r="N354" s="1540"/>
      <c r="O354" s="512"/>
      <c r="P354" s="512"/>
      <c r="Q354" s="512"/>
      <c r="R354" s="512"/>
      <c r="S354" s="512"/>
      <c r="T354" s="512"/>
      <c r="U354" s="512"/>
    </row>
    <row r="355" spans="1:21" s="508" customFormat="1" ht="13" hidden="1">
      <c r="A355" s="76" t="s">
        <v>53</v>
      </c>
      <c r="B355" s="1563">
        <f>Ontario!N165</f>
        <v>0</v>
      </c>
      <c r="C355" s="1424"/>
      <c r="D355" s="1423">
        <f t="shared" si="77"/>
        <v>0</v>
      </c>
      <c r="E355" s="1424"/>
      <c r="F355" s="1633">
        <f>0.00014*B355</f>
        <v>0</v>
      </c>
      <c r="G355" s="1550"/>
      <c r="H355" s="934">
        <f>F355*10</f>
        <v>0</v>
      </c>
      <c r="I355" s="80">
        <v>0</v>
      </c>
      <c r="J355" s="80">
        <f>0.45*B355</f>
        <v>0</v>
      </c>
      <c r="K355" s="80">
        <f>0.3*B355</f>
        <v>0</v>
      </c>
      <c r="L355" s="461">
        <f t="shared" si="78"/>
        <v>0</v>
      </c>
      <c r="M355" s="1539">
        <f>IF(ISERROR(L355/(F355*727)),0,L355/(F355*727))</f>
        <v>0</v>
      </c>
      <c r="N355" s="1540"/>
      <c r="O355" s="512"/>
      <c r="P355" s="512"/>
      <c r="Q355" s="512"/>
      <c r="R355" s="512"/>
      <c r="S355" s="512"/>
      <c r="T355" s="512"/>
      <c r="U355" s="512"/>
    </row>
    <row r="356" spans="1:21" s="508" customFormat="1" ht="13">
      <c r="A356" s="76" t="s">
        <v>56</v>
      </c>
      <c r="B356" s="1563">
        <f>Ontario!N166</f>
        <v>750</v>
      </c>
      <c r="C356" s="1424"/>
      <c r="D356" s="1423">
        <f>F356*325851</f>
        <v>977553</v>
      </c>
      <c r="E356" s="1424"/>
      <c r="F356" s="1633">
        <f>0.004*B356</f>
        <v>3</v>
      </c>
      <c r="G356" s="1550"/>
      <c r="H356" s="934">
        <f>F356*5</f>
        <v>15</v>
      </c>
      <c r="I356" s="80">
        <v>0</v>
      </c>
      <c r="J356" s="80">
        <f>1*B356</f>
        <v>750</v>
      </c>
      <c r="K356" s="80">
        <f>3*B356</f>
        <v>2250</v>
      </c>
      <c r="L356" s="461">
        <f t="shared" si="78"/>
        <v>3000</v>
      </c>
      <c r="M356" s="1634">
        <f t="shared" si="79"/>
        <v>1.4684287812041117</v>
      </c>
      <c r="N356" s="1540"/>
      <c r="O356" s="512"/>
      <c r="P356" s="512"/>
      <c r="Q356" s="512"/>
      <c r="R356" s="512"/>
      <c r="S356" s="512"/>
      <c r="T356" s="512"/>
      <c r="U356" s="512"/>
    </row>
    <row r="357" spans="1:21" s="508" customFormat="1" ht="13">
      <c r="A357" s="76" t="s">
        <v>122</v>
      </c>
      <c r="B357" s="1563">
        <f>Ontario!N167</f>
        <v>0</v>
      </c>
      <c r="C357" s="1424"/>
      <c r="D357" s="1423">
        <f>F357*325851</f>
        <v>0</v>
      </c>
      <c r="E357" s="1424"/>
      <c r="F357" s="1633">
        <f>0.018*B357</f>
        <v>0</v>
      </c>
      <c r="G357" s="1550"/>
      <c r="H357" s="934">
        <f>F357*10</f>
        <v>0</v>
      </c>
      <c r="I357" s="80">
        <v>0</v>
      </c>
      <c r="J357" s="80">
        <f>0*B357</f>
        <v>0</v>
      </c>
      <c r="K357" s="80">
        <f>13*B357</f>
        <v>0</v>
      </c>
      <c r="L357" s="461">
        <f>SUM(I357:K357)</f>
        <v>0</v>
      </c>
      <c r="M357" s="1634">
        <v>0</v>
      </c>
      <c r="N357" s="1540"/>
      <c r="O357" s="512"/>
      <c r="P357" s="512"/>
      <c r="Q357" s="512"/>
      <c r="R357" s="512"/>
      <c r="S357" s="512"/>
      <c r="T357" s="512"/>
      <c r="U357" s="512"/>
    </row>
    <row r="358" spans="1:21" s="508" customFormat="1" ht="13" hidden="1">
      <c r="A358" s="76" t="s">
        <v>102</v>
      </c>
      <c r="B358" s="1563">
        <f>Ontario!N168</f>
        <v>0</v>
      </c>
      <c r="C358" s="1424"/>
      <c r="D358" s="1423">
        <f>F358*325851</f>
        <v>0</v>
      </c>
      <c r="E358" s="1424"/>
      <c r="F358" s="1633">
        <f>0.018*B358</f>
        <v>0</v>
      </c>
      <c r="G358" s="1550"/>
      <c r="H358" s="934">
        <f>F358*10</f>
        <v>0</v>
      </c>
      <c r="I358" s="80">
        <v>0</v>
      </c>
      <c r="J358" s="80">
        <f>0*B358</f>
        <v>0</v>
      </c>
      <c r="K358" s="80">
        <f>13*B358</f>
        <v>0</v>
      </c>
      <c r="L358" s="461">
        <f>SUM(I358:K358)</f>
        <v>0</v>
      </c>
      <c r="M358" s="1634">
        <v>1</v>
      </c>
      <c r="N358" s="1540"/>
      <c r="O358" s="512"/>
      <c r="P358" s="512"/>
      <c r="Q358" s="512"/>
      <c r="R358" s="512"/>
      <c r="S358" s="512"/>
      <c r="T358" s="512"/>
      <c r="U358" s="512"/>
    </row>
    <row r="359" spans="1:21" s="508" customFormat="1" ht="13" hidden="1">
      <c r="A359" s="76" t="s">
        <v>167</v>
      </c>
      <c r="B359" s="1563"/>
      <c r="C359" s="1424"/>
      <c r="D359" s="1423"/>
      <c r="E359" s="1424"/>
      <c r="F359" s="1633"/>
      <c r="G359" s="1550"/>
      <c r="H359" s="934"/>
      <c r="I359" s="80"/>
      <c r="J359" s="80"/>
      <c r="K359" s="80"/>
      <c r="L359" s="461"/>
      <c r="M359" s="1634">
        <v>2</v>
      </c>
      <c r="N359" s="1540"/>
      <c r="O359" s="512"/>
      <c r="P359" s="512"/>
      <c r="Q359" s="512"/>
      <c r="R359" s="512"/>
      <c r="S359" s="512"/>
      <c r="T359" s="512"/>
      <c r="U359" s="512"/>
    </row>
    <row r="360" spans="1:21" s="508" customFormat="1" ht="13">
      <c r="A360" s="76" t="s">
        <v>165</v>
      </c>
      <c r="B360" s="1563">
        <v>2000</v>
      </c>
      <c r="C360" s="1424"/>
      <c r="D360" s="1423">
        <v>2606808</v>
      </c>
      <c r="E360" s="1424"/>
      <c r="F360" s="1549">
        <v>8</v>
      </c>
      <c r="G360" s="1550"/>
      <c r="H360" s="934">
        <v>80</v>
      </c>
      <c r="I360" s="80">
        <v>0</v>
      </c>
      <c r="J360" s="80">
        <v>0</v>
      </c>
      <c r="K360" s="80">
        <v>26000</v>
      </c>
      <c r="L360" s="607">
        <v>26000</v>
      </c>
      <c r="M360" s="1539">
        <v>4.7723935389133629</v>
      </c>
      <c r="N360" s="1540"/>
      <c r="O360" s="512"/>
      <c r="P360" s="512"/>
      <c r="Q360" s="512"/>
      <c r="R360" s="512"/>
      <c r="S360" s="512"/>
      <c r="T360" s="512"/>
      <c r="U360" s="512"/>
    </row>
    <row r="361" spans="1:21" s="508" customFormat="1" ht="14" thickBot="1">
      <c r="A361" s="78" t="s">
        <v>184</v>
      </c>
      <c r="B361" s="1560">
        <f>Ontario!N171</f>
        <v>0</v>
      </c>
      <c r="C361" s="1544"/>
      <c r="D361" s="1543">
        <f>F361*325851</f>
        <v>0</v>
      </c>
      <c r="E361" s="1544"/>
      <c r="F361" s="1571">
        <f>0.018*B361</f>
        <v>0</v>
      </c>
      <c r="G361" s="1572"/>
      <c r="H361" s="934">
        <f>F361*10</f>
        <v>0</v>
      </c>
      <c r="I361" s="80">
        <v>0</v>
      </c>
      <c r="J361" s="80">
        <f>0*B361</f>
        <v>0</v>
      </c>
      <c r="K361" s="80">
        <v>0</v>
      </c>
      <c r="L361" s="607">
        <v>0</v>
      </c>
      <c r="M361" s="1561">
        <v>0</v>
      </c>
      <c r="N361" s="1562"/>
      <c r="O361" s="512"/>
      <c r="P361" s="512"/>
      <c r="Q361" s="512"/>
      <c r="R361" s="512"/>
      <c r="S361" s="512"/>
      <c r="T361" s="512"/>
      <c r="U361" s="512"/>
    </row>
    <row r="362" spans="1:21" s="533" customFormat="1" ht="14" thickBot="1">
      <c r="A362" s="53" t="s">
        <v>60</v>
      </c>
      <c r="B362" s="1438">
        <f>SUM(B349:C361)</f>
        <v>2802</v>
      </c>
      <c r="C362" s="1439"/>
      <c r="D362" s="1441">
        <f>SUM(D349:E361)</f>
        <v>6058352.1324000005</v>
      </c>
      <c r="E362" s="1439"/>
      <c r="F362" s="1511">
        <f>SUM(F349:G361)</f>
        <v>18.592400000000001</v>
      </c>
      <c r="G362" s="1575"/>
      <c r="H362" s="448">
        <f>SUM(H349:H361)</f>
        <v>220.93800000000002</v>
      </c>
      <c r="I362" s="146">
        <f>SUM(I349:I361)</f>
        <v>0</v>
      </c>
      <c r="J362" s="146">
        <f>SUM(J349:J361)</f>
        <v>5115</v>
      </c>
      <c r="K362" s="146">
        <f>SUM(K349:K361)</f>
        <v>39129</v>
      </c>
      <c r="L362" s="146">
        <f>SUM(L349:L361)</f>
        <v>44244</v>
      </c>
      <c r="M362" s="1610"/>
      <c r="N362" s="1636"/>
      <c r="O362" s="534"/>
      <c r="P362" s="534"/>
      <c r="Q362" s="534"/>
      <c r="R362" s="534"/>
      <c r="S362" s="534"/>
      <c r="T362" s="534"/>
      <c r="U362" s="534"/>
    </row>
    <row r="363" spans="1:21" s="1161" customFormat="1" ht="17" thickBot="1">
      <c r="A363" s="1163" t="s">
        <v>17</v>
      </c>
      <c r="B363" s="1414">
        <f>SUM(,B343,B347,B362)</f>
        <v>7652</v>
      </c>
      <c r="C363" s="1415"/>
      <c r="D363" s="1416">
        <f>SUM(,D343,D347,D362)</f>
        <v>21340654.856800001</v>
      </c>
      <c r="E363" s="1415"/>
      <c r="F363" s="1487">
        <f>SUM(,F343,F347,F362)</f>
        <v>65.488799999999998</v>
      </c>
      <c r="G363" s="1488"/>
      <c r="H363" s="1218">
        <f>SUM(H343,H347,H362)</f>
        <v>800.94399999999996</v>
      </c>
      <c r="I363" s="1165">
        <f>SUM(,I343,I347,I362)</f>
        <v>31829.560000000005</v>
      </c>
      <c r="J363" s="1165">
        <f>SUM(,J343,J347,J362)</f>
        <v>26298.89</v>
      </c>
      <c r="K363" s="1165">
        <f>SUM(,K343,K347,K362)</f>
        <v>88769.45</v>
      </c>
      <c r="L363" s="1165">
        <f>SUM(,L343,L347,L362)</f>
        <v>146897.9</v>
      </c>
      <c r="M363" s="1631"/>
      <c r="N363" s="1632"/>
      <c r="O363" s="274"/>
      <c r="P363" s="274"/>
      <c r="Q363" s="274"/>
      <c r="R363" s="274"/>
      <c r="S363" s="274"/>
      <c r="T363" s="274"/>
      <c r="U363" s="274"/>
    </row>
    <row r="364" spans="1:21">
      <c r="A364" s="343"/>
      <c r="B364" s="354"/>
      <c r="C364" s="354"/>
      <c r="D364" s="354"/>
      <c r="E364" s="354"/>
      <c r="F364" s="455"/>
      <c r="G364" s="455"/>
      <c r="H364" s="455"/>
      <c r="I364" s="355"/>
      <c r="J364" s="355"/>
      <c r="K364" s="355"/>
      <c r="L364" s="355"/>
      <c r="M364" s="614"/>
      <c r="N364" s="614"/>
    </row>
    <row r="365" spans="1:21" ht="18">
      <c r="A365" s="356" t="s">
        <v>271</v>
      </c>
      <c r="B365" s="1566" t="s">
        <v>59</v>
      </c>
      <c r="C365" s="1566"/>
      <c r="D365" s="1566"/>
      <c r="E365" s="1566"/>
      <c r="F365" s="455"/>
      <c r="G365" s="455"/>
      <c r="H365" s="455"/>
      <c r="I365" s="355"/>
      <c r="J365" s="355"/>
      <c r="K365" s="355"/>
      <c r="L365" s="355"/>
      <c r="M365" s="614"/>
      <c r="N365" s="614"/>
    </row>
    <row r="366" spans="1:21">
      <c r="B366" s="1559" t="s">
        <v>19</v>
      </c>
      <c r="C366" s="1559"/>
      <c r="D366" s="1559"/>
      <c r="E366" s="1559"/>
      <c r="F366" s="455"/>
      <c r="G366" s="455"/>
      <c r="H366" s="455"/>
      <c r="I366" s="355"/>
      <c r="J366" s="355"/>
      <c r="K366" s="355"/>
      <c r="L366" s="355"/>
      <c r="M366" s="614"/>
      <c r="N366" s="614"/>
    </row>
    <row r="367" spans="1:21" ht="17" thickBot="1">
      <c r="B367" s="614"/>
      <c r="C367" s="614"/>
      <c r="D367" s="614"/>
      <c r="E367" s="614"/>
      <c r="F367" s="455"/>
      <c r="G367" s="455"/>
      <c r="H367" s="455"/>
      <c r="I367" s="355"/>
      <c r="J367" s="355"/>
      <c r="K367" s="355"/>
      <c r="L367" s="355"/>
      <c r="M367" s="614"/>
      <c r="N367" s="614"/>
    </row>
    <row r="368" spans="1:21">
      <c r="A368" s="98"/>
      <c r="B368" s="99"/>
      <c r="C368" s="99"/>
      <c r="D368" s="99"/>
      <c r="E368" s="99"/>
      <c r="F368" s="421"/>
      <c r="G368" s="421"/>
      <c r="H368" s="421"/>
      <c r="I368" s="1468" t="s">
        <v>0</v>
      </c>
      <c r="J368" s="1468"/>
      <c r="K368" s="1468"/>
      <c r="L368" s="1468"/>
      <c r="M368" s="99"/>
      <c r="N368" s="101"/>
    </row>
    <row r="369" spans="1:21">
      <c r="A369" s="97"/>
      <c r="B369" s="1469" t="s">
        <v>1</v>
      </c>
      <c r="C369" s="1469"/>
      <c r="D369" s="1469" t="s">
        <v>2</v>
      </c>
      <c r="E369" s="1469"/>
      <c r="F369" s="1470" t="s">
        <v>3</v>
      </c>
      <c r="G369" s="1470"/>
      <c r="H369" s="615" t="s">
        <v>3</v>
      </c>
      <c r="I369" s="127" t="s">
        <v>195</v>
      </c>
      <c r="J369" s="102"/>
      <c r="K369" s="102"/>
      <c r="L369" s="128"/>
      <c r="M369" s="1525" t="s">
        <v>4</v>
      </c>
      <c r="N369" s="1526"/>
    </row>
    <row r="370" spans="1:21" ht="19" thickBot="1">
      <c r="A370" s="103" t="s">
        <v>5</v>
      </c>
      <c r="B370" s="1473" t="s">
        <v>6</v>
      </c>
      <c r="C370" s="1473"/>
      <c r="D370" s="1473" t="s">
        <v>7</v>
      </c>
      <c r="E370" s="1473"/>
      <c r="F370" s="1474" t="s">
        <v>7</v>
      </c>
      <c r="G370" s="1474"/>
      <c r="H370" s="617" t="s">
        <v>58</v>
      </c>
      <c r="I370" s="624" t="s">
        <v>196</v>
      </c>
      <c r="J370" s="616" t="s">
        <v>8</v>
      </c>
      <c r="K370" s="616" t="s">
        <v>9</v>
      </c>
      <c r="L370" s="401" t="s">
        <v>10</v>
      </c>
      <c r="M370" s="1527" t="s">
        <v>145</v>
      </c>
      <c r="N370" s="1475"/>
    </row>
    <row r="371" spans="1:21" ht="24" thickBot="1">
      <c r="A371" s="88" t="s">
        <v>163</v>
      </c>
      <c r="B371" s="1687"/>
      <c r="C371" s="1624"/>
      <c r="D371" s="1625"/>
      <c r="E371" s="1626"/>
      <c r="F371" s="1627"/>
      <c r="G371" s="1628"/>
      <c r="H371" s="486"/>
      <c r="I371" s="351"/>
      <c r="J371" s="351"/>
      <c r="K371" s="351"/>
      <c r="L371" s="487"/>
      <c r="M371" s="1629"/>
      <c r="N371" s="1630"/>
    </row>
    <row r="372" spans="1:21" s="1161" customFormat="1" ht="17" thickBot="1">
      <c r="A372" s="108" t="s">
        <v>48</v>
      </c>
      <c r="B372" s="1456"/>
      <c r="C372" s="1586"/>
      <c r="D372" s="1567"/>
      <c r="E372" s="1586"/>
      <c r="F372" s="1587"/>
      <c r="G372" s="1588"/>
      <c r="H372" s="1158"/>
      <c r="I372" s="109"/>
      <c r="J372" s="109"/>
      <c r="K372" s="109"/>
      <c r="L372" s="1142"/>
      <c r="M372" s="1617"/>
      <c r="N372" s="1486"/>
      <c r="O372" s="274"/>
      <c r="P372" s="274"/>
      <c r="Q372" s="274"/>
      <c r="R372" s="274"/>
      <c r="S372" s="274"/>
      <c r="T372" s="274"/>
      <c r="U372" s="274"/>
    </row>
    <row r="373" spans="1:21" s="508" customFormat="1" ht="13">
      <c r="A373" s="78" t="s">
        <v>29</v>
      </c>
      <c r="B373" s="1536">
        <f>Ontario!N117</f>
        <v>10</v>
      </c>
      <c r="C373" s="1424"/>
      <c r="D373" s="1423">
        <f>F373*325851</f>
        <v>138486.67500000002</v>
      </c>
      <c r="E373" s="1424"/>
      <c r="F373" s="1549">
        <f>0.0425*B373</f>
        <v>0.42500000000000004</v>
      </c>
      <c r="G373" s="1550"/>
      <c r="H373" s="934">
        <f>F373*20</f>
        <v>8.5</v>
      </c>
      <c r="I373" s="150">
        <v>0</v>
      </c>
      <c r="J373" s="140">
        <f>35*B373</f>
        <v>350</v>
      </c>
      <c r="K373" s="140">
        <f>B373*50</f>
        <v>500</v>
      </c>
      <c r="L373" s="321">
        <f t="shared" ref="L373:L379" si="80">I373+J373+K373</f>
        <v>850</v>
      </c>
      <c r="M373" s="1634">
        <f>L373/(F373*498.5)</f>
        <v>4.0120361083249749</v>
      </c>
      <c r="N373" s="1540"/>
      <c r="O373" s="512"/>
      <c r="P373" s="512"/>
      <c r="Q373" s="512"/>
      <c r="R373" s="512"/>
      <c r="S373" s="512"/>
      <c r="T373" s="512"/>
      <c r="U373" s="512"/>
    </row>
    <row r="374" spans="1:21" s="508" customFormat="1" ht="13">
      <c r="A374" s="78" t="s">
        <v>33</v>
      </c>
      <c r="B374" s="1536">
        <f>Ontario!N118</f>
        <v>231</v>
      </c>
      <c r="C374" s="1424"/>
      <c r="D374" s="1423">
        <f>F374*325851</f>
        <v>2077495.6355999999</v>
      </c>
      <c r="E374" s="1424"/>
      <c r="F374" s="1549">
        <f>0.0276*B374</f>
        <v>6.3755999999999995</v>
      </c>
      <c r="G374" s="1550"/>
      <c r="H374" s="934">
        <f>F374*15</f>
        <v>95.633999999999986</v>
      </c>
      <c r="I374" s="150">
        <f>0*B374</f>
        <v>0</v>
      </c>
      <c r="J374" s="140">
        <f>0*B374</f>
        <v>0</v>
      </c>
      <c r="K374" s="140">
        <f>B374*85</f>
        <v>19635</v>
      </c>
      <c r="L374" s="321">
        <f t="shared" si="80"/>
        <v>19635</v>
      </c>
      <c r="M374" s="1634">
        <f>L374/(F374*498.5)</f>
        <v>6.177954152312009</v>
      </c>
      <c r="N374" s="1540"/>
      <c r="O374" s="512"/>
      <c r="P374" s="512"/>
      <c r="Q374" s="512"/>
      <c r="R374" s="512"/>
      <c r="S374" s="512"/>
      <c r="T374" s="512"/>
      <c r="U374" s="512"/>
    </row>
    <row r="375" spans="1:21" s="508" customFormat="1" ht="13">
      <c r="A375" s="78" t="s">
        <v>56</v>
      </c>
      <c r="B375" s="1536">
        <f>Ontario!N119</f>
        <v>32</v>
      </c>
      <c r="C375" s="1424"/>
      <c r="D375" s="1423">
        <f>F375*325851</f>
        <v>41708.928</v>
      </c>
      <c r="E375" s="1424"/>
      <c r="F375" s="1549">
        <f>0.004*B375</f>
        <v>0.128</v>
      </c>
      <c r="G375" s="1550"/>
      <c r="H375" s="934">
        <f>F375*5</f>
        <v>0.64</v>
      </c>
      <c r="I375" s="150">
        <f>0*B375</f>
        <v>0</v>
      </c>
      <c r="J375" s="140">
        <f>2*B375</f>
        <v>64</v>
      </c>
      <c r="K375" s="140">
        <f>B375*3</f>
        <v>96</v>
      </c>
      <c r="L375" s="321">
        <f t="shared" si="80"/>
        <v>160</v>
      </c>
      <c r="M375" s="1634">
        <v>0</v>
      </c>
      <c r="N375" s="1540"/>
      <c r="O375" s="512"/>
      <c r="P375" s="512"/>
      <c r="Q375" s="512"/>
      <c r="R375" s="512"/>
      <c r="S375" s="512"/>
      <c r="T375" s="512"/>
      <c r="U375" s="512"/>
    </row>
    <row r="376" spans="1:21" s="508" customFormat="1" ht="13">
      <c r="A376" s="78" t="s">
        <v>52</v>
      </c>
      <c r="B376" s="1536">
        <f>Ontario!N120</f>
        <v>1</v>
      </c>
      <c r="C376" s="1424"/>
      <c r="D376" s="1447">
        <f>F376*325851</f>
        <v>105901.575</v>
      </c>
      <c r="E376" s="1448"/>
      <c r="F376" s="1557">
        <f>0.325*B376</f>
        <v>0.32500000000000001</v>
      </c>
      <c r="G376" s="1558"/>
      <c r="H376" s="938">
        <f>F376*10</f>
        <v>3.25</v>
      </c>
      <c r="I376" s="173">
        <v>0</v>
      </c>
      <c r="J376" s="216">
        <f>45*B376</f>
        <v>45</v>
      </c>
      <c r="K376" s="216">
        <f>B376*80</f>
        <v>80</v>
      </c>
      <c r="L376" s="322">
        <f t="shared" si="80"/>
        <v>125</v>
      </c>
      <c r="M376" s="1634">
        <v>0</v>
      </c>
      <c r="N376" s="1540"/>
      <c r="O376" s="512"/>
      <c r="P376" s="512"/>
      <c r="Q376" s="512"/>
      <c r="R376" s="512"/>
      <c r="S376" s="512"/>
      <c r="T376" s="512"/>
      <c r="U376" s="512"/>
    </row>
    <row r="377" spans="1:21" s="508" customFormat="1" ht="13">
      <c r="A377" s="76" t="s">
        <v>276</v>
      </c>
      <c r="B377" s="1536">
        <v>1</v>
      </c>
      <c r="C377" s="1424"/>
      <c r="D377" s="1447">
        <f>F377*325851</f>
        <v>53648.108639999991</v>
      </c>
      <c r="E377" s="1448"/>
      <c r="F377" s="1557">
        <f>0.00014*1176</f>
        <v>0.16463999999999998</v>
      </c>
      <c r="G377" s="1558"/>
      <c r="H377" s="938">
        <f>F377*10</f>
        <v>1.6463999999999999</v>
      </c>
      <c r="I377" s="173">
        <v>0</v>
      </c>
      <c r="J377" s="216">
        <f>1176*0.45</f>
        <v>529.20000000000005</v>
      </c>
      <c r="K377" s="216">
        <f>1176*0.3</f>
        <v>352.8</v>
      </c>
      <c r="L377" s="322">
        <f t="shared" si="80"/>
        <v>882</v>
      </c>
      <c r="M377" s="1634">
        <f>L377/(F377*498.5)</f>
        <v>10.746525290156184</v>
      </c>
      <c r="N377" s="1540"/>
      <c r="O377" s="512"/>
      <c r="P377" s="512"/>
      <c r="Q377" s="512"/>
      <c r="R377" s="512"/>
      <c r="S377" s="512"/>
      <c r="T377" s="512"/>
      <c r="U377" s="512"/>
    </row>
    <row r="378" spans="1:21" s="508" customFormat="1" ht="13">
      <c r="A378" s="76" t="s">
        <v>165</v>
      </c>
      <c r="B378" s="1536">
        <f>Ontario!N122</f>
        <v>83</v>
      </c>
      <c r="C378" s="1424"/>
      <c r="D378" s="1447">
        <f>F378*325900</f>
        <v>108198.8</v>
      </c>
      <c r="E378" s="1448"/>
      <c r="F378" s="1557">
        <f>B378*0.004</f>
        <v>0.33200000000000002</v>
      </c>
      <c r="G378" s="1558"/>
      <c r="H378" s="934">
        <f>F378*5</f>
        <v>1.6600000000000001</v>
      </c>
      <c r="I378" s="173">
        <v>0</v>
      </c>
      <c r="J378" s="216">
        <v>0</v>
      </c>
      <c r="K378" s="216">
        <f>2075*3</f>
        <v>6225</v>
      </c>
      <c r="L378" s="322">
        <f t="shared" si="80"/>
        <v>6225</v>
      </c>
      <c r="M378" s="1634">
        <f>L378/(F378*498.5)</f>
        <v>37.612838515546635</v>
      </c>
      <c r="N378" s="1540"/>
      <c r="O378" s="512"/>
      <c r="P378" s="512"/>
      <c r="Q378" s="512"/>
      <c r="R378" s="512"/>
      <c r="S378" s="512"/>
      <c r="T378" s="512"/>
      <c r="U378" s="512"/>
    </row>
    <row r="379" spans="1:21" s="508" customFormat="1" ht="14" thickBot="1">
      <c r="A379" s="76" t="s">
        <v>166</v>
      </c>
      <c r="B379" s="1563">
        <f>Ontario!N123</f>
        <v>52</v>
      </c>
      <c r="C379" s="1424"/>
      <c r="D379" s="1451">
        <f>F379*325900</f>
        <v>8799300</v>
      </c>
      <c r="E379" s="1448"/>
      <c r="F379" s="1557">
        <v>27</v>
      </c>
      <c r="G379" s="1558"/>
      <c r="H379" s="938">
        <v>255</v>
      </c>
      <c r="I379" s="173">
        <v>0</v>
      </c>
      <c r="J379" s="216">
        <v>21413.8</v>
      </c>
      <c r="K379" s="216">
        <v>17709</v>
      </c>
      <c r="L379" s="322">
        <f t="shared" si="80"/>
        <v>39122.800000000003</v>
      </c>
      <c r="M379" s="1634">
        <f>L379/(F379*498.5)</f>
        <v>2.9067053010884507</v>
      </c>
      <c r="N379" s="1540"/>
      <c r="O379" s="512"/>
      <c r="P379" s="512"/>
      <c r="Q379" s="512"/>
      <c r="R379" s="512"/>
      <c r="S379" s="512"/>
      <c r="T379" s="512"/>
      <c r="U379" s="512"/>
    </row>
    <row r="380" spans="1:21" s="533" customFormat="1" ht="14" thickBot="1">
      <c r="A380" s="53" t="s">
        <v>60</v>
      </c>
      <c r="B380" s="1438">
        <f>SUM(B373:C379)</f>
        <v>410</v>
      </c>
      <c r="C380" s="1609"/>
      <c r="D380" s="1441">
        <f>SUM(D373:E379)</f>
        <v>11324739.722240001</v>
      </c>
      <c r="E380" s="1609"/>
      <c r="F380" s="1512">
        <f>SUM(F373:G379)</f>
        <v>34.750239999999998</v>
      </c>
      <c r="G380" s="1575"/>
      <c r="H380" s="611">
        <f>SUM(H373:H379)</f>
        <v>366.3304</v>
      </c>
      <c r="I380" s="143">
        <f>SUM(I373:I379)</f>
        <v>0</v>
      </c>
      <c r="J380" s="143">
        <f>SUM(J373:J379)</f>
        <v>22402</v>
      </c>
      <c r="K380" s="143">
        <f>SUM(K373:K379)</f>
        <v>44597.8</v>
      </c>
      <c r="L380" s="143">
        <f>SUM(L373:L379)</f>
        <v>66999.8</v>
      </c>
      <c r="M380" s="1637"/>
      <c r="N380" s="1611"/>
      <c r="O380" s="534"/>
      <c r="P380" s="534"/>
      <c r="Q380" s="534"/>
      <c r="R380" s="534"/>
      <c r="S380" s="534"/>
      <c r="T380" s="534"/>
      <c r="U380" s="534"/>
    </row>
    <row r="381" spans="1:21" s="1161" customFormat="1" ht="17" thickBot="1">
      <c r="A381" s="108" t="s">
        <v>146</v>
      </c>
      <c r="B381" s="1456"/>
      <c r="C381" s="1586"/>
      <c r="D381" s="1567"/>
      <c r="E381" s="1586"/>
      <c r="F381" s="1484"/>
      <c r="G381" s="1588"/>
      <c r="H381" s="1158"/>
      <c r="I381" s="161"/>
      <c r="J381" s="161"/>
      <c r="K381" s="161"/>
      <c r="L381" s="374"/>
      <c r="M381" s="1485"/>
      <c r="N381" s="1486"/>
      <c r="O381" s="274"/>
      <c r="P381" s="274"/>
      <c r="Q381" s="274"/>
      <c r="R381" s="274"/>
      <c r="S381" s="274"/>
      <c r="T381" s="274"/>
      <c r="U381" s="274"/>
    </row>
    <row r="382" spans="1:21" s="508" customFormat="1" ht="14" thickBot="1">
      <c r="A382" s="76" t="s">
        <v>146</v>
      </c>
      <c r="B382" s="1563">
        <f>Ontario!N126</f>
        <v>1009</v>
      </c>
      <c r="C382" s="1424"/>
      <c r="D382" s="1423">
        <f>F382*325851</f>
        <v>13973305.5075</v>
      </c>
      <c r="E382" s="1424"/>
      <c r="F382" s="1635">
        <f>0.0425*B382</f>
        <v>42.8825</v>
      </c>
      <c r="G382" s="1558"/>
      <c r="H382" s="938">
        <f>F382*20</f>
        <v>857.65</v>
      </c>
      <c r="I382" s="150">
        <f>73.34*B382</f>
        <v>74000.06</v>
      </c>
      <c r="J382" s="150">
        <f>35.66*B382</f>
        <v>35980.939999999995</v>
      </c>
      <c r="K382" s="150">
        <f>B382*50</f>
        <v>50450</v>
      </c>
      <c r="L382" s="221">
        <f>I382+J382+K382</f>
        <v>160431</v>
      </c>
      <c r="M382" s="1634">
        <f>L382/(F382*498.5)</f>
        <v>7.5048675438078938</v>
      </c>
      <c r="N382" s="1540"/>
      <c r="O382" s="512"/>
      <c r="P382" s="512"/>
      <c r="Q382" s="512"/>
      <c r="R382" s="512"/>
      <c r="S382" s="512"/>
      <c r="T382" s="512"/>
      <c r="U382" s="512"/>
    </row>
    <row r="383" spans="1:21" s="533" customFormat="1" ht="14" thickBot="1">
      <c r="A383" s="53" t="s">
        <v>60</v>
      </c>
      <c r="B383" s="1438">
        <f>SUM(B382)</f>
        <v>1009</v>
      </c>
      <c r="C383" s="1609"/>
      <c r="D383" s="1441">
        <f>SUM(D382)</f>
        <v>13973305.5075</v>
      </c>
      <c r="E383" s="1609"/>
      <c r="F383" s="1512">
        <f>SUM(F382)</f>
        <v>42.8825</v>
      </c>
      <c r="G383" s="1575"/>
      <c r="H383" s="611">
        <f>SUM(H382)</f>
        <v>857.65</v>
      </c>
      <c r="I383" s="143">
        <f>SUM(I382)</f>
        <v>74000.06</v>
      </c>
      <c r="J383" s="143">
        <f>SUM(J382)</f>
        <v>35980.939999999995</v>
      </c>
      <c r="K383" s="143">
        <f>SUM(K382)</f>
        <v>50450</v>
      </c>
      <c r="L383" s="136">
        <f>SUM(L382)</f>
        <v>160431</v>
      </c>
      <c r="M383" s="1637"/>
      <c r="N383" s="1611"/>
      <c r="O383" s="534"/>
      <c r="P383" s="534"/>
      <c r="Q383" s="534"/>
      <c r="R383" s="534"/>
      <c r="S383" s="534"/>
      <c r="T383" s="534"/>
      <c r="U383" s="534"/>
    </row>
    <row r="384" spans="1:21" s="1161" customFormat="1" ht="17" thickBot="1">
      <c r="A384" s="108" t="s">
        <v>50</v>
      </c>
      <c r="B384" s="1456"/>
      <c r="C384" s="1586"/>
      <c r="D384" s="1567"/>
      <c r="E384" s="1586"/>
      <c r="F384" s="1484"/>
      <c r="G384" s="1588"/>
      <c r="H384" s="1158"/>
      <c r="I384" s="161"/>
      <c r="J384" s="161"/>
      <c r="K384" s="161"/>
      <c r="L384" s="374"/>
      <c r="M384" s="1485"/>
      <c r="N384" s="1486"/>
      <c r="O384" s="274"/>
      <c r="P384" s="274"/>
      <c r="Q384" s="274"/>
      <c r="R384" s="274"/>
      <c r="S384" s="274"/>
      <c r="T384" s="274"/>
      <c r="U384" s="274"/>
    </row>
    <row r="385" spans="1:21">
      <c r="A385" s="78" t="s">
        <v>29</v>
      </c>
      <c r="B385" s="1563">
        <f>Ontario!N129</f>
        <v>0</v>
      </c>
      <c r="C385" s="1424"/>
      <c r="D385" s="1423">
        <f t="shared" ref="D385:D391" si="81">F385*325851</f>
        <v>0</v>
      </c>
      <c r="E385" s="1424"/>
      <c r="F385" s="1633">
        <f>0.0425*B385</f>
        <v>0</v>
      </c>
      <c r="G385" s="1550"/>
      <c r="H385" s="934">
        <f>F385*20</f>
        <v>0</v>
      </c>
      <c r="I385" s="150">
        <v>0</v>
      </c>
      <c r="J385" s="150">
        <f>35*B385</f>
        <v>0</v>
      </c>
      <c r="K385" s="150">
        <f>50*B385</f>
        <v>0</v>
      </c>
      <c r="L385" s="221">
        <f t="shared" ref="L385:L392" si="82">SUM(I385:K385)</f>
        <v>0</v>
      </c>
      <c r="M385" s="1634">
        <v>0</v>
      </c>
      <c r="N385" s="1540"/>
    </row>
    <row r="386" spans="1:21">
      <c r="A386" s="78" t="s">
        <v>51</v>
      </c>
      <c r="B386" s="1563">
        <f>Ontario!N130</f>
        <v>18</v>
      </c>
      <c r="C386" s="1424"/>
      <c r="D386" s="1423">
        <f t="shared" si="81"/>
        <v>719674.51860000007</v>
      </c>
      <c r="E386" s="1424"/>
      <c r="F386" s="1633">
        <f>0.1227*B386</f>
        <v>2.2086000000000001</v>
      </c>
      <c r="G386" s="1550"/>
      <c r="H386" s="934">
        <f>F386*20</f>
        <v>44.172000000000004</v>
      </c>
      <c r="I386" s="150">
        <v>0</v>
      </c>
      <c r="J386" s="150">
        <f>50*B386</f>
        <v>900</v>
      </c>
      <c r="K386" s="150">
        <f>200*B386</f>
        <v>3600</v>
      </c>
      <c r="L386" s="221">
        <f t="shared" si="82"/>
        <v>4500</v>
      </c>
      <c r="M386" s="1634">
        <f>L386/(F386*498.5)</f>
        <v>4.0872413491493225</v>
      </c>
      <c r="N386" s="1540"/>
    </row>
    <row r="387" spans="1:21">
      <c r="A387" s="78" t="s">
        <v>170</v>
      </c>
      <c r="B387" s="1563">
        <f>Ontario!N131</f>
        <v>1</v>
      </c>
      <c r="C387" s="1424"/>
      <c r="D387" s="1423">
        <f t="shared" si="81"/>
        <v>209848.04399999999</v>
      </c>
      <c r="E387" s="1424"/>
      <c r="F387" s="1633">
        <f>0.644*B387</f>
        <v>0.64400000000000002</v>
      </c>
      <c r="G387" s="1550"/>
      <c r="H387" s="934">
        <f>F387*5</f>
        <v>3.22</v>
      </c>
      <c r="I387" s="150">
        <v>0</v>
      </c>
      <c r="J387" s="150">
        <f>B387*500</f>
        <v>500</v>
      </c>
      <c r="K387" s="150">
        <f>B387*1750</f>
        <v>1750</v>
      </c>
      <c r="L387" s="221">
        <f t="shared" si="82"/>
        <v>2250</v>
      </c>
      <c r="M387" s="1634">
        <v>0</v>
      </c>
      <c r="N387" s="1540"/>
    </row>
    <row r="388" spans="1:21" hidden="1">
      <c r="A388" s="78" t="s">
        <v>13</v>
      </c>
      <c r="B388" s="1563">
        <f>Ontario!N132</f>
        <v>0</v>
      </c>
      <c r="C388" s="1424"/>
      <c r="D388" s="1423">
        <f t="shared" si="81"/>
        <v>0</v>
      </c>
      <c r="E388" s="1424"/>
      <c r="F388" s="1633">
        <f>0.1075*B388</f>
        <v>0</v>
      </c>
      <c r="G388" s="1550"/>
      <c r="H388" s="934">
        <f>F388*10</f>
        <v>0</v>
      </c>
      <c r="I388" s="150">
        <v>0</v>
      </c>
      <c r="J388" s="150">
        <f>100*B388</f>
        <v>0</v>
      </c>
      <c r="K388" s="150">
        <f>80*B388</f>
        <v>0</v>
      </c>
      <c r="L388" s="221">
        <f t="shared" si="82"/>
        <v>0</v>
      </c>
      <c r="M388" s="1634">
        <v>0</v>
      </c>
      <c r="N388" s="1540"/>
    </row>
    <row r="389" spans="1:21" hidden="1">
      <c r="A389" s="76" t="s">
        <v>47</v>
      </c>
      <c r="B389" s="1563">
        <f>Ontario!N133</f>
        <v>0</v>
      </c>
      <c r="C389" s="1424"/>
      <c r="D389" s="1423">
        <f t="shared" si="81"/>
        <v>0</v>
      </c>
      <c r="E389" s="1424"/>
      <c r="F389" s="1633">
        <f>0.1534*B389</f>
        <v>0</v>
      </c>
      <c r="G389" s="1550"/>
      <c r="H389" s="934">
        <f>F389*5</f>
        <v>0</v>
      </c>
      <c r="I389" s="150">
        <v>0</v>
      </c>
      <c r="J389" s="150">
        <f>0*B389</f>
        <v>0</v>
      </c>
      <c r="K389" s="150">
        <f>150*B389</f>
        <v>0</v>
      </c>
      <c r="L389" s="221">
        <f t="shared" si="82"/>
        <v>0</v>
      </c>
      <c r="M389" s="1634">
        <v>0</v>
      </c>
      <c r="N389" s="1540"/>
    </row>
    <row r="390" spans="1:21">
      <c r="A390" s="76" t="s">
        <v>52</v>
      </c>
      <c r="B390" s="1563">
        <f>Ontario!N134</f>
        <v>2</v>
      </c>
      <c r="C390" s="1424"/>
      <c r="D390" s="1423">
        <f t="shared" si="81"/>
        <v>211803.15</v>
      </c>
      <c r="E390" s="1424"/>
      <c r="F390" s="1633">
        <f>0.325*B390</f>
        <v>0.65</v>
      </c>
      <c r="G390" s="1550"/>
      <c r="H390" s="934">
        <f>F390*10</f>
        <v>6.5</v>
      </c>
      <c r="I390" s="150">
        <v>0</v>
      </c>
      <c r="J390" s="150">
        <f>B390*480</f>
        <v>960</v>
      </c>
      <c r="K390" s="150">
        <f>B390*800</f>
        <v>1600</v>
      </c>
      <c r="L390" s="221">
        <f t="shared" si="82"/>
        <v>2560</v>
      </c>
      <c r="M390" s="1634">
        <f>L390/(F390*498.5)</f>
        <v>7.9006249517784113</v>
      </c>
      <c r="N390" s="1540"/>
    </row>
    <row r="391" spans="1:21">
      <c r="A391" s="76" t="s">
        <v>53</v>
      </c>
      <c r="B391" s="1563">
        <f>Ontario!N135</f>
        <v>0</v>
      </c>
      <c r="C391" s="1424"/>
      <c r="D391" s="1423">
        <f t="shared" si="81"/>
        <v>0</v>
      </c>
      <c r="E391" s="1424"/>
      <c r="F391" s="1633">
        <f>0.00014*B391</f>
        <v>0</v>
      </c>
      <c r="G391" s="1550"/>
      <c r="H391" s="934">
        <f>F391*10</f>
        <v>0</v>
      </c>
      <c r="I391" s="150">
        <v>0</v>
      </c>
      <c r="J391" s="150">
        <f>0.45*B391</f>
        <v>0</v>
      </c>
      <c r="K391" s="150">
        <f>0.3*B391</f>
        <v>0</v>
      </c>
      <c r="L391" s="221">
        <f t="shared" si="82"/>
        <v>0</v>
      </c>
      <c r="M391" s="1634">
        <v>0</v>
      </c>
      <c r="N391" s="1540"/>
    </row>
    <row r="392" spans="1:21">
      <c r="A392" s="76" t="s">
        <v>56</v>
      </c>
      <c r="B392" s="1563">
        <f>Ontario!N136</f>
        <v>71</v>
      </c>
      <c r="C392" s="1424"/>
      <c r="D392" s="1423">
        <f>F392*325851</f>
        <v>92541.684000000008</v>
      </c>
      <c r="E392" s="1424"/>
      <c r="F392" s="1633">
        <f>0.004*B392</f>
        <v>0.28400000000000003</v>
      </c>
      <c r="G392" s="1550"/>
      <c r="H392" s="934">
        <f>F392*5</f>
        <v>1.4200000000000002</v>
      </c>
      <c r="I392" s="150">
        <v>0</v>
      </c>
      <c r="J392" s="150">
        <f>1*B392</f>
        <v>71</v>
      </c>
      <c r="K392" s="150">
        <f>3*B392</f>
        <v>213</v>
      </c>
      <c r="L392" s="221">
        <f t="shared" si="82"/>
        <v>284</v>
      </c>
      <c r="M392" s="1634">
        <f>L392/(F392*498.5)</f>
        <v>2.0060180541624875</v>
      </c>
      <c r="N392" s="1540"/>
    </row>
    <row r="393" spans="1:21">
      <c r="A393" s="76" t="s">
        <v>122</v>
      </c>
      <c r="B393" s="1563">
        <f>Ontario!N137</f>
        <v>0</v>
      </c>
      <c r="C393" s="1424"/>
      <c r="D393" s="1423">
        <f>F393*325851</f>
        <v>0</v>
      </c>
      <c r="E393" s="1424"/>
      <c r="F393" s="1633">
        <f>0.018*B393</f>
        <v>0</v>
      </c>
      <c r="G393" s="1550"/>
      <c r="H393" s="934">
        <f>F393*10</f>
        <v>0</v>
      </c>
      <c r="I393" s="150">
        <v>0</v>
      </c>
      <c r="J393" s="150">
        <f>0*B393</f>
        <v>0</v>
      </c>
      <c r="K393" s="150">
        <f>13*B393</f>
        <v>0</v>
      </c>
      <c r="L393" s="221">
        <f>SUM(I393:K393)</f>
        <v>0</v>
      </c>
      <c r="M393" s="1634">
        <v>0</v>
      </c>
      <c r="N393" s="1540"/>
    </row>
    <row r="394" spans="1:21" ht="17" thickBot="1">
      <c r="A394" s="76" t="s">
        <v>102</v>
      </c>
      <c r="B394" s="1563">
        <f>Ontario!N138</f>
        <v>0</v>
      </c>
      <c r="C394" s="1424"/>
      <c r="D394" s="1423">
        <f>F394*325851</f>
        <v>0</v>
      </c>
      <c r="E394" s="1424"/>
      <c r="F394" s="1633">
        <f>0.153*B394</f>
        <v>0</v>
      </c>
      <c r="G394" s="1550"/>
      <c r="H394" s="934">
        <f>F394*5</f>
        <v>0</v>
      </c>
      <c r="I394" s="150">
        <v>0</v>
      </c>
      <c r="J394" s="150">
        <f>0*B394</f>
        <v>0</v>
      </c>
      <c r="K394" s="150">
        <f>60*B394</f>
        <v>0</v>
      </c>
      <c r="L394" s="221">
        <f>SUM(I394:K394)</f>
        <v>0</v>
      </c>
      <c r="M394" s="1634">
        <v>0</v>
      </c>
      <c r="N394" s="1540"/>
    </row>
    <row r="395" spans="1:21" ht="17" hidden="1" thickBot="1">
      <c r="A395" s="78" t="s">
        <v>167</v>
      </c>
      <c r="B395" s="1560"/>
      <c r="C395" s="1544"/>
      <c r="D395" s="1458"/>
      <c r="E395" s="1459"/>
      <c r="F395" s="1551"/>
      <c r="G395" s="1552"/>
      <c r="H395" s="546"/>
      <c r="I395" s="173"/>
      <c r="J395" s="286"/>
      <c r="K395" s="286"/>
      <c r="L395" s="286"/>
      <c r="M395" s="1638"/>
      <c r="N395" s="1562"/>
    </row>
    <row r="396" spans="1:21" s="532" customFormat="1" ht="17" thickBot="1">
      <c r="A396" s="53" t="s">
        <v>60</v>
      </c>
      <c r="B396" s="1438">
        <f>SUM(B385:C394)</f>
        <v>92</v>
      </c>
      <c r="C396" s="1609"/>
      <c r="D396" s="1441">
        <f>SUM(D385:E394)</f>
        <v>1233867.3966000001</v>
      </c>
      <c r="E396" s="1439"/>
      <c r="F396" s="1512">
        <f>SUM(F385:G394)</f>
        <v>3.7866</v>
      </c>
      <c r="G396" s="1575"/>
      <c r="H396" s="470">
        <f>SUM(H385:H394)</f>
        <v>55.312000000000005</v>
      </c>
      <c r="I396" s="143">
        <f>SUM(I385:I394)</f>
        <v>0</v>
      </c>
      <c r="J396" s="143">
        <f>SUM(J385:J394)</f>
        <v>2431</v>
      </c>
      <c r="K396" s="143">
        <f>SUM(K385:K394)</f>
        <v>7163</v>
      </c>
      <c r="L396" s="136">
        <f>SUM(L385:L394)</f>
        <v>9594</v>
      </c>
      <c r="M396" s="1637"/>
      <c r="N396" s="1611"/>
      <c r="O396" s="1401"/>
      <c r="P396" s="1401"/>
      <c r="Q396" s="1401"/>
      <c r="R396" s="1401"/>
      <c r="S396" s="1401"/>
      <c r="T396" s="1401"/>
      <c r="U396" s="1401"/>
    </row>
    <row r="397" spans="1:21" s="1161" customFormat="1" ht="17" thickBot="1">
      <c r="A397" s="1163" t="s">
        <v>17</v>
      </c>
      <c r="B397" s="1612">
        <f>SUM(,B380,B383,B396)</f>
        <v>1511</v>
      </c>
      <c r="C397" s="1415"/>
      <c r="D397" s="1416">
        <f>SUM(,D380,D383,D396)</f>
        <v>26531912.626340002</v>
      </c>
      <c r="E397" s="1415"/>
      <c r="F397" s="1613">
        <f>SUM(,F380,F383,F396)</f>
        <v>81.419340000000005</v>
      </c>
      <c r="G397" s="1488"/>
      <c r="H397" s="1164">
        <f>(H396+H380+H383)</f>
        <v>1279.2924</v>
      </c>
      <c r="I397" s="1219">
        <f>SUM(,I380,I383,I396)</f>
        <v>74000.06</v>
      </c>
      <c r="J397" s="1169">
        <f>SUM(,J380,J383,J396)</f>
        <v>60813.939999999995</v>
      </c>
      <c r="K397" s="1169">
        <f>SUM(,K380,K383,K396)</f>
        <v>102210.8</v>
      </c>
      <c r="L397" s="1220">
        <f>SUM(,L380,L383,L396)</f>
        <v>237024.8</v>
      </c>
      <c r="M397" s="1639"/>
      <c r="N397" s="1640"/>
      <c r="O397" s="274"/>
      <c r="P397" s="274"/>
      <c r="Q397" s="274"/>
      <c r="R397" s="274"/>
      <c r="S397" s="274"/>
      <c r="T397" s="274"/>
      <c r="U397" s="274"/>
    </row>
    <row r="398" spans="1:21">
      <c r="A398" s="343"/>
      <c r="B398" s="354"/>
      <c r="C398" s="354"/>
      <c r="D398" s="354"/>
      <c r="E398" s="354"/>
      <c r="F398" s="455"/>
      <c r="G398" s="455"/>
      <c r="H398" s="455"/>
      <c r="I398" s="355"/>
      <c r="J398" s="355"/>
      <c r="K398" s="355"/>
      <c r="L398" s="355"/>
      <c r="M398" s="394"/>
      <c r="N398" s="394"/>
    </row>
    <row r="399" spans="1:21" ht="18">
      <c r="A399" s="356" t="s">
        <v>271</v>
      </c>
      <c r="B399" s="1566" t="s">
        <v>59</v>
      </c>
      <c r="C399" s="1566"/>
      <c r="D399" s="1566"/>
      <c r="E399" s="1641"/>
      <c r="F399" s="455"/>
      <c r="G399" s="455"/>
      <c r="H399" s="455"/>
      <c r="I399" s="355"/>
      <c r="J399" s="355"/>
      <c r="K399" s="355"/>
      <c r="L399" s="355"/>
      <c r="M399" s="394"/>
      <c r="N399" s="394"/>
    </row>
    <row r="400" spans="1:21">
      <c r="B400" s="1559" t="s">
        <v>19</v>
      </c>
      <c r="C400" s="1559"/>
      <c r="D400" s="1559"/>
      <c r="E400" s="1559"/>
      <c r="F400" s="455"/>
      <c r="G400" s="455"/>
      <c r="H400" s="455"/>
      <c r="I400" s="355"/>
      <c r="J400" s="355"/>
      <c r="K400" s="355"/>
      <c r="L400" s="355"/>
      <c r="M400" s="394"/>
      <c r="N400" s="394"/>
    </row>
    <row r="401" spans="1:21" ht="17" thickBot="1">
      <c r="B401" s="549"/>
      <c r="C401" s="549"/>
      <c r="D401" s="549"/>
      <c r="E401" s="549"/>
      <c r="F401" s="455"/>
      <c r="G401" s="455"/>
      <c r="H401" s="455"/>
      <c r="I401" s="355"/>
      <c r="J401" s="355"/>
      <c r="K401" s="355"/>
      <c r="L401" s="355"/>
      <c r="M401" s="549"/>
      <c r="N401" s="549"/>
    </row>
    <row r="402" spans="1:21">
      <c r="A402" s="98"/>
      <c r="B402" s="99"/>
      <c r="C402" s="99"/>
      <c r="D402" s="99"/>
      <c r="E402" s="99"/>
      <c r="F402" s="421"/>
      <c r="G402" s="421"/>
      <c r="H402" s="421"/>
      <c r="I402" s="1468" t="s">
        <v>0</v>
      </c>
      <c r="J402" s="1468"/>
      <c r="K402" s="1468"/>
      <c r="L402" s="1468"/>
      <c r="M402" s="99"/>
      <c r="N402" s="101"/>
    </row>
    <row r="403" spans="1:21">
      <c r="A403" s="97"/>
      <c r="B403" s="1469" t="s">
        <v>1</v>
      </c>
      <c r="C403" s="1469"/>
      <c r="D403" s="1469" t="s">
        <v>2</v>
      </c>
      <c r="E403" s="1469"/>
      <c r="F403" s="1470" t="s">
        <v>3</v>
      </c>
      <c r="G403" s="1470"/>
      <c r="H403" s="438" t="s">
        <v>3</v>
      </c>
      <c r="I403" s="127" t="s">
        <v>195</v>
      </c>
      <c r="J403" s="102"/>
      <c r="K403" s="102"/>
      <c r="L403" s="128"/>
      <c r="M403" s="1469" t="s">
        <v>4</v>
      </c>
      <c r="N403" s="1526"/>
    </row>
    <row r="404" spans="1:21" ht="19" thickBot="1">
      <c r="A404" s="103" t="s">
        <v>5</v>
      </c>
      <c r="B404" s="1473" t="s">
        <v>6</v>
      </c>
      <c r="C404" s="1473"/>
      <c r="D404" s="1473" t="s">
        <v>7</v>
      </c>
      <c r="E404" s="1473"/>
      <c r="F404" s="1474" t="s">
        <v>7</v>
      </c>
      <c r="G404" s="1474"/>
      <c r="H404" s="439" t="s">
        <v>58</v>
      </c>
      <c r="I404" s="398" t="s">
        <v>196</v>
      </c>
      <c r="J404" s="397" t="s">
        <v>8</v>
      </c>
      <c r="K404" s="397" t="s">
        <v>9</v>
      </c>
      <c r="L404" s="401" t="s">
        <v>10</v>
      </c>
      <c r="M404" s="1473" t="s">
        <v>145</v>
      </c>
      <c r="N404" s="1475"/>
    </row>
    <row r="405" spans="1:21" ht="24" thickBot="1">
      <c r="A405" s="88" t="s">
        <v>144</v>
      </c>
      <c r="B405" s="1623"/>
      <c r="C405" s="1624"/>
      <c r="D405" s="1625"/>
      <c r="E405" s="1626"/>
      <c r="F405" s="1627"/>
      <c r="G405" s="1628"/>
      <c r="H405" s="486"/>
      <c r="I405" s="351"/>
      <c r="J405" s="351"/>
      <c r="K405" s="351"/>
      <c r="L405" s="487"/>
      <c r="M405" s="1623"/>
      <c r="N405" s="1630"/>
    </row>
    <row r="406" spans="1:21" s="1161" customFormat="1" ht="17" thickBot="1">
      <c r="A406" s="108" t="s">
        <v>48</v>
      </c>
      <c r="B406" s="1457"/>
      <c r="C406" s="1586"/>
      <c r="D406" s="1567"/>
      <c r="E406" s="1586"/>
      <c r="F406" s="1587"/>
      <c r="G406" s="1588"/>
      <c r="H406" s="1158"/>
      <c r="I406" s="109"/>
      <c r="J406" s="109"/>
      <c r="K406" s="109"/>
      <c r="L406" s="1142"/>
      <c r="M406" s="1485"/>
      <c r="N406" s="1486"/>
      <c r="O406" s="274"/>
      <c r="P406" s="274"/>
      <c r="Q406" s="274"/>
      <c r="R406" s="274"/>
      <c r="S406" s="274"/>
      <c r="T406" s="274"/>
      <c r="U406" s="274"/>
    </row>
    <row r="407" spans="1:21" s="508" customFormat="1" ht="13" hidden="1">
      <c r="A407" s="78" t="s">
        <v>28</v>
      </c>
      <c r="B407" s="1536">
        <f>Ontario!N79</f>
        <v>0</v>
      </c>
      <c r="C407" s="1424"/>
      <c r="D407" s="1423">
        <f t="shared" ref="D407:D413" si="83">F407*325851</f>
        <v>0</v>
      </c>
      <c r="E407" s="1424"/>
      <c r="F407" s="1549">
        <f>0.0379*B407</f>
        <v>0</v>
      </c>
      <c r="G407" s="1550"/>
      <c r="H407" s="480">
        <f>F407*20</f>
        <v>0</v>
      </c>
      <c r="I407" s="150">
        <v>0</v>
      </c>
      <c r="J407" s="150">
        <f>0*B407</f>
        <v>0</v>
      </c>
      <c r="K407" s="150">
        <f>60*B407</f>
        <v>0</v>
      </c>
      <c r="L407" s="221">
        <f t="shared" ref="L407:L413" si="84">I407+J407+K407</f>
        <v>0</v>
      </c>
      <c r="M407" s="1634">
        <v>0</v>
      </c>
      <c r="N407" s="1540"/>
      <c r="O407" s="512"/>
      <c r="P407" s="512"/>
      <c r="Q407" s="512"/>
      <c r="R407" s="512"/>
      <c r="S407" s="512"/>
      <c r="T407" s="512"/>
      <c r="U407" s="512"/>
    </row>
    <row r="408" spans="1:21" s="508" customFormat="1" ht="13">
      <c r="A408" s="78" t="s">
        <v>29</v>
      </c>
      <c r="B408" s="1563">
        <f>Ontario!N80</f>
        <v>36</v>
      </c>
      <c r="C408" s="1424"/>
      <c r="D408" s="1423">
        <f t="shared" si="83"/>
        <v>498552.03</v>
      </c>
      <c r="E408" s="1424"/>
      <c r="F408" s="1549">
        <f>0.0425*B408</f>
        <v>1.53</v>
      </c>
      <c r="G408" s="1550"/>
      <c r="H408" s="934">
        <f>F408*20</f>
        <v>30.6</v>
      </c>
      <c r="I408" s="150">
        <v>0</v>
      </c>
      <c r="J408" s="150">
        <f>35*B408</f>
        <v>1260</v>
      </c>
      <c r="K408" s="150">
        <f>B408*50</f>
        <v>1800</v>
      </c>
      <c r="L408" s="221">
        <f t="shared" si="84"/>
        <v>3060</v>
      </c>
      <c r="M408" s="1634">
        <f t="shared" ref="M408:M413" si="85">L408/(F408*498.5)</f>
        <v>4.0120361083249749</v>
      </c>
      <c r="N408" s="1540"/>
      <c r="O408" s="512"/>
      <c r="P408" s="512"/>
      <c r="Q408" s="512"/>
      <c r="R408" s="512"/>
      <c r="S408" s="512"/>
      <c r="T408" s="512"/>
      <c r="U408" s="512"/>
    </row>
    <row r="409" spans="1:21" s="508" customFormat="1" ht="13">
      <c r="A409" s="78" t="s">
        <v>33</v>
      </c>
      <c r="B409" s="1563">
        <f>Ontario!N81</f>
        <v>47</v>
      </c>
      <c r="C409" s="1424"/>
      <c r="D409" s="1423">
        <f t="shared" si="83"/>
        <v>422693.91719999997</v>
      </c>
      <c r="E409" s="1424"/>
      <c r="F409" s="1549">
        <f>0.0276*B409</f>
        <v>1.2971999999999999</v>
      </c>
      <c r="G409" s="1550"/>
      <c r="H409" s="934">
        <f>F409*15</f>
        <v>19.457999999999998</v>
      </c>
      <c r="I409" s="150">
        <f>0*B409</f>
        <v>0</v>
      </c>
      <c r="J409" s="150">
        <f>50*B409</f>
        <v>2350</v>
      </c>
      <c r="K409" s="150">
        <f>B409*110</f>
        <v>5170</v>
      </c>
      <c r="L409" s="221">
        <f t="shared" si="84"/>
        <v>7520</v>
      </c>
      <c r="M409" s="1634">
        <f t="shared" si="85"/>
        <v>11.6290901690579</v>
      </c>
      <c r="N409" s="1540"/>
      <c r="O409" s="512"/>
      <c r="P409" s="512"/>
      <c r="Q409" s="512"/>
      <c r="R409" s="512"/>
      <c r="S409" s="512"/>
      <c r="T409" s="512"/>
      <c r="U409" s="512"/>
    </row>
    <row r="410" spans="1:21" s="508" customFormat="1" ht="13">
      <c r="A410" s="78" t="s">
        <v>56</v>
      </c>
      <c r="B410" s="1563">
        <f>Ontario!N82</f>
        <v>0</v>
      </c>
      <c r="C410" s="1424"/>
      <c r="D410" s="1423">
        <f t="shared" si="83"/>
        <v>0</v>
      </c>
      <c r="E410" s="1424"/>
      <c r="F410" s="1549">
        <f>0.004*B410</f>
        <v>0</v>
      </c>
      <c r="G410" s="1550"/>
      <c r="H410" s="934">
        <f>F410*5</f>
        <v>0</v>
      </c>
      <c r="I410" s="150">
        <f>0*B410</f>
        <v>0</v>
      </c>
      <c r="J410" s="150">
        <f>2*B410</f>
        <v>0</v>
      </c>
      <c r="K410" s="150">
        <f>B410*4</f>
        <v>0</v>
      </c>
      <c r="L410" s="221">
        <f t="shared" si="84"/>
        <v>0</v>
      </c>
      <c r="M410" s="1634">
        <v>0</v>
      </c>
      <c r="N410" s="1540"/>
      <c r="O410" s="512"/>
      <c r="P410" s="512"/>
      <c r="Q410" s="512"/>
      <c r="R410" s="512"/>
      <c r="S410" s="512"/>
      <c r="T410" s="512"/>
      <c r="U410" s="512"/>
    </row>
    <row r="411" spans="1:21" s="508" customFormat="1" ht="13">
      <c r="A411" s="78" t="s">
        <v>52</v>
      </c>
      <c r="B411" s="1644">
        <f>Ontario!N83</f>
        <v>0</v>
      </c>
      <c r="C411" s="1448"/>
      <c r="D411" s="1447">
        <f t="shared" si="83"/>
        <v>0</v>
      </c>
      <c r="E411" s="1448"/>
      <c r="F411" s="1557">
        <f>0.325*B411</f>
        <v>0</v>
      </c>
      <c r="G411" s="1558"/>
      <c r="H411" s="938">
        <f>F411*10</f>
        <v>0</v>
      </c>
      <c r="I411" s="173">
        <v>0</v>
      </c>
      <c r="J411" s="173">
        <f>0*B411</f>
        <v>0</v>
      </c>
      <c r="K411" s="173">
        <f>B411*80</f>
        <v>0</v>
      </c>
      <c r="L411" s="286">
        <f t="shared" si="84"/>
        <v>0</v>
      </c>
      <c r="M411" s="1634">
        <v>0</v>
      </c>
      <c r="N411" s="1540"/>
      <c r="O411" s="512"/>
      <c r="P411" s="512"/>
      <c r="Q411" s="512"/>
      <c r="R411" s="512"/>
      <c r="S411" s="512"/>
      <c r="T411" s="512"/>
      <c r="U411" s="512"/>
    </row>
    <row r="412" spans="1:21" s="508" customFormat="1" ht="13">
      <c r="A412" s="76" t="s">
        <v>311</v>
      </c>
      <c r="B412" s="1644">
        <f>Ontario!N84</f>
        <v>0</v>
      </c>
      <c r="C412" s="1448"/>
      <c r="D412" s="1447">
        <f>F412*325851</f>
        <v>0</v>
      </c>
      <c r="E412" s="1448"/>
      <c r="F412" s="1635">
        <f>0.00014*0</f>
        <v>0</v>
      </c>
      <c r="G412" s="1558"/>
      <c r="H412" s="938">
        <f>F412*10</f>
        <v>0</v>
      </c>
      <c r="I412" s="173">
        <v>0</v>
      </c>
      <c r="J412" s="173">
        <v>0</v>
      </c>
      <c r="K412" s="173">
        <f>B412*0</f>
        <v>0</v>
      </c>
      <c r="L412" s="286">
        <f t="shared" si="84"/>
        <v>0</v>
      </c>
      <c r="M412" s="1634">
        <v>0</v>
      </c>
      <c r="N412" s="1540"/>
      <c r="O412" s="512"/>
      <c r="P412" s="512"/>
      <c r="Q412" s="512"/>
      <c r="R412" s="512"/>
      <c r="S412" s="512"/>
      <c r="T412" s="512"/>
      <c r="U412" s="512"/>
    </row>
    <row r="413" spans="1:21" s="508" customFormat="1" ht="14" thickBot="1">
      <c r="A413" s="76" t="s">
        <v>149</v>
      </c>
      <c r="B413" s="1643">
        <f>Ontario!N85</f>
        <v>5</v>
      </c>
      <c r="C413" s="1459"/>
      <c r="D413" s="1447">
        <f t="shared" si="83"/>
        <v>124084.06079999999</v>
      </c>
      <c r="E413" s="1448"/>
      <c r="F413" s="1635">
        <f>0.00014*2720</f>
        <v>0.38079999999999997</v>
      </c>
      <c r="G413" s="1558"/>
      <c r="H413" s="938">
        <f>F413*10</f>
        <v>3.8079999999999998</v>
      </c>
      <c r="I413" s="173">
        <v>0</v>
      </c>
      <c r="J413" s="173">
        <f>0.45*2720</f>
        <v>1224</v>
      </c>
      <c r="K413" s="173">
        <f>2720*0.3</f>
        <v>816</v>
      </c>
      <c r="L413" s="286">
        <f t="shared" si="84"/>
        <v>2040</v>
      </c>
      <c r="M413" s="1634">
        <f t="shared" si="85"/>
        <v>10.746525290156184</v>
      </c>
      <c r="N413" s="1540"/>
      <c r="O413" s="512"/>
      <c r="P413" s="512"/>
      <c r="Q413" s="512"/>
      <c r="R413" s="512"/>
      <c r="S413" s="512"/>
      <c r="T413" s="512"/>
      <c r="U413" s="512"/>
    </row>
    <row r="414" spans="1:21" s="533" customFormat="1" ht="14" thickBot="1">
      <c r="A414" s="53" t="s">
        <v>60</v>
      </c>
      <c r="B414" s="1438">
        <f>SUM(B407:C413)</f>
        <v>88</v>
      </c>
      <c r="C414" s="1609"/>
      <c r="D414" s="1441">
        <f>SUM(D407:E413)</f>
        <v>1045330.008</v>
      </c>
      <c r="E414" s="1609"/>
      <c r="F414" s="1512">
        <f>SUM(F407:G413)</f>
        <v>3.2079999999999997</v>
      </c>
      <c r="G414" s="1575"/>
      <c r="H414" s="611">
        <f>SUM(H407:H413)</f>
        <v>53.866</v>
      </c>
      <c r="I414" s="143">
        <f>SUM(I407:I413)</f>
        <v>0</v>
      </c>
      <c r="J414" s="143">
        <f>SUM(J407:J413)</f>
        <v>4834</v>
      </c>
      <c r="K414" s="143">
        <f>SUM(K407:K413)</f>
        <v>7786</v>
      </c>
      <c r="L414" s="136">
        <f>SUM(L407:L413)</f>
        <v>12620</v>
      </c>
      <c r="M414" s="1637"/>
      <c r="N414" s="1611"/>
      <c r="O414" s="534"/>
      <c r="P414" s="534"/>
      <c r="Q414" s="534"/>
      <c r="R414" s="534"/>
      <c r="S414" s="534"/>
      <c r="T414" s="534"/>
      <c r="U414" s="534"/>
    </row>
    <row r="415" spans="1:21" s="1161" customFormat="1" ht="17" thickBot="1">
      <c r="A415" s="108" t="s">
        <v>146</v>
      </c>
      <c r="B415" s="1456"/>
      <c r="C415" s="1586"/>
      <c r="D415" s="1567"/>
      <c r="E415" s="1586"/>
      <c r="F415" s="1484"/>
      <c r="G415" s="1588"/>
      <c r="H415" s="1158"/>
      <c r="I415" s="161"/>
      <c r="J415" s="161"/>
      <c r="K415" s="161"/>
      <c r="L415" s="374"/>
      <c r="M415" s="1485"/>
      <c r="N415" s="1486"/>
      <c r="O415" s="274"/>
      <c r="P415" s="274"/>
      <c r="Q415" s="274"/>
      <c r="R415" s="274"/>
      <c r="S415" s="274"/>
      <c r="T415" s="274"/>
      <c r="U415" s="274"/>
    </row>
    <row r="416" spans="1:21" s="508" customFormat="1" ht="14" thickBot="1">
      <c r="A416" s="76" t="s">
        <v>146</v>
      </c>
      <c r="B416" s="1563">
        <f>Ontario!N88</f>
        <v>55</v>
      </c>
      <c r="C416" s="1424"/>
      <c r="D416" s="1423">
        <f>F416*325851</f>
        <v>761676.71250000014</v>
      </c>
      <c r="E416" s="1424"/>
      <c r="F416" s="1635">
        <f>0.0425*B416</f>
        <v>2.3375000000000004</v>
      </c>
      <c r="G416" s="1558"/>
      <c r="H416" s="938">
        <f>F416*20</f>
        <v>46.750000000000007</v>
      </c>
      <c r="I416" s="150">
        <f>73.34*B416</f>
        <v>4033.7000000000003</v>
      </c>
      <c r="J416" s="150">
        <f>35.66*B416</f>
        <v>1961.2999999999997</v>
      </c>
      <c r="K416" s="150">
        <f>B416*165</f>
        <v>9075</v>
      </c>
      <c r="L416" s="221">
        <f>I416+J416+K416</f>
        <v>15070</v>
      </c>
      <c r="M416" s="1634">
        <f>L416/(F416*498.5)</f>
        <v>12.932916396247565</v>
      </c>
      <c r="N416" s="1540"/>
      <c r="O416" s="512"/>
      <c r="P416" s="512"/>
      <c r="Q416" s="512"/>
      <c r="R416" s="512"/>
      <c r="S416" s="512"/>
      <c r="T416" s="512"/>
      <c r="U416" s="512"/>
    </row>
    <row r="417" spans="1:21" s="533" customFormat="1" ht="14" thickBot="1">
      <c r="A417" s="53" t="s">
        <v>60</v>
      </c>
      <c r="B417" s="1438">
        <f>SUM(B416)</f>
        <v>55</v>
      </c>
      <c r="C417" s="1609"/>
      <c r="D417" s="1441">
        <f>SUM(D416)</f>
        <v>761676.71250000014</v>
      </c>
      <c r="E417" s="1609"/>
      <c r="F417" s="1512">
        <f>SUM(F416)</f>
        <v>2.3375000000000004</v>
      </c>
      <c r="G417" s="1575"/>
      <c r="H417" s="470">
        <f>SUM(H416)</f>
        <v>46.750000000000007</v>
      </c>
      <c r="I417" s="143">
        <f>SUM(I416)</f>
        <v>4033.7000000000003</v>
      </c>
      <c r="J417" s="143">
        <f>SUM(J416)</f>
        <v>1961.2999999999997</v>
      </c>
      <c r="K417" s="143">
        <f>SUM(K416)</f>
        <v>9075</v>
      </c>
      <c r="L417" s="136">
        <f>SUM(L416)</f>
        <v>15070</v>
      </c>
      <c r="M417" s="1637"/>
      <c r="N417" s="1611"/>
      <c r="O417" s="534"/>
      <c r="P417" s="534"/>
      <c r="Q417" s="534"/>
      <c r="R417" s="534"/>
      <c r="S417" s="534"/>
      <c r="T417" s="534"/>
      <c r="U417" s="534"/>
    </row>
    <row r="418" spans="1:21" s="1161" customFormat="1" ht="17" thickBot="1">
      <c r="A418" s="108" t="s">
        <v>50</v>
      </c>
      <c r="B418" s="1456"/>
      <c r="C418" s="1586"/>
      <c r="D418" s="1567"/>
      <c r="E418" s="1586"/>
      <c r="F418" s="1484"/>
      <c r="G418" s="1588"/>
      <c r="H418" s="1158"/>
      <c r="I418" s="161"/>
      <c r="J418" s="161"/>
      <c r="K418" s="161"/>
      <c r="L418" s="374"/>
      <c r="M418" s="1485"/>
      <c r="N418" s="1486"/>
      <c r="O418" s="274"/>
      <c r="P418" s="274"/>
      <c r="Q418" s="274"/>
      <c r="R418" s="274"/>
      <c r="S418" s="274"/>
      <c r="T418" s="274"/>
      <c r="U418" s="274"/>
    </row>
    <row r="419" spans="1:21" hidden="1">
      <c r="A419" s="513" t="s">
        <v>26</v>
      </c>
      <c r="B419" s="1563">
        <f>Ontario!N91</f>
        <v>0</v>
      </c>
      <c r="C419" s="1424"/>
      <c r="D419" s="1423">
        <f t="shared" ref="D419:D427" si="86">F419*325851</f>
        <v>0</v>
      </c>
      <c r="E419" s="1424"/>
      <c r="F419" s="1642">
        <f>0.0379*B419</f>
        <v>0</v>
      </c>
      <c r="G419" s="1548"/>
      <c r="H419" s="622">
        <f>F419*20</f>
        <v>0</v>
      </c>
      <c r="I419" s="150">
        <v>0</v>
      </c>
      <c r="J419" s="150">
        <f>35.66*B419</f>
        <v>0</v>
      </c>
      <c r="K419" s="150">
        <f>135*B419</f>
        <v>0</v>
      </c>
      <c r="L419" s="221">
        <f>SUM(I419:K419)</f>
        <v>0</v>
      </c>
      <c r="M419" s="1634">
        <v>0</v>
      </c>
      <c r="N419" s="1540"/>
    </row>
    <row r="420" spans="1:21">
      <c r="A420" s="78" t="s">
        <v>25</v>
      </c>
      <c r="B420" s="1563">
        <f>Ontario!N92</f>
        <v>6</v>
      </c>
      <c r="C420" s="1424"/>
      <c r="D420" s="1423">
        <f t="shared" si="86"/>
        <v>74098.517400000012</v>
      </c>
      <c r="E420" s="1424"/>
      <c r="F420" s="1633">
        <f>0.0379*B420</f>
        <v>0.22740000000000002</v>
      </c>
      <c r="G420" s="1550"/>
      <c r="H420" s="934">
        <f>F420*20</f>
        <v>4.548</v>
      </c>
      <c r="I420" s="150">
        <v>0</v>
      </c>
      <c r="J420" s="150">
        <f>0*B420</f>
        <v>0</v>
      </c>
      <c r="K420" s="150">
        <f>60*B420</f>
        <v>360</v>
      </c>
      <c r="L420" s="221">
        <f t="shared" ref="L420:L428" si="87">SUM(I420:K420)</f>
        <v>360</v>
      </c>
      <c r="M420" s="1634">
        <f>L420/(F420*498.5)</f>
        <v>3.1757541754551251</v>
      </c>
      <c r="N420" s="1540"/>
    </row>
    <row r="421" spans="1:21">
      <c r="A421" s="78" t="s">
        <v>29</v>
      </c>
      <c r="B421" s="1563">
        <f>Ontario!N93</f>
        <v>2</v>
      </c>
      <c r="C421" s="1424"/>
      <c r="D421" s="1423">
        <f t="shared" si="86"/>
        <v>27697.335000000003</v>
      </c>
      <c r="E421" s="1424"/>
      <c r="F421" s="1633">
        <f>0.0425*B421</f>
        <v>8.5000000000000006E-2</v>
      </c>
      <c r="G421" s="1550"/>
      <c r="H421" s="934">
        <f>F421*20</f>
        <v>1.7000000000000002</v>
      </c>
      <c r="I421" s="150">
        <v>0</v>
      </c>
      <c r="J421" s="150">
        <f>135*B421</f>
        <v>270</v>
      </c>
      <c r="K421" s="150">
        <f>165*B421</f>
        <v>330</v>
      </c>
      <c r="L421" s="221">
        <f t="shared" si="87"/>
        <v>600</v>
      </c>
      <c r="M421" s="1634">
        <f>L421/(F421*498.5)</f>
        <v>14.160127441146969</v>
      </c>
      <c r="N421" s="1540"/>
    </row>
    <row r="422" spans="1:21">
      <c r="A422" s="78" t="s">
        <v>51</v>
      </c>
      <c r="B422" s="1563">
        <f>Ontario!N94</f>
        <v>63</v>
      </c>
      <c r="C422" s="1424"/>
      <c r="D422" s="1423">
        <f t="shared" si="86"/>
        <v>2518860.8151000002</v>
      </c>
      <c r="E422" s="1424"/>
      <c r="F422" s="1633">
        <f>0.1227*B422</f>
        <v>7.7301000000000002</v>
      </c>
      <c r="G422" s="1550"/>
      <c r="H422" s="934">
        <f>F422*20</f>
        <v>154.602</v>
      </c>
      <c r="I422" s="150">
        <v>0</v>
      </c>
      <c r="J422" s="150">
        <f>0*B422</f>
        <v>0</v>
      </c>
      <c r="K422" s="150">
        <f>400*B422</f>
        <v>25200</v>
      </c>
      <c r="L422" s="221">
        <f t="shared" si="87"/>
        <v>25200</v>
      </c>
      <c r="M422" s="1634">
        <f>L422/(F422*498.5)</f>
        <v>6.5395861586389161</v>
      </c>
      <c r="N422" s="1540"/>
    </row>
    <row r="423" spans="1:21" hidden="1">
      <c r="A423" s="78" t="s">
        <v>20</v>
      </c>
      <c r="B423" s="1563">
        <f>Ontario!N95</f>
        <v>0</v>
      </c>
      <c r="C423" s="1424"/>
      <c r="D423" s="1423">
        <f t="shared" si="86"/>
        <v>0</v>
      </c>
      <c r="E423" s="1424"/>
      <c r="F423" s="1633">
        <f>0.644*B423</f>
        <v>0</v>
      </c>
      <c r="G423" s="1550"/>
      <c r="H423" s="934">
        <f>F423*5</f>
        <v>0</v>
      </c>
      <c r="I423" s="150">
        <v>0</v>
      </c>
      <c r="J423" s="150">
        <f>43.75*B423</f>
        <v>0</v>
      </c>
      <c r="K423" s="150">
        <f>625*B423</f>
        <v>0</v>
      </c>
      <c r="L423" s="221">
        <f t="shared" si="87"/>
        <v>0</v>
      </c>
      <c r="M423" s="1634">
        <v>0</v>
      </c>
      <c r="N423" s="1540"/>
    </row>
    <row r="424" spans="1:21">
      <c r="A424" s="78" t="s">
        <v>13</v>
      </c>
      <c r="B424" s="1563">
        <f>Ontario!N96</f>
        <v>3</v>
      </c>
      <c r="C424" s="1424"/>
      <c r="D424" s="1423">
        <f t="shared" si="86"/>
        <v>105086.94750000001</v>
      </c>
      <c r="E424" s="1424"/>
      <c r="F424" s="1633">
        <f>0.1075*B424</f>
        <v>0.32250000000000001</v>
      </c>
      <c r="G424" s="1550"/>
      <c r="H424" s="934">
        <f>F424*10</f>
        <v>3.2250000000000001</v>
      </c>
      <c r="I424" s="150">
        <v>0</v>
      </c>
      <c r="J424" s="150">
        <f>100*B424</f>
        <v>300</v>
      </c>
      <c r="K424" s="150">
        <f>80*B424</f>
        <v>240</v>
      </c>
      <c r="L424" s="221">
        <f t="shared" si="87"/>
        <v>540</v>
      </c>
      <c r="M424" s="1634">
        <f>L424/(F424*498.5)</f>
        <v>3.3589139511557926</v>
      </c>
      <c r="N424" s="1540"/>
    </row>
    <row r="425" spans="1:21">
      <c r="A425" s="76" t="s">
        <v>47</v>
      </c>
      <c r="B425" s="1563">
        <f>Ontario!N97</f>
        <v>1</v>
      </c>
      <c r="C425" s="1424"/>
      <c r="D425" s="1423">
        <f t="shared" si="86"/>
        <v>49985.543400000002</v>
      </c>
      <c r="E425" s="1424"/>
      <c r="F425" s="1633">
        <f>0.1534*B425</f>
        <v>0.15340000000000001</v>
      </c>
      <c r="G425" s="1550"/>
      <c r="H425" s="934">
        <f>F425*5</f>
        <v>0.76700000000000002</v>
      </c>
      <c r="I425" s="150">
        <v>0</v>
      </c>
      <c r="J425" s="150">
        <f>0*B425</f>
        <v>0</v>
      </c>
      <c r="K425" s="150">
        <f>150*B425</f>
        <v>150</v>
      </c>
      <c r="L425" s="221">
        <f t="shared" si="87"/>
        <v>150</v>
      </c>
      <c r="M425" s="1634">
        <f>L425/(F425*498.5)</f>
        <v>1.9615561155435013</v>
      </c>
      <c r="N425" s="1540"/>
    </row>
    <row r="426" spans="1:21">
      <c r="A426" s="76" t="s">
        <v>52</v>
      </c>
      <c r="B426" s="1563">
        <f>Ontario!N98</f>
        <v>16</v>
      </c>
      <c r="C426" s="1424"/>
      <c r="D426" s="1423">
        <f t="shared" si="86"/>
        <v>1694425.2</v>
      </c>
      <c r="E426" s="1424"/>
      <c r="F426" s="1633">
        <f>0.325*B426</f>
        <v>5.2</v>
      </c>
      <c r="G426" s="1550"/>
      <c r="H426" s="934">
        <f>F426*10</f>
        <v>52</v>
      </c>
      <c r="I426" s="150">
        <v>0</v>
      </c>
      <c r="J426" s="150">
        <v>6120</v>
      </c>
      <c r="K426" s="150">
        <v>10200</v>
      </c>
      <c r="L426" s="221">
        <f t="shared" si="87"/>
        <v>16320</v>
      </c>
      <c r="M426" s="1634">
        <f>L426/(F426*498.5)</f>
        <v>6.2958105084484215</v>
      </c>
      <c r="N426" s="1540"/>
    </row>
    <row r="427" spans="1:21">
      <c r="A427" s="76" t="s">
        <v>53</v>
      </c>
      <c r="B427" s="1563">
        <f>Ontario!N99</f>
        <v>0</v>
      </c>
      <c r="C427" s="1424"/>
      <c r="D427" s="1423">
        <f t="shared" si="86"/>
        <v>0</v>
      </c>
      <c r="E427" s="1424"/>
      <c r="F427" s="1633">
        <f>0.00014*B427</f>
        <v>0</v>
      </c>
      <c r="G427" s="1550"/>
      <c r="H427" s="934">
        <f>F427*10</f>
        <v>0</v>
      </c>
      <c r="I427" s="150">
        <v>0</v>
      </c>
      <c r="J427" s="150">
        <f>0.45*B427</f>
        <v>0</v>
      </c>
      <c r="K427" s="150">
        <f>0.3*B427</f>
        <v>0</v>
      </c>
      <c r="L427" s="221">
        <f t="shared" si="87"/>
        <v>0</v>
      </c>
      <c r="M427" s="1634">
        <v>0</v>
      </c>
      <c r="N427" s="1540"/>
    </row>
    <row r="428" spans="1:21">
      <c r="A428" s="76" t="s">
        <v>56</v>
      </c>
      <c r="B428" s="1563">
        <f>Ontario!N100</f>
        <v>1377</v>
      </c>
      <c r="C428" s="1424"/>
      <c r="D428" s="1423">
        <f>F428*325851</f>
        <v>1794787.308</v>
      </c>
      <c r="E428" s="1424"/>
      <c r="F428" s="1633">
        <f>0.004*B428</f>
        <v>5.508</v>
      </c>
      <c r="G428" s="1550"/>
      <c r="H428" s="934">
        <f>F428*5</f>
        <v>27.54</v>
      </c>
      <c r="I428" s="150">
        <v>0</v>
      </c>
      <c r="J428" s="150">
        <f>0*B428</f>
        <v>0</v>
      </c>
      <c r="K428" s="150">
        <f>4*B428</f>
        <v>5508</v>
      </c>
      <c r="L428" s="221">
        <f t="shared" si="87"/>
        <v>5508</v>
      </c>
      <c r="M428" s="1634">
        <f>L428/(F428*498.5)</f>
        <v>2.0060180541624875</v>
      </c>
      <c r="N428" s="1540"/>
    </row>
    <row r="429" spans="1:21" hidden="1">
      <c r="A429" s="76" t="s">
        <v>122</v>
      </c>
      <c r="B429" s="1563">
        <f>Ontario!N101</f>
        <v>0</v>
      </c>
      <c r="C429" s="1424"/>
      <c r="D429" s="1423">
        <f>F429*325851</f>
        <v>0</v>
      </c>
      <c r="E429" s="1424"/>
      <c r="F429" s="1633">
        <f>0.018*B429</f>
        <v>0</v>
      </c>
      <c r="G429" s="1550"/>
      <c r="H429" s="934">
        <f>F429*10</f>
        <v>0</v>
      </c>
      <c r="I429" s="150">
        <v>0</v>
      </c>
      <c r="J429" s="150">
        <f>0*B429</f>
        <v>0</v>
      </c>
      <c r="K429" s="150">
        <f>13*B429</f>
        <v>0</v>
      </c>
      <c r="L429" s="221">
        <f>SUM(I429:K429)</f>
        <v>0</v>
      </c>
      <c r="M429" s="1634">
        <v>0</v>
      </c>
      <c r="N429" s="1540"/>
    </row>
    <row r="430" spans="1:21" ht="17" thickBot="1">
      <c r="A430" s="76" t="s">
        <v>102</v>
      </c>
      <c r="B430" s="1563">
        <f>Ontario!N102</f>
        <v>0</v>
      </c>
      <c r="C430" s="1424"/>
      <c r="D430" s="1423">
        <f>F430*325851</f>
        <v>0</v>
      </c>
      <c r="E430" s="1424"/>
      <c r="F430" s="1633">
        <f>0.153*B430</f>
        <v>0</v>
      </c>
      <c r="G430" s="1550"/>
      <c r="H430" s="934">
        <f>F430*5</f>
        <v>0</v>
      </c>
      <c r="I430" s="150">
        <v>0</v>
      </c>
      <c r="J430" s="150">
        <f>0*B430</f>
        <v>0</v>
      </c>
      <c r="K430" s="150">
        <f>60*B430</f>
        <v>0</v>
      </c>
      <c r="L430" s="221">
        <f>SUM(I430:K430)</f>
        <v>0</v>
      </c>
      <c r="M430" s="1634">
        <v>0</v>
      </c>
      <c r="N430" s="1540"/>
    </row>
    <row r="431" spans="1:21" s="532" customFormat="1" ht="17" thickBot="1">
      <c r="A431" s="53" t="s">
        <v>60</v>
      </c>
      <c r="B431" s="1438">
        <f>SUM(B419:C430)</f>
        <v>1468</v>
      </c>
      <c r="C431" s="1609"/>
      <c r="D431" s="1441">
        <f>SUM(D419:E430)</f>
        <v>6264941.6664000005</v>
      </c>
      <c r="E431" s="1439"/>
      <c r="F431" s="1512">
        <f>SUM(F419:G430)</f>
        <v>19.226399999999998</v>
      </c>
      <c r="G431" s="1575"/>
      <c r="H431" s="470">
        <f>SUM(H419:H430)</f>
        <v>244.38199999999998</v>
      </c>
      <c r="I431" s="143">
        <f>SUM(I419:I430)</f>
        <v>0</v>
      </c>
      <c r="J431" s="143">
        <f>SUM(J419:J430)</f>
        <v>6690</v>
      </c>
      <c r="K431" s="143">
        <f>SUM(K419:K430)</f>
        <v>41988</v>
      </c>
      <c r="L431" s="136">
        <f>SUM(L419:L430)</f>
        <v>48678</v>
      </c>
      <c r="M431" s="1637"/>
      <c r="N431" s="1611"/>
      <c r="O431" s="1401"/>
      <c r="P431" s="1401"/>
      <c r="Q431" s="1401"/>
      <c r="R431" s="1401"/>
      <c r="S431" s="1401"/>
      <c r="T431" s="1401"/>
      <c r="U431" s="1401"/>
    </row>
    <row r="432" spans="1:21" ht="17" hidden="1" thickBot="1">
      <c r="A432" s="108" t="s">
        <v>54</v>
      </c>
      <c r="B432" s="1457"/>
      <c r="C432" s="1586"/>
      <c r="D432" s="405"/>
      <c r="E432" s="399"/>
      <c r="F432" s="426"/>
      <c r="G432" s="416"/>
      <c r="H432" s="440"/>
      <c r="I432" s="161"/>
      <c r="J432" s="161"/>
      <c r="K432" s="161"/>
      <c r="L432" s="374"/>
      <c r="M432" s="412"/>
      <c r="N432" s="411"/>
    </row>
    <row r="433" spans="1:21" hidden="1">
      <c r="A433" s="513" t="s">
        <v>29</v>
      </c>
      <c r="B433" s="1536">
        <f>Ontario!N105</f>
        <v>0</v>
      </c>
      <c r="C433" s="1424"/>
      <c r="D433" s="1536">
        <f t="shared" ref="D433:D438" si="88">F433*325851</f>
        <v>0</v>
      </c>
      <c r="E433" s="1424"/>
      <c r="F433" s="1547">
        <f>0.0425*B433</f>
        <v>0</v>
      </c>
      <c r="G433" s="1548"/>
      <c r="H433" s="474">
        <f>F433*20</f>
        <v>0</v>
      </c>
      <c r="I433" s="150">
        <v>0</v>
      </c>
      <c r="J433" s="150">
        <f>35.66*B433</f>
        <v>0</v>
      </c>
      <c r="K433" s="150">
        <f>0*B433</f>
        <v>0</v>
      </c>
      <c r="L433" s="221">
        <f t="shared" ref="L433:L438" si="89">SUM(I433:K433)</f>
        <v>0</v>
      </c>
      <c r="M433" s="1634">
        <v>0</v>
      </c>
      <c r="N433" s="1540"/>
    </row>
    <row r="434" spans="1:21" hidden="1">
      <c r="A434" s="78" t="s">
        <v>51</v>
      </c>
      <c r="B434" s="1536">
        <f>Ontario!N106</f>
        <v>0</v>
      </c>
      <c r="C434" s="1424"/>
      <c r="D434" s="1536">
        <f t="shared" si="88"/>
        <v>0</v>
      </c>
      <c r="E434" s="1424"/>
      <c r="F434" s="1547">
        <f>0.125*B434</f>
        <v>0</v>
      </c>
      <c r="G434" s="1548"/>
      <c r="H434" s="474">
        <f>F434*20</f>
        <v>0</v>
      </c>
      <c r="I434" s="150">
        <v>0</v>
      </c>
      <c r="J434" s="150">
        <f>0*B434</f>
        <v>0</v>
      </c>
      <c r="K434" s="150">
        <f>0*B434</f>
        <v>0</v>
      </c>
      <c r="L434" s="221">
        <f t="shared" si="89"/>
        <v>0</v>
      </c>
      <c r="M434" s="1634">
        <v>0</v>
      </c>
      <c r="N434" s="1540"/>
    </row>
    <row r="435" spans="1:21" hidden="1">
      <c r="A435" s="78" t="s">
        <v>15</v>
      </c>
      <c r="B435" s="1536">
        <f>Ontario!N107</f>
        <v>0</v>
      </c>
      <c r="C435" s="1424"/>
      <c r="D435" s="1536">
        <f t="shared" si="88"/>
        <v>0</v>
      </c>
      <c r="E435" s="1424"/>
      <c r="F435" s="1547">
        <f>0.1534*B435</f>
        <v>0</v>
      </c>
      <c r="G435" s="1548"/>
      <c r="H435" s="474">
        <f>F435*5</f>
        <v>0</v>
      </c>
      <c r="I435" s="150">
        <v>0</v>
      </c>
      <c r="J435" s="150">
        <f>0*B435</f>
        <v>0</v>
      </c>
      <c r="K435" s="150">
        <f>325*B435</f>
        <v>0</v>
      </c>
      <c r="L435" s="221">
        <f t="shared" si="89"/>
        <v>0</v>
      </c>
      <c r="M435" s="1634">
        <v>0</v>
      </c>
      <c r="N435" s="1540"/>
    </row>
    <row r="436" spans="1:21" hidden="1">
      <c r="A436" s="78" t="s">
        <v>30</v>
      </c>
      <c r="B436" s="1536">
        <f>Ontario!N108</f>
        <v>0</v>
      </c>
      <c r="C436" s="1424"/>
      <c r="D436" s="1536">
        <f t="shared" si="88"/>
        <v>0</v>
      </c>
      <c r="E436" s="1424"/>
      <c r="F436" s="1547">
        <f>0.609*B436</f>
        <v>0</v>
      </c>
      <c r="G436" s="1548"/>
      <c r="H436" s="474">
        <f>F436*10</f>
        <v>0</v>
      </c>
      <c r="I436" s="150">
        <v>0</v>
      </c>
      <c r="J436" s="150">
        <f>0*B436</f>
        <v>0</v>
      </c>
      <c r="K436" s="150">
        <f>0*B436</f>
        <v>0</v>
      </c>
      <c r="L436" s="221">
        <f t="shared" si="89"/>
        <v>0</v>
      </c>
      <c r="M436" s="1634">
        <v>0</v>
      </c>
      <c r="N436" s="1540"/>
    </row>
    <row r="437" spans="1:21" hidden="1">
      <c r="A437" s="78" t="s">
        <v>55</v>
      </c>
      <c r="B437" s="1536">
        <f>Ontario!N109</f>
        <v>0</v>
      </c>
      <c r="C437" s="1424"/>
      <c r="D437" s="1536">
        <f t="shared" si="88"/>
        <v>0</v>
      </c>
      <c r="E437" s="1424"/>
      <c r="F437" s="1537">
        <f>0.992*B437</f>
        <v>0</v>
      </c>
      <c r="G437" s="1538"/>
      <c r="H437" s="474">
        <f>F437*10</f>
        <v>0</v>
      </c>
      <c r="I437" s="150">
        <v>0</v>
      </c>
      <c r="J437" s="150">
        <f>0*B437</f>
        <v>0</v>
      </c>
      <c r="K437" s="150">
        <f>4980*B437</f>
        <v>0</v>
      </c>
      <c r="L437" s="221">
        <f t="shared" si="89"/>
        <v>0</v>
      </c>
      <c r="M437" s="1634">
        <v>0</v>
      </c>
      <c r="N437" s="1540"/>
    </row>
    <row r="438" spans="1:21" ht="17" hidden="1" thickBot="1">
      <c r="A438" s="104" t="s">
        <v>100</v>
      </c>
      <c r="B438" s="1536">
        <f>Ontario!N110</f>
        <v>0</v>
      </c>
      <c r="C438" s="1424"/>
      <c r="D438" s="1536">
        <f t="shared" si="88"/>
        <v>0</v>
      </c>
      <c r="E438" s="1424"/>
      <c r="F438" s="1547">
        <v>0</v>
      </c>
      <c r="G438" s="1548"/>
      <c r="H438" s="474">
        <f>F438*10</f>
        <v>0</v>
      </c>
      <c r="I438" s="150">
        <v>0</v>
      </c>
      <c r="J438" s="150">
        <v>0</v>
      </c>
      <c r="K438" s="150">
        <v>0</v>
      </c>
      <c r="L438" s="221">
        <f t="shared" si="89"/>
        <v>0</v>
      </c>
      <c r="M438" s="1638">
        <v>0</v>
      </c>
      <c r="N438" s="1562"/>
    </row>
    <row r="439" spans="1:21" s="532" customFormat="1" ht="17" hidden="1" thickBot="1">
      <c r="A439" s="53" t="s">
        <v>60</v>
      </c>
      <c r="B439" s="1440">
        <f>SUM(B433:C438)</f>
        <v>0</v>
      </c>
      <c r="C439" s="1609"/>
      <c r="D439" s="1438">
        <f>SUM(D433:E438)</f>
        <v>0</v>
      </c>
      <c r="E439" s="1609"/>
      <c r="F439" s="1618">
        <f>SUM(F433:G438)</f>
        <v>0</v>
      </c>
      <c r="G439" s="1575"/>
      <c r="H439" s="470">
        <f>SUM(H433:H438)</f>
        <v>0</v>
      </c>
      <c r="I439" s="514">
        <f>SUM(I433:I438)</f>
        <v>0</v>
      </c>
      <c r="J439" s="515">
        <f>SUM(J433:J438)</f>
        <v>0</v>
      </c>
      <c r="K439" s="515">
        <f>SUM(K433:K438)</f>
        <v>0</v>
      </c>
      <c r="L439" s="515">
        <f>SUM(L433:L438)</f>
        <v>0</v>
      </c>
      <c r="M439" s="1637"/>
      <c r="N439" s="1611"/>
      <c r="O439" s="1401"/>
      <c r="P439" s="1401"/>
      <c r="Q439" s="1401"/>
      <c r="R439" s="1401"/>
      <c r="S439" s="1401"/>
      <c r="T439" s="1401"/>
      <c r="U439" s="1401"/>
    </row>
    <row r="440" spans="1:21" s="1161" customFormat="1" ht="17" thickBot="1">
      <c r="A440" s="1163" t="s">
        <v>17</v>
      </c>
      <c r="B440" s="1612">
        <f>SUM(B439,B414,B417,B431)</f>
        <v>1611</v>
      </c>
      <c r="C440" s="1415"/>
      <c r="D440" s="1416">
        <f>SUM(D439,D431,D417,D414)</f>
        <v>8071948.3869000012</v>
      </c>
      <c r="E440" s="1415"/>
      <c r="F440" s="1487">
        <f>SUM(F439,F414,F417,F431)</f>
        <v>24.771899999999999</v>
      </c>
      <c r="G440" s="1488"/>
      <c r="H440" s="1243">
        <f>SUM(H439,H414,H417,H431)</f>
        <v>344.99799999999999</v>
      </c>
      <c r="I440" s="1175">
        <f>SUM(I439,I414,I417,I431)</f>
        <v>4033.7000000000003</v>
      </c>
      <c r="J440" s="1169">
        <f>SUM(J439,J414,J417,J431)</f>
        <v>13485.3</v>
      </c>
      <c r="K440" s="1169">
        <f>SUM(K439,K414,K417,K431)</f>
        <v>58849</v>
      </c>
      <c r="L440" s="1220">
        <f>SUM(L439,L414,L417,L431)</f>
        <v>76368</v>
      </c>
      <c r="M440" s="1639"/>
      <c r="N440" s="1640"/>
      <c r="O440" s="274"/>
      <c r="P440" s="274"/>
      <c r="Q440" s="274"/>
      <c r="R440" s="274"/>
      <c r="S440" s="274"/>
      <c r="T440" s="274"/>
      <c r="U440" s="274"/>
    </row>
    <row r="441" spans="1:21">
      <c r="A441" s="343"/>
      <c r="B441" s="354"/>
      <c r="C441" s="354"/>
      <c r="D441" s="354"/>
      <c r="E441" s="354"/>
      <c r="F441" s="455"/>
      <c r="G441" s="455"/>
      <c r="H441" s="455"/>
      <c r="I441" s="355"/>
      <c r="J441" s="355"/>
      <c r="K441" s="355"/>
      <c r="L441" s="355"/>
      <c r="M441" s="394"/>
      <c r="N441" s="394"/>
    </row>
    <row r="442" spans="1:21" ht="18">
      <c r="A442" s="356" t="s">
        <v>271</v>
      </c>
      <c r="B442" s="1566" t="s">
        <v>59</v>
      </c>
      <c r="C442" s="1566"/>
      <c r="D442" s="1566"/>
      <c r="E442" s="1641"/>
      <c r="F442" s="455"/>
      <c r="G442" s="455"/>
      <c r="H442" s="455"/>
      <c r="I442" s="355"/>
      <c r="J442" s="355"/>
      <c r="K442" s="355"/>
      <c r="L442" s="355"/>
      <c r="M442" s="394"/>
      <c r="N442" s="394"/>
    </row>
    <row r="443" spans="1:21">
      <c r="B443" s="1559" t="s">
        <v>19</v>
      </c>
      <c r="C443" s="1559"/>
      <c r="D443" s="1559"/>
      <c r="E443" s="1559"/>
      <c r="F443" s="455"/>
      <c r="G443" s="455"/>
      <c r="H443" s="455"/>
      <c r="I443" s="355"/>
      <c r="J443" s="355"/>
      <c r="K443" s="355"/>
      <c r="L443" s="355"/>
      <c r="M443" s="394"/>
      <c r="N443" s="394"/>
    </row>
    <row r="444" spans="1:21" ht="17" thickBot="1">
      <c r="A444" s="982"/>
      <c r="B444" s="549"/>
      <c r="C444" s="549"/>
      <c r="D444" s="549"/>
      <c r="E444" s="549"/>
      <c r="F444" s="455"/>
      <c r="G444" s="455"/>
      <c r="H444" s="455"/>
      <c r="I444" s="355"/>
      <c r="J444" s="355"/>
      <c r="K444" s="355"/>
      <c r="L444" s="355"/>
      <c r="M444" s="549"/>
      <c r="N444" s="549"/>
    </row>
    <row r="445" spans="1:21">
      <c r="A445" s="98"/>
      <c r="B445" s="99"/>
      <c r="C445" s="99"/>
      <c r="D445" s="99"/>
      <c r="E445" s="99"/>
      <c r="F445" s="421"/>
      <c r="G445" s="421"/>
      <c r="H445" s="421"/>
      <c r="I445" s="1468" t="s">
        <v>0</v>
      </c>
      <c r="J445" s="1468"/>
      <c r="K445" s="1468"/>
      <c r="L445" s="1468"/>
      <c r="M445" s="99"/>
      <c r="N445" s="101"/>
    </row>
    <row r="446" spans="1:21">
      <c r="A446" s="97"/>
      <c r="B446" s="1469" t="s">
        <v>1</v>
      </c>
      <c r="C446" s="1469"/>
      <c r="D446" s="1469" t="s">
        <v>2</v>
      </c>
      <c r="E446" s="1469"/>
      <c r="F446" s="1470" t="s">
        <v>3</v>
      </c>
      <c r="G446" s="1470"/>
      <c r="H446" s="438" t="s">
        <v>3</v>
      </c>
      <c r="I446" s="127" t="s">
        <v>195</v>
      </c>
      <c r="J446" s="102"/>
      <c r="K446" s="102"/>
      <c r="L446" s="128"/>
      <c r="M446" s="1469" t="s">
        <v>4</v>
      </c>
      <c r="N446" s="1526"/>
    </row>
    <row r="447" spans="1:21" ht="19" thickBot="1">
      <c r="A447" s="103" t="s">
        <v>5</v>
      </c>
      <c r="B447" s="1473" t="s">
        <v>6</v>
      </c>
      <c r="C447" s="1473"/>
      <c r="D447" s="1473" t="s">
        <v>7</v>
      </c>
      <c r="E447" s="1473"/>
      <c r="F447" s="1474" t="s">
        <v>7</v>
      </c>
      <c r="G447" s="1474"/>
      <c r="H447" s="439" t="s">
        <v>58</v>
      </c>
      <c r="I447" s="398" t="s">
        <v>196</v>
      </c>
      <c r="J447" s="397" t="s">
        <v>8</v>
      </c>
      <c r="K447" s="397" t="s">
        <v>9</v>
      </c>
      <c r="L447" s="401" t="s">
        <v>10</v>
      </c>
      <c r="M447" s="1473" t="s">
        <v>145</v>
      </c>
      <c r="N447" s="1475"/>
    </row>
    <row r="448" spans="1:21" ht="24" thickBot="1">
      <c r="A448" s="88" t="s">
        <v>131</v>
      </c>
      <c r="B448" s="1623"/>
      <c r="C448" s="1624"/>
      <c r="D448" s="1625"/>
      <c r="E448" s="1626"/>
      <c r="F448" s="1627"/>
      <c r="G448" s="1628"/>
      <c r="H448" s="454"/>
      <c r="I448" s="351"/>
      <c r="J448" s="351"/>
      <c r="K448" s="351"/>
      <c r="L448" s="352"/>
      <c r="M448" s="1629"/>
      <c r="N448" s="1630"/>
    </row>
    <row r="449" spans="1:21" s="1161" customFormat="1" ht="17" thickBot="1">
      <c r="A449" s="108" t="s">
        <v>48</v>
      </c>
      <c r="B449" s="1457"/>
      <c r="C449" s="1586"/>
      <c r="D449" s="1567"/>
      <c r="E449" s="1586"/>
      <c r="F449" s="1587"/>
      <c r="G449" s="1588"/>
      <c r="H449" s="1145"/>
      <c r="I449" s="109"/>
      <c r="J449" s="109"/>
      <c r="K449" s="109"/>
      <c r="L449" s="1141"/>
      <c r="M449" s="1617"/>
      <c r="N449" s="1486"/>
      <c r="O449" s="274"/>
      <c r="P449" s="274"/>
      <c r="Q449" s="274"/>
      <c r="R449" s="274"/>
      <c r="S449" s="274"/>
      <c r="T449" s="274"/>
      <c r="U449" s="274"/>
    </row>
    <row r="450" spans="1:21">
      <c r="A450" s="78" t="s">
        <v>28</v>
      </c>
      <c r="B450" s="1536">
        <f>Ontario!N41</f>
        <v>1</v>
      </c>
      <c r="C450" s="1424"/>
      <c r="D450" s="1423">
        <f t="shared" ref="D450:D456" si="90">F450*325851</f>
        <v>12349.752900000001</v>
      </c>
      <c r="E450" s="1424"/>
      <c r="F450" s="1549">
        <f>0.0379*B450</f>
        <v>3.7900000000000003E-2</v>
      </c>
      <c r="G450" s="1550"/>
      <c r="H450" s="930">
        <f>F450*20</f>
        <v>0.75800000000000001</v>
      </c>
      <c r="I450" s="150">
        <v>0</v>
      </c>
      <c r="J450" s="150">
        <f>0*B450</f>
        <v>0</v>
      </c>
      <c r="K450" s="150">
        <f>60*B450</f>
        <v>60</v>
      </c>
      <c r="L450" s="172">
        <f t="shared" ref="L450:L456" si="91">I450+J450+K450</f>
        <v>60</v>
      </c>
      <c r="M450" s="1539">
        <f t="shared" ref="M450:M456" si="92">L450/(F450*498.5)</f>
        <v>3.1757541754551251</v>
      </c>
      <c r="N450" s="1540"/>
    </row>
    <row r="451" spans="1:21">
      <c r="A451" s="78" t="s">
        <v>29</v>
      </c>
      <c r="B451" s="1536">
        <f>Ontario!N42</f>
        <v>136</v>
      </c>
      <c r="C451" s="1424"/>
      <c r="D451" s="1423">
        <f t="shared" si="90"/>
        <v>1883418.78</v>
      </c>
      <c r="E451" s="1424"/>
      <c r="F451" s="1549">
        <f>0.0425*B451</f>
        <v>5.78</v>
      </c>
      <c r="G451" s="1550"/>
      <c r="H451" s="930">
        <f>F451*20</f>
        <v>115.60000000000001</v>
      </c>
      <c r="I451" s="150">
        <v>0</v>
      </c>
      <c r="J451" s="150">
        <f>0*B451</f>
        <v>0</v>
      </c>
      <c r="K451" s="150">
        <f>B451*165</f>
        <v>22440</v>
      </c>
      <c r="L451" s="172">
        <f t="shared" si="91"/>
        <v>22440</v>
      </c>
      <c r="M451" s="1539">
        <f t="shared" si="92"/>
        <v>7.7880700926308339</v>
      </c>
      <c r="N451" s="1540"/>
    </row>
    <row r="452" spans="1:21">
      <c r="A452" s="78" t="s">
        <v>33</v>
      </c>
      <c r="B452" s="1536">
        <f>Ontario!N43</f>
        <v>140</v>
      </c>
      <c r="C452" s="1424"/>
      <c r="D452" s="1423">
        <f t="shared" si="90"/>
        <v>1259088.264</v>
      </c>
      <c r="E452" s="1424"/>
      <c r="F452" s="1549">
        <f>0.0276*B452</f>
        <v>3.8639999999999999</v>
      </c>
      <c r="G452" s="1550"/>
      <c r="H452" s="930">
        <f>F452*15</f>
        <v>57.96</v>
      </c>
      <c r="I452" s="150">
        <f>0*B452</f>
        <v>0</v>
      </c>
      <c r="J452" s="150">
        <f>0*B452</f>
        <v>0</v>
      </c>
      <c r="K452" s="150">
        <f>B452*110</f>
        <v>15400</v>
      </c>
      <c r="L452" s="172">
        <f t="shared" si="91"/>
        <v>15400</v>
      </c>
      <c r="M452" s="1539">
        <f t="shared" si="92"/>
        <v>7.994999491227305</v>
      </c>
      <c r="N452" s="1540"/>
    </row>
    <row r="453" spans="1:21">
      <c r="A453" s="78" t="s">
        <v>56</v>
      </c>
      <c r="B453" s="1536">
        <f>Ontario!N44</f>
        <v>54</v>
      </c>
      <c r="C453" s="1424"/>
      <c r="D453" s="1423">
        <f t="shared" si="90"/>
        <v>70383.816000000006</v>
      </c>
      <c r="E453" s="1424"/>
      <c r="F453" s="1549">
        <f>0.004*B453</f>
        <v>0.216</v>
      </c>
      <c r="G453" s="1550"/>
      <c r="H453" s="930">
        <f>F453*5</f>
        <v>1.08</v>
      </c>
      <c r="I453" s="150">
        <f>0*B453</f>
        <v>0</v>
      </c>
      <c r="J453" s="150">
        <f>0*B453</f>
        <v>0</v>
      </c>
      <c r="K453" s="150">
        <f>B453*4</f>
        <v>216</v>
      </c>
      <c r="L453" s="172">
        <f t="shared" si="91"/>
        <v>216</v>
      </c>
      <c r="M453" s="1539">
        <f t="shared" si="92"/>
        <v>2.0060180541624875</v>
      </c>
      <c r="N453" s="1540"/>
    </row>
    <row r="454" spans="1:21">
      <c r="A454" s="78" t="s">
        <v>30</v>
      </c>
      <c r="B454" s="1644">
        <f>Ontario!N45</f>
        <v>1</v>
      </c>
      <c r="C454" s="1448"/>
      <c r="D454" s="1447">
        <f t="shared" si="90"/>
        <v>105901.575</v>
      </c>
      <c r="E454" s="1448"/>
      <c r="F454" s="1557">
        <f>0.325*B454</f>
        <v>0.32500000000000001</v>
      </c>
      <c r="G454" s="1558"/>
      <c r="H454" s="935">
        <f>F454*10</f>
        <v>3.25</v>
      </c>
      <c r="I454" s="173">
        <v>0</v>
      </c>
      <c r="J454" s="173">
        <f>0*B454</f>
        <v>0</v>
      </c>
      <c r="K454" s="173">
        <f>B454*80</f>
        <v>80</v>
      </c>
      <c r="L454" s="174">
        <f t="shared" si="91"/>
        <v>80</v>
      </c>
      <c r="M454" s="1539">
        <f t="shared" si="92"/>
        <v>0.49378905948615071</v>
      </c>
      <c r="N454" s="1540"/>
    </row>
    <row r="455" spans="1:21">
      <c r="A455" s="76" t="s">
        <v>116</v>
      </c>
      <c r="B455" s="1451">
        <v>11</v>
      </c>
      <c r="C455" s="1448"/>
      <c r="D455" s="1447">
        <f t="shared" si="90"/>
        <v>683876.52773999993</v>
      </c>
      <c r="E455" s="1448"/>
      <c r="F455" s="1557">
        <f>0.00014*14991</f>
        <v>2.0987399999999998</v>
      </c>
      <c r="G455" s="1558"/>
      <c r="H455" s="935">
        <f>F455*10</f>
        <v>20.987399999999997</v>
      </c>
      <c r="I455" s="173">
        <v>0</v>
      </c>
      <c r="J455" s="173">
        <f>20580</f>
        <v>20580</v>
      </c>
      <c r="K455" s="173">
        <f>B455*0</f>
        <v>0</v>
      </c>
      <c r="L455" s="174">
        <f t="shared" si="91"/>
        <v>20580</v>
      </c>
      <c r="M455" s="1539">
        <f t="shared" si="92"/>
        <v>19.670779398431439</v>
      </c>
      <c r="N455" s="1540"/>
    </row>
    <row r="456" spans="1:21" ht="17" thickBot="1">
      <c r="A456" s="76" t="s">
        <v>104</v>
      </c>
      <c r="B456" s="1644">
        <v>15</v>
      </c>
      <c r="C456" s="1448"/>
      <c r="D456" s="1451">
        <f t="shared" si="90"/>
        <v>600986.55035999988</v>
      </c>
      <c r="E456" s="1448"/>
      <c r="F456" s="1557">
        <f>0.00014*13174</f>
        <v>1.8443599999999998</v>
      </c>
      <c r="G456" s="1558"/>
      <c r="H456" s="935">
        <f>F456*10</f>
        <v>18.443599999999996</v>
      </c>
      <c r="I456" s="173">
        <v>0</v>
      </c>
      <c r="J456" s="173">
        <f>0.3*13174</f>
        <v>3952.2</v>
      </c>
      <c r="K456" s="173">
        <f>13174*0.3</f>
        <v>3952.2</v>
      </c>
      <c r="L456" s="174">
        <f t="shared" si="91"/>
        <v>7904.4</v>
      </c>
      <c r="M456" s="1539">
        <f t="shared" si="92"/>
        <v>8.5972202321249469</v>
      </c>
      <c r="N456" s="1540"/>
    </row>
    <row r="457" spans="1:21" s="532" customFormat="1" ht="17" thickBot="1">
      <c r="A457" s="53" t="s">
        <v>60</v>
      </c>
      <c r="B457" s="1438">
        <f>SUM(B450:C456)</f>
        <v>358</v>
      </c>
      <c r="C457" s="1609"/>
      <c r="D457" s="1440">
        <f>SUM(D450:E456)</f>
        <v>4616005.2659999998</v>
      </c>
      <c r="E457" s="1609"/>
      <c r="F457" s="1512">
        <f>SUM(F450:G456)</f>
        <v>14.165999999999997</v>
      </c>
      <c r="G457" s="1575"/>
      <c r="H457" s="612">
        <f>SUM(H450:H456)</f>
        <v>218.07900000000004</v>
      </c>
      <c r="I457" s="143">
        <f>SUM(I450:I456)</f>
        <v>0</v>
      </c>
      <c r="J457" s="143">
        <f>SUM(J450:J456)</f>
        <v>24532.2</v>
      </c>
      <c r="K457" s="143">
        <f>SUM(K450:K456)</f>
        <v>42148.2</v>
      </c>
      <c r="L457" s="152">
        <f>SUM(L450:L456)</f>
        <v>66680.399999999994</v>
      </c>
      <c r="M457" s="1610"/>
      <c r="N457" s="1611"/>
      <c r="O457" s="1401"/>
      <c r="P457" s="1401"/>
      <c r="Q457" s="1401"/>
      <c r="R457" s="1401"/>
      <c r="S457" s="1401"/>
      <c r="T457" s="1401"/>
      <c r="U457" s="1401"/>
    </row>
    <row r="458" spans="1:21" s="1161" customFormat="1" ht="17" thickBot="1">
      <c r="A458" s="108" t="s">
        <v>146</v>
      </c>
      <c r="B458" s="1456"/>
      <c r="C458" s="1586"/>
      <c r="D458" s="1457"/>
      <c r="E458" s="1586"/>
      <c r="F458" s="1484"/>
      <c r="G458" s="1588"/>
      <c r="H458" s="1145"/>
      <c r="I458" s="161"/>
      <c r="J458" s="161"/>
      <c r="K458" s="161"/>
      <c r="L458" s="162"/>
      <c r="M458" s="1617"/>
      <c r="N458" s="1486"/>
      <c r="O458" s="274"/>
      <c r="P458" s="274"/>
      <c r="Q458" s="274"/>
      <c r="R458" s="274"/>
      <c r="S458" s="274"/>
      <c r="T458" s="274"/>
      <c r="U458" s="274"/>
    </row>
    <row r="459" spans="1:21" s="508" customFormat="1" ht="14" thickBot="1">
      <c r="A459" s="76" t="s">
        <v>146</v>
      </c>
      <c r="B459" s="1645">
        <f>Ontario!N50</f>
        <v>757</v>
      </c>
      <c r="C459" s="1646"/>
      <c r="D459" s="1536">
        <f>F459*325851</f>
        <v>10483441.297499999</v>
      </c>
      <c r="E459" s="1424"/>
      <c r="F459" s="1635">
        <f>0.0425*B459</f>
        <v>32.172499999999999</v>
      </c>
      <c r="G459" s="1558"/>
      <c r="H459" s="935">
        <f>F459*20</f>
        <v>643.45000000000005</v>
      </c>
      <c r="I459" s="150">
        <f>73.34*B459</f>
        <v>55518.380000000005</v>
      </c>
      <c r="J459" s="150">
        <f>35.66*B459</f>
        <v>26994.62</v>
      </c>
      <c r="K459" s="150">
        <f>B459*165</f>
        <v>124905</v>
      </c>
      <c r="L459" s="172">
        <f>I459+J459+K459</f>
        <v>207418</v>
      </c>
      <c r="M459" s="1539">
        <f>L459/(F459*498.5)</f>
        <v>12.932916396247567</v>
      </c>
      <c r="N459" s="1540"/>
      <c r="O459" s="512"/>
      <c r="P459" s="512"/>
      <c r="Q459" s="512"/>
      <c r="R459" s="512"/>
      <c r="S459" s="512"/>
      <c r="T459" s="512"/>
      <c r="U459" s="512"/>
    </row>
    <row r="460" spans="1:21" s="533" customFormat="1" ht="14" thickBot="1">
      <c r="A460" s="53" t="s">
        <v>60</v>
      </c>
      <c r="B460" s="1438">
        <f>SUM(B459)</f>
        <v>757</v>
      </c>
      <c r="C460" s="1609"/>
      <c r="D460" s="1440">
        <f>SUM(D459)</f>
        <v>10483441.297499999</v>
      </c>
      <c r="E460" s="1609"/>
      <c r="F460" s="1512">
        <f>SUM(F459)</f>
        <v>32.172499999999999</v>
      </c>
      <c r="G460" s="1575"/>
      <c r="H460" s="612">
        <f>SUM(H459)</f>
        <v>643.45000000000005</v>
      </c>
      <c r="I460" s="136">
        <f>SUM(I459)</f>
        <v>55518.380000000005</v>
      </c>
      <c r="J460" s="143">
        <f>SUM(J459)</f>
        <v>26994.62</v>
      </c>
      <c r="K460" s="143">
        <f>SUM(K459)</f>
        <v>124905</v>
      </c>
      <c r="L460" s="136">
        <f>SUM(L459)</f>
        <v>207418</v>
      </c>
      <c r="M460" s="1610"/>
      <c r="N460" s="1611"/>
      <c r="O460" s="534"/>
      <c r="P460" s="534"/>
      <c r="Q460" s="534"/>
      <c r="R460" s="534"/>
      <c r="S460" s="534"/>
      <c r="T460" s="534"/>
      <c r="U460" s="534"/>
    </row>
    <row r="461" spans="1:21" s="1161" customFormat="1" ht="17" thickBot="1">
      <c r="A461" s="108" t="s">
        <v>50</v>
      </c>
      <c r="B461" s="1647"/>
      <c r="C461" s="1648"/>
      <c r="D461" s="1457"/>
      <c r="E461" s="1586"/>
      <c r="F461" s="1484"/>
      <c r="G461" s="1588"/>
      <c r="H461" s="1145"/>
      <c r="I461" s="161"/>
      <c r="J461" s="161"/>
      <c r="K461" s="161"/>
      <c r="L461" s="162"/>
      <c r="M461" s="1617"/>
      <c r="N461" s="1486"/>
      <c r="O461" s="274"/>
      <c r="P461" s="274"/>
      <c r="Q461" s="274"/>
      <c r="R461" s="274"/>
      <c r="S461" s="274"/>
      <c r="T461" s="274"/>
      <c r="U461" s="274"/>
    </row>
    <row r="462" spans="1:21">
      <c r="A462" s="513" t="s">
        <v>26</v>
      </c>
      <c r="B462" s="1594">
        <f>Ontario!N53</f>
        <v>0</v>
      </c>
      <c r="C462" s="1595"/>
      <c r="D462" s="1536">
        <f t="shared" ref="D462:D470" si="93">F462*325851</f>
        <v>0</v>
      </c>
      <c r="E462" s="1424"/>
      <c r="F462" s="1633">
        <f>0.0379*B462</f>
        <v>0</v>
      </c>
      <c r="G462" s="1550"/>
      <c r="H462" s="930">
        <f>F462*20</f>
        <v>0</v>
      </c>
      <c r="I462" s="150">
        <v>0</v>
      </c>
      <c r="J462" s="150">
        <f>35.66*B462</f>
        <v>0</v>
      </c>
      <c r="K462" s="150">
        <f>135*B462</f>
        <v>0</v>
      </c>
      <c r="L462" s="172">
        <f>SUM(I462:K462)</f>
        <v>0</v>
      </c>
      <c r="M462" s="1539">
        <v>0</v>
      </c>
      <c r="N462" s="1540"/>
    </row>
    <row r="463" spans="1:21">
      <c r="A463" s="78" t="s">
        <v>25</v>
      </c>
      <c r="B463" s="1563">
        <f>Ontario!N54</f>
        <v>0</v>
      </c>
      <c r="C463" s="1424"/>
      <c r="D463" s="1536">
        <f t="shared" si="93"/>
        <v>0</v>
      </c>
      <c r="E463" s="1424"/>
      <c r="F463" s="1633">
        <f>0.0379*B463</f>
        <v>0</v>
      </c>
      <c r="G463" s="1550"/>
      <c r="H463" s="930">
        <f>F463*20</f>
        <v>0</v>
      </c>
      <c r="I463" s="150">
        <v>0</v>
      </c>
      <c r="J463" s="150">
        <f>0*B463</f>
        <v>0</v>
      </c>
      <c r="K463" s="150">
        <f>60*B463</f>
        <v>0</v>
      </c>
      <c r="L463" s="172">
        <f t="shared" ref="L463:L471" si="94">SUM(I463:K463)</f>
        <v>0</v>
      </c>
      <c r="M463" s="1539">
        <v>0</v>
      </c>
      <c r="N463" s="1540"/>
    </row>
    <row r="464" spans="1:21">
      <c r="A464" s="78" t="s">
        <v>29</v>
      </c>
      <c r="B464" s="1563">
        <f>Ontario!N55</f>
        <v>266</v>
      </c>
      <c r="C464" s="1424"/>
      <c r="D464" s="1536">
        <f t="shared" si="93"/>
        <v>3683745.5550000006</v>
      </c>
      <c r="E464" s="1424"/>
      <c r="F464" s="1633">
        <f>0.0425*B464</f>
        <v>11.305000000000001</v>
      </c>
      <c r="G464" s="1550"/>
      <c r="H464" s="930">
        <f>F464*20</f>
        <v>226.10000000000002</v>
      </c>
      <c r="I464" s="150">
        <v>0</v>
      </c>
      <c r="J464" s="150">
        <f>135*B464</f>
        <v>35910</v>
      </c>
      <c r="K464" s="150">
        <f>165*B464</f>
        <v>43890</v>
      </c>
      <c r="L464" s="172">
        <f t="shared" si="94"/>
        <v>79800</v>
      </c>
      <c r="M464" s="1539">
        <f>L464/(F464*498.5)</f>
        <v>14.160127441146969</v>
      </c>
      <c r="N464" s="1540"/>
    </row>
    <row r="465" spans="1:21">
      <c r="A465" s="78" t="s">
        <v>51</v>
      </c>
      <c r="B465" s="1563">
        <f>Ontario!N56</f>
        <v>67</v>
      </c>
      <c r="C465" s="1424"/>
      <c r="D465" s="1536">
        <f t="shared" si="93"/>
        <v>2678788.4859000002</v>
      </c>
      <c r="E465" s="1424"/>
      <c r="F465" s="1633">
        <f>0.1227*B465</f>
        <v>8.2209000000000003</v>
      </c>
      <c r="G465" s="1550"/>
      <c r="H465" s="930">
        <f>F465*20</f>
        <v>164.41800000000001</v>
      </c>
      <c r="I465" s="150">
        <v>0</v>
      </c>
      <c r="J465" s="150">
        <f>0*B465</f>
        <v>0</v>
      </c>
      <c r="K465" s="150">
        <f>400*B465</f>
        <v>26800</v>
      </c>
      <c r="L465" s="172">
        <f t="shared" si="94"/>
        <v>26800</v>
      </c>
      <c r="M465" s="1539">
        <f>L465/(F465*498.5)</f>
        <v>6.5395861586389152</v>
      </c>
      <c r="N465" s="1540"/>
    </row>
    <row r="466" spans="1:21">
      <c r="A466" s="78" t="s">
        <v>20</v>
      </c>
      <c r="B466" s="1563">
        <f>Ontario!N57</f>
        <v>0</v>
      </c>
      <c r="C466" s="1424"/>
      <c r="D466" s="1536">
        <f t="shared" si="93"/>
        <v>0</v>
      </c>
      <c r="E466" s="1424"/>
      <c r="F466" s="1633">
        <f>0.644*B466</f>
        <v>0</v>
      </c>
      <c r="G466" s="1550"/>
      <c r="H466" s="930">
        <f>F466*5</f>
        <v>0</v>
      </c>
      <c r="I466" s="150">
        <v>0</v>
      </c>
      <c r="J466" s="150">
        <f>43.75*B466</f>
        <v>0</v>
      </c>
      <c r="K466" s="150">
        <f>625*B466</f>
        <v>0</v>
      </c>
      <c r="L466" s="172">
        <f t="shared" si="94"/>
        <v>0</v>
      </c>
      <c r="M466" s="1539">
        <v>0</v>
      </c>
      <c r="N466" s="1540"/>
    </row>
    <row r="467" spans="1:21">
      <c r="A467" s="78" t="s">
        <v>13</v>
      </c>
      <c r="B467" s="1563">
        <f>Ontario!N58</f>
        <v>2</v>
      </c>
      <c r="C467" s="1424"/>
      <c r="D467" s="1536">
        <f t="shared" si="93"/>
        <v>17986.975200000001</v>
      </c>
      <c r="E467" s="1424"/>
      <c r="F467" s="1633">
        <f>0.0276*B467</f>
        <v>5.5199999999999999E-2</v>
      </c>
      <c r="G467" s="1550"/>
      <c r="H467" s="930">
        <f>F467*10</f>
        <v>0.55200000000000005</v>
      </c>
      <c r="I467" s="150">
        <v>0</v>
      </c>
      <c r="J467" s="150">
        <f>100*B467</f>
        <v>200</v>
      </c>
      <c r="K467" s="150">
        <f>80*B467</f>
        <v>160</v>
      </c>
      <c r="L467" s="172">
        <f t="shared" si="94"/>
        <v>360</v>
      </c>
      <c r="M467" s="1539">
        <f t="shared" ref="M467:M473" si="95">L467/(F467*498.5)</f>
        <v>13.082726440190136</v>
      </c>
      <c r="N467" s="1540"/>
    </row>
    <row r="468" spans="1:21">
      <c r="A468" s="76" t="s">
        <v>47</v>
      </c>
      <c r="B468" s="1563">
        <f>Ontario!N59</f>
        <v>1</v>
      </c>
      <c r="C468" s="1424"/>
      <c r="D468" s="1536">
        <f t="shared" si="93"/>
        <v>49985.543400000002</v>
      </c>
      <c r="E468" s="1424"/>
      <c r="F468" s="1633">
        <f>0.1534*B468</f>
        <v>0.15340000000000001</v>
      </c>
      <c r="G468" s="1550"/>
      <c r="H468" s="930">
        <f>F468*5</f>
        <v>0.76700000000000002</v>
      </c>
      <c r="I468" s="150">
        <v>0</v>
      </c>
      <c r="J468" s="150">
        <f>0*B468</f>
        <v>0</v>
      </c>
      <c r="K468" s="150">
        <f>150*B468</f>
        <v>150</v>
      </c>
      <c r="L468" s="172">
        <f t="shared" si="94"/>
        <v>150</v>
      </c>
      <c r="M468" s="1539">
        <f t="shared" si="95"/>
        <v>1.9615561155435013</v>
      </c>
      <c r="N468" s="1540"/>
    </row>
    <row r="469" spans="1:21">
      <c r="A469" s="76" t="s">
        <v>30</v>
      </c>
      <c r="B469" s="1563">
        <f>Ontario!N60</f>
        <v>39</v>
      </c>
      <c r="C469" s="1424"/>
      <c r="D469" s="1536">
        <f t="shared" si="93"/>
        <v>4130161.4250000003</v>
      </c>
      <c r="E469" s="1424"/>
      <c r="F469" s="1633">
        <f>0.325*B469</f>
        <v>12.675000000000001</v>
      </c>
      <c r="G469" s="1550"/>
      <c r="H469" s="930">
        <f>F469*10</f>
        <v>126.75</v>
      </c>
      <c r="I469" s="150">
        <v>0</v>
      </c>
      <c r="J469" s="150">
        <f>0*B469</f>
        <v>0</v>
      </c>
      <c r="K469" s="150">
        <f>669*B469</f>
        <v>26091</v>
      </c>
      <c r="L469" s="172">
        <f t="shared" si="94"/>
        <v>26091</v>
      </c>
      <c r="M469" s="1539">
        <f t="shared" si="95"/>
        <v>4.1293110099529358</v>
      </c>
      <c r="N469" s="1540"/>
    </row>
    <row r="470" spans="1:21">
      <c r="A470" s="76" t="s">
        <v>53</v>
      </c>
      <c r="B470" s="1563">
        <f>Ontario!N61</f>
        <v>0</v>
      </c>
      <c r="C470" s="1424"/>
      <c r="D470" s="1536">
        <f t="shared" si="93"/>
        <v>0</v>
      </c>
      <c r="E470" s="1424"/>
      <c r="F470" s="1633">
        <f>0.00014*B470</f>
        <v>0</v>
      </c>
      <c r="G470" s="1550"/>
      <c r="H470" s="930">
        <f>F470*10</f>
        <v>0</v>
      </c>
      <c r="I470" s="150">
        <v>0</v>
      </c>
      <c r="J470" s="150">
        <f>0.3*B470</f>
        <v>0</v>
      </c>
      <c r="K470" s="150">
        <f>0.3*B470</f>
        <v>0</v>
      </c>
      <c r="L470" s="172">
        <f t="shared" si="94"/>
        <v>0</v>
      </c>
      <c r="M470" s="1539">
        <v>0</v>
      </c>
      <c r="N470" s="1540"/>
    </row>
    <row r="471" spans="1:21">
      <c r="A471" s="76" t="s">
        <v>56</v>
      </c>
      <c r="B471" s="1563">
        <f>Ontario!N62</f>
        <v>43</v>
      </c>
      <c r="C471" s="1424"/>
      <c r="D471" s="1536">
        <f>F471*325851</f>
        <v>56046.372000000003</v>
      </c>
      <c r="E471" s="1424"/>
      <c r="F471" s="1633">
        <f>0.004*B471</f>
        <v>0.17200000000000001</v>
      </c>
      <c r="G471" s="1550"/>
      <c r="H471" s="930">
        <f>F471*5</f>
        <v>0.8600000000000001</v>
      </c>
      <c r="I471" s="150">
        <v>0</v>
      </c>
      <c r="J471" s="150">
        <f>0*B471</f>
        <v>0</v>
      </c>
      <c r="K471" s="150">
        <f>4*B471</f>
        <v>172</v>
      </c>
      <c r="L471" s="172">
        <f t="shared" si="94"/>
        <v>172</v>
      </c>
      <c r="M471" s="1539">
        <f t="shared" si="95"/>
        <v>2.0060180541624875</v>
      </c>
      <c r="N471" s="1540"/>
    </row>
    <row r="472" spans="1:21">
      <c r="A472" s="76" t="s">
        <v>122</v>
      </c>
      <c r="B472" s="1563">
        <f>Ontario!N63</f>
        <v>0</v>
      </c>
      <c r="C472" s="1424"/>
      <c r="D472" s="1536">
        <f>F472*325851</f>
        <v>0</v>
      </c>
      <c r="E472" s="1424"/>
      <c r="F472" s="1633">
        <f>0.018*B472</f>
        <v>0</v>
      </c>
      <c r="G472" s="1550"/>
      <c r="H472" s="930">
        <f>F472*10</f>
        <v>0</v>
      </c>
      <c r="I472" s="150">
        <v>0</v>
      </c>
      <c r="J472" s="150">
        <f>0*B472</f>
        <v>0</v>
      </c>
      <c r="K472" s="150">
        <f>13*B472</f>
        <v>0</v>
      </c>
      <c r="L472" s="172">
        <f>SUM(I472:K472)</f>
        <v>0</v>
      </c>
      <c r="M472" s="1539">
        <v>0</v>
      </c>
      <c r="N472" s="1540"/>
    </row>
    <row r="473" spans="1:21" ht="17" thickBot="1">
      <c r="A473" s="76" t="s">
        <v>102</v>
      </c>
      <c r="B473" s="1563">
        <f>Ontario!N64</f>
        <v>3</v>
      </c>
      <c r="C473" s="1424"/>
      <c r="D473" s="1536">
        <f>F473*325851</f>
        <v>149565.609</v>
      </c>
      <c r="E473" s="1424"/>
      <c r="F473" s="1633">
        <f>0.153*B473</f>
        <v>0.45899999999999996</v>
      </c>
      <c r="G473" s="1550"/>
      <c r="H473" s="930">
        <f>F473*5</f>
        <v>2.2949999999999999</v>
      </c>
      <c r="I473" s="150">
        <v>0</v>
      </c>
      <c r="J473" s="150">
        <f>0*B473</f>
        <v>0</v>
      </c>
      <c r="K473" s="150">
        <f>60*B473</f>
        <v>180</v>
      </c>
      <c r="L473" s="172">
        <f>SUM(I473:K473)</f>
        <v>180</v>
      </c>
      <c r="M473" s="1539">
        <f t="shared" si="95"/>
        <v>0.78667374673038726</v>
      </c>
      <c r="N473" s="1540"/>
    </row>
    <row r="474" spans="1:21" s="532" customFormat="1" ht="17" thickBot="1">
      <c r="A474" s="53" t="s">
        <v>60</v>
      </c>
      <c r="B474" s="1438">
        <f>SUM(B462:C473)</f>
        <v>421</v>
      </c>
      <c r="C474" s="1609"/>
      <c r="D474" s="1440">
        <f>SUM(D462:E473)</f>
        <v>10766279.965500001</v>
      </c>
      <c r="E474" s="1439"/>
      <c r="F474" s="1512">
        <f>SUM(F462:G473)</f>
        <v>33.040500000000002</v>
      </c>
      <c r="G474" s="1575"/>
      <c r="H474" s="612">
        <f>SUM(H462:H473)</f>
        <v>521.74199999999996</v>
      </c>
      <c r="I474" s="136">
        <f>SUM(I462:I473)</f>
        <v>0</v>
      </c>
      <c r="J474" s="143">
        <f>SUM(J462:J473)</f>
        <v>36110</v>
      </c>
      <c r="K474" s="143">
        <f>SUM(K462:K473)</f>
        <v>97443</v>
      </c>
      <c r="L474" s="136">
        <f>SUM(L462:L473)</f>
        <v>133553</v>
      </c>
      <c r="M474" s="1610"/>
      <c r="N474" s="1611"/>
      <c r="O474" s="1401"/>
      <c r="P474" s="1401"/>
      <c r="Q474" s="1401"/>
      <c r="R474" s="1401"/>
      <c r="S474" s="1401"/>
      <c r="T474" s="1401"/>
      <c r="U474" s="1401"/>
    </row>
    <row r="475" spans="1:21" s="1161" customFormat="1" ht="17" thickBot="1">
      <c r="A475" s="108" t="s">
        <v>54</v>
      </c>
      <c r="B475" s="1456"/>
      <c r="C475" s="1586"/>
      <c r="D475" s="1141"/>
      <c r="E475" s="1142"/>
      <c r="F475" s="1158"/>
      <c r="G475" s="1145"/>
      <c r="H475" s="1145"/>
      <c r="I475" s="161"/>
      <c r="J475" s="161"/>
      <c r="K475" s="161"/>
      <c r="L475" s="162"/>
      <c r="M475" s="1154"/>
      <c r="N475" s="1155"/>
      <c r="O475" s="274"/>
      <c r="P475" s="274"/>
      <c r="Q475" s="274"/>
      <c r="R475" s="274"/>
      <c r="S475" s="274"/>
      <c r="T475" s="274"/>
      <c r="U475" s="274"/>
    </row>
    <row r="476" spans="1:21">
      <c r="A476" s="513" t="s">
        <v>29</v>
      </c>
      <c r="B476" s="1596">
        <f>Ontario!N67</f>
        <v>0</v>
      </c>
      <c r="C476" s="1595"/>
      <c r="D476" s="1596">
        <f t="shared" ref="D476:D481" si="96">F476*325851</f>
        <v>0</v>
      </c>
      <c r="E476" s="1595"/>
      <c r="F476" s="1633">
        <f>0.0425*B476</f>
        <v>0</v>
      </c>
      <c r="G476" s="1550"/>
      <c r="H476" s="930">
        <f>F476*20</f>
        <v>0</v>
      </c>
      <c r="I476" s="150">
        <v>0</v>
      </c>
      <c r="J476" s="150">
        <f>35.66*B476</f>
        <v>0</v>
      </c>
      <c r="K476" s="150">
        <f>0*B476</f>
        <v>0</v>
      </c>
      <c r="L476" s="172">
        <f>SUM(I476:K476)</f>
        <v>0</v>
      </c>
      <c r="M476" s="1539">
        <v>0</v>
      </c>
      <c r="N476" s="1540"/>
    </row>
    <row r="477" spans="1:21">
      <c r="A477" s="78" t="s">
        <v>51</v>
      </c>
      <c r="B477" s="1536">
        <f>Ontario!N68</f>
        <v>0</v>
      </c>
      <c r="C477" s="1424"/>
      <c r="D477" s="1536">
        <f t="shared" si="96"/>
        <v>0</v>
      </c>
      <c r="E477" s="1424"/>
      <c r="F477" s="1633">
        <f>0.125*B477</f>
        <v>0</v>
      </c>
      <c r="G477" s="1550"/>
      <c r="H477" s="930">
        <f>F477*20</f>
        <v>0</v>
      </c>
      <c r="I477" s="150">
        <v>0</v>
      </c>
      <c r="J477" s="150">
        <f>0*B477</f>
        <v>0</v>
      </c>
      <c r="K477" s="150">
        <f>0*B477</f>
        <v>0</v>
      </c>
      <c r="L477" s="172">
        <f>SUM(I477:K477)</f>
        <v>0</v>
      </c>
      <c r="M477" s="1539">
        <v>0</v>
      </c>
      <c r="N477" s="1540"/>
    </row>
    <row r="478" spans="1:21">
      <c r="A478" s="78" t="s">
        <v>15</v>
      </c>
      <c r="B478" s="1536">
        <f>Ontario!N69</f>
        <v>29</v>
      </c>
      <c r="C478" s="1424"/>
      <c r="D478" s="1536">
        <f t="shared" si="96"/>
        <v>1449580.7586000001</v>
      </c>
      <c r="E478" s="1424"/>
      <c r="F478" s="1633">
        <f>0.1534*B478</f>
        <v>4.4485999999999999</v>
      </c>
      <c r="G478" s="1550"/>
      <c r="H478" s="930">
        <f>F478*5</f>
        <v>22.242999999999999</v>
      </c>
      <c r="I478" s="150">
        <v>0</v>
      </c>
      <c r="J478" s="150">
        <f>0*B478</f>
        <v>0</v>
      </c>
      <c r="K478" s="150">
        <f>325*B478</f>
        <v>9425</v>
      </c>
      <c r="L478" s="172">
        <f>SUM(I478:K478)</f>
        <v>9425</v>
      </c>
      <c r="M478" s="1539">
        <f>L478/(F478*498.5)</f>
        <v>4.2500382503442529</v>
      </c>
      <c r="N478" s="1540"/>
    </row>
    <row r="479" spans="1:21">
      <c r="A479" s="78" t="s">
        <v>30</v>
      </c>
      <c r="B479" s="1536">
        <f>Ontario!N70</f>
        <v>0</v>
      </c>
      <c r="C479" s="1424"/>
      <c r="D479" s="1536">
        <f t="shared" si="96"/>
        <v>0</v>
      </c>
      <c r="E479" s="1424"/>
      <c r="F479" s="1633">
        <f>0.609*B479</f>
        <v>0</v>
      </c>
      <c r="G479" s="1550"/>
      <c r="H479" s="930">
        <f>F479*10</f>
        <v>0</v>
      </c>
      <c r="I479" s="150">
        <v>0</v>
      </c>
      <c r="J479" s="150">
        <f>0*B479</f>
        <v>0</v>
      </c>
      <c r="K479" s="150">
        <f>0*B479</f>
        <v>0</v>
      </c>
      <c r="L479" s="172">
        <f>SUM(I479:K479)</f>
        <v>0</v>
      </c>
      <c r="M479" s="1539">
        <v>0</v>
      </c>
      <c r="N479" s="1540"/>
    </row>
    <row r="480" spans="1:21">
      <c r="A480" s="78" t="s">
        <v>55</v>
      </c>
      <c r="B480" s="1536">
        <f>Ontario!N71</f>
        <v>86</v>
      </c>
      <c r="C480" s="1424"/>
      <c r="D480" s="1536">
        <f t="shared" si="96"/>
        <v>27799000.511999998</v>
      </c>
      <c r="E480" s="1424"/>
      <c r="F480" s="1635">
        <f>0.992*B480</f>
        <v>85.311999999999998</v>
      </c>
      <c r="G480" s="1558"/>
      <c r="H480" s="930">
        <f>F480*10</f>
        <v>853.12</v>
      </c>
      <c r="I480" s="150">
        <v>0</v>
      </c>
      <c r="J480" s="150">
        <f>0*B480</f>
        <v>0</v>
      </c>
      <c r="K480" s="150">
        <f>4980*B480</f>
        <v>428280</v>
      </c>
      <c r="L480" s="172">
        <f>SUM(I480:K480)</f>
        <v>428280</v>
      </c>
      <c r="M480" s="1539">
        <f>L480/(F480*498.5)</f>
        <v>10.070534183194745</v>
      </c>
      <c r="N480" s="1540"/>
    </row>
    <row r="481" spans="1:21" ht="17" thickBot="1">
      <c r="A481" s="104" t="s">
        <v>100</v>
      </c>
      <c r="B481" s="1570">
        <f>Ontario!N72</f>
        <v>1</v>
      </c>
      <c r="C481" s="1544"/>
      <c r="D481" s="1536">
        <f t="shared" si="96"/>
        <v>7448921.2748999996</v>
      </c>
      <c r="E481" s="1424"/>
      <c r="F481" s="1633">
        <f>0.00014*163285</f>
        <v>22.8599</v>
      </c>
      <c r="G481" s="1550"/>
      <c r="H481" s="930">
        <f>F481*10</f>
        <v>228.59899999999999</v>
      </c>
      <c r="I481" s="150">
        <v>0</v>
      </c>
      <c r="J481" s="150">
        <v>0</v>
      </c>
      <c r="K481" s="150">
        <f>163285*0.75</f>
        <v>122463.75</v>
      </c>
      <c r="L481" s="172">
        <f>I481+J481+K481</f>
        <v>122463.75</v>
      </c>
      <c r="M481" s="1539">
        <f>L481/(F481*498.5)</f>
        <v>10.746525290156184</v>
      </c>
      <c r="N481" s="1540"/>
    </row>
    <row r="482" spans="1:21" s="532" customFormat="1" ht="17" thickBot="1">
      <c r="A482" s="53" t="s">
        <v>60</v>
      </c>
      <c r="B482" s="1438">
        <f>SUM(B476:C481)</f>
        <v>116</v>
      </c>
      <c r="C482" s="1609"/>
      <c r="D482" s="1440">
        <f>SUM(D476:E481)</f>
        <v>36697502.545499995</v>
      </c>
      <c r="E482" s="1609"/>
      <c r="F482" s="1511">
        <f>SUM(F476:G481)</f>
        <v>112.62049999999999</v>
      </c>
      <c r="G482" s="1512"/>
      <c r="H482" s="56">
        <f>SUM(H476:H481)</f>
        <v>1103.962</v>
      </c>
      <c r="I482" s="378">
        <f>SUM(I476:J481)</f>
        <v>0</v>
      </c>
      <c r="J482" s="136">
        <f>SUM(J476:J481)</f>
        <v>0</v>
      </c>
      <c r="K482" s="136">
        <f>SUM(K476:K481)</f>
        <v>560168.75</v>
      </c>
      <c r="L482" s="136">
        <f>SUM(L476:L481)</f>
        <v>560168.75</v>
      </c>
      <c r="M482" s="1610"/>
      <c r="N482" s="1611"/>
      <c r="O482" s="1401"/>
      <c r="P482" s="1401"/>
      <c r="Q482" s="1401"/>
      <c r="R482" s="1401"/>
      <c r="S482" s="1401"/>
      <c r="T482" s="1401"/>
      <c r="U482" s="1401"/>
    </row>
    <row r="483" spans="1:21" s="1161" customFormat="1" ht="17" thickBot="1">
      <c r="A483" s="1163" t="s">
        <v>17</v>
      </c>
      <c r="B483" s="1612">
        <f>SUM(B482,B457,B460,B474)</f>
        <v>1652</v>
      </c>
      <c r="C483" s="1415"/>
      <c r="D483" s="1416">
        <f>SUM(D482,D474,D460,D457)</f>
        <v>62563229.074499995</v>
      </c>
      <c r="E483" s="1415"/>
      <c r="F483" s="1487">
        <f>SUM(F482,F457,F460,F474)</f>
        <v>191.99950000000001</v>
      </c>
      <c r="G483" s="1488"/>
      <c r="H483" s="1164">
        <f>(H482+H474+H460+H457)</f>
        <v>2487.2330000000002</v>
      </c>
      <c r="I483" s="1169">
        <f>SUM(I482,I457,I460,I474)</f>
        <v>55518.380000000005</v>
      </c>
      <c r="J483" s="1169">
        <f>SUM(J482,J457,J460,J474)</f>
        <v>87636.82</v>
      </c>
      <c r="K483" s="1169">
        <f>SUM(K482,K457,K460,K474)</f>
        <v>824664.95</v>
      </c>
      <c r="L483" s="1169">
        <f>SUM(L482,L457,L460,L474)</f>
        <v>967820.15</v>
      </c>
      <c r="M483" s="1631"/>
      <c r="N483" s="1640"/>
      <c r="O483" s="274"/>
      <c r="P483" s="274"/>
      <c r="Q483" s="274"/>
      <c r="R483" s="274"/>
      <c r="S483" s="274"/>
      <c r="T483" s="274"/>
      <c r="U483" s="274"/>
    </row>
    <row r="484" spans="1:21">
      <c r="A484" s="343"/>
      <c r="B484" s="354"/>
      <c r="C484" s="354"/>
      <c r="D484" s="354"/>
      <c r="E484" s="354"/>
      <c r="F484" s="455"/>
      <c r="G484" s="455"/>
      <c r="H484" s="455"/>
      <c r="I484" s="355"/>
      <c r="J484" s="355"/>
      <c r="K484" s="355"/>
      <c r="L484" s="355"/>
      <c r="M484" s="394"/>
      <c r="N484" s="394"/>
    </row>
    <row r="485" spans="1:21" ht="18">
      <c r="A485" s="356" t="s">
        <v>271</v>
      </c>
      <c r="B485" s="1566" t="s">
        <v>59</v>
      </c>
      <c r="C485" s="1566"/>
      <c r="D485" s="1566"/>
      <c r="E485" s="1641"/>
      <c r="F485" s="455"/>
      <c r="G485" s="455"/>
      <c r="H485" s="455"/>
      <c r="I485" s="355"/>
      <c r="J485" s="355"/>
      <c r="K485" s="355"/>
      <c r="L485" s="355"/>
      <c r="M485" s="394"/>
      <c r="N485" s="394"/>
    </row>
    <row r="486" spans="1:21">
      <c r="B486" s="1559" t="s">
        <v>19</v>
      </c>
      <c r="C486" s="1559"/>
      <c r="D486" s="1559"/>
      <c r="E486" s="1559"/>
      <c r="F486" s="455"/>
      <c r="G486" s="455"/>
      <c r="H486" s="455"/>
      <c r="I486" s="355"/>
      <c r="J486" s="355"/>
      <c r="K486" s="355"/>
      <c r="L486" s="355"/>
      <c r="M486" s="394"/>
      <c r="N486" s="394"/>
    </row>
    <row r="487" spans="1:21" ht="17" thickBot="1">
      <c r="A487" s="982"/>
      <c r="B487" s="549"/>
      <c r="C487" s="549"/>
      <c r="D487" s="549"/>
      <c r="E487" s="549"/>
      <c r="F487" s="455"/>
      <c r="G487" s="455"/>
      <c r="H487" s="455"/>
      <c r="I487" s="355"/>
      <c r="J487" s="355"/>
      <c r="K487" s="355"/>
      <c r="L487" s="355"/>
      <c r="M487" s="549"/>
      <c r="N487" s="549"/>
    </row>
    <row r="488" spans="1:21">
      <c r="A488" s="98"/>
      <c r="B488" s="99"/>
      <c r="C488" s="99"/>
      <c r="D488" s="99"/>
      <c r="E488" s="99"/>
      <c r="F488" s="421"/>
      <c r="G488" s="421"/>
      <c r="H488" s="421"/>
      <c r="I488" s="1468" t="s">
        <v>0</v>
      </c>
      <c r="J488" s="1468"/>
      <c r="K488" s="1468"/>
      <c r="L488" s="1468"/>
      <c r="M488" s="99"/>
      <c r="N488" s="101"/>
    </row>
    <row r="489" spans="1:21">
      <c r="A489" s="97"/>
      <c r="B489" s="1469" t="s">
        <v>1</v>
      </c>
      <c r="C489" s="1469"/>
      <c r="D489" s="1469" t="s">
        <v>2</v>
      </c>
      <c r="E489" s="1469"/>
      <c r="F489" s="1470" t="s">
        <v>3</v>
      </c>
      <c r="G489" s="1470"/>
      <c r="H489" s="438" t="s">
        <v>3</v>
      </c>
      <c r="I489" s="127" t="s">
        <v>195</v>
      </c>
      <c r="J489" s="102"/>
      <c r="K489" s="102"/>
      <c r="L489" s="128"/>
      <c r="M489" s="1469" t="s">
        <v>4</v>
      </c>
      <c r="N489" s="1526"/>
    </row>
    <row r="490" spans="1:21" ht="19" thickBot="1">
      <c r="A490" s="103" t="s">
        <v>5</v>
      </c>
      <c r="B490" s="1473" t="s">
        <v>6</v>
      </c>
      <c r="C490" s="1473"/>
      <c r="D490" s="1473" t="s">
        <v>7</v>
      </c>
      <c r="E490" s="1473"/>
      <c r="F490" s="1474" t="s">
        <v>7</v>
      </c>
      <c r="G490" s="1474"/>
      <c r="H490" s="439" t="s">
        <v>58</v>
      </c>
      <c r="I490" s="398" t="s">
        <v>196</v>
      </c>
      <c r="J490" s="397" t="s">
        <v>8</v>
      </c>
      <c r="K490" s="397" t="s">
        <v>9</v>
      </c>
      <c r="L490" s="401" t="s">
        <v>10</v>
      </c>
      <c r="M490" s="1473" t="s">
        <v>145</v>
      </c>
      <c r="N490" s="1475"/>
    </row>
    <row r="491" spans="1:21" ht="24" thickBot="1">
      <c r="A491" s="88" t="s">
        <v>132</v>
      </c>
      <c r="B491" s="1629"/>
      <c r="C491" s="1624"/>
      <c r="D491" s="1625"/>
      <c r="E491" s="1626"/>
      <c r="F491" s="1627"/>
      <c r="G491" s="1628"/>
      <c r="H491" s="454"/>
      <c r="I491" s="351"/>
      <c r="J491" s="351"/>
      <c r="K491" s="351"/>
      <c r="L491" s="352"/>
      <c r="M491" s="1629"/>
      <c r="N491" s="1630"/>
    </row>
    <row r="492" spans="1:21" s="1161" customFormat="1" ht="17" thickBot="1">
      <c r="A492" s="108" t="s">
        <v>48</v>
      </c>
      <c r="B492" s="1457"/>
      <c r="C492" s="1586"/>
      <c r="D492" s="1567"/>
      <c r="E492" s="1586"/>
      <c r="F492" s="1587"/>
      <c r="G492" s="1588"/>
      <c r="H492" s="1145"/>
      <c r="I492" s="109"/>
      <c r="J492" s="109"/>
      <c r="K492" s="109"/>
      <c r="L492" s="1141"/>
      <c r="M492" s="1617"/>
      <c r="N492" s="1486"/>
      <c r="O492" s="274"/>
      <c r="P492" s="274"/>
      <c r="Q492" s="274"/>
      <c r="R492" s="274"/>
      <c r="S492" s="274"/>
      <c r="T492" s="274"/>
      <c r="U492" s="274"/>
    </row>
    <row r="493" spans="1:21">
      <c r="A493" s="78" t="s">
        <v>28</v>
      </c>
      <c r="B493" s="1536">
        <f>Ontario!N6</f>
        <v>6</v>
      </c>
      <c r="C493" s="1424"/>
      <c r="D493" s="1423">
        <f t="shared" ref="D493:D499" si="97">F493*325851</f>
        <v>74098.517400000012</v>
      </c>
      <c r="E493" s="1424"/>
      <c r="F493" s="1549">
        <f>0.0379*B493</f>
        <v>0.22740000000000002</v>
      </c>
      <c r="G493" s="1550"/>
      <c r="H493" s="930">
        <f>F493*20</f>
        <v>4.548</v>
      </c>
      <c r="I493" s="150">
        <v>0</v>
      </c>
      <c r="J493" s="150">
        <f>0*B493</f>
        <v>0</v>
      </c>
      <c r="K493" s="150">
        <f>60*B493</f>
        <v>360</v>
      </c>
      <c r="L493" s="172">
        <f t="shared" ref="L493:L499" si="98">I493+J493+K493</f>
        <v>360</v>
      </c>
      <c r="M493" s="1539">
        <f t="shared" ref="M493:M499" si="99">L493/(F493*427)</f>
        <v>3.7075256591671661</v>
      </c>
      <c r="N493" s="1540"/>
    </row>
    <row r="494" spans="1:21">
      <c r="A494" s="78" t="s">
        <v>29</v>
      </c>
      <c r="B494" s="1536">
        <f>Ontario!N7</f>
        <v>9</v>
      </c>
      <c r="C494" s="1424"/>
      <c r="D494" s="1423">
        <f t="shared" si="97"/>
        <v>124638.00750000001</v>
      </c>
      <c r="E494" s="1424"/>
      <c r="F494" s="1549">
        <f>0.0425*B494</f>
        <v>0.38250000000000001</v>
      </c>
      <c r="G494" s="1550"/>
      <c r="H494" s="930">
        <f>F494*20</f>
        <v>7.65</v>
      </c>
      <c r="I494" s="150">
        <v>0</v>
      </c>
      <c r="J494" s="150">
        <f>0*B494</f>
        <v>0</v>
      </c>
      <c r="K494" s="150">
        <f>B494*165</f>
        <v>1485</v>
      </c>
      <c r="L494" s="172">
        <f t="shared" si="98"/>
        <v>1485</v>
      </c>
      <c r="M494" s="1539">
        <f t="shared" si="99"/>
        <v>9.0921614547458312</v>
      </c>
      <c r="N494" s="1540"/>
    </row>
    <row r="495" spans="1:21">
      <c r="A495" s="78" t="s">
        <v>33</v>
      </c>
      <c r="B495" s="1536">
        <f>Ontario!N8</f>
        <v>168</v>
      </c>
      <c r="C495" s="1424"/>
      <c r="D495" s="1423">
        <f t="shared" si="97"/>
        <v>1510905.9168</v>
      </c>
      <c r="E495" s="1424"/>
      <c r="F495" s="1549">
        <f>0.0276*B495</f>
        <v>4.6368</v>
      </c>
      <c r="G495" s="1550"/>
      <c r="H495" s="930">
        <f>F495*15</f>
        <v>69.552000000000007</v>
      </c>
      <c r="I495" s="150">
        <f>0*B495</f>
        <v>0</v>
      </c>
      <c r="J495" s="150">
        <f>0*B495</f>
        <v>0</v>
      </c>
      <c r="K495" s="150">
        <f>B495*110</f>
        <v>18480</v>
      </c>
      <c r="L495" s="172">
        <f t="shared" si="98"/>
        <v>18480</v>
      </c>
      <c r="M495" s="1539">
        <f t="shared" si="99"/>
        <v>9.3337406238332825</v>
      </c>
      <c r="N495" s="1540"/>
    </row>
    <row r="496" spans="1:21">
      <c r="A496" s="78" t="s">
        <v>56</v>
      </c>
      <c r="B496" s="1536">
        <f>Ontario!N9</f>
        <v>110</v>
      </c>
      <c r="C496" s="1424"/>
      <c r="D496" s="1423">
        <f>F496*325851</f>
        <v>143374.44</v>
      </c>
      <c r="E496" s="1424"/>
      <c r="F496" s="1549">
        <f>0.004*B496</f>
        <v>0.44</v>
      </c>
      <c r="G496" s="1550"/>
      <c r="H496" s="930">
        <f>F496*5</f>
        <v>2.2000000000000002</v>
      </c>
      <c r="I496" s="150">
        <f>0*B496</f>
        <v>0</v>
      </c>
      <c r="J496" s="150">
        <f>0*B496</f>
        <v>0</v>
      </c>
      <c r="K496" s="150">
        <f>B496*4</f>
        <v>440</v>
      </c>
      <c r="L496" s="172">
        <f>I496+J496+K496</f>
        <v>440</v>
      </c>
      <c r="M496" s="1539">
        <f>L496/(F496*427)</f>
        <v>2.3419203747072599</v>
      </c>
      <c r="N496" s="1540"/>
    </row>
    <row r="497" spans="1:21">
      <c r="A497" s="78" t="s">
        <v>30</v>
      </c>
      <c r="B497" s="1536">
        <f>Ontario!N10</f>
        <v>1</v>
      </c>
      <c r="C497" s="1424"/>
      <c r="D497" s="1423">
        <f t="shared" si="97"/>
        <v>105901.575</v>
      </c>
      <c r="E497" s="1424"/>
      <c r="F497" s="1549">
        <f>0.325*B497</f>
        <v>0.32500000000000001</v>
      </c>
      <c r="G497" s="1550"/>
      <c r="H497" s="930">
        <f>F497*10</f>
        <v>3.25</v>
      </c>
      <c r="I497" s="150">
        <v>0</v>
      </c>
      <c r="J497" s="150">
        <f>160*B497</f>
        <v>160</v>
      </c>
      <c r="K497" s="150">
        <f>B497*80</f>
        <v>80</v>
      </c>
      <c r="L497" s="172">
        <f t="shared" si="98"/>
        <v>240</v>
      </c>
      <c r="M497" s="1539">
        <f t="shared" si="99"/>
        <v>1.7294181228607457</v>
      </c>
      <c r="N497" s="1540"/>
    </row>
    <row r="498" spans="1:21">
      <c r="A498" s="76" t="s">
        <v>80</v>
      </c>
      <c r="B498" s="1536">
        <f>Ontario!N11</f>
        <v>3</v>
      </c>
      <c r="C498" s="1424"/>
      <c r="D498" s="1423">
        <f t="shared" si="97"/>
        <v>122350.53348</v>
      </c>
      <c r="E498" s="1424"/>
      <c r="F498" s="1635">
        <f>0.00014*2682</f>
        <v>0.37547999999999998</v>
      </c>
      <c r="G498" s="1558"/>
      <c r="H498" s="930">
        <f>F498*10</f>
        <v>3.7547999999999999</v>
      </c>
      <c r="I498" s="150">
        <v>0</v>
      </c>
      <c r="J498" s="150">
        <f>2*2682</f>
        <v>5364</v>
      </c>
      <c r="K498" s="150">
        <f>B498*0</f>
        <v>0</v>
      </c>
      <c r="L498" s="172">
        <f t="shared" si="98"/>
        <v>5364</v>
      </c>
      <c r="M498" s="1539">
        <f t="shared" si="99"/>
        <v>33.456005352960858</v>
      </c>
      <c r="N498" s="1540"/>
    </row>
    <row r="499" spans="1:21" ht="17" thickBot="1">
      <c r="A499" s="76" t="s">
        <v>81</v>
      </c>
      <c r="B499" s="1536">
        <f>Ontario!N12</f>
        <v>5</v>
      </c>
      <c r="C499" s="1424"/>
      <c r="D499" s="1423">
        <f t="shared" si="97"/>
        <v>227046.45977999998</v>
      </c>
      <c r="E499" s="1424"/>
      <c r="F499" s="1633">
        <f>0.00014*4977</f>
        <v>0.69677999999999995</v>
      </c>
      <c r="G499" s="1550"/>
      <c r="H499" s="930">
        <f>F499*10</f>
        <v>6.9677999999999995</v>
      </c>
      <c r="I499" s="150">
        <v>0</v>
      </c>
      <c r="J499" s="150">
        <f>0.3*4977</f>
        <v>1493.1</v>
      </c>
      <c r="K499" s="150">
        <f>4377*0.3</f>
        <v>1313.1</v>
      </c>
      <c r="L499" s="172">
        <f t="shared" si="98"/>
        <v>2806.2</v>
      </c>
      <c r="M499" s="1539">
        <f t="shared" si="99"/>
        <v>9.431810550681007</v>
      </c>
      <c r="N499" s="1540"/>
    </row>
    <row r="500" spans="1:21" s="532" customFormat="1" ht="17" thickBot="1">
      <c r="A500" s="53" t="s">
        <v>60</v>
      </c>
      <c r="B500" s="1440">
        <f>SUM(B493:C499)</f>
        <v>302</v>
      </c>
      <c r="C500" s="1609"/>
      <c r="D500" s="1441">
        <f>SUM(D493:E499)</f>
        <v>2308315.4499599999</v>
      </c>
      <c r="E500" s="1609"/>
      <c r="F500" s="1512">
        <f>SUM(F493:G499)</f>
        <v>7.0839599999999994</v>
      </c>
      <c r="G500" s="1575"/>
      <c r="H500" s="612">
        <f>SUM(H493:H499)</f>
        <v>97.922600000000003</v>
      </c>
      <c r="I500" s="143">
        <f>SUM(I493:I499)</f>
        <v>0</v>
      </c>
      <c r="J500" s="143">
        <f>SUM(J493:J499)</f>
        <v>7017.1</v>
      </c>
      <c r="K500" s="143">
        <f>SUM(K493:K499)</f>
        <v>22158.1</v>
      </c>
      <c r="L500" s="152">
        <f>SUM(L493:L499)</f>
        <v>29175.200000000001</v>
      </c>
      <c r="M500" s="1657"/>
      <c r="N500" s="1622"/>
      <c r="O500" s="1401"/>
      <c r="P500" s="1401"/>
      <c r="Q500" s="1401"/>
      <c r="R500" s="1401"/>
      <c r="S500" s="1401"/>
      <c r="T500" s="1401"/>
      <c r="U500" s="1401"/>
    </row>
    <row r="501" spans="1:21" s="1161" customFormat="1" ht="17" thickBot="1">
      <c r="A501" s="108" t="s">
        <v>147</v>
      </c>
      <c r="B501" s="1457"/>
      <c r="C501" s="1586"/>
      <c r="D501" s="1567"/>
      <c r="E501" s="1586"/>
      <c r="F501" s="1484"/>
      <c r="G501" s="1588"/>
      <c r="H501" s="1145"/>
      <c r="I501" s="161"/>
      <c r="J501" s="161"/>
      <c r="K501" s="161"/>
      <c r="L501" s="162"/>
      <c r="M501" s="1617"/>
      <c r="N501" s="1486"/>
      <c r="O501" s="274"/>
      <c r="P501" s="274"/>
      <c r="Q501" s="274"/>
      <c r="R501" s="274"/>
      <c r="S501" s="274"/>
      <c r="T501" s="274"/>
      <c r="U501" s="274"/>
    </row>
    <row r="502" spans="1:21" s="512" customFormat="1" ht="14" thickBot="1">
      <c r="A502" s="76" t="s">
        <v>147</v>
      </c>
      <c r="B502" s="1451">
        <f>Ontario!N15</f>
        <v>708</v>
      </c>
      <c r="C502" s="1448"/>
      <c r="D502" s="1447">
        <f>F502*325851</f>
        <v>8743625.0532000009</v>
      </c>
      <c r="E502" s="1448"/>
      <c r="F502" s="1635">
        <f>0.0379*B502</f>
        <v>26.833200000000001</v>
      </c>
      <c r="G502" s="1558"/>
      <c r="H502" s="935">
        <f>F502*20</f>
        <v>536.66399999999999</v>
      </c>
      <c r="I502" s="173">
        <f>73.34*B502</f>
        <v>51924.72</v>
      </c>
      <c r="J502" s="173">
        <f>35.66*B502</f>
        <v>25247.279999999999</v>
      </c>
      <c r="K502" s="173">
        <f>B502*60</f>
        <v>42480</v>
      </c>
      <c r="L502" s="174">
        <f>I502+J502+K502</f>
        <v>119652</v>
      </c>
      <c r="M502" s="1427">
        <f>L502/(F502*427)</f>
        <v>10.442863939987518</v>
      </c>
      <c r="N502" s="1428"/>
    </row>
    <row r="503" spans="1:21" s="533" customFormat="1" ht="14" thickBot="1">
      <c r="A503" s="53" t="s">
        <v>60</v>
      </c>
      <c r="B503" s="1440">
        <f>SUM(B502)</f>
        <v>708</v>
      </c>
      <c r="C503" s="1609"/>
      <c r="D503" s="1441">
        <f>SUM(D502)</f>
        <v>8743625.0532000009</v>
      </c>
      <c r="E503" s="1609"/>
      <c r="F503" s="1512">
        <f>SUM(F502)</f>
        <v>26.833200000000001</v>
      </c>
      <c r="G503" s="1575"/>
      <c r="H503" s="612">
        <f>SUM(H502)</f>
        <v>536.66399999999999</v>
      </c>
      <c r="I503" s="143">
        <f>SUM(I502)</f>
        <v>51924.72</v>
      </c>
      <c r="J503" s="143">
        <f>SUM(J502)</f>
        <v>25247.279999999999</v>
      </c>
      <c r="K503" s="143">
        <f>SUM(K502)</f>
        <v>42480</v>
      </c>
      <c r="L503" s="152">
        <f>SUM(L502)</f>
        <v>119652</v>
      </c>
      <c r="M503" s="1657"/>
      <c r="N503" s="1622"/>
      <c r="O503" s="534"/>
      <c r="P503" s="534"/>
      <c r="Q503" s="534"/>
      <c r="R503" s="534"/>
      <c r="S503" s="534"/>
      <c r="T503" s="534"/>
      <c r="U503" s="534"/>
    </row>
    <row r="504" spans="1:21" s="1161" customFormat="1" ht="17" thickBot="1">
      <c r="A504" s="108" t="s">
        <v>50</v>
      </c>
      <c r="B504" s="1457"/>
      <c r="C504" s="1586"/>
      <c r="D504" s="1567"/>
      <c r="E504" s="1586"/>
      <c r="F504" s="1484"/>
      <c r="G504" s="1588"/>
      <c r="H504" s="1145"/>
      <c r="I504" s="161"/>
      <c r="J504" s="161"/>
      <c r="K504" s="161"/>
      <c r="L504" s="162"/>
      <c r="M504" s="1617"/>
      <c r="N504" s="1486"/>
      <c r="O504" s="274"/>
      <c r="P504" s="274"/>
      <c r="Q504" s="274"/>
      <c r="R504" s="274"/>
      <c r="S504" s="274"/>
      <c r="T504" s="274"/>
      <c r="U504" s="274"/>
    </row>
    <row r="505" spans="1:21">
      <c r="A505" s="78" t="s">
        <v>26</v>
      </c>
      <c r="B505" s="1536">
        <f>Ontario!N18</f>
        <v>0</v>
      </c>
      <c r="C505" s="1424"/>
      <c r="D505" s="1423">
        <f t="shared" ref="D505:D513" si="100">F505*325851</f>
        <v>0</v>
      </c>
      <c r="E505" s="1424"/>
      <c r="F505" s="1633">
        <f>0.0379*B505</f>
        <v>0</v>
      </c>
      <c r="G505" s="1550"/>
      <c r="H505" s="930">
        <f>F505*20</f>
        <v>0</v>
      </c>
      <c r="I505" s="150">
        <v>0</v>
      </c>
      <c r="J505" s="150">
        <f>35.66*B505</f>
        <v>0</v>
      </c>
      <c r="K505" s="150">
        <f>135*B505</f>
        <v>0</v>
      </c>
      <c r="L505" s="172">
        <f>SUM(I505:K505)</f>
        <v>0</v>
      </c>
      <c r="M505" s="1539">
        <v>0</v>
      </c>
      <c r="N505" s="1540"/>
    </row>
    <row r="506" spans="1:21">
      <c r="A506" s="78" t="s">
        <v>25</v>
      </c>
      <c r="B506" s="1536">
        <f>Ontario!N19</f>
        <v>8</v>
      </c>
      <c r="C506" s="1424"/>
      <c r="D506" s="1423">
        <f t="shared" si="100"/>
        <v>98798.023200000011</v>
      </c>
      <c r="E506" s="1424"/>
      <c r="F506" s="1633">
        <f>0.0379*B506</f>
        <v>0.30320000000000003</v>
      </c>
      <c r="G506" s="1550"/>
      <c r="H506" s="930">
        <f>F506*20</f>
        <v>6.0640000000000001</v>
      </c>
      <c r="I506" s="150">
        <v>0</v>
      </c>
      <c r="J506" s="150">
        <f>0*B506</f>
        <v>0</v>
      </c>
      <c r="K506" s="150">
        <f>135*B506</f>
        <v>1080</v>
      </c>
      <c r="L506" s="172">
        <f t="shared" ref="L506:L521" si="101">SUM(I506:K506)</f>
        <v>1080</v>
      </c>
      <c r="M506" s="1539">
        <f t="shared" ref="M506:M511" si="102">L506/(F506*427)</f>
        <v>8.3419327331261233</v>
      </c>
      <c r="N506" s="1540"/>
    </row>
    <row r="507" spans="1:21">
      <c r="A507" s="78" t="s">
        <v>29</v>
      </c>
      <c r="B507" s="1536">
        <f>Ontario!N20</f>
        <v>1140</v>
      </c>
      <c r="C507" s="1424"/>
      <c r="D507" s="1423">
        <f t="shared" si="100"/>
        <v>15787480.950000001</v>
      </c>
      <c r="E507" s="1424"/>
      <c r="F507" s="1633">
        <f>0.0425*B507</f>
        <v>48.45</v>
      </c>
      <c r="G507" s="1550"/>
      <c r="H507" s="930">
        <f>F507*20</f>
        <v>969</v>
      </c>
      <c r="I507" s="150">
        <v>0</v>
      </c>
      <c r="J507" s="150">
        <f>135*B507</f>
        <v>153900</v>
      </c>
      <c r="K507" s="150">
        <f>165*B507</f>
        <v>188100</v>
      </c>
      <c r="L507" s="172">
        <f t="shared" si="101"/>
        <v>342000</v>
      </c>
      <c r="M507" s="1539">
        <f t="shared" si="102"/>
        <v>16.531202644992423</v>
      </c>
      <c r="N507" s="1540"/>
    </row>
    <row r="508" spans="1:21">
      <c r="A508" s="78" t="s">
        <v>51</v>
      </c>
      <c r="B508" s="1536">
        <f>Ontario!N21</f>
        <v>262</v>
      </c>
      <c r="C508" s="1424"/>
      <c r="D508" s="1423">
        <f t="shared" si="100"/>
        <v>2356293.7512000003</v>
      </c>
      <c r="E508" s="1424"/>
      <c r="F508" s="1633">
        <f>0.0276*B508</f>
        <v>7.2312000000000003</v>
      </c>
      <c r="G508" s="1550"/>
      <c r="H508" s="930">
        <f>F508*15</f>
        <v>108.468</v>
      </c>
      <c r="I508" s="150">
        <v>0</v>
      </c>
      <c r="J508" s="150">
        <f>0*B508</f>
        <v>0</v>
      </c>
      <c r="K508" s="150">
        <f>400*B508</f>
        <v>104800</v>
      </c>
      <c r="L508" s="172">
        <f t="shared" si="101"/>
        <v>104800</v>
      </c>
      <c r="M508" s="1539">
        <f t="shared" si="102"/>
        <v>33.94087499575739</v>
      </c>
      <c r="N508" s="1540"/>
    </row>
    <row r="509" spans="1:21">
      <c r="A509" s="78" t="s">
        <v>20</v>
      </c>
      <c r="B509" s="1536">
        <f>Ontario!N22</f>
        <v>9</v>
      </c>
      <c r="C509" s="1424"/>
      <c r="D509" s="1423">
        <f t="shared" si="100"/>
        <v>1888632.3960000002</v>
      </c>
      <c r="E509" s="1424"/>
      <c r="F509" s="1633">
        <f>0.644*B509</f>
        <v>5.7960000000000003</v>
      </c>
      <c r="G509" s="1550"/>
      <c r="H509" s="930">
        <f>F509*5</f>
        <v>28.98</v>
      </c>
      <c r="I509" s="150">
        <v>0</v>
      </c>
      <c r="J509" s="150">
        <f>175*B509</f>
        <v>1575</v>
      </c>
      <c r="K509" s="150">
        <f>625*B509</f>
        <v>5625</v>
      </c>
      <c r="L509" s="172">
        <f t="shared" si="101"/>
        <v>7200</v>
      </c>
      <c r="M509" s="1539">
        <f t="shared" si="102"/>
        <v>2.9092178567792044</v>
      </c>
      <c r="N509" s="1540"/>
    </row>
    <row r="510" spans="1:21">
      <c r="A510" s="78" t="s">
        <v>13</v>
      </c>
      <c r="B510" s="1536">
        <f>Ontario!N23</f>
        <v>5</v>
      </c>
      <c r="C510" s="1424"/>
      <c r="D510" s="1423">
        <f t="shared" si="100"/>
        <v>44967.438000000002</v>
      </c>
      <c r="E510" s="1424"/>
      <c r="F510" s="1633">
        <f>0.0276*B510</f>
        <v>0.13800000000000001</v>
      </c>
      <c r="G510" s="1550"/>
      <c r="H510" s="930">
        <f>F510*15</f>
        <v>2.0700000000000003</v>
      </c>
      <c r="I510" s="150">
        <v>0</v>
      </c>
      <c r="J510" s="150">
        <f>290*B510</f>
        <v>1450</v>
      </c>
      <c r="K510" s="150">
        <f>130*B510</f>
        <v>650</v>
      </c>
      <c r="L510" s="172">
        <f t="shared" si="101"/>
        <v>2100</v>
      </c>
      <c r="M510" s="1539">
        <f t="shared" si="102"/>
        <v>35.637918745545257</v>
      </c>
      <c r="N510" s="1540"/>
    </row>
    <row r="511" spans="1:21">
      <c r="A511" s="76" t="s">
        <v>47</v>
      </c>
      <c r="B511" s="1536">
        <f>Ontario!N24</f>
        <v>1</v>
      </c>
      <c r="C511" s="1424"/>
      <c r="D511" s="1423">
        <f t="shared" si="100"/>
        <v>49985.543400000002</v>
      </c>
      <c r="E511" s="1424"/>
      <c r="F511" s="1633">
        <f>0.1534*B511</f>
        <v>0.15340000000000001</v>
      </c>
      <c r="G511" s="1550"/>
      <c r="H511" s="930">
        <f>F511*5</f>
        <v>0.76700000000000002</v>
      </c>
      <c r="I511" s="150">
        <v>0</v>
      </c>
      <c r="J511" s="150">
        <f>0*B511</f>
        <v>0</v>
      </c>
      <c r="K511" s="150">
        <f>150*B511</f>
        <v>150</v>
      </c>
      <c r="L511" s="172">
        <f t="shared" si="101"/>
        <v>150</v>
      </c>
      <c r="M511" s="1539">
        <f t="shared" si="102"/>
        <v>2.2900134042117926</v>
      </c>
      <c r="N511" s="1540"/>
    </row>
    <row r="512" spans="1:21">
      <c r="A512" s="76" t="s">
        <v>30</v>
      </c>
      <c r="B512" s="1536">
        <f>Ontario!N26</f>
        <v>0</v>
      </c>
      <c r="C512" s="1424"/>
      <c r="D512" s="1423">
        <f t="shared" si="100"/>
        <v>0</v>
      </c>
      <c r="E512" s="1424"/>
      <c r="F512" s="1633">
        <f>0.325*B512</f>
        <v>0</v>
      </c>
      <c r="G512" s="1550"/>
      <c r="H512" s="930">
        <f>F512*10</f>
        <v>0</v>
      </c>
      <c r="I512" s="150">
        <v>0</v>
      </c>
      <c r="J512" s="150">
        <f>0*B512</f>
        <v>0</v>
      </c>
      <c r="K512" s="150">
        <f>630*B512</f>
        <v>0</v>
      </c>
      <c r="L512" s="172">
        <f t="shared" si="101"/>
        <v>0</v>
      </c>
      <c r="M512" s="1539">
        <v>0</v>
      </c>
      <c r="N512" s="1540"/>
    </row>
    <row r="513" spans="1:21">
      <c r="A513" s="76" t="s">
        <v>53</v>
      </c>
      <c r="B513" s="1536">
        <f>Ontario!N29</f>
        <v>0</v>
      </c>
      <c r="C513" s="1424"/>
      <c r="D513" s="1423">
        <f t="shared" si="100"/>
        <v>0</v>
      </c>
      <c r="E513" s="1424"/>
      <c r="F513" s="1633">
        <f>0.00014*B513</f>
        <v>0</v>
      </c>
      <c r="G513" s="1550"/>
      <c r="H513" s="930">
        <f>F513*10</f>
        <v>0</v>
      </c>
      <c r="I513" s="150">
        <v>0</v>
      </c>
      <c r="J513" s="150">
        <f>0.3*B513</f>
        <v>0</v>
      </c>
      <c r="K513" s="150">
        <f>0.3*B513</f>
        <v>0</v>
      </c>
      <c r="L513" s="172">
        <f t="shared" si="101"/>
        <v>0</v>
      </c>
      <c r="M513" s="1539">
        <v>0</v>
      </c>
      <c r="N513" s="1540"/>
    </row>
    <row r="514" spans="1:21" ht="17" thickBot="1">
      <c r="A514" s="76" t="s">
        <v>56</v>
      </c>
      <c r="B514" s="1536">
        <f>Ontario!N30</f>
        <v>0</v>
      </c>
      <c r="C514" s="1424"/>
      <c r="D514" s="1423">
        <f>F514*325851</f>
        <v>0</v>
      </c>
      <c r="E514" s="1424"/>
      <c r="F514" s="1650">
        <f>0.004*B514</f>
        <v>0</v>
      </c>
      <c r="G514" s="1572"/>
      <c r="H514" s="930">
        <f>F514*5</f>
        <v>0</v>
      </c>
      <c r="I514" s="150">
        <v>0</v>
      </c>
      <c r="J514" s="150">
        <f>0*B514</f>
        <v>0</v>
      </c>
      <c r="K514" s="150">
        <f>4*B514</f>
        <v>0</v>
      </c>
      <c r="L514" s="172">
        <f t="shared" si="101"/>
        <v>0</v>
      </c>
      <c r="M514" s="1539">
        <v>0</v>
      </c>
      <c r="N514" s="1540"/>
    </row>
    <row r="515" spans="1:21" s="532" customFormat="1" ht="17" thickBot="1">
      <c r="A515" s="53" t="s">
        <v>60</v>
      </c>
      <c r="B515" s="1440">
        <f>SUM(B505:C514)</f>
        <v>1425</v>
      </c>
      <c r="C515" s="1609"/>
      <c r="D515" s="1441">
        <f>SUM(D505:E514)</f>
        <v>20226158.101800006</v>
      </c>
      <c r="E515" s="1439"/>
      <c r="F515" s="1512">
        <f>SUM(F505:G514)</f>
        <v>62.071799999999996</v>
      </c>
      <c r="G515" s="1512"/>
      <c r="H515" s="448">
        <f>SUM(H505:H514)</f>
        <v>1115.3489999999999</v>
      </c>
      <c r="I515" s="143">
        <f>SUM(I505:I514)</f>
        <v>0</v>
      </c>
      <c r="J515" s="143">
        <f>SUM(J505:J514)</f>
        <v>156925</v>
      </c>
      <c r="K515" s="143">
        <f>SUM(K505:K514)</f>
        <v>300405</v>
      </c>
      <c r="L515" s="143">
        <f>SUM(L505:L514)</f>
        <v>457330</v>
      </c>
      <c r="M515" s="1657"/>
      <c r="N515" s="1622"/>
      <c r="O515" s="1401"/>
      <c r="P515" s="1401"/>
      <c r="Q515" s="1401"/>
      <c r="R515" s="1401"/>
      <c r="S515" s="1401"/>
      <c r="T515" s="1401"/>
      <c r="U515" s="1401"/>
    </row>
    <row r="516" spans="1:21" s="1161" customFormat="1" ht="17" thickBot="1">
      <c r="A516" s="108" t="s">
        <v>54</v>
      </c>
      <c r="B516" s="1457"/>
      <c r="C516" s="1586"/>
      <c r="D516" s="1567"/>
      <c r="E516" s="1586"/>
      <c r="F516" s="1484"/>
      <c r="G516" s="1588"/>
      <c r="H516" s="1145"/>
      <c r="I516" s="161"/>
      <c r="J516" s="161"/>
      <c r="K516" s="161"/>
      <c r="L516" s="162"/>
      <c r="M516" s="1617"/>
      <c r="N516" s="1486"/>
      <c r="O516" s="274"/>
      <c r="P516" s="274"/>
      <c r="Q516" s="274"/>
      <c r="R516" s="274"/>
      <c r="S516" s="274"/>
      <c r="T516" s="274"/>
      <c r="U516" s="274"/>
    </row>
    <row r="517" spans="1:21">
      <c r="A517" s="513" t="s">
        <v>29</v>
      </c>
      <c r="B517" s="1596">
        <f>Ontario!N30</f>
        <v>0</v>
      </c>
      <c r="C517" s="1683"/>
      <c r="D517" s="1423">
        <f>F517*325851</f>
        <v>0</v>
      </c>
      <c r="E517" s="1424"/>
      <c r="F517" s="1633">
        <f>0.0425*B517</f>
        <v>0</v>
      </c>
      <c r="G517" s="1550"/>
      <c r="H517" s="930">
        <f>F517*20</f>
        <v>0</v>
      </c>
      <c r="I517" s="150">
        <v>0</v>
      </c>
      <c r="J517" s="150">
        <f>35.66*B517</f>
        <v>0</v>
      </c>
      <c r="K517" s="150">
        <f>630*B517</f>
        <v>0</v>
      </c>
      <c r="L517" s="172">
        <f t="shared" si="101"/>
        <v>0</v>
      </c>
      <c r="M517" s="1539">
        <v>0</v>
      </c>
      <c r="N517" s="1540"/>
    </row>
    <row r="518" spans="1:21">
      <c r="A518" s="78" t="s">
        <v>51</v>
      </c>
      <c r="B518" s="1536">
        <f>Ontario!N31</f>
        <v>5</v>
      </c>
      <c r="C518" s="1649"/>
      <c r="D518" s="1423">
        <f>F518*325851</f>
        <v>199909.58850000001</v>
      </c>
      <c r="E518" s="1424"/>
      <c r="F518" s="1633">
        <f>0.1227*B518</f>
        <v>0.61350000000000005</v>
      </c>
      <c r="G518" s="1550"/>
      <c r="H518" s="930">
        <f>F518*20</f>
        <v>12.270000000000001</v>
      </c>
      <c r="I518" s="150">
        <v>0</v>
      </c>
      <c r="J518" s="150">
        <f>0*B518</f>
        <v>0</v>
      </c>
      <c r="K518" s="150">
        <f>1225*B518</f>
        <v>6125</v>
      </c>
      <c r="L518" s="172">
        <f t="shared" si="101"/>
        <v>6125</v>
      </c>
      <c r="M518" s="1539">
        <f>L518/(F518*427)</f>
        <v>23.381030635830424</v>
      </c>
      <c r="N518" s="1540"/>
    </row>
    <row r="519" spans="1:21">
      <c r="A519" s="78" t="s">
        <v>15</v>
      </c>
      <c r="B519" s="1536">
        <f>Ontario!N32</f>
        <v>7</v>
      </c>
      <c r="C519" s="1649"/>
      <c r="D519" s="1423">
        <f>F519*325851</f>
        <v>349898.80380000005</v>
      </c>
      <c r="E519" s="1424"/>
      <c r="F519" s="1633">
        <f>0.1534*B519</f>
        <v>1.0738000000000001</v>
      </c>
      <c r="G519" s="1550"/>
      <c r="H519" s="930">
        <f>F519*5</f>
        <v>5.3690000000000007</v>
      </c>
      <c r="I519" s="150">
        <v>0</v>
      </c>
      <c r="J519" s="150">
        <f>0*B519</f>
        <v>0</v>
      </c>
      <c r="K519" s="150">
        <f>380*B519</f>
        <v>2660</v>
      </c>
      <c r="L519" s="172">
        <f t="shared" si="101"/>
        <v>2660</v>
      </c>
      <c r="M519" s="1539">
        <f>L519/(F519*427)</f>
        <v>5.8013672906698748</v>
      </c>
      <c r="N519" s="1540"/>
    </row>
    <row r="520" spans="1:21">
      <c r="A520" s="78" t="s">
        <v>30</v>
      </c>
      <c r="B520" s="1536">
        <f>Ontario!N33</f>
        <v>0</v>
      </c>
      <c r="C520" s="1649"/>
      <c r="D520" s="1423">
        <f>F520*325851</f>
        <v>0</v>
      </c>
      <c r="E520" s="1424"/>
      <c r="F520" s="1633">
        <f>0.466*B520</f>
        <v>0</v>
      </c>
      <c r="G520" s="1550"/>
      <c r="H520" s="930">
        <f>F520*10</f>
        <v>0</v>
      </c>
      <c r="I520" s="150">
        <v>0</v>
      </c>
      <c r="J520" s="150">
        <f>0*B520</f>
        <v>0</v>
      </c>
      <c r="K520" s="150">
        <f>1004*B520</f>
        <v>0</v>
      </c>
      <c r="L520" s="172">
        <f t="shared" si="101"/>
        <v>0</v>
      </c>
      <c r="M520" s="1539">
        <v>0</v>
      </c>
      <c r="N520" s="1540"/>
    </row>
    <row r="521" spans="1:21" ht="17" thickBot="1">
      <c r="A521" s="78" t="s">
        <v>55</v>
      </c>
      <c r="B521" s="1536">
        <f>Ontario!N34</f>
        <v>0</v>
      </c>
      <c r="C521" s="1649"/>
      <c r="D521" s="1423">
        <f>F521*325851</f>
        <v>0</v>
      </c>
      <c r="E521" s="1424"/>
      <c r="F521" s="1635">
        <f>0.823*B521</f>
        <v>0</v>
      </c>
      <c r="G521" s="1558"/>
      <c r="H521" s="930">
        <f>F521*10</f>
        <v>0</v>
      </c>
      <c r="I521" s="150">
        <v>0</v>
      </c>
      <c r="J521" s="150">
        <f>0*B521</f>
        <v>0</v>
      </c>
      <c r="K521" s="150">
        <f>3124*B521</f>
        <v>0</v>
      </c>
      <c r="L521" s="172">
        <f t="shared" si="101"/>
        <v>0</v>
      </c>
      <c r="M521" s="1539">
        <v>0</v>
      </c>
      <c r="N521" s="1540"/>
    </row>
    <row r="522" spans="1:21" s="532" customFormat="1" ht="17" thickBot="1">
      <c r="A522" s="53" t="s">
        <v>60</v>
      </c>
      <c r="B522" s="1440">
        <f>SUM(B517:C521)</f>
        <v>12</v>
      </c>
      <c r="C522" s="1609"/>
      <c r="D522" s="1441">
        <f>SUM(D517:E521)</f>
        <v>549808.39230000007</v>
      </c>
      <c r="E522" s="1439"/>
      <c r="F522" s="1512">
        <f>SUM(F517:G521)</f>
        <v>1.6873</v>
      </c>
      <c r="G522" s="1575"/>
      <c r="H522" s="471">
        <f>SUM(H517:H521)</f>
        <v>17.639000000000003</v>
      </c>
      <c r="I522" s="143">
        <f>SUM(I517:I521)</f>
        <v>0</v>
      </c>
      <c r="J522" s="143">
        <f>SUM(J517:J521)</f>
        <v>0</v>
      </c>
      <c r="K522" s="143">
        <f>SUM(K517:K521)</f>
        <v>8785</v>
      </c>
      <c r="L522" s="152">
        <f>SUM(L517:L521)</f>
        <v>8785</v>
      </c>
      <c r="M522" s="1657"/>
      <c r="N522" s="1622"/>
      <c r="O522" s="1401"/>
      <c r="P522" s="1401"/>
      <c r="Q522" s="1401"/>
      <c r="R522" s="1401"/>
      <c r="S522" s="1401"/>
      <c r="T522" s="1401"/>
      <c r="U522" s="1401"/>
    </row>
    <row r="523" spans="1:21" s="1161" customFormat="1" ht="17" thickBot="1">
      <c r="A523" s="108" t="s">
        <v>17</v>
      </c>
      <c r="B523" s="1612">
        <f>SUM(B522,B500,B503,B515)</f>
        <v>2447</v>
      </c>
      <c r="C523" s="1415"/>
      <c r="D523" s="1416">
        <f>SUM(D522,D515,D503,D500)</f>
        <v>31827906.997260004</v>
      </c>
      <c r="E523" s="1415"/>
      <c r="F523" s="1487">
        <f>SUM(F522,F500,F503,F515)</f>
        <v>97.676259999999999</v>
      </c>
      <c r="G523" s="1488"/>
      <c r="H523" s="1164">
        <f>(H522+H515+H503+H500)</f>
        <v>1767.5745999999999</v>
      </c>
      <c r="I523" s="1175">
        <f>SUM(I522,I500,I503,I515)</f>
        <v>51924.72</v>
      </c>
      <c r="J523" s="1175">
        <f>SUM(J522,J500,J503,J515)</f>
        <v>189189.38</v>
      </c>
      <c r="K523" s="1175">
        <f>SUM(K522,K500,K503,K515)</f>
        <v>373828.1</v>
      </c>
      <c r="L523" s="1247">
        <f>SUM(L522,L500,L503,L515)</f>
        <v>614942.19999999995</v>
      </c>
      <c r="M523" s="1631"/>
      <c r="N523" s="1632"/>
      <c r="O523" s="274"/>
      <c r="P523" s="274"/>
      <c r="Q523" s="274"/>
      <c r="R523" s="274"/>
      <c r="S523" s="274"/>
      <c r="T523" s="274"/>
      <c r="U523" s="274"/>
    </row>
    <row r="524" spans="1:21" s="353" customFormat="1">
      <c r="A524" s="60"/>
      <c r="B524" s="61"/>
      <c r="C524" s="61"/>
      <c r="D524" s="61"/>
      <c r="E524" s="61"/>
      <c r="F524" s="441"/>
      <c r="G524" s="441"/>
      <c r="H524" s="441"/>
      <c r="I524" s="63"/>
      <c r="J524" s="63"/>
      <c r="K524" s="63"/>
      <c r="L524" s="63"/>
      <c r="M524" s="64"/>
      <c r="N524" s="65"/>
      <c r="O524" s="274"/>
      <c r="P524" s="274"/>
      <c r="Q524" s="274"/>
      <c r="R524" s="274"/>
      <c r="S524" s="274"/>
      <c r="T524" s="274"/>
      <c r="U524" s="274"/>
    </row>
    <row r="525" spans="1:21" ht="18">
      <c r="A525" s="356" t="s">
        <v>271</v>
      </c>
      <c r="B525" s="1566" t="s">
        <v>59</v>
      </c>
      <c r="C525" s="1566"/>
      <c r="D525" s="1566"/>
      <c r="E525" s="1566"/>
      <c r="F525" s="441"/>
      <c r="G525" s="441"/>
      <c r="H525" s="441"/>
      <c r="I525" s="63"/>
      <c r="J525" s="63"/>
      <c r="K525" s="63"/>
      <c r="L525" s="63"/>
      <c r="M525" s="64"/>
      <c r="N525" s="65"/>
    </row>
    <row r="526" spans="1:21">
      <c r="A526" s="353"/>
      <c r="B526" s="1559" t="s">
        <v>19</v>
      </c>
      <c r="C526" s="1559"/>
      <c r="D526" s="1559"/>
      <c r="E526" s="1559"/>
      <c r="F526" s="441"/>
      <c r="G526" s="441"/>
      <c r="H526" s="441"/>
      <c r="I526" s="63"/>
      <c r="J526" s="63"/>
      <c r="K526" s="63"/>
      <c r="L526" s="63"/>
      <c r="M526" s="64"/>
      <c r="N526" s="65"/>
    </row>
    <row r="527" spans="1:21" ht="17" thickBot="1">
      <c r="A527" s="983"/>
      <c r="B527" s="549"/>
      <c r="C527" s="549"/>
      <c r="D527" s="549"/>
      <c r="E527" s="549"/>
      <c r="F527" s="441"/>
      <c r="G527" s="441"/>
      <c r="H527" s="441"/>
      <c r="I527" s="63"/>
      <c r="J527" s="63"/>
      <c r="K527" s="63"/>
      <c r="L527" s="63"/>
      <c r="M527" s="64"/>
      <c r="N527" s="65"/>
    </row>
    <row r="528" spans="1:21">
      <c r="A528" s="98"/>
      <c r="B528" s="99"/>
      <c r="C528" s="99"/>
      <c r="D528" s="99"/>
      <c r="E528" s="99"/>
      <c r="F528" s="421"/>
      <c r="G528" s="421"/>
      <c r="H528" s="421"/>
      <c r="I528" s="1468" t="s">
        <v>0</v>
      </c>
      <c r="J528" s="1468"/>
      <c r="K528" s="1468"/>
      <c r="L528" s="1468"/>
      <c r="M528" s="99"/>
      <c r="N528" s="101"/>
    </row>
    <row r="529" spans="1:21">
      <c r="A529" s="97"/>
      <c r="B529" s="1469" t="s">
        <v>1</v>
      </c>
      <c r="C529" s="1469"/>
      <c r="D529" s="1469" t="s">
        <v>2</v>
      </c>
      <c r="E529" s="1469"/>
      <c r="F529" s="1470" t="s">
        <v>3</v>
      </c>
      <c r="G529" s="1470"/>
      <c r="H529" s="438" t="s">
        <v>3</v>
      </c>
      <c r="I529" s="127" t="s">
        <v>195</v>
      </c>
      <c r="J529" s="102"/>
      <c r="K529" s="102"/>
      <c r="L529" s="128"/>
      <c r="M529" s="1469" t="s">
        <v>4</v>
      </c>
      <c r="N529" s="1526"/>
    </row>
    <row r="530" spans="1:21" ht="19" thickBot="1">
      <c r="A530" s="103" t="s">
        <v>5</v>
      </c>
      <c r="B530" s="1473" t="s">
        <v>6</v>
      </c>
      <c r="C530" s="1473"/>
      <c r="D530" s="1473" t="s">
        <v>7</v>
      </c>
      <c r="E530" s="1473"/>
      <c r="F530" s="1474" t="s">
        <v>7</v>
      </c>
      <c r="G530" s="1474"/>
      <c r="H530" s="439" t="s">
        <v>58</v>
      </c>
      <c r="I530" s="398" t="s">
        <v>196</v>
      </c>
      <c r="J530" s="397" t="s">
        <v>8</v>
      </c>
      <c r="K530" s="397" t="s">
        <v>9</v>
      </c>
      <c r="L530" s="401" t="s">
        <v>10</v>
      </c>
      <c r="M530" s="1473" t="s">
        <v>145</v>
      </c>
      <c r="N530" s="1475"/>
    </row>
    <row r="531" spans="1:21" ht="24" thickBot="1">
      <c r="A531" s="88" t="s">
        <v>133</v>
      </c>
      <c r="B531" s="1674"/>
      <c r="C531" s="1675"/>
      <c r="D531" s="1676"/>
      <c r="E531" s="1677"/>
      <c r="F531" s="1678"/>
      <c r="G531" s="1679"/>
      <c r="H531" s="456"/>
      <c r="I531" s="357"/>
      <c r="J531" s="357"/>
      <c r="K531" s="357"/>
      <c r="L531" s="358"/>
      <c r="M531" s="1680"/>
      <c r="N531" s="1681"/>
    </row>
    <row r="532" spans="1:21" s="1161" customFormat="1" ht="17" thickBot="1">
      <c r="A532" s="108" t="s">
        <v>48</v>
      </c>
      <c r="B532" s="1457"/>
      <c r="C532" s="1586"/>
      <c r="D532" s="1567"/>
      <c r="E532" s="1586"/>
      <c r="F532" s="1587"/>
      <c r="G532" s="1588"/>
      <c r="H532" s="1145"/>
      <c r="I532" s="109"/>
      <c r="J532" s="109"/>
      <c r="K532" s="109"/>
      <c r="L532" s="1141"/>
      <c r="M532" s="1617"/>
      <c r="N532" s="1486"/>
      <c r="O532" s="274"/>
      <c r="P532" s="274"/>
      <c r="Q532" s="274"/>
      <c r="R532" s="274"/>
      <c r="S532" s="274"/>
      <c r="T532" s="274"/>
      <c r="U532" s="274"/>
    </row>
    <row r="533" spans="1:21">
      <c r="A533" s="78" t="s">
        <v>28</v>
      </c>
      <c r="B533" s="1536">
        <f>[1]Ontario!$N$4</f>
        <v>16</v>
      </c>
      <c r="C533" s="1424"/>
      <c r="D533" s="1423">
        <f>F533*325851</f>
        <v>180912.47520000002</v>
      </c>
      <c r="E533" s="1424"/>
      <c r="F533" s="1549">
        <f>0.0347*B533</f>
        <v>0.55520000000000003</v>
      </c>
      <c r="G533" s="1550"/>
      <c r="H533" s="930">
        <f>F533*20</f>
        <v>11.104000000000001</v>
      </c>
      <c r="I533" s="150">
        <v>0</v>
      </c>
      <c r="J533" s="150">
        <v>0</v>
      </c>
      <c r="K533" s="150">
        <f>60*B533</f>
        <v>960</v>
      </c>
      <c r="L533" s="172">
        <f t="shared" ref="L533:L538" si="103">I533+J533+K533</f>
        <v>960</v>
      </c>
      <c r="M533" s="1539">
        <f>L533/(F533*427)</f>
        <v>4.0494300427214869</v>
      </c>
      <c r="N533" s="1540"/>
    </row>
    <row r="534" spans="1:21">
      <c r="A534" s="78" t="s">
        <v>29</v>
      </c>
      <c r="B534" s="1536">
        <f>[1]Ontario!$N$5</f>
        <v>3</v>
      </c>
      <c r="C534" s="1424"/>
      <c r="D534" s="1423">
        <f t="shared" ref="D534:D551" si="104">F534*325851</f>
        <v>41546.002500000002</v>
      </c>
      <c r="E534" s="1424"/>
      <c r="F534" s="1549">
        <f>0.0425*B534</f>
        <v>0.1275</v>
      </c>
      <c r="G534" s="1550"/>
      <c r="H534" s="930">
        <f>F534*20</f>
        <v>2.5499999999999998</v>
      </c>
      <c r="I534" s="150">
        <v>0</v>
      </c>
      <c r="J534" s="150">
        <v>0</v>
      </c>
      <c r="K534" s="150">
        <f>B534*265</f>
        <v>795</v>
      </c>
      <c r="L534" s="172">
        <f t="shared" si="103"/>
        <v>795</v>
      </c>
      <c r="M534" s="1539">
        <f>L534/(F534*427)</f>
        <v>14.602562336409973</v>
      </c>
      <c r="N534" s="1540"/>
    </row>
    <row r="535" spans="1:21">
      <c r="A535" s="78" t="s">
        <v>33</v>
      </c>
      <c r="B535" s="1536">
        <f>[1]Ontario!$N$7</f>
        <v>177</v>
      </c>
      <c r="C535" s="1424"/>
      <c r="D535" s="1423">
        <f t="shared" si="104"/>
        <v>4879358.0442000004</v>
      </c>
      <c r="E535" s="1424"/>
      <c r="F535" s="1549">
        <f>0.0846*B535</f>
        <v>14.9742</v>
      </c>
      <c r="G535" s="1550"/>
      <c r="H535" s="930">
        <f>F535*15</f>
        <v>224.613</v>
      </c>
      <c r="I535" s="150">
        <v>0</v>
      </c>
      <c r="J535" s="150">
        <v>0</v>
      </c>
      <c r="K535" s="150">
        <f>B535*110</f>
        <v>19470</v>
      </c>
      <c r="L535" s="172">
        <f t="shared" si="103"/>
        <v>19470</v>
      </c>
      <c r="M535" s="1539">
        <f>L535/(F535*427)</f>
        <v>3.0450501325980923</v>
      </c>
      <c r="N535" s="1540"/>
    </row>
    <row r="536" spans="1:21">
      <c r="A536" s="76" t="s">
        <v>24</v>
      </c>
      <c r="B536" s="1536">
        <f>[1]Ontario!$N$8</f>
        <v>0</v>
      </c>
      <c r="C536" s="1424"/>
      <c r="D536" s="1423">
        <f t="shared" si="104"/>
        <v>0</v>
      </c>
      <c r="E536" s="1424"/>
      <c r="F536" s="1633">
        <f>0.004*B536</f>
        <v>0</v>
      </c>
      <c r="G536" s="1550"/>
      <c r="H536" s="930">
        <f>F536*5</f>
        <v>0</v>
      </c>
      <c r="I536" s="150">
        <v>0</v>
      </c>
      <c r="J536" s="150">
        <v>0</v>
      </c>
      <c r="K536" s="150">
        <f>B536*4</f>
        <v>0</v>
      </c>
      <c r="L536" s="172">
        <f t="shared" si="103"/>
        <v>0</v>
      </c>
      <c r="M536" s="1539">
        <v>0</v>
      </c>
      <c r="N536" s="1540"/>
    </row>
    <row r="537" spans="1:21">
      <c r="A537" s="76" t="s">
        <v>72</v>
      </c>
      <c r="B537" s="1536">
        <f>[1]Ontario!$N$10</f>
        <v>9</v>
      </c>
      <c r="C537" s="1424"/>
      <c r="D537" s="1423">
        <f t="shared" si="104"/>
        <v>1906228.35</v>
      </c>
      <c r="E537" s="1424"/>
      <c r="F537" s="1633">
        <f>0.65*B537</f>
        <v>5.8500000000000005</v>
      </c>
      <c r="G537" s="1550"/>
      <c r="H537" s="930">
        <f>F537*10</f>
        <v>58.500000000000007</v>
      </c>
      <c r="I537" s="150">
        <v>0</v>
      </c>
      <c r="J537" s="150">
        <f>160*B537</f>
        <v>1440</v>
      </c>
      <c r="K537" s="150">
        <f>80*B537</f>
        <v>720</v>
      </c>
      <c r="L537" s="172">
        <f t="shared" si="103"/>
        <v>2160</v>
      </c>
      <c r="M537" s="1539">
        <f>L537/(F537*427)</f>
        <v>0.86470906143037285</v>
      </c>
      <c r="N537" s="1540"/>
    </row>
    <row r="538" spans="1:21" ht="17" thickBot="1">
      <c r="A538" s="76" t="s">
        <v>73</v>
      </c>
      <c r="B538" s="1536">
        <f>[1]Ontario!$N$11</f>
        <v>10</v>
      </c>
      <c r="C538" s="1424"/>
      <c r="D538" s="1423">
        <f t="shared" si="104"/>
        <v>2118031.5</v>
      </c>
      <c r="E538" s="1424"/>
      <c r="F538" s="1633">
        <f>0.65*B538</f>
        <v>6.5</v>
      </c>
      <c r="G538" s="1550"/>
      <c r="H538" s="930">
        <f>F538*10</f>
        <v>65</v>
      </c>
      <c r="I538" s="150">
        <v>0</v>
      </c>
      <c r="J538" s="150">
        <v>0</v>
      </c>
      <c r="K538" s="150">
        <f>240*B538</f>
        <v>2400</v>
      </c>
      <c r="L538" s="172">
        <f t="shared" si="103"/>
        <v>2400</v>
      </c>
      <c r="M538" s="1539">
        <f>L538/(F538*427)</f>
        <v>0.86470906143037296</v>
      </c>
      <c r="N538" s="1540"/>
    </row>
    <row r="539" spans="1:21" s="532" customFormat="1" ht="17" thickBot="1">
      <c r="A539" s="53" t="s">
        <v>60</v>
      </c>
      <c r="B539" s="1440">
        <f>SUM(B533:C538)</f>
        <v>215</v>
      </c>
      <c r="C539" s="1609"/>
      <c r="D539" s="1441">
        <f>SUM(D533:E538)</f>
        <v>9126076.3718999997</v>
      </c>
      <c r="E539" s="1609"/>
      <c r="F539" s="1512">
        <f>SUM(F533:G538)</f>
        <v>28.006900000000002</v>
      </c>
      <c r="G539" s="1575"/>
      <c r="H539" s="612">
        <f>SUM(H533:H538)</f>
        <v>361.767</v>
      </c>
      <c r="I539" s="143">
        <f>SUM(I533:I538)</f>
        <v>0</v>
      </c>
      <c r="J539" s="143">
        <f>SUM(J533:J538)</f>
        <v>1440</v>
      </c>
      <c r="K539" s="143">
        <f>SUM(K533:K538)</f>
        <v>24345</v>
      </c>
      <c r="L539" s="152">
        <f>SUM(L533:L538)</f>
        <v>25785</v>
      </c>
      <c r="M539" s="1657"/>
      <c r="N539" s="1622"/>
      <c r="O539" s="1401"/>
      <c r="P539" s="1401"/>
      <c r="Q539" s="1401"/>
      <c r="R539" s="1401"/>
      <c r="S539" s="1401"/>
      <c r="T539" s="1401"/>
      <c r="U539" s="1401"/>
    </row>
    <row r="540" spans="1:21" s="1161" customFormat="1" ht="17" thickBot="1">
      <c r="A540" s="108" t="s">
        <v>147</v>
      </c>
      <c r="B540" s="1653"/>
      <c r="C540" s="1654"/>
      <c r="D540" s="1660"/>
      <c r="E540" s="1654"/>
      <c r="F540" s="1655"/>
      <c r="G540" s="1656"/>
      <c r="H540" s="1248"/>
      <c r="I540" s="1249"/>
      <c r="J540" s="1249"/>
      <c r="K540" s="1249"/>
      <c r="L540" s="1250"/>
      <c r="M540" s="1658"/>
      <c r="N540" s="1659"/>
      <c r="O540" s="274"/>
      <c r="P540" s="274"/>
      <c r="Q540" s="274"/>
      <c r="R540" s="274"/>
      <c r="S540" s="274"/>
      <c r="T540" s="274"/>
      <c r="U540" s="274"/>
    </row>
    <row r="541" spans="1:21" ht="17" thickBot="1">
      <c r="A541" s="78" t="s">
        <v>31</v>
      </c>
      <c r="B541" s="1536">
        <f>[1]Ontario!$N$6</f>
        <v>950</v>
      </c>
      <c r="C541" s="1424"/>
      <c r="D541" s="1423">
        <f>F541*325851</f>
        <v>10741678.215000002</v>
      </c>
      <c r="E541" s="1424"/>
      <c r="F541" s="1633">
        <f>0.0347*B541</f>
        <v>32.965000000000003</v>
      </c>
      <c r="G541" s="1550"/>
      <c r="H541" s="930">
        <f>F541*20</f>
        <v>659.30000000000007</v>
      </c>
      <c r="I541" s="150">
        <f>73.34*B541</f>
        <v>69673</v>
      </c>
      <c r="J541" s="150">
        <f>35.66*B541</f>
        <v>33877</v>
      </c>
      <c r="K541" s="150">
        <f>B541*60</f>
        <v>57000</v>
      </c>
      <c r="L541" s="172">
        <f>I541+J541+K541</f>
        <v>160550</v>
      </c>
      <c r="M541" s="1539">
        <f>L541/(F541*427)</f>
        <v>11.405894620332187</v>
      </c>
      <c r="N541" s="1540"/>
    </row>
    <row r="542" spans="1:21" s="532" customFormat="1" ht="17" thickBot="1">
      <c r="A542" s="53" t="s">
        <v>60</v>
      </c>
      <c r="B542" s="1440">
        <f>SUM(B541)</f>
        <v>950</v>
      </c>
      <c r="C542" s="1609"/>
      <c r="D542" s="1441">
        <f>SUM(D541)</f>
        <v>10741678.215000002</v>
      </c>
      <c r="E542" s="1609"/>
      <c r="F542" s="1512">
        <f>SUM(F541)</f>
        <v>32.965000000000003</v>
      </c>
      <c r="G542" s="1575"/>
      <c r="H542" s="612">
        <f>SUM(H541)</f>
        <v>659.30000000000007</v>
      </c>
      <c r="I542" s="136">
        <f>SUM(I541)</f>
        <v>69673</v>
      </c>
      <c r="J542" s="136">
        <f>SUM(J541)</f>
        <v>33877</v>
      </c>
      <c r="K542" s="136">
        <f>SUM(K541)</f>
        <v>57000</v>
      </c>
      <c r="L542" s="136">
        <f>SUM(L541)</f>
        <v>160550</v>
      </c>
      <c r="M542" s="1657"/>
      <c r="N542" s="1622"/>
      <c r="O542" s="1401"/>
      <c r="P542" s="1401"/>
      <c r="Q542" s="1401"/>
      <c r="R542" s="1401"/>
      <c r="S542" s="1401"/>
      <c r="T542" s="1401"/>
      <c r="U542" s="1401"/>
    </row>
    <row r="543" spans="1:21" s="1161" customFormat="1" ht="17" thickBot="1">
      <c r="A543" s="108" t="s">
        <v>50</v>
      </c>
      <c r="B543" s="1653"/>
      <c r="C543" s="1654"/>
      <c r="D543" s="1660"/>
      <c r="E543" s="1654"/>
      <c r="F543" s="1655"/>
      <c r="G543" s="1656"/>
      <c r="H543" s="1248"/>
      <c r="I543" s="1249"/>
      <c r="J543" s="1249"/>
      <c r="K543" s="1249"/>
      <c r="L543" s="1250"/>
      <c r="M543" s="1658"/>
      <c r="N543" s="1659"/>
      <c r="O543" s="274"/>
      <c r="P543" s="274"/>
      <c r="Q543" s="274"/>
      <c r="R543" s="274"/>
      <c r="S543" s="274"/>
      <c r="T543" s="274"/>
      <c r="U543" s="274"/>
    </row>
    <row r="544" spans="1:21">
      <c r="A544" s="78" t="s">
        <v>26</v>
      </c>
      <c r="B544" s="1536">
        <f>[1]Ontario!$N$13</f>
        <v>0</v>
      </c>
      <c r="C544" s="1424"/>
      <c r="D544" s="1423">
        <f t="shared" si="104"/>
        <v>0</v>
      </c>
      <c r="E544" s="1424"/>
      <c r="F544" s="1633">
        <f>0.0278*B544</f>
        <v>0</v>
      </c>
      <c r="G544" s="1550"/>
      <c r="H544" s="930">
        <f>F544*20</f>
        <v>0</v>
      </c>
      <c r="I544" s="150">
        <v>0</v>
      </c>
      <c r="J544" s="150">
        <f>15*B544</f>
        <v>0</v>
      </c>
      <c r="K544" s="150">
        <f>135*B544</f>
        <v>0</v>
      </c>
      <c r="L544" s="172">
        <f>SUM(I544:K544)</f>
        <v>0</v>
      </c>
      <c r="M544" s="1539">
        <v>0</v>
      </c>
      <c r="N544" s="1540"/>
    </row>
    <row r="545" spans="1:21">
      <c r="A545" s="78" t="s">
        <v>25</v>
      </c>
      <c r="B545" s="1536">
        <f>[1]Ontario!$N$14</f>
        <v>260</v>
      </c>
      <c r="C545" s="1424"/>
      <c r="D545" s="1423">
        <f t="shared" si="104"/>
        <v>2939827.7220000001</v>
      </c>
      <c r="E545" s="1424"/>
      <c r="F545" s="1633">
        <f>0.0347*B545</f>
        <v>9.0220000000000002</v>
      </c>
      <c r="G545" s="1550"/>
      <c r="H545" s="930">
        <f>F545*20</f>
        <v>180.44</v>
      </c>
      <c r="I545" s="150">
        <v>0</v>
      </c>
      <c r="J545" s="150">
        <f>15*B545</f>
        <v>3900</v>
      </c>
      <c r="K545" s="150">
        <f>135*B545</f>
        <v>35100</v>
      </c>
      <c r="L545" s="172">
        <f t="shared" ref="L545:L551" si="105">SUM(I545:K545)</f>
        <v>39000</v>
      </c>
      <c r="M545" s="1539">
        <f>L545/(F545*427)</f>
        <v>10.123575106803717</v>
      </c>
      <c r="N545" s="1540"/>
    </row>
    <row r="546" spans="1:21">
      <c r="A546" s="78" t="s">
        <v>32</v>
      </c>
      <c r="B546" s="1536">
        <f>[1]Ontario!$N$15</f>
        <v>0</v>
      </c>
      <c r="C546" s="1424"/>
      <c r="D546" s="1423">
        <f t="shared" si="104"/>
        <v>0</v>
      </c>
      <c r="E546" s="1424"/>
      <c r="F546" s="1633">
        <f>0.0425*B546</f>
        <v>0</v>
      </c>
      <c r="G546" s="1550"/>
      <c r="H546" s="930">
        <f>F546*20</f>
        <v>0</v>
      </c>
      <c r="I546" s="150">
        <v>0</v>
      </c>
      <c r="J546" s="150">
        <f>45*B546</f>
        <v>0</v>
      </c>
      <c r="K546" s="150">
        <f>165*B546</f>
        <v>0</v>
      </c>
      <c r="L546" s="172">
        <f t="shared" si="105"/>
        <v>0</v>
      </c>
      <c r="M546" s="1539">
        <v>0</v>
      </c>
      <c r="N546" s="1540"/>
    </row>
    <row r="547" spans="1:21">
      <c r="A547" s="78" t="s">
        <v>27</v>
      </c>
      <c r="B547" s="1536">
        <f>[1]Ontario!$N$16</f>
        <v>0</v>
      </c>
      <c r="C547" s="1424"/>
      <c r="D547" s="1423">
        <f t="shared" si="104"/>
        <v>0</v>
      </c>
      <c r="E547" s="1424"/>
      <c r="F547" s="1633">
        <f>0.1225*B547</f>
        <v>0</v>
      </c>
      <c r="G547" s="1550"/>
      <c r="H547" s="930">
        <f>F547*20</f>
        <v>0</v>
      </c>
      <c r="I547" s="150">
        <v>0</v>
      </c>
      <c r="J547" s="150">
        <v>0</v>
      </c>
      <c r="K547" s="150">
        <f>400*B547</f>
        <v>0</v>
      </c>
      <c r="L547" s="172">
        <f t="shared" si="105"/>
        <v>0</v>
      </c>
      <c r="M547" s="1539">
        <v>0</v>
      </c>
      <c r="N547" s="1540"/>
    </row>
    <row r="548" spans="1:21">
      <c r="A548" s="78" t="s">
        <v>20</v>
      </c>
      <c r="B548" s="1536">
        <f>[1]Ontario!$N$17</f>
        <v>2</v>
      </c>
      <c r="C548" s="1424"/>
      <c r="D548" s="1423">
        <f t="shared" si="104"/>
        <v>419696.08799999999</v>
      </c>
      <c r="E548" s="1424"/>
      <c r="F548" s="1633">
        <f>0.644*B548</f>
        <v>1.288</v>
      </c>
      <c r="G548" s="1550"/>
      <c r="H548" s="930">
        <f>F548*5</f>
        <v>6.44</v>
      </c>
      <c r="I548" s="150">
        <v>0</v>
      </c>
      <c r="J548" s="150">
        <v>0</v>
      </c>
      <c r="K548" s="150">
        <f>625*B548</f>
        <v>1250</v>
      </c>
      <c r="L548" s="172">
        <f t="shared" si="105"/>
        <v>1250</v>
      </c>
      <c r="M548" s="1539">
        <f>L548/(F548*427)</f>
        <v>2.2728264506087537</v>
      </c>
      <c r="N548" s="1540"/>
    </row>
    <row r="549" spans="1:21">
      <c r="A549" s="78" t="s">
        <v>33</v>
      </c>
      <c r="B549" s="1536">
        <f>[1]Ontario!$N$18</f>
        <v>41</v>
      </c>
      <c r="C549" s="1424"/>
      <c r="D549" s="1423">
        <f t="shared" si="104"/>
        <v>1130246.7786000001</v>
      </c>
      <c r="E549" s="1424"/>
      <c r="F549" s="1633">
        <f>0.0846*B549</f>
        <v>3.4685999999999999</v>
      </c>
      <c r="G549" s="1550"/>
      <c r="H549" s="930">
        <f>F549*15</f>
        <v>52.028999999999996</v>
      </c>
      <c r="I549" s="150">
        <v>0</v>
      </c>
      <c r="J549" s="150">
        <f>70*B549</f>
        <v>2870</v>
      </c>
      <c r="K549" s="150">
        <f>130*B549</f>
        <v>5330</v>
      </c>
      <c r="L549" s="172">
        <f t="shared" si="105"/>
        <v>8200</v>
      </c>
      <c r="M549" s="1539">
        <f>L549/(F549*427)</f>
        <v>5.5364547865419853</v>
      </c>
      <c r="N549" s="1540"/>
    </row>
    <row r="550" spans="1:21">
      <c r="A550" s="76" t="s">
        <v>15</v>
      </c>
      <c r="B550" s="1536">
        <f>[1]Ontario!$N$19</f>
        <v>0</v>
      </c>
      <c r="C550" s="1424"/>
      <c r="D550" s="1423">
        <f t="shared" si="104"/>
        <v>0</v>
      </c>
      <c r="E550" s="1424"/>
      <c r="F550" s="1633">
        <f>0.1534*B550</f>
        <v>0</v>
      </c>
      <c r="G550" s="1550"/>
      <c r="H550" s="930">
        <f>F550*5</f>
        <v>0</v>
      </c>
      <c r="I550" s="150">
        <v>0</v>
      </c>
      <c r="J550" s="150">
        <v>0</v>
      </c>
      <c r="K550" s="150">
        <f>150*B550</f>
        <v>0</v>
      </c>
      <c r="L550" s="172">
        <f t="shared" si="105"/>
        <v>0</v>
      </c>
      <c r="M550" s="1539">
        <v>0</v>
      </c>
      <c r="N550" s="1540"/>
    </row>
    <row r="551" spans="1:21" ht="17" thickBot="1">
      <c r="A551" s="76" t="s">
        <v>72</v>
      </c>
      <c r="B551" s="1536">
        <f>[1]Ontario!$N$20</f>
        <v>14</v>
      </c>
      <c r="C551" s="1424"/>
      <c r="D551" s="1423">
        <f t="shared" si="104"/>
        <v>2965244.1</v>
      </c>
      <c r="E551" s="1424"/>
      <c r="F551" s="1633">
        <f>0.65*B551</f>
        <v>9.1</v>
      </c>
      <c r="G551" s="1550"/>
      <c r="H551" s="930">
        <f>F551*10</f>
        <v>91</v>
      </c>
      <c r="I551" s="150">
        <v>0</v>
      </c>
      <c r="J551" s="150">
        <v>0</v>
      </c>
      <c r="K551" s="150">
        <f>630*B551</f>
        <v>8820</v>
      </c>
      <c r="L551" s="172">
        <f t="shared" si="105"/>
        <v>8820</v>
      </c>
      <c r="M551" s="1539">
        <f>L551/(F551*427)</f>
        <v>2.2698612862547289</v>
      </c>
      <c r="N551" s="1540"/>
    </row>
    <row r="552" spans="1:21" s="532" customFormat="1" ht="17" thickBot="1">
      <c r="A552" s="53" t="s">
        <v>60</v>
      </c>
      <c r="B552" s="1440">
        <f>SUM(B544:C551)</f>
        <v>317</v>
      </c>
      <c r="C552" s="1609"/>
      <c r="D552" s="1441">
        <f>SUM(D544:E551)</f>
        <v>7455014.6886</v>
      </c>
      <c r="E552" s="1609"/>
      <c r="F552" s="1512">
        <f>SUM(F544:G551)</f>
        <v>22.878599999999999</v>
      </c>
      <c r="G552" s="1575"/>
      <c r="H552" s="470">
        <f>SUM(H544:H551)</f>
        <v>329.90899999999999</v>
      </c>
      <c r="I552" s="378">
        <f>SUM(I544:I551)</f>
        <v>0</v>
      </c>
      <c r="J552" s="378">
        <f>SUM(J544:J551)</f>
        <v>6770</v>
      </c>
      <c r="K552" s="378">
        <f>SUM(K544:K551)</f>
        <v>50500</v>
      </c>
      <c r="L552" s="143">
        <f>SUM(L544:L551)</f>
        <v>57270</v>
      </c>
      <c r="M552" s="1657"/>
      <c r="N552" s="1622"/>
      <c r="O552" s="1401"/>
      <c r="P552" s="1401"/>
      <c r="Q552" s="1401"/>
      <c r="R552" s="1401"/>
      <c r="S552" s="1401"/>
      <c r="T552" s="1401"/>
      <c r="U552" s="1401"/>
    </row>
    <row r="553" spans="1:21" s="1161" customFormat="1" ht="17" thickBot="1">
      <c r="A553" s="1163" t="s">
        <v>17</v>
      </c>
      <c r="B553" s="1612">
        <f>B539+B542+B552</f>
        <v>1482</v>
      </c>
      <c r="C553" s="1415"/>
      <c r="D553" s="1416">
        <f>D539+D542+D552</f>
        <v>27322769.275500003</v>
      </c>
      <c r="E553" s="1415"/>
      <c r="F553" s="1487">
        <f>F539+F542+F552</f>
        <v>83.850500000000011</v>
      </c>
      <c r="G553" s="1488"/>
      <c r="H553" s="1164">
        <f>(H552+H542+H539)</f>
        <v>1350.9760000000001</v>
      </c>
      <c r="I553" s="1165">
        <f>I539+I542+I552</f>
        <v>69673</v>
      </c>
      <c r="J553" s="1165">
        <f>J539+J542+J552</f>
        <v>42087</v>
      </c>
      <c r="K553" s="1165">
        <f>K539+K542+K552</f>
        <v>131845</v>
      </c>
      <c r="L553" s="1165">
        <f>L539+L542+L552</f>
        <v>243605</v>
      </c>
      <c r="M553" s="1672"/>
      <c r="N553" s="1673"/>
      <c r="O553" s="274"/>
      <c r="P553" s="274"/>
      <c r="Q553" s="274"/>
      <c r="R553" s="274"/>
      <c r="S553" s="274"/>
      <c r="T553" s="274"/>
      <c r="U553" s="274"/>
    </row>
    <row r="555" spans="1:21" ht="18">
      <c r="A555" s="356" t="s">
        <v>271</v>
      </c>
      <c r="B555" s="1566" t="s">
        <v>59</v>
      </c>
      <c r="C555" s="1566"/>
      <c r="D555" s="1566"/>
      <c r="E555" s="1641"/>
    </row>
    <row r="556" spans="1:21">
      <c r="B556" s="1559" t="s">
        <v>19</v>
      </c>
      <c r="C556" s="1559"/>
      <c r="D556" s="1559"/>
      <c r="E556" s="1559"/>
    </row>
    <row r="557" spans="1:21" ht="17" thickBot="1">
      <c r="A557" s="982"/>
      <c r="B557" s="549"/>
      <c r="C557" s="549"/>
      <c r="D557" s="549"/>
      <c r="E557" s="549"/>
    </row>
    <row r="558" spans="1:21">
      <c r="A558" s="98"/>
      <c r="B558" s="99"/>
      <c r="C558" s="99"/>
      <c r="D558" s="99"/>
      <c r="E558" s="99"/>
      <c r="F558" s="421"/>
      <c r="G558" s="421"/>
      <c r="H558" s="421"/>
      <c r="I558" s="1468" t="s">
        <v>0</v>
      </c>
      <c r="J558" s="1468"/>
      <c r="K558" s="1468"/>
      <c r="L558" s="1468"/>
      <c r="M558" s="99"/>
      <c r="N558" s="101"/>
    </row>
    <row r="559" spans="1:21">
      <c r="A559" s="97"/>
      <c r="B559" s="1469" t="s">
        <v>1</v>
      </c>
      <c r="C559" s="1469"/>
      <c r="D559" s="1469" t="s">
        <v>2</v>
      </c>
      <c r="E559" s="1469"/>
      <c r="F559" s="1470" t="s">
        <v>3</v>
      </c>
      <c r="G559" s="1470"/>
      <c r="H559" s="438" t="s">
        <v>3</v>
      </c>
      <c r="I559" s="127" t="s">
        <v>195</v>
      </c>
      <c r="J559" s="102"/>
      <c r="K559" s="102"/>
      <c r="L559" s="128"/>
      <c r="M559" s="1469" t="s">
        <v>4</v>
      </c>
      <c r="N559" s="1526"/>
    </row>
    <row r="560" spans="1:21" ht="19" thickBot="1">
      <c r="A560" s="103" t="s">
        <v>5</v>
      </c>
      <c r="B560" s="1473" t="s">
        <v>6</v>
      </c>
      <c r="C560" s="1473"/>
      <c r="D560" s="1473" t="s">
        <v>7</v>
      </c>
      <c r="E560" s="1473"/>
      <c r="F560" s="1474" t="s">
        <v>7</v>
      </c>
      <c r="G560" s="1474"/>
      <c r="H560" s="439" t="s">
        <v>58</v>
      </c>
      <c r="I560" s="398" t="s">
        <v>196</v>
      </c>
      <c r="J560" s="397" t="s">
        <v>8</v>
      </c>
      <c r="K560" s="397" t="s">
        <v>9</v>
      </c>
      <c r="L560" s="401" t="s">
        <v>10</v>
      </c>
      <c r="M560" s="1473" t="s">
        <v>145</v>
      </c>
      <c r="N560" s="1475"/>
    </row>
    <row r="561" spans="1:21" ht="24" thickBot="1">
      <c r="A561" s="88" t="s">
        <v>134</v>
      </c>
      <c r="B561" s="1623"/>
      <c r="C561" s="1624"/>
      <c r="D561" s="1625"/>
      <c r="E561" s="1626"/>
      <c r="F561" s="1627"/>
      <c r="G561" s="1628"/>
      <c r="H561" s="454"/>
      <c r="I561" s="351"/>
      <c r="J561" s="351"/>
      <c r="K561" s="351"/>
      <c r="L561" s="352"/>
      <c r="M561" s="1629"/>
      <c r="N561" s="1630"/>
    </row>
    <row r="562" spans="1:21" s="1161" customFormat="1" ht="17" thickBot="1">
      <c r="A562" s="108" t="s">
        <v>61</v>
      </c>
      <c r="B562" s="1457"/>
      <c r="C562" s="1586"/>
      <c r="D562" s="1567"/>
      <c r="E562" s="1586"/>
      <c r="F562" s="1587"/>
      <c r="G562" s="1588"/>
      <c r="H562" s="1145"/>
      <c r="I562" s="109"/>
      <c r="J562" s="109"/>
      <c r="K562" s="109"/>
      <c r="L562" s="1141"/>
      <c r="M562" s="1617"/>
      <c r="N562" s="1486"/>
      <c r="O562" s="274"/>
      <c r="P562" s="274"/>
      <c r="Q562" s="274"/>
      <c r="R562" s="274"/>
      <c r="S562" s="274"/>
      <c r="T562" s="274"/>
      <c r="U562" s="274"/>
    </row>
    <row r="563" spans="1:21">
      <c r="A563" s="78" t="s">
        <v>62</v>
      </c>
      <c r="B563" s="1489">
        <v>392</v>
      </c>
      <c r="C563" s="1649"/>
      <c r="D563" s="1423">
        <f>F563*325851</f>
        <v>4432355.6424000002</v>
      </c>
      <c r="E563" s="1424"/>
      <c r="F563" s="1549">
        <f>0.0347*B563</f>
        <v>13.602400000000001</v>
      </c>
      <c r="G563" s="1550"/>
      <c r="H563" s="930">
        <f>F563*20</f>
        <v>272.048</v>
      </c>
      <c r="I563" s="150">
        <v>0</v>
      </c>
      <c r="J563" s="150">
        <f>B563*6.5</f>
        <v>2548</v>
      </c>
      <c r="K563" s="150">
        <f>B563*60</f>
        <v>23520</v>
      </c>
      <c r="L563" s="172">
        <f t="shared" ref="L563:L569" si="106">I563+J563+K563</f>
        <v>26068</v>
      </c>
      <c r="M563" s="1427">
        <f>L563/(F563*427)</f>
        <v>4.4881182973496472</v>
      </c>
      <c r="N563" s="1428"/>
    </row>
    <row r="564" spans="1:21">
      <c r="A564" s="78" t="s">
        <v>63</v>
      </c>
      <c r="B564" s="1489">
        <v>0</v>
      </c>
      <c r="C564" s="1649"/>
      <c r="D564" s="1423">
        <f>F564*325851</f>
        <v>0</v>
      </c>
      <c r="E564" s="1424"/>
      <c r="F564" s="1549">
        <f>0.0347*B564</f>
        <v>0</v>
      </c>
      <c r="G564" s="1550"/>
      <c r="H564" s="930">
        <f>F564*20</f>
        <v>0</v>
      </c>
      <c r="I564" s="150">
        <v>0</v>
      </c>
      <c r="J564" s="150">
        <v>0</v>
      </c>
      <c r="K564" s="150">
        <v>0</v>
      </c>
      <c r="L564" s="172">
        <f t="shared" si="106"/>
        <v>0</v>
      </c>
      <c r="M564" s="1539">
        <v>0</v>
      </c>
      <c r="N564" s="1540"/>
    </row>
    <row r="565" spans="1:21">
      <c r="A565" s="78" t="s">
        <v>64</v>
      </c>
      <c r="B565" s="1489">
        <v>53</v>
      </c>
      <c r="C565" s="1649"/>
      <c r="D565" s="1423">
        <f>F565*325851</f>
        <v>599272.57410000009</v>
      </c>
      <c r="E565" s="1424"/>
      <c r="F565" s="1549">
        <f>0.0347*B565</f>
        <v>1.8391000000000002</v>
      </c>
      <c r="G565" s="1550"/>
      <c r="H565" s="930">
        <f>F565*20</f>
        <v>36.782000000000004</v>
      </c>
      <c r="I565" s="150">
        <v>0</v>
      </c>
      <c r="J565" s="150">
        <f>B565*1</f>
        <v>53</v>
      </c>
      <c r="K565" s="150">
        <f>B564*60</f>
        <v>0</v>
      </c>
      <c r="L565" s="172">
        <f t="shared" si="106"/>
        <v>53</v>
      </c>
      <c r="M565" s="1539">
        <f>L565/(F565*427)</f>
        <v>6.7490500712024767E-2</v>
      </c>
      <c r="N565" s="1540"/>
    </row>
    <row r="566" spans="1:21" ht="17" thickBot="1">
      <c r="A566" s="78" t="s">
        <v>13</v>
      </c>
      <c r="B566" s="1489">
        <v>181</v>
      </c>
      <c r="C566" s="1649"/>
      <c r="D566" s="1423">
        <f>F566*325851</f>
        <v>1627821.2555999998</v>
      </c>
      <c r="E566" s="1424"/>
      <c r="F566" s="1633">
        <f>0.0276*B566</f>
        <v>4.9955999999999996</v>
      </c>
      <c r="G566" s="1550"/>
      <c r="H566" s="930">
        <f>F566*15</f>
        <v>74.933999999999997</v>
      </c>
      <c r="I566" s="150">
        <v>0</v>
      </c>
      <c r="J566" s="150">
        <f>B566*1</f>
        <v>181</v>
      </c>
      <c r="K566" s="150">
        <f>B566*110</f>
        <v>19910</v>
      </c>
      <c r="L566" s="172">
        <f>I566+J566+K566</f>
        <v>20091</v>
      </c>
      <c r="M566" s="1539">
        <f>L566/(F566*427)</f>
        <v>9.4185928113226751</v>
      </c>
      <c r="N566" s="1540"/>
    </row>
    <row r="567" spans="1:21" s="532" customFormat="1" ht="17" thickBot="1">
      <c r="A567" s="53" t="s">
        <v>60</v>
      </c>
      <c r="B567" s="1440">
        <f>SUM(B563:C566)</f>
        <v>626</v>
      </c>
      <c r="C567" s="1609"/>
      <c r="D567" s="1441">
        <f>SUM(D563:E566)</f>
        <v>6659449.4720999999</v>
      </c>
      <c r="E567" s="1609"/>
      <c r="F567" s="1512">
        <f>SUM(F563:G566)</f>
        <v>20.437100000000001</v>
      </c>
      <c r="G567" s="1575"/>
      <c r="H567" s="612">
        <f>SUM(H563:H566)</f>
        <v>383.76400000000001</v>
      </c>
      <c r="I567" s="136">
        <f>SUM(I563:I566)</f>
        <v>0</v>
      </c>
      <c r="J567" s="136">
        <f>SUM(J563:J566)</f>
        <v>2782</v>
      </c>
      <c r="K567" s="136">
        <f>SUM(K563:K566)</f>
        <v>43430</v>
      </c>
      <c r="L567" s="136">
        <f>SUM(L563:L566)</f>
        <v>46212</v>
      </c>
      <c r="M567" s="1657"/>
      <c r="N567" s="1622"/>
      <c r="O567" s="1401"/>
      <c r="P567" s="1401"/>
      <c r="Q567" s="1401"/>
      <c r="R567" s="1401"/>
      <c r="S567" s="1401"/>
      <c r="T567" s="1401"/>
      <c r="U567" s="1401"/>
    </row>
    <row r="568" spans="1:21" s="1161" customFormat="1" ht="17" thickBot="1">
      <c r="A568" s="108" t="s">
        <v>147</v>
      </c>
      <c r="B568" s="1653"/>
      <c r="C568" s="1654"/>
      <c r="D568" s="1660"/>
      <c r="E568" s="1654"/>
      <c r="F568" s="1655"/>
      <c r="G568" s="1656"/>
      <c r="H568" s="1248"/>
      <c r="I568" s="1249"/>
      <c r="J568" s="1249"/>
      <c r="K568" s="1249"/>
      <c r="L568" s="1250"/>
      <c r="M568" s="1658"/>
      <c r="N568" s="1659"/>
      <c r="O568" s="274"/>
      <c r="P568" s="274"/>
      <c r="Q568" s="274"/>
      <c r="R568" s="274"/>
      <c r="S568" s="274"/>
      <c r="T568" s="274"/>
      <c r="U568" s="274"/>
    </row>
    <row r="569" spans="1:21" ht="17" thickBot="1">
      <c r="A569" s="78" t="s">
        <v>65</v>
      </c>
      <c r="B569" s="1536">
        <v>2132</v>
      </c>
      <c r="C569" s="1424"/>
      <c r="D569" s="1423">
        <f>F569*325851</f>
        <v>24106587.3204</v>
      </c>
      <c r="E569" s="1424"/>
      <c r="F569" s="1633">
        <f>0.0347*B569</f>
        <v>73.980400000000003</v>
      </c>
      <c r="G569" s="1550"/>
      <c r="H569" s="930">
        <f>F569*20</f>
        <v>1479.6080000000002</v>
      </c>
      <c r="I569" s="150">
        <v>0</v>
      </c>
      <c r="J569" s="150">
        <f>B569*105</f>
        <v>223860</v>
      </c>
      <c r="K569" s="150">
        <f>B569*60</f>
        <v>127920</v>
      </c>
      <c r="L569" s="172">
        <f t="shared" si="106"/>
        <v>351780</v>
      </c>
      <c r="M569" s="1539">
        <f>L569/(F569*427)</f>
        <v>11.135932617484087</v>
      </c>
      <c r="N569" s="1540"/>
    </row>
    <row r="570" spans="1:21" s="532" customFormat="1" ht="17" thickBot="1">
      <c r="A570" s="53" t="s">
        <v>60</v>
      </c>
      <c r="B570" s="1440">
        <f>SUM(B569)</f>
        <v>2132</v>
      </c>
      <c r="C570" s="1609"/>
      <c r="D570" s="1441">
        <f>SUM(D569)</f>
        <v>24106587.3204</v>
      </c>
      <c r="E570" s="1609"/>
      <c r="F570" s="1511">
        <f>SUM(F569)</f>
        <v>73.980400000000003</v>
      </c>
      <c r="G570" s="1575"/>
      <c r="H570" s="722">
        <f>SUM(H569)</f>
        <v>1479.6080000000002</v>
      </c>
      <c r="I570" s="136">
        <f>SUM(I569)</f>
        <v>0</v>
      </c>
      <c r="J570" s="136">
        <f>SUM(J569)</f>
        <v>223860</v>
      </c>
      <c r="K570" s="136">
        <f>SUM(K569)</f>
        <v>127920</v>
      </c>
      <c r="L570" s="136">
        <f>SUM(L569)</f>
        <v>351780</v>
      </c>
      <c r="M570" s="1657"/>
      <c r="N570" s="1622"/>
      <c r="O570" s="1401"/>
      <c r="P570" s="1401"/>
      <c r="Q570" s="1401"/>
      <c r="R570" s="1401"/>
      <c r="S570" s="1401"/>
      <c r="T570" s="1401"/>
      <c r="U570" s="1401"/>
    </row>
    <row r="571" spans="1:21" s="1161" customFormat="1" ht="17" thickBot="1">
      <c r="A571" s="108" t="s">
        <v>50</v>
      </c>
      <c r="B571" s="1653"/>
      <c r="C571" s="1654"/>
      <c r="D571" s="1660"/>
      <c r="E571" s="1654"/>
      <c r="F571" s="1655"/>
      <c r="G571" s="1656"/>
      <c r="H571" s="1248"/>
      <c r="I571" s="1249"/>
      <c r="J571" s="1249"/>
      <c r="K571" s="1249"/>
      <c r="L571" s="1250"/>
      <c r="M571" s="1658"/>
      <c r="N571" s="1659"/>
      <c r="O571" s="274"/>
      <c r="P571" s="274"/>
      <c r="Q571" s="274"/>
      <c r="R571" s="274"/>
      <c r="S571" s="274"/>
      <c r="T571" s="274"/>
      <c r="U571" s="274"/>
    </row>
    <row r="572" spans="1:21">
      <c r="A572" s="78" t="s">
        <v>66</v>
      </c>
      <c r="B572" s="1489">
        <v>672</v>
      </c>
      <c r="C572" s="1649"/>
      <c r="D572" s="1423">
        <f t="shared" ref="D572:D577" si="107">F572*325851</f>
        <v>7598323.9583999999</v>
      </c>
      <c r="E572" s="1424"/>
      <c r="F572" s="1633">
        <f>0.0347*B572</f>
        <v>23.3184</v>
      </c>
      <c r="G572" s="1550"/>
      <c r="H572" s="930">
        <f>F572*20</f>
        <v>466.36799999999999</v>
      </c>
      <c r="I572" s="150">
        <v>0</v>
      </c>
      <c r="J572" s="150">
        <f>B572*1</f>
        <v>672</v>
      </c>
      <c r="K572" s="150">
        <f>B572*60</f>
        <v>40320</v>
      </c>
      <c r="L572" s="172">
        <f>I572+J572+K572</f>
        <v>40992</v>
      </c>
      <c r="M572" s="1539">
        <f>L572/(F572*427)</f>
        <v>4.1169205434335119</v>
      </c>
      <c r="N572" s="1540"/>
    </row>
    <row r="573" spans="1:21">
      <c r="A573" s="78" t="s">
        <v>23</v>
      </c>
      <c r="B573" s="1489">
        <v>0</v>
      </c>
      <c r="C573" s="1649"/>
      <c r="D573" s="1423">
        <f t="shared" si="107"/>
        <v>0</v>
      </c>
      <c r="E573" s="1424"/>
      <c r="F573" s="1633">
        <f>0.644*B573</f>
        <v>0</v>
      </c>
      <c r="G573" s="1550"/>
      <c r="H573" s="930">
        <f>F573*5</f>
        <v>0</v>
      </c>
      <c r="I573" s="511">
        <v>0</v>
      </c>
      <c r="J573" s="150">
        <v>0</v>
      </c>
      <c r="K573" s="150">
        <v>0</v>
      </c>
      <c r="L573" s="221">
        <v>0</v>
      </c>
      <c r="M573" s="1539">
        <v>0</v>
      </c>
      <c r="N573" s="1540"/>
    </row>
    <row r="574" spans="1:21">
      <c r="A574" s="78" t="s">
        <v>13</v>
      </c>
      <c r="B574" s="1489">
        <v>52</v>
      </c>
      <c r="C574" s="1649"/>
      <c r="D574" s="1423">
        <f t="shared" si="107"/>
        <v>467661.35519999999</v>
      </c>
      <c r="E574" s="1424"/>
      <c r="F574" s="1633">
        <f>0.0276*B574</f>
        <v>1.4352</v>
      </c>
      <c r="G574" s="1550"/>
      <c r="H574" s="930">
        <f>F574*15</f>
        <v>21.527999999999999</v>
      </c>
      <c r="I574" s="150">
        <v>0</v>
      </c>
      <c r="J574" s="150">
        <v>0</v>
      </c>
      <c r="K574" s="150">
        <f>B574*250</f>
        <v>13000</v>
      </c>
      <c r="L574" s="172">
        <f>I574+J574+K574</f>
        <v>13000</v>
      </c>
      <c r="M574" s="1539">
        <f>L574/(F574*427)</f>
        <v>21.213046872348368</v>
      </c>
      <c r="N574" s="1540"/>
    </row>
    <row r="575" spans="1:21">
      <c r="A575" s="76" t="s">
        <v>47</v>
      </c>
      <c r="B575" s="1489">
        <v>2</v>
      </c>
      <c r="C575" s="1649"/>
      <c r="D575" s="1423">
        <f t="shared" si="107"/>
        <v>99971.086800000005</v>
      </c>
      <c r="E575" s="1424"/>
      <c r="F575" s="1633">
        <f>0.1534*B575</f>
        <v>0.30680000000000002</v>
      </c>
      <c r="G575" s="1550"/>
      <c r="H575" s="930">
        <f>F575*5</f>
        <v>1.534</v>
      </c>
      <c r="I575" s="150">
        <v>0</v>
      </c>
      <c r="J575" s="150">
        <v>0</v>
      </c>
      <c r="K575" s="150">
        <f>B575*100</f>
        <v>200</v>
      </c>
      <c r="L575" s="172">
        <f>I575+J575+K575</f>
        <v>200</v>
      </c>
      <c r="M575" s="1539">
        <f>L575/(F575*427)</f>
        <v>1.5266756028078616</v>
      </c>
      <c r="N575" s="1540"/>
    </row>
    <row r="576" spans="1:21">
      <c r="A576" s="76" t="s">
        <v>16</v>
      </c>
      <c r="B576" s="1489">
        <v>0</v>
      </c>
      <c r="C576" s="1649"/>
      <c r="D576" s="1423">
        <f t="shared" si="107"/>
        <v>0</v>
      </c>
      <c r="E576" s="1424"/>
      <c r="F576" s="1633">
        <f>0.004*B576</f>
        <v>0</v>
      </c>
      <c r="G576" s="1550"/>
      <c r="H576" s="930">
        <f>F576*5</f>
        <v>0</v>
      </c>
      <c r="I576" s="150">
        <v>0</v>
      </c>
      <c r="J576" s="150">
        <v>0</v>
      </c>
      <c r="K576" s="150">
        <v>0</v>
      </c>
      <c r="L576" s="172">
        <f>I576+J576+K576</f>
        <v>0</v>
      </c>
      <c r="M576" s="1539">
        <v>0</v>
      </c>
      <c r="N576" s="1540"/>
    </row>
    <row r="577" spans="1:21" ht="17" thickBot="1">
      <c r="A577" s="76" t="s">
        <v>72</v>
      </c>
      <c r="B577" s="1489">
        <v>13</v>
      </c>
      <c r="C577" s="1649"/>
      <c r="D577" s="1423">
        <f t="shared" si="107"/>
        <v>2753440.95</v>
      </c>
      <c r="E577" s="1424"/>
      <c r="F577" s="1650">
        <f>0.65*B577</f>
        <v>8.4500000000000011</v>
      </c>
      <c r="G577" s="1572"/>
      <c r="H577" s="930">
        <f>F577*10</f>
        <v>84.500000000000014</v>
      </c>
      <c r="I577" s="150">
        <v>0</v>
      </c>
      <c r="J577" s="150">
        <v>0</v>
      </c>
      <c r="K577" s="150">
        <v>0</v>
      </c>
      <c r="L577" s="172">
        <f>I577+J577+K577</f>
        <v>0</v>
      </c>
      <c r="M577" s="1539">
        <v>0</v>
      </c>
      <c r="N577" s="1540"/>
    </row>
    <row r="578" spans="1:21" s="532" customFormat="1" ht="17" thickBot="1">
      <c r="A578" s="53" t="s">
        <v>60</v>
      </c>
      <c r="B578" s="1440">
        <f>SUM(B572:C577)</f>
        <v>739</v>
      </c>
      <c r="C578" s="1609"/>
      <c r="D578" s="1441">
        <f>SUM(D572:E577)</f>
        <v>10919397.350400001</v>
      </c>
      <c r="E578" s="1609"/>
      <c r="F578" s="1512">
        <f>SUM(F572:G577)</f>
        <v>33.510399999999997</v>
      </c>
      <c r="G578" s="1575"/>
      <c r="H578" s="448">
        <f>SUM(H572:H577)</f>
        <v>573.93000000000006</v>
      </c>
      <c r="I578" s="143">
        <f>SUM(I572:I577)</f>
        <v>0</v>
      </c>
      <c r="J578" s="143">
        <f>SUM(J572:J577)</f>
        <v>672</v>
      </c>
      <c r="K578" s="143">
        <f>SUM(K572:K577)</f>
        <v>53520</v>
      </c>
      <c r="L578" s="152">
        <f>SUM(L572:L577)</f>
        <v>54192</v>
      </c>
      <c r="M578" s="1657"/>
      <c r="N578" s="1622"/>
      <c r="O578" s="1401"/>
      <c r="P578" s="1401"/>
      <c r="Q578" s="1401"/>
      <c r="R578" s="1401"/>
      <c r="S578" s="1401"/>
      <c r="T578" s="1401"/>
      <c r="U578" s="1401"/>
    </row>
    <row r="579" spans="1:21" s="1161" customFormat="1" ht="17" thickBot="1">
      <c r="A579" s="1186" t="s">
        <v>17</v>
      </c>
      <c r="B579" s="1663">
        <f>B567+B570+B578</f>
        <v>3497</v>
      </c>
      <c r="C579" s="1664"/>
      <c r="D579" s="1416">
        <f>SUM(D578,D567,D570)</f>
        <v>41685434.142900005</v>
      </c>
      <c r="E579" s="1682"/>
      <c r="F579" s="1487">
        <f>SUM(F578,F567,F570)</f>
        <v>127.92789999999999</v>
      </c>
      <c r="G579" s="1488"/>
      <c r="H579" s="1164">
        <f>(H578+H570+H567)</f>
        <v>2437.3020000000006</v>
      </c>
      <c r="I579" s="1188">
        <f>I567+I570+I578</f>
        <v>0</v>
      </c>
      <c r="J579" s="1188">
        <f>J567+J570+J578</f>
        <v>227314</v>
      </c>
      <c r="K579" s="1188">
        <f>K567+K570+K578</f>
        <v>224870</v>
      </c>
      <c r="L579" s="1188">
        <f>L567+L570+L578</f>
        <v>452184</v>
      </c>
      <c r="M579" s="1668"/>
      <c r="N579" s="1669"/>
      <c r="O579" s="274"/>
      <c r="P579" s="274"/>
      <c r="Q579" s="274"/>
      <c r="R579" s="274"/>
      <c r="S579" s="274"/>
      <c r="T579" s="274"/>
      <c r="U579" s="274"/>
    </row>
    <row r="581" spans="1:21" ht="17" thickBot="1">
      <c r="A581" s="982"/>
    </row>
    <row r="582" spans="1:21" ht="24" thickBot="1">
      <c r="A582" s="88" t="s">
        <v>135</v>
      </c>
      <c r="B582" s="1623"/>
      <c r="C582" s="1624"/>
      <c r="D582" s="1625"/>
      <c r="E582" s="1626"/>
      <c r="F582" s="1627"/>
      <c r="G582" s="1628"/>
      <c r="H582" s="454"/>
      <c r="I582" s="351"/>
      <c r="J582" s="351"/>
      <c r="K582" s="351"/>
      <c r="L582" s="352"/>
      <c r="M582" s="1629"/>
      <c r="N582" s="1630"/>
    </row>
    <row r="583" spans="1:21" s="1161" customFormat="1" ht="17" thickBot="1">
      <c r="A583" s="108" t="s">
        <v>61</v>
      </c>
      <c r="B583" s="1457"/>
      <c r="C583" s="1586"/>
      <c r="D583" s="1567"/>
      <c r="E583" s="1586"/>
      <c r="F583" s="1587"/>
      <c r="G583" s="1588"/>
      <c r="H583" s="1145"/>
      <c r="I583" s="109"/>
      <c r="J583" s="109"/>
      <c r="K583" s="109"/>
      <c r="L583" s="1141"/>
      <c r="M583" s="1617"/>
      <c r="N583" s="1486"/>
      <c r="O583" s="274"/>
      <c r="P583" s="274"/>
      <c r="Q583" s="274"/>
      <c r="R583" s="274"/>
      <c r="S583" s="274"/>
      <c r="T583" s="274"/>
      <c r="U583" s="274"/>
    </row>
    <row r="584" spans="1:21">
      <c r="A584" s="78" t="s">
        <v>62</v>
      </c>
      <c r="B584" s="1489">
        <v>214</v>
      </c>
      <c r="C584" s="1649"/>
      <c r="D584" s="1423">
        <f>F584*325851</f>
        <v>2419704.3558</v>
      </c>
      <c r="E584" s="1424"/>
      <c r="F584" s="1549">
        <f>0.0347*B584</f>
        <v>7.4258000000000006</v>
      </c>
      <c r="G584" s="1550"/>
      <c r="H584" s="930">
        <f>F584*20</f>
        <v>148.51600000000002</v>
      </c>
      <c r="I584" s="150">
        <v>0</v>
      </c>
      <c r="J584" s="150">
        <f>B584*6.5</f>
        <v>1391</v>
      </c>
      <c r="K584" s="150">
        <f>B584*60</f>
        <v>12840</v>
      </c>
      <c r="L584" s="172">
        <f t="shared" ref="L584:L591" si="108">I584+J584+K584</f>
        <v>14231</v>
      </c>
      <c r="M584" s="1539">
        <f>L584/(F584*427)</f>
        <v>4.4881182973496481</v>
      </c>
      <c r="N584" s="1540"/>
    </row>
    <row r="585" spans="1:21">
      <c r="A585" s="78" t="s">
        <v>63</v>
      </c>
      <c r="B585" s="1489">
        <v>11</v>
      </c>
      <c r="C585" s="1649"/>
      <c r="D585" s="1423">
        <f>F585*325851</f>
        <v>124377.32670000002</v>
      </c>
      <c r="E585" s="1424"/>
      <c r="F585" s="1549">
        <f>0.0347*B585</f>
        <v>0.38170000000000004</v>
      </c>
      <c r="G585" s="1550"/>
      <c r="H585" s="930">
        <f>F585*20</f>
        <v>7.6340000000000003</v>
      </c>
      <c r="I585" s="150">
        <v>0</v>
      </c>
      <c r="J585" s="150">
        <f>B585*11</f>
        <v>121</v>
      </c>
      <c r="K585" s="150">
        <f>B585*60</f>
        <v>660</v>
      </c>
      <c r="L585" s="172">
        <f t="shared" si="108"/>
        <v>781</v>
      </c>
      <c r="M585" s="1539">
        <f>L585/(F585*427)</f>
        <v>4.7918255505537592</v>
      </c>
      <c r="N585" s="1540"/>
    </row>
    <row r="586" spans="1:21">
      <c r="A586" s="78" t="s">
        <v>64</v>
      </c>
      <c r="B586" s="1489">
        <v>107</v>
      </c>
      <c r="C586" s="1649"/>
      <c r="D586" s="1423">
        <f>F586*325851</f>
        <v>1209852.1779</v>
      </c>
      <c r="E586" s="1424"/>
      <c r="F586" s="1549">
        <f>0.0347*B586</f>
        <v>3.7129000000000003</v>
      </c>
      <c r="G586" s="1550"/>
      <c r="H586" s="930">
        <f>F586*20</f>
        <v>74.25800000000001</v>
      </c>
      <c r="I586" s="150">
        <v>0</v>
      </c>
      <c r="J586" s="150">
        <f>B586*1</f>
        <v>107</v>
      </c>
      <c r="K586" s="150">
        <f>B586*60</f>
        <v>6420</v>
      </c>
      <c r="L586" s="172">
        <f t="shared" si="108"/>
        <v>6527</v>
      </c>
      <c r="M586" s="1539">
        <f>L586/(F586*427)</f>
        <v>4.1169205434335119</v>
      </c>
      <c r="N586" s="1540"/>
    </row>
    <row r="587" spans="1:21">
      <c r="A587" s="78" t="s">
        <v>13</v>
      </c>
      <c r="B587" s="1489">
        <v>250</v>
      </c>
      <c r="C587" s="1649"/>
      <c r="D587" s="1423">
        <f>F587*325851</f>
        <v>2248371.9</v>
      </c>
      <c r="E587" s="1424"/>
      <c r="F587" s="1549">
        <f>0.0276*B587</f>
        <v>6.8999999999999995</v>
      </c>
      <c r="G587" s="1550"/>
      <c r="H587" s="930">
        <f>F587*15</f>
        <v>103.49999999999999</v>
      </c>
      <c r="I587" s="150">
        <v>0</v>
      </c>
      <c r="J587" s="150">
        <f>B587*1</f>
        <v>250</v>
      </c>
      <c r="K587" s="150">
        <f>B587*110</f>
        <v>27500</v>
      </c>
      <c r="L587" s="172">
        <f>I587+J587+K587</f>
        <v>27750</v>
      </c>
      <c r="M587" s="1539">
        <f>L587/(F587*427)</f>
        <v>9.4185928113226769</v>
      </c>
      <c r="N587" s="1540"/>
    </row>
    <row r="588" spans="1:21" ht="17" thickBot="1">
      <c r="A588" s="76" t="s">
        <v>14</v>
      </c>
      <c r="B588" s="1489">
        <v>7</v>
      </c>
      <c r="C588" s="1649"/>
      <c r="D588" s="1536">
        <f>46.8*B588*365</f>
        <v>119573.99999999999</v>
      </c>
      <c r="E588" s="1424"/>
      <c r="F588" s="1549">
        <f>D588/325900</f>
        <v>0.36690395826940775</v>
      </c>
      <c r="G588" s="1550"/>
      <c r="H588" s="930">
        <f>F588*5</f>
        <v>1.8345197913470388</v>
      </c>
      <c r="I588" s="150">
        <v>0</v>
      </c>
      <c r="J588" s="150">
        <f>B588*53</f>
        <v>371</v>
      </c>
      <c r="K588" s="150">
        <v>0</v>
      </c>
      <c r="L588" s="172">
        <f>I588+J588+K588</f>
        <v>371</v>
      </c>
      <c r="M588" s="1539">
        <f>L588/(F588*427)</f>
        <v>2.3680651010540976</v>
      </c>
      <c r="N588" s="1540"/>
    </row>
    <row r="589" spans="1:21" s="532" customFormat="1" ht="17" thickBot="1">
      <c r="A589" s="53" t="s">
        <v>60</v>
      </c>
      <c r="B589" s="1440">
        <f>SUM(B584:C588)</f>
        <v>589</v>
      </c>
      <c r="C589" s="1609"/>
      <c r="D589" s="1441">
        <f>SUM(D584:E588)</f>
        <v>6121879.7604</v>
      </c>
      <c r="E589" s="1609"/>
      <c r="F589" s="1512">
        <f>SUM(F584:G588)</f>
        <v>18.787303958269408</v>
      </c>
      <c r="G589" s="1575"/>
      <c r="H589" s="704">
        <f>SUM(H584:H588)</f>
        <v>335.74251979134704</v>
      </c>
      <c r="I589" s="136">
        <f>SUM(I584:I588)</f>
        <v>0</v>
      </c>
      <c r="J589" s="136">
        <f>SUM(J584:J588)</f>
        <v>2240</v>
      </c>
      <c r="K589" s="136">
        <f>SUM(K584:K588)</f>
        <v>47420</v>
      </c>
      <c r="L589" s="136">
        <f>SUM(L584:L588)</f>
        <v>49660</v>
      </c>
      <c r="M589" s="1657"/>
      <c r="N589" s="1622"/>
      <c r="O589" s="1401"/>
      <c r="P589" s="1401"/>
      <c r="Q589" s="1401"/>
      <c r="R589" s="1401"/>
      <c r="S589" s="1401"/>
      <c r="T589" s="1401"/>
      <c r="U589" s="1401"/>
    </row>
    <row r="590" spans="1:21" s="1161" customFormat="1" ht="17" thickBot="1">
      <c r="A590" s="108" t="s">
        <v>147</v>
      </c>
      <c r="B590" s="1653"/>
      <c r="C590" s="1654"/>
      <c r="D590" s="1660"/>
      <c r="E590" s="1654"/>
      <c r="F590" s="1655"/>
      <c r="G590" s="1656"/>
      <c r="H590" s="1248"/>
      <c r="I590" s="1249"/>
      <c r="J590" s="1249"/>
      <c r="K590" s="1249"/>
      <c r="L590" s="1250"/>
      <c r="M590" s="1658"/>
      <c r="N590" s="1659"/>
      <c r="O590" s="274"/>
      <c r="P590" s="274"/>
      <c r="Q590" s="274"/>
      <c r="R590" s="274"/>
      <c r="S590" s="274"/>
      <c r="T590" s="274"/>
      <c r="U590" s="274"/>
    </row>
    <row r="591" spans="1:21" ht="17" thickBot="1">
      <c r="A591" s="78" t="s">
        <v>11</v>
      </c>
      <c r="B591" s="1536">
        <v>1066</v>
      </c>
      <c r="C591" s="1424"/>
      <c r="D591" s="1423">
        <f>F591*325851</f>
        <v>12053293.6602</v>
      </c>
      <c r="E591" s="1424"/>
      <c r="F591" s="1633">
        <f>0.0347*B591</f>
        <v>36.990200000000002</v>
      </c>
      <c r="G591" s="1550"/>
      <c r="H591" s="930">
        <f>F591*20</f>
        <v>739.80400000000009</v>
      </c>
      <c r="I591" s="150">
        <v>0</v>
      </c>
      <c r="J591" s="150">
        <f>B591*105</f>
        <v>111930</v>
      </c>
      <c r="K591" s="150">
        <f>B591*60</f>
        <v>63960</v>
      </c>
      <c r="L591" s="172">
        <f t="shared" si="108"/>
        <v>175890</v>
      </c>
      <c r="M591" s="1539">
        <f>L591/(F591*427)</f>
        <v>11.135932617484087</v>
      </c>
      <c r="N591" s="1540"/>
    </row>
    <row r="592" spans="1:21" s="532" customFormat="1" ht="17" thickBot="1">
      <c r="A592" s="53" t="s">
        <v>60</v>
      </c>
      <c r="B592" s="1440">
        <f>SUM(B591)</f>
        <v>1066</v>
      </c>
      <c r="C592" s="1609"/>
      <c r="D592" s="1441">
        <f>SUM(D591)</f>
        <v>12053293.6602</v>
      </c>
      <c r="E592" s="1609"/>
      <c r="F592" s="1512">
        <f>SUM(F591)</f>
        <v>36.990200000000002</v>
      </c>
      <c r="G592" s="1575"/>
      <c r="H592" s="704">
        <f>SUM(H591)</f>
        <v>739.80400000000009</v>
      </c>
      <c r="I592" s="136">
        <f>SUM(I591)</f>
        <v>0</v>
      </c>
      <c r="J592" s="136">
        <f>SUM(J591)</f>
        <v>111930</v>
      </c>
      <c r="K592" s="136">
        <f>SUM(K591)</f>
        <v>63960</v>
      </c>
      <c r="L592" s="136">
        <f>SUM(L591)</f>
        <v>175890</v>
      </c>
      <c r="M592" s="1657"/>
      <c r="N592" s="1622"/>
      <c r="O592" s="1401"/>
      <c r="P592" s="1401"/>
      <c r="Q592" s="1401"/>
      <c r="R592" s="1401"/>
      <c r="S592" s="1401"/>
      <c r="T592" s="1401"/>
      <c r="U592" s="1401"/>
    </row>
    <row r="593" spans="1:21" s="1161" customFormat="1" ht="17" thickBot="1">
      <c r="A593" s="108" t="s">
        <v>50</v>
      </c>
      <c r="B593" s="1653"/>
      <c r="C593" s="1654"/>
      <c r="D593" s="1660"/>
      <c r="E593" s="1654"/>
      <c r="F593" s="1655"/>
      <c r="G593" s="1656"/>
      <c r="H593" s="1248"/>
      <c r="I593" s="1249"/>
      <c r="J593" s="1249"/>
      <c r="K593" s="1249"/>
      <c r="L593" s="1250"/>
      <c r="M593" s="1658"/>
      <c r="N593" s="1659"/>
      <c r="O593" s="274"/>
      <c r="P593" s="274"/>
      <c r="Q593" s="274"/>
      <c r="R593" s="274"/>
      <c r="S593" s="274"/>
      <c r="T593" s="274"/>
      <c r="U593" s="274"/>
    </row>
    <row r="594" spans="1:21">
      <c r="A594" s="78" t="s">
        <v>67</v>
      </c>
      <c r="B594" s="1489">
        <v>5</v>
      </c>
      <c r="C594" s="1649"/>
      <c r="D594" s="1423">
        <f t="shared" ref="D594:D599" si="109">F594*325851</f>
        <v>56535.148500000003</v>
      </c>
      <c r="E594" s="1424"/>
      <c r="F594" s="1633">
        <f>0.0347*B594</f>
        <v>0.17350000000000002</v>
      </c>
      <c r="G594" s="1550"/>
      <c r="H594" s="930">
        <f>F594*20</f>
        <v>3.47</v>
      </c>
      <c r="I594" s="150">
        <v>0</v>
      </c>
      <c r="J594" s="150">
        <v>0</v>
      </c>
      <c r="K594" s="150">
        <v>0</v>
      </c>
      <c r="L594" s="172">
        <f>I594+J594+K594</f>
        <v>0</v>
      </c>
      <c r="M594" s="1539">
        <f>L594/(F594*427)</f>
        <v>0</v>
      </c>
      <c r="N594" s="1540"/>
    </row>
    <row r="595" spans="1:21">
      <c r="A595" s="78" t="s">
        <v>68</v>
      </c>
      <c r="B595" s="1489">
        <v>0</v>
      </c>
      <c r="C595" s="1649"/>
      <c r="D595" s="1423">
        <f t="shared" si="109"/>
        <v>0</v>
      </c>
      <c r="E595" s="1424"/>
      <c r="F595" s="1633">
        <f>0.644*B595</f>
        <v>0</v>
      </c>
      <c r="G595" s="1550"/>
      <c r="H595" s="930">
        <f>F595*5</f>
        <v>0</v>
      </c>
      <c r="I595" s="150">
        <v>0</v>
      </c>
      <c r="J595" s="150">
        <v>0</v>
      </c>
      <c r="K595" s="150">
        <v>0</v>
      </c>
      <c r="L595" s="172">
        <v>0</v>
      </c>
      <c r="M595" s="1539">
        <v>0</v>
      </c>
      <c r="N595" s="1540"/>
    </row>
    <row r="596" spans="1:21">
      <c r="A596" s="78" t="s">
        <v>13</v>
      </c>
      <c r="B596" s="1489">
        <v>1</v>
      </c>
      <c r="C596" s="1649"/>
      <c r="D596" s="1423">
        <f t="shared" si="109"/>
        <v>8993.4876000000004</v>
      </c>
      <c r="E596" s="1424"/>
      <c r="F596" s="1633">
        <f>0.0276*B596</f>
        <v>2.76E-2</v>
      </c>
      <c r="G596" s="1550"/>
      <c r="H596" s="930">
        <f>F596*15</f>
        <v>0.41399999999999998</v>
      </c>
      <c r="I596" s="150">
        <v>0</v>
      </c>
      <c r="J596" s="150">
        <v>0</v>
      </c>
      <c r="K596" s="150">
        <f>B596*250</f>
        <v>250</v>
      </c>
      <c r="L596" s="172">
        <f>I596+J596+K596</f>
        <v>250</v>
      </c>
      <c r="M596" s="1539">
        <f>L596/(F596*427)</f>
        <v>21.213046872348368</v>
      </c>
      <c r="N596" s="1540"/>
    </row>
    <row r="597" spans="1:21">
      <c r="A597" s="76" t="s">
        <v>47</v>
      </c>
      <c r="B597" s="1489">
        <v>0</v>
      </c>
      <c r="C597" s="1649"/>
      <c r="D597" s="1423">
        <f t="shared" si="109"/>
        <v>0</v>
      </c>
      <c r="E597" s="1424"/>
      <c r="F597" s="1633">
        <f>0.1534*B597</f>
        <v>0</v>
      </c>
      <c r="G597" s="1550"/>
      <c r="H597" s="930">
        <f>F597*5</f>
        <v>0</v>
      </c>
      <c r="I597" s="150">
        <v>0</v>
      </c>
      <c r="J597" s="150">
        <v>0</v>
      </c>
      <c r="K597" s="150">
        <v>0</v>
      </c>
      <c r="L597" s="172">
        <f>I597+J597+K597</f>
        <v>0</v>
      </c>
      <c r="M597" s="1539">
        <v>0</v>
      </c>
      <c r="N597" s="1540"/>
    </row>
    <row r="598" spans="1:21">
      <c r="A598" s="76" t="s">
        <v>16</v>
      </c>
      <c r="B598" s="1489">
        <v>0</v>
      </c>
      <c r="C598" s="1649"/>
      <c r="D598" s="1423">
        <f t="shared" si="109"/>
        <v>0</v>
      </c>
      <c r="E598" s="1424"/>
      <c r="F598" s="1633">
        <f>0.004*B598</f>
        <v>0</v>
      </c>
      <c r="G598" s="1550"/>
      <c r="H598" s="930">
        <f>F598*5</f>
        <v>0</v>
      </c>
      <c r="I598" s="150">
        <v>0</v>
      </c>
      <c r="J598" s="150">
        <v>0</v>
      </c>
      <c r="K598" s="150">
        <v>0</v>
      </c>
      <c r="L598" s="172">
        <f>I598+J598+K598</f>
        <v>0</v>
      </c>
      <c r="M598" s="1539">
        <v>0</v>
      </c>
      <c r="N598" s="1540"/>
    </row>
    <row r="599" spans="1:21" ht="17" thickBot="1">
      <c r="A599" s="78" t="s">
        <v>69</v>
      </c>
      <c r="B599" s="1489">
        <v>3</v>
      </c>
      <c r="C599" s="1649"/>
      <c r="D599" s="1423">
        <f t="shared" si="109"/>
        <v>3128169.6000000006</v>
      </c>
      <c r="E599" s="1424"/>
      <c r="F599" s="1633">
        <f>3.2*B599</f>
        <v>9.6000000000000014</v>
      </c>
      <c r="G599" s="1550"/>
      <c r="H599" s="930">
        <v>148</v>
      </c>
      <c r="I599" s="150">
        <v>0</v>
      </c>
      <c r="J599" s="150">
        <v>0</v>
      </c>
      <c r="K599" s="150">
        <f>B599*2000</f>
        <v>6000</v>
      </c>
      <c r="L599" s="172">
        <f>I599+J599+K599</f>
        <v>6000</v>
      </c>
      <c r="M599" s="1539">
        <f>L599/(F599*427)</f>
        <v>1.4637002341920373</v>
      </c>
      <c r="N599" s="1540"/>
    </row>
    <row r="600" spans="1:21" s="532" customFormat="1" ht="17" thickBot="1">
      <c r="A600" s="53" t="s">
        <v>60</v>
      </c>
      <c r="B600" s="1440">
        <f>SUM(B594:C599)</f>
        <v>9</v>
      </c>
      <c r="C600" s="1609"/>
      <c r="D600" s="1441">
        <f>SUM(D593:E599)</f>
        <v>3193698.2361000003</v>
      </c>
      <c r="E600" s="1609"/>
      <c r="F600" s="1511">
        <f>SUM(F593:G599)</f>
        <v>9.8011000000000017</v>
      </c>
      <c r="G600" s="1575"/>
      <c r="H600" s="448">
        <f>SUM(H594:H599)</f>
        <v>151.88400000000001</v>
      </c>
      <c r="I600" s="143">
        <f>SUM(I594:I599)</f>
        <v>0</v>
      </c>
      <c r="J600" s="143">
        <f>SUM(J594:J599)</f>
        <v>0</v>
      </c>
      <c r="K600" s="143">
        <f>SUM(K594:K599)</f>
        <v>6250</v>
      </c>
      <c r="L600" s="152">
        <f>SUM(L594:L599)</f>
        <v>6250</v>
      </c>
      <c r="M600" s="1657"/>
      <c r="N600" s="1622"/>
      <c r="O600" s="1401"/>
      <c r="P600" s="1401"/>
      <c r="Q600" s="1401"/>
      <c r="R600" s="1401"/>
      <c r="S600" s="1401"/>
      <c r="T600" s="1401"/>
      <c r="U600" s="1401"/>
    </row>
    <row r="601" spans="1:21" s="1161" customFormat="1" ht="17" thickBot="1">
      <c r="A601" s="1186" t="s">
        <v>17</v>
      </c>
      <c r="B601" s="1663">
        <f>B589+B592+B600</f>
        <v>1664</v>
      </c>
      <c r="C601" s="1664"/>
      <c r="D601" s="1665">
        <f>SUM(D600,D592,D589)</f>
        <v>21368871.6567</v>
      </c>
      <c r="E601" s="1684"/>
      <c r="F601" s="1666">
        <f>SUM(F600,F592,F589)</f>
        <v>65.578603958269412</v>
      </c>
      <c r="G601" s="1667"/>
      <c r="H601" s="1253">
        <f>336+740+152</f>
        <v>1228</v>
      </c>
      <c r="I601" s="1254">
        <f>I600+I592+I589</f>
        <v>0</v>
      </c>
      <c r="J601" s="1188">
        <f>J589+J592+J600</f>
        <v>114170</v>
      </c>
      <c r="K601" s="1188">
        <f>K589+K592+K600</f>
        <v>117630</v>
      </c>
      <c r="L601" s="1188">
        <f>L589+L592+L600</f>
        <v>231800</v>
      </c>
      <c r="M601" s="1668"/>
      <c r="N601" s="1669"/>
      <c r="O601" s="274"/>
      <c r="P601" s="274"/>
      <c r="Q601" s="274"/>
      <c r="R601" s="274"/>
      <c r="S601" s="274"/>
      <c r="T601" s="274"/>
      <c r="U601" s="274"/>
    </row>
    <row r="602" spans="1:21">
      <c r="H602" s="719"/>
    </row>
    <row r="603" spans="1:21" ht="18">
      <c r="A603" s="356" t="s">
        <v>271</v>
      </c>
      <c r="B603" s="1566" t="s">
        <v>59</v>
      </c>
      <c r="C603" s="1566"/>
      <c r="D603" s="1566"/>
      <c r="E603" s="1641"/>
    </row>
    <row r="604" spans="1:21">
      <c r="B604" s="1559" t="s">
        <v>19</v>
      </c>
      <c r="C604" s="1559"/>
      <c r="D604" s="1559"/>
      <c r="E604" s="1559"/>
    </row>
    <row r="605" spans="1:21" ht="17" thickBot="1">
      <c r="B605" s="549"/>
      <c r="C605" s="549"/>
      <c r="D605" s="549"/>
      <c r="E605" s="549"/>
    </row>
    <row r="606" spans="1:21">
      <c r="A606" s="98"/>
      <c r="B606" s="99"/>
      <c r="C606" s="99"/>
      <c r="D606" s="99"/>
      <c r="E606" s="99"/>
      <c r="F606" s="421"/>
      <c r="G606" s="421"/>
      <c r="H606" s="421"/>
      <c r="I606" s="1468" t="s">
        <v>0</v>
      </c>
      <c r="J606" s="1468"/>
      <c r="K606" s="1468"/>
      <c r="L606" s="1468"/>
      <c r="M606" s="99"/>
      <c r="N606" s="101"/>
    </row>
    <row r="607" spans="1:21">
      <c r="A607" s="97"/>
      <c r="B607" s="1469" t="s">
        <v>1</v>
      </c>
      <c r="C607" s="1469"/>
      <c r="D607" s="1469" t="s">
        <v>2</v>
      </c>
      <c r="E607" s="1469"/>
      <c r="F607" s="1470" t="s">
        <v>3</v>
      </c>
      <c r="G607" s="1470"/>
      <c r="H607" s="438" t="s">
        <v>3</v>
      </c>
      <c r="I607" s="127" t="s">
        <v>195</v>
      </c>
      <c r="J607" s="102"/>
      <c r="K607" s="102"/>
      <c r="L607" s="128"/>
      <c r="M607" s="1469" t="s">
        <v>4</v>
      </c>
      <c r="N607" s="1526"/>
    </row>
    <row r="608" spans="1:21" ht="19" thickBot="1">
      <c r="A608" s="103" t="s">
        <v>5</v>
      </c>
      <c r="B608" s="1473" t="s">
        <v>6</v>
      </c>
      <c r="C608" s="1473"/>
      <c r="D608" s="1473" t="s">
        <v>7</v>
      </c>
      <c r="E608" s="1473"/>
      <c r="F608" s="1474" t="s">
        <v>7</v>
      </c>
      <c r="G608" s="1474"/>
      <c r="H608" s="439" t="s">
        <v>58</v>
      </c>
      <c r="I608" s="398" t="s">
        <v>196</v>
      </c>
      <c r="J608" s="397" t="s">
        <v>8</v>
      </c>
      <c r="K608" s="397" t="s">
        <v>9</v>
      </c>
      <c r="L608" s="401" t="s">
        <v>10</v>
      </c>
      <c r="M608" s="1473" t="s">
        <v>145</v>
      </c>
      <c r="N608" s="1475"/>
    </row>
    <row r="609" spans="1:21" ht="24" thickBot="1">
      <c r="A609" s="88" t="s">
        <v>136</v>
      </c>
      <c r="B609" s="1623"/>
      <c r="C609" s="1624"/>
      <c r="D609" s="1625"/>
      <c r="E609" s="1626"/>
      <c r="F609" s="1627"/>
      <c r="G609" s="1628"/>
      <c r="H609" s="454"/>
      <c r="I609" s="351"/>
      <c r="J609" s="351"/>
      <c r="K609" s="351"/>
      <c r="L609" s="352"/>
      <c r="M609" s="1629"/>
      <c r="N609" s="1630"/>
    </row>
    <row r="610" spans="1:21" s="1161" customFormat="1" ht="17" thickBot="1">
      <c r="A610" s="108" t="s">
        <v>61</v>
      </c>
      <c r="B610" s="1457"/>
      <c r="C610" s="1586"/>
      <c r="D610" s="1567"/>
      <c r="E610" s="1586"/>
      <c r="F610" s="1587"/>
      <c r="G610" s="1588"/>
      <c r="H610" s="1145"/>
      <c r="I610" s="109"/>
      <c r="J610" s="109"/>
      <c r="K610" s="109"/>
      <c r="L610" s="1141"/>
      <c r="M610" s="1617"/>
      <c r="N610" s="1486"/>
      <c r="O610" s="274"/>
      <c r="P610" s="274"/>
      <c r="Q610" s="274"/>
      <c r="R610" s="274"/>
      <c r="S610" s="274"/>
      <c r="T610" s="274"/>
      <c r="U610" s="274"/>
    </row>
    <row r="611" spans="1:21">
      <c r="A611" s="78" t="s">
        <v>62</v>
      </c>
      <c r="B611" s="1489">
        <v>405</v>
      </c>
      <c r="C611" s="1649"/>
      <c r="D611" s="1423">
        <f>F611*325851</f>
        <v>4579347.0285</v>
      </c>
      <c r="E611" s="1424"/>
      <c r="F611" s="1549">
        <f>0.0347*B611</f>
        <v>14.053500000000001</v>
      </c>
      <c r="G611" s="1550"/>
      <c r="H611" s="930">
        <f>F611*20</f>
        <v>281.07000000000005</v>
      </c>
      <c r="I611" s="150">
        <v>0</v>
      </c>
      <c r="J611" s="150">
        <v>810</v>
      </c>
      <c r="K611" s="150">
        <v>24300</v>
      </c>
      <c r="L611" s="172">
        <f t="shared" ref="L611:L618" si="110">I611+J611+K611</f>
        <v>25110</v>
      </c>
      <c r="M611" s="1651">
        <v>4.7</v>
      </c>
      <c r="N611" s="1652"/>
    </row>
    <row r="612" spans="1:21">
      <c r="A612" s="78" t="s">
        <v>63</v>
      </c>
      <c r="B612" s="1489">
        <v>22</v>
      </c>
      <c r="C612" s="1649"/>
      <c r="D612" s="1423">
        <f>F612*325851</f>
        <v>248754.65340000004</v>
      </c>
      <c r="E612" s="1424"/>
      <c r="F612" s="1549">
        <f>0.0347*B612</f>
        <v>0.76340000000000008</v>
      </c>
      <c r="G612" s="1550"/>
      <c r="H612" s="930">
        <f>F612*20</f>
        <v>15.268000000000001</v>
      </c>
      <c r="I612" s="150">
        <v>0</v>
      </c>
      <c r="J612" s="150">
        <v>242</v>
      </c>
      <c r="K612" s="150">
        <v>1320</v>
      </c>
      <c r="L612" s="172">
        <f t="shared" si="110"/>
        <v>1562</v>
      </c>
      <c r="M612" s="1651">
        <v>5.3</v>
      </c>
      <c r="N612" s="1652"/>
    </row>
    <row r="613" spans="1:21">
      <c r="A613" s="78" t="s">
        <v>64</v>
      </c>
      <c r="B613" s="1489">
        <v>201</v>
      </c>
      <c r="C613" s="1649"/>
      <c r="D613" s="1423">
        <f>F613*325851</f>
        <v>2272712.9697000002</v>
      </c>
      <c r="E613" s="1424"/>
      <c r="F613" s="1633">
        <f>0.0347*B613</f>
        <v>6.9747000000000003</v>
      </c>
      <c r="G613" s="1550"/>
      <c r="H613" s="930">
        <f>F613*20</f>
        <v>139.494</v>
      </c>
      <c r="I613" s="150">
        <v>0</v>
      </c>
      <c r="J613" s="150">
        <v>201</v>
      </c>
      <c r="K613" s="150">
        <v>12060</v>
      </c>
      <c r="L613" s="172">
        <f t="shared" si="110"/>
        <v>12261</v>
      </c>
      <c r="M613" s="1651">
        <v>4.5999999999999996</v>
      </c>
      <c r="N613" s="1652"/>
    </row>
    <row r="614" spans="1:21">
      <c r="A614" s="78" t="s">
        <v>13</v>
      </c>
      <c r="B614" s="1489">
        <v>226</v>
      </c>
      <c r="C614" s="1649"/>
      <c r="D614" s="1423">
        <f>F614*325851</f>
        <v>2032528.1975999998</v>
      </c>
      <c r="E614" s="1424"/>
      <c r="F614" s="1633">
        <f>0.0276*B614</f>
        <v>6.2375999999999996</v>
      </c>
      <c r="G614" s="1550"/>
      <c r="H614" s="930">
        <f>F614*15</f>
        <v>93.563999999999993</v>
      </c>
      <c r="I614" s="150">
        <v>0</v>
      </c>
      <c r="J614" s="150">
        <v>226</v>
      </c>
      <c r="K614" s="150">
        <v>24860</v>
      </c>
      <c r="L614" s="172">
        <f>I614+J614+K614</f>
        <v>25086</v>
      </c>
      <c r="M614" s="1651">
        <v>5.7</v>
      </c>
      <c r="N614" s="1652"/>
    </row>
    <row r="615" spans="1:21" ht="17" thickBot="1">
      <c r="A615" s="76" t="s">
        <v>14</v>
      </c>
      <c r="B615" s="1489">
        <v>28</v>
      </c>
      <c r="C615" s="1649"/>
      <c r="D615" s="1536">
        <v>802854</v>
      </c>
      <c r="E615" s="1424"/>
      <c r="F615" s="1633">
        <v>2.46</v>
      </c>
      <c r="G615" s="1550"/>
      <c r="H615" s="930">
        <f>F615*5</f>
        <v>12.3</v>
      </c>
      <c r="I615" s="150">
        <v>0</v>
      </c>
      <c r="J615" s="150">
        <v>1484</v>
      </c>
      <c r="K615" s="150">
        <v>0</v>
      </c>
      <c r="L615" s="172">
        <f>I615+J615+K615</f>
        <v>1484</v>
      </c>
      <c r="M615" s="1651">
        <v>2.4</v>
      </c>
      <c r="N615" s="1652"/>
    </row>
    <row r="616" spans="1:21" s="532" customFormat="1" ht="17" thickBot="1">
      <c r="A616" s="53" t="s">
        <v>60</v>
      </c>
      <c r="B616" s="1440">
        <f>SUM(B611:C615)</f>
        <v>882</v>
      </c>
      <c r="C616" s="1609"/>
      <c r="D616" s="1440">
        <f>SUM(D611:E615)</f>
        <v>9936196.849200001</v>
      </c>
      <c r="E616" s="1609"/>
      <c r="F616" s="1512">
        <f>SUM(F611:G615)</f>
        <v>30.489200000000004</v>
      </c>
      <c r="G616" s="1575"/>
      <c r="H616" s="612">
        <f>SUM(H611:H615)</f>
        <v>541.69600000000003</v>
      </c>
      <c r="I616" s="136">
        <f>SUM(I611:I615)</f>
        <v>0</v>
      </c>
      <c r="J616" s="136">
        <f>SUM(J611:J615)</f>
        <v>2963</v>
      </c>
      <c r="K616" s="136">
        <f>SUM(K611:K615)</f>
        <v>62540</v>
      </c>
      <c r="L616" s="136">
        <f>SUM(L611:L615)</f>
        <v>65503</v>
      </c>
      <c r="M616" s="1657"/>
      <c r="N616" s="1622"/>
      <c r="O616" s="1401"/>
      <c r="P616" s="1401"/>
      <c r="Q616" s="1401"/>
      <c r="R616" s="1401"/>
      <c r="S616" s="1401"/>
      <c r="T616" s="1401"/>
      <c r="U616" s="1401"/>
    </row>
    <row r="617" spans="1:21" s="1161" customFormat="1" ht="17" thickBot="1">
      <c r="A617" s="108" t="s">
        <v>147</v>
      </c>
      <c r="B617" s="1653"/>
      <c r="C617" s="1654"/>
      <c r="D617" s="1653"/>
      <c r="E617" s="1654"/>
      <c r="F617" s="1655"/>
      <c r="G617" s="1656"/>
      <c r="H617" s="1248"/>
      <c r="I617" s="1249"/>
      <c r="J617" s="1249"/>
      <c r="K617" s="1249"/>
      <c r="L617" s="1250"/>
      <c r="M617" s="1658"/>
      <c r="N617" s="1659"/>
      <c r="O617" s="274"/>
      <c r="P617" s="274"/>
      <c r="Q617" s="274"/>
      <c r="R617" s="274"/>
      <c r="S617" s="274"/>
      <c r="T617" s="274"/>
      <c r="U617" s="274"/>
    </row>
    <row r="618" spans="1:21" ht="17" thickBot="1">
      <c r="A618" s="78" t="s">
        <v>11</v>
      </c>
      <c r="B618" s="1489">
        <v>512</v>
      </c>
      <c r="C618" s="1649"/>
      <c r="D618" s="1536">
        <f>F618*325851</f>
        <v>5789199.2064000005</v>
      </c>
      <c r="E618" s="1424"/>
      <c r="F618" s="1633">
        <f>0.0347*B618</f>
        <v>17.766400000000001</v>
      </c>
      <c r="G618" s="1550"/>
      <c r="H618" s="930">
        <f>F618*20</f>
        <v>355.32800000000003</v>
      </c>
      <c r="I618" s="150">
        <v>0</v>
      </c>
      <c r="J618" s="150">
        <v>17408</v>
      </c>
      <c r="K618" s="150">
        <v>30720</v>
      </c>
      <c r="L618" s="172">
        <f t="shared" si="110"/>
        <v>48128</v>
      </c>
      <c r="M618" s="1651">
        <v>4.2</v>
      </c>
      <c r="N618" s="1652"/>
    </row>
    <row r="619" spans="1:21" s="532" customFormat="1" ht="17" thickBot="1">
      <c r="A619" s="53" t="s">
        <v>60</v>
      </c>
      <c r="B619" s="1440">
        <f>SUM(B618)</f>
        <v>512</v>
      </c>
      <c r="C619" s="1609"/>
      <c r="D619" s="1440">
        <f>SUM(D618)</f>
        <v>5789199.2064000005</v>
      </c>
      <c r="E619" s="1439"/>
      <c r="F619" s="1512">
        <f>SUM(F618)</f>
        <v>17.766400000000001</v>
      </c>
      <c r="G619" s="1575"/>
      <c r="H619" s="612">
        <f>SUM(H618)</f>
        <v>355.32800000000003</v>
      </c>
      <c r="I619" s="136">
        <f>SUM(I618)</f>
        <v>0</v>
      </c>
      <c r="J619" s="136">
        <f>SUM(J618)</f>
        <v>17408</v>
      </c>
      <c r="K619" s="136">
        <f>SUM(K618)</f>
        <v>30720</v>
      </c>
      <c r="L619" s="136">
        <f>SUM(L618)</f>
        <v>48128</v>
      </c>
      <c r="M619" s="1657"/>
      <c r="N619" s="1622"/>
      <c r="O619" s="1401"/>
      <c r="P619" s="1401"/>
      <c r="Q619" s="1401"/>
      <c r="R619" s="1401"/>
      <c r="S619" s="1401"/>
      <c r="T619" s="1401"/>
      <c r="U619" s="1401"/>
    </row>
    <row r="620" spans="1:21" s="1161" customFormat="1" ht="17" thickBot="1">
      <c r="A620" s="108" t="s">
        <v>50</v>
      </c>
      <c r="B620" s="1653"/>
      <c r="C620" s="1654"/>
      <c r="D620" s="1653"/>
      <c r="E620" s="1654"/>
      <c r="F620" s="1655"/>
      <c r="G620" s="1656"/>
      <c r="H620" s="1248"/>
      <c r="I620" s="1249"/>
      <c r="J620" s="1249"/>
      <c r="K620" s="1249"/>
      <c r="L620" s="1250"/>
      <c r="M620" s="1658"/>
      <c r="N620" s="1659"/>
      <c r="O620" s="274"/>
      <c r="P620" s="274"/>
      <c r="Q620" s="274"/>
      <c r="R620" s="274"/>
      <c r="S620" s="274"/>
      <c r="T620" s="274"/>
      <c r="U620" s="274"/>
    </row>
    <row r="621" spans="1:21">
      <c r="A621" s="78" t="s">
        <v>13</v>
      </c>
      <c r="B621" s="1489">
        <v>51</v>
      </c>
      <c r="C621" s="1649"/>
      <c r="D621" s="1536">
        <f>F621*325851</f>
        <v>458667.8676</v>
      </c>
      <c r="E621" s="1424"/>
      <c r="F621" s="1633">
        <f>0.0276*B621</f>
        <v>1.4076</v>
      </c>
      <c r="G621" s="1550"/>
      <c r="H621" s="930">
        <f>F621*15</f>
        <v>21.114000000000001</v>
      </c>
      <c r="I621" s="150">
        <v>0</v>
      </c>
      <c r="J621" s="150">
        <v>0</v>
      </c>
      <c r="K621" s="150">
        <v>12750</v>
      </c>
      <c r="L621" s="172">
        <f>I621+J621+K621</f>
        <v>12750</v>
      </c>
      <c r="M621" s="1539">
        <v>5</v>
      </c>
      <c r="N621" s="1540"/>
    </row>
    <row r="622" spans="1:21">
      <c r="A622" s="76" t="s">
        <v>70</v>
      </c>
      <c r="B622" s="1489">
        <v>7</v>
      </c>
      <c r="C622" s="1649"/>
      <c r="D622" s="1536">
        <f>F622*325851</f>
        <v>349898.80380000005</v>
      </c>
      <c r="E622" s="1424"/>
      <c r="F622" s="1633">
        <f>0.1534*B622</f>
        <v>1.0738000000000001</v>
      </c>
      <c r="G622" s="1550"/>
      <c r="H622" s="930">
        <f>F622*5</f>
        <v>5.3690000000000007</v>
      </c>
      <c r="I622" s="150">
        <v>0</v>
      </c>
      <c r="J622" s="150">
        <v>0</v>
      </c>
      <c r="K622" s="150">
        <v>700</v>
      </c>
      <c r="L622" s="172">
        <f>I622+J622+K622</f>
        <v>700</v>
      </c>
      <c r="M622" s="1651">
        <v>1.5</v>
      </c>
      <c r="N622" s="1652"/>
    </row>
    <row r="623" spans="1:21">
      <c r="A623" s="76" t="s">
        <v>71</v>
      </c>
      <c r="B623" s="1489">
        <v>82</v>
      </c>
      <c r="C623" s="1649"/>
      <c r="D623" s="1536">
        <f>F623*325851</f>
        <v>4098814.5588000002</v>
      </c>
      <c r="E623" s="1424"/>
      <c r="F623" s="1633">
        <f>0.1534*B623</f>
        <v>12.578800000000001</v>
      </c>
      <c r="G623" s="1550"/>
      <c r="H623" s="930">
        <f>F623*5</f>
        <v>62.894000000000005</v>
      </c>
      <c r="I623" s="150">
        <v>0</v>
      </c>
      <c r="J623" s="150">
        <v>8200</v>
      </c>
      <c r="K623" s="150">
        <v>8200</v>
      </c>
      <c r="L623" s="172">
        <f>I623+J623+K623</f>
        <v>16400</v>
      </c>
      <c r="M623" s="1651">
        <v>3.1</v>
      </c>
      <c r="N623" s="1652"/>
    </row>
    <row r="624" spans="1:21" ht="17" thickBot="1">
      <c r="A624" s="76" t="s">
        <v>16</v>
      </c>
      <c r="B624" s="1685">
        <v>0</v>
      </c>
      <c r="C624" s="1686"/>
      <c r="D624" s="1536">
        <f>F624*325851</f>
        <v>0</v>
      </c>
      <c r="E624" s="1424"/>
      <c r="F624" s="1633">
        <f>0.004*B624</f>
        <v>0</v>
      </c>
      <c r="G624" s="1550"/>
      <c r="H624" s="930">
        <f>F624*5</f>
        <v>0</v>
      </c>
      <c r="I624" s="150">
        <v>0</v>
      </c>
      <c r="J624" s="150">
        <v>0</v>
      </c>
      <c r="K624" s="150">
        <v>0</v>
      </c>
      <c r="L624" s="172">
        <f>I624+J624+K624</f>
        <v>0</v>
      </c>
      <c r="M624" s="1539">
        <v>0</v>
      </c>
      <c r="N624" s="1540"/>
    </row>
    <row r="625" spans="1:21" s="532" customFormat="1" ht="17" thickBot="1">
      <c r="A625" s="53" t="s">
        <v>60</v>
      </c>
      <c r="B625" s="1438">
        <f>SUM(B621:C624)</f>
        <v>140</v>
      </c>
      <c r="C625" s="1609"/>
      <c r="D625" s="1440">
        <f>SUM(D621:E624)</f>
        <v>4907381.2302000001</v>
      </c>
      <c r="E625" s="1609"/>
      <c r="F625" s="1512">
        <f>SUM(F621:G624)</f>
        <v>15.060200000000002</v>
      </c>
      <c r="G625" s="1575"/>
      <c r="H625" s="470">
        <f>SUM(H621:H624)</f>
        <v>89.37700000000001</v>
      </c>
      <c r="I625" s="143">
        <f>SUM(I621:I624)</f>
        <v>0</v>
      </c>
      <c r="J625" s="152">
        <f>SUM(J621:J624)</f>
        <v>8200</v>
      </c>
      <c r="K625" s="378">
        <f>SUM(K621:K624)</f>
        <v>21650</v>
      </c>
      <c r="L625" s="143">
        <f>SUM(L621:L624)</f>
        <v>29850</v>
      </c>
      <c r="M625" s="1657"/>
      <c r="N625" s="1622"/>
      <c r="O625" s="1401"/>
      <c r="P625" s="1401"/>
      <c r="Q625" s="1401"/>
      <c r="R625" s="1401"/>
      <c r="S625" s="1401"/>
      <c r="T625" s="1401"/>
      <c r="U625" s="1401"/>
    </row>
    <row r="626" spans="1:21" s="1161" customFormat="1" ht="17" thickBot="1">
      <c r="A626" s="1186" t="s">
        <v>17</v>
      </c>
      <c r="B626" s="1663">
        <f>B616+B619+B625</f>
        <v>1534</v>
      </c>
      <c r="C626" s="1664"/>
      <c r="D626" s="1665">
        <f>SUM(D625,D616,D619)</f>
        <v>20632777.285800003</v>
      </c>
      <c r="E626" s="1684"/>
      <c r="F626" s="1666">
        <f>SUM(F625,F616,F619)</f>
        <v>63.31580000000001</v>
      </c>
      <c r="G626" s="1667"/>
      <c r="H626" s="1254">
        <f>H616+H619+H625</f>
        <v>986.40100000000007</v>
      </c>
      <c r="I626" s="1188">
        <f>I616+I619+I625</f>
        <v>0</v>
      </c>
      <c r="J626" s="1188">
        <f>J616+J619+J625</f>
        <v>28571</v>
      </c>
      <c r="K626" s="1188">
        <f>K616+K619+K625</f>
        <v>114910</v>
      </c>
      <c r="L626" s="1188">
        <f>L616+L619+L625</f>
        <v>143481</v>
      </c>
      <c r="M626" s="1661"/>
      <c r="N626" s="1662"/>
      <c r="O626" s="274"/>
      <c r="P626" s="274"/>
      <c r="Q626" s="274"/>
      <c r="R626" s="274"/>
      <c r="S626" s="274"/>
      <c r="T626" s="274"/>
      <c r="U626" s="274"/>
    </row>
    <row r="627" spans="1:21">
      <c r="M627" s="508"/>
      <c r="N627" s="508"/>
    </row>
    <row r="628" spans="1:21" ht="17" thickBot="1">
      <c r="M628" s="508"/>
      <c r="N628" s="508"/>
    </row>
    <row r="629" spans="1:21" ht="24" thickBot="1">
      <c r="A629" s="88" t="s">
        <v>137</v>
      </c>
      <c r="B629" s="359"/>
      <c r="C629" s="360"/>
      <c r="D629" s="361"/>
      <c r="E629" s="360"/>
      <c r="F629" s="458"/>
      <c r="G629" s="459"/>
      <c r="H629" s="459"/>
      <c r="I629" s="362"/>
      <c r="J629" s="362"/>
      <c r="K629" s="362"/>
      <c r="L629" s="362"/>
      <c r="M629" s="509"/>
      <c r="N629" s="510"/>
    </row>
    <row r="630" spans="1:21" s="1161" customFormat="1" ht="17" thickBot="1">
      <c r="A630" s="108" t="s">
        <v>61</v>
      </c>
      <c r="B630" s="1457"/>
      <c r="C630" s="1586"/>
      <c r="D630" s="1567"/>
      <c r="E630" s="1586"/>
      <c r="F630" s="1587"/>
      <c r="G630" s="1588"/>
      <c r="H630" s="1145"/>
      <c r="I630" s="109"/>
      <c r="J630" s="109"/>
      <c r="K630" s="109"/>
      <c r="L630" s="1141"/>
      <c r="M630" s="1658"/>
      <c r="N630" s="1659"/>
      <c r="O630" s="274"/>
      <c r="P630" s="274"/>
      <c r="Q630" s="274"/>
      <c r="R630" s="274"/>
      <c r="S630" s="274"/>
      <c r="T630" s="274"/>
      <c r="U630" s="274"/>
    </row>
    <row r="631" spans="1:21">
      <c r="A631" s="78" t="s">
        <v>62</v>
      </c>
      <c r="B631" s="1489">
        <v>537</v>
      </c>
      <c r="C631" s="1649"/>
      <c r="D631" s="1423">
        <f>F631*325851</f>
        <v>6071874.9489000002</v>
      </c>
      <c r="E631" s="1424"/>
      <c r="F631" s="1549">
        <f>0.0347*B631</f>
        <v>18.633900000000001</v>
      </c>
      <c r="G631" s="1550"/>
      <c r="H631" s="930">
        <f>F631*20</f>
        <v>372.678</v>
      </c>
      <c r="I631" s="150">
        <v>0</v>
      </c>
      <c r="J631" s="150">
        <v>1074</v>
      </c>
      <c r="K631" s="150">
        <v>32220</v>
      </c>
      <c r="L631" s="150">
        <f>I631+J631+K631</f>
        <v>33294</v>
      </c>
      <c r="M631" s="1651">
        <v>4.7</v>
      </c>
      <c r="N631" s="1652"/>
    </row>
    <row r="632" spans="1:21">
      <c r="A632" s="78" t="s">
        <v>63</v>
      </c>
      <c r="B632" s="1489">
        <v>174</v>
      </c>
      <c r="C632" s="1649"/>
      <c r="D632" s="1423">
        <f>F632*325851</f>
        <v>1967423.1678000002</v>
      </c>
      <c r="E632" s="1424"/>
      <c r="F632" s="1549">
        <f>0.0347*B632</f>
        <v>6.0378000000000007</v>
      </c>
      <c r="G632" s="1550"/>
      <c r="H632" s="930">
        <f>F632*20</f>
        <v>120.75600000000001</v>
      </c>
      <c r="I632" s="150">
        <v>0</v>
      </c>
      <c r="J632" s="150">
        <v>1914</v>
      </c>
      <c r="K632" s="150">
        <v>10440</v>
      </c>
      <c r="L632" s="150">
        <f>I632+J632+K632</f>
        <v>12354</v>
      </c>
      <c r="M632" s="1651">
        <v>5.3</v>
      </c>
      <c r="N632" s="1652"/>
    </row>
    <row r="633" spans="1:21">
      <c r="A633" s="78" t="s">
        <v>64</v>
      </c>
      <c r="B633" s="1489">
        <v>18</v>
      </c>
      <c r="C633" s="1649"/>
      <c r="D633" s="1423">
        <f>F633*325851</f>
        <v>203526.53460000001</v>
      </c>
      <c r="E633" s="1424"/>
      <c r="F633" s="1549">
        <f>0.0347*B633</f>
        <v>0.62460000000000004</v>
      </c>
      <c r="G633" s="1550"/>
      <c r="H633" s="930">
        <f>F633*20</f>
        <v>12.492000000000001</v>
      </c>
      <c r="I633" s="150">
        <v>0</v>
      </c>
      <c r="J633" s="150">
        <v>18</v>
      </c>
      <c r="K633" s="150">
        <v>1080</v>
      </c>
      <c r="L633" s="150">
        <f>I633+J633+K633</f>
        <v>1098</v>
      </c>
      <c r="M633" s="1651">
        <v>4.3</v>
      </c>
      <c r="N633" s="1652"/>
    </row>
    <row r="634" spans="1:21">
      <c r="A634" s="78" t="s">
        <v>13</v>
      </c>
      <c r="B634" s="1489">
        <v>189</v>
      </c>
      <c r="C634" s="1649"/>
      <c r="D634" s="1423">
        <f>F634*325851</f>
        <v>1699769.1564</v>
      </c>
      <c r="E634" s="1424"/>
      <c r="F634" s="1549">
        <f>0.0276*B634</f>
        <v>5.2164000000000001</v>
      </c>
      <c r="G634" s="1550"/>
      <c r="H634" s="930">
        <f>F634*15</f>
        <v>78.246000000000009</v>
      </c>
      <c r="I634" s="150">
        <v>0</v>
      </c>
      <c r="J634" s="150">
        <v>189</v>
      </c>
      <c r="K634" s="150">
        <v>20790</v>
      </c>
      <c r="L634" s="150">
        <f>I634+J634+K634</f>
        <v>20979</v>
      </c>
      <c r="M634" s="1651">
        <v>5.7</v>
      </c>
      <c r="N634" s="1652"/>
    </row>
    <row r="635" spans="1:21" ht="17" thickBot="1">
      <c r="A635" s="78" t="s">
        <v>14</v>
      </c>
      <c r="B635" s="1489">
        <v>29</v>
      </c>
      <c r="C635" s="1649"/>
      <c r="D635" s="1423">
        <v>1246986</v>
      </c>
      <c r="E635" s="1424"/>
      <c r="F635" s="1633">
        <v>3.83</v>
      </c>
      <c r="G635" s="1550"/>
      <c r="H635" s="930">
        <f>F635*5</f>
        <v>19.149999999999999</v>
      </c>
      <c r="I635" s="150">
        <v>0</v>
      </c>
      <c r="J635" s="150">
        <v>1537</v>
      </c>
      <c r="K635" s="150">
        <v>0</v>
      </c>
      <c r="L635" s="150">
        <f>I635+J635+K635</f>
        <v>1537</v>
      </c>
      <c r="M635" s="1651">
        <v>2.4</v>
      </c>
      <c r="N635" s="1652"/>
    </row>
    <row r="636" spans="1:21" s="532" customFormat="1" ht="17" thickBot="1">
      <c r="A636" s="53" t="s">
        <v>60</v>
      </c>
      <c r="B636" s="1440">
        <f>SUM(B631:C635)</f>
        <v>947</v>
      </c>
      <c r="C636" s="1609"/>
      <c r="D636" s="1441">
        <f>SUM(D631:E635)</f>
        <v>11189579.807700001</v>
      </c>
      <c r="E636" s="1609"/>
      <c r="F636" s="1512">
        <f>SUM(F631:G635)</f>
        <v>34.342700000000001</v>
      </c>
      <c r="G636" s="1575"/>
      <c r="H636" s="612">
        <f>SUM(H631:H635)</f>
        <v>603.322</v>
      </c>
      <c r="I636" s="136">
        <f>SUM(I631:I635)</f>
        <v>0</v>
      </c>
      <c r="J636" s="136">
        <f>SUM(J631:J635)</f>
        <v>4732</v>
      </c>
      <c r="K636" s="136">
        <f>SUM(K631:K635)</f>
        <v>64530</v>
      </c>
      <c r="L636" s="136">
        <f>SUM(L631:L635)</f>
        <v>69262</v>
      </c>
      <c r="M636" s="1657"/>
      <c r="N636" s="1622"/>
      <c r="O636" s="1401"/>
      <c r="P636" s="1401"/>
      <c r="Q636" s="1401"/>
      <c r="R636" s="1401"/>
      <c r="S636" s="1401"/>
      <c r="T636" s="1401"/>
      <c r="U636" s="1401"/>
    </row>
    <row r="637" spans="1:21" s="1161" customFormat="1" ht="17" thickBot="1">
      <c r="A637" s="108" t="s">
        <v>147</v>
      </c>
      <c r="B637" s="1653"/>
      <c r="C637" s="1654"/>
      <c r="D637" s="1660"/>
      <c r="E637" s="1654"/>
      <c r="F637" s="1655"/>
      <c r="G637" s="1656"/>
      <c r="H637" s="1248"/>
      <c r="I637" s="1249"/>
      <c r="J637" s="1249"/>
      <c r="K637" s="1249"/>
      <c r="L637" s="1250"/>
      <c r="M637" s="1658"/>
      <c r="N637" s="1659"/>
      <c r="O637" s="274"/>
      <c r="P637" s="274"/>
      <c r="Q637" s="274"/>
      <c r="R637" s="274"/>
      <c r="S637" s="274"/>
      <c r="T637" s="274"/>
      <c r="U637" s="274"/>
    </row>
    <row r="638" spans="1:21" ht="17" thickBot="1">
      <c r="A638" s="78" t="s">
        <v>11</v>
      </c>
      <c r="B638" s="1489">
        <v>339</v>
      </c>
      <c r="C638" s="1649"/>
      <c r="D638" s="1423">
        <f>F638*325851</f>
        <v>3833083.0683000004</v>
      </c>
      <c r="E638" s="1424"/>
      <c r="F638" s="1633">
        <f>0.0347*B638</f>
        <v>11.763300000000001</v>
      </c>
      <c r="G638" s="1550"/>
      <c r="H638" s="930">
        <f>F638*20</f>
        <v>235.26600000000002</v>
      </c>
      <c r="I638" s="150">
        <v>0</v>
      </c>
      <c r="J638" s="150">
        <v>11526</v>
      </c>
      <c r="K638" s="150">
        <v>20340</v>
      </c>
      <c r="L638" s="150">
        <f>I638+J638+K638</f>
        <v>31866</v>
      </c>
      <c r="M638" s="1651">
        <v>4.2</v>
      </c>
      <c r="N638" s="1652"/>
    </row>
    <row r="639" spans="1:21" s="532" customFormat="1" ht="17" thickBot="1">
      <c r="A639" s="53" t="s">
        <v>60</v>
      </c>
      <c r="B639" s="1440">
        <f>SUM(B638)</f>
        <v>339</v>
      </c>
      <c r="C639" s="1609"/>
      <c r="D639" s="1441">
        <f>SUM(D638)</f>
        <v>3833083.0683000004</v>
      </c>
      <c r="E639" s="1609"/>
      <c r="F639" s="1512">
        <f>SUM(F638)</f>
        <v>11.763300000000001</v>
      </c>
      <c r="G639" s="1575"/>
      <c r="H639" s="612">
        <f>SUM(H638)</f>
        <v>235.26600000000002</v>
      </c>
      <c r="I639" s="136">
        <f>SUM(I638)</f>
        <v>0</v>
      </c>
      <c r="J639" s="136">
        <f>SUM(J638)</f>
        <v>11526</v>
      </c>
      <c r="K639" s="136">
        <f>SUM(K638)</f>
        <v>20340</v>
      </c>
      <c r="L639" s="136">
        <f>SUM(L638)</f>
        <v>31866</v>
      </c>
      <c r="M639" s="1657"/>
      <c r="N639" s="1622"/>
      <c r="O639" s="1401"/>
      <c r="P639" s="1401"/>
      <c r="Q639" s="1401"/>
      <c r="R639" s="1401"/>
      <c r="S639" s="1401"/>
      <c r="T639" s="1401"/>
      <c r="U639" s="1401"/>
    </row>
    <row r="640" spans="1:21" s="1161" customFormat="1" ht="17" thickBot="1">
      <c r="A640" s="108" t="s">
        <v>50</v>
      </c>
      <c r="B640" s="1653"/>
      <c r="C640" s="1654"/>
      <c r="D640" s="1660"/>
      <c r="E640" s="1654"/>
      <c r="F640" s="1655"/>
      <c r="G640" s="1656"/>
      <c r="H640" s="1248"/>
      <c r="I640" s="1249"/>
      <c r="J640" s="1249"/>
      <c r="K640" s="1249"/>
      <c r="L640" s="1250"/>
      <c r="M640" s="1658"/>
      <c r="N640" s="1659"/>
      <c r="O640" s="274"/>
      <c r="P640" s="274"/>
      <c r="Q640" s="274"/>
      <c r="R640" s="274"/>
      <c r="S640" s="274"/>
      <c r="T640" s="274"/>
      <c r="U640" s="274"/>
    </row>
    <row r="641" spans="1:21">
      <c r="A641" s="78" t="s">
        <v>13</v>
      </c>
      <c r="B641" s="1489">
        <v>18</v>
      </c>
      <c r="C641" s="1649"/>
      <c r="D641" s="1423">
        <f>F641*325851</f>
        <v>161882.77679999999</v>
      </c>
      <c r="E641" s="1424"/>
      <c r="F641" s="1633">
        <f>0.0276*B641</f>
        <v>0.49680000000000002</v>
      </c>
      <c r="G641" s="1550"/>
      <c r="H641" s="930">
        <f>F641*15</f>
        <v>7.452</v>
      </c>
      <c r="I641" s="150">
        <v>0</v>
      </c>
      <c r="J641" s="150">
        <v>0</v>
      </c>
      <c r="K641" s="150">
        <v>4500</v>
      </c>
      <c r="L641" s="150">
        <f>I641+J641+K641</f>
        <v>4500</v>
      </c>
      <c r="M641" s="1427">
        <v>5.0999999999999996</v>
      </c>
      <c r="N641" s="1428"/>
    </row>
    <row r="642" spans="1:21">
      <c r="A642" s="78" t="s">
        <v>15</v>
      </c>
      <c r="B642" s="1489">
        <v>10</v>
      </c>
      <c r="C642" s="1649"/>
      <c r="D642" s="1423">
        <f>F642*325851</f>
        <v>499855.43400000001</v>
      </c>
      <c r="E642" s="1424"/>
      <c r="F642" s="1633">
        <f>0.1534*B642</f>
        <v>1.534</v>
      </c>
      <c r="G642" s="1550"/>
      <c r="H642" s="930">
        <f>F642*5</f>
        <v>7.67</v>
      </c>
      <c r="I642" s="150">
        <v>0</v>
      </c>
      <c r="J642" s="150">
        <v>1000</v>
      </c>
      <c r="K642" s="150">
        <v>1000</v>
      </c>
      <c r="L642" s="150">
        <f>I642+J642+K642</f>
        <v>2000</v>
      </c>
      <c r="M642" s="1651">
        <v>3.1</v>
      </c>
      <c r="N642" s="1652"/>
    </row>
    <row r="643" spans="1:21">
      <c r="A643" s="76" t="s">
        <v>16</v>
      </c>
      <c r="B643" s="1489">
        <v>141</v>
      </c>
      <c r="C643" s="1649"/>
      <c r="D643" s="1423">
        <f>F643*325851</f>
        <v>183779.96400000001</v>
      </c>
      <c r="E643" s="1424"/>
      <c r="F643" s="1633">
        <f>0.004*B643</f>
        <v>0.56400000000000006</v>
      </c>
      <c r="G643" s="1550"/>
      <c r="H643" s="930">
        <f>F643*5</f>
        <v>2.8200000000000003</v>
      </c>
      <c r="I643" s="150">
        <v>0</v>
      </c>
      <c r="J643" s="150">
        <v>0</v>
      </c>
      <c r="K643" s="150">
        <v>7050</v>
      </c>
      <c r="L643" s="150">
        <f>I643+J643+K643</f>
        <v>7050</v>
      </c>
      <c r="M643" s="1651">
        <v>1.5</v>
      </c>
      <c r="N643" s="1652"/>
    </row>
    <row r="644" spans="1:21">
      <c r="A644" s="76" t="s">
        <v>12</v>
      </c>
      <c r="B644" s="1489">
        <v>2</v>
      </c>
      <c r="C644" s="1649"/>
      <c r="D644" s="1423">
        <f>F644*325851</f>
        <v>2085446.4000000001</v>
      </c>
      <c r="E644" s="1424"/>
      <c r="F644" s="1633">
        <f>3.2*B644</f>
        <v>6.4</v>
      </c>
      <c r="G644" s="1550"/>
      <c r="H644" s="930">
        <f>F644*5</f>
        <v>32</v>
      </c>
      <c r="I644" s="150">
        <v>0</v>
      </c>
      <c r="J644" s="150">
        <v>0</v>
      </c>
      <c r="K644" s="150">
        <v>4000</v>
      </c>
      <c r="L644" s="172">
        <f>I644+J644+K644</f>
        <v>4000</v>
      </c>
      <c r="M644" s="1651">
        <v>1.6</v>
      </c>
      <c r="N644" s="1652"/>
    </row>
    <row r="645" spans="1:21" ht="17" thickBot="1">
      <c r="A645" s="78" t="s">
        <v>21</v>
      </c>
      <c r="B645" s="1489" t="s">
        <v>22</v>
      </c>
      <c r="C645" s="1649"/>
      <c r="D645" s="1423" t="s">
        <v>22</v>
      </c>
      <c r="E645" s="1424"/>
      <c r="F645" s="1633" t="s">
        <v>22</v>
      </c>
      <c r="G645" s="1550"/>
      <c r="H645" s="930" t="s">
        <v>22</v>
      </c>
      <c r="I645" s="150" t="s">
        <v>22</v>
      </c>
      <c r="J645" s="150" t="s">
        <v>22</v>
      </c>
      <c r="K645" s="150" t="s">
        <v>22</v>
      </c>
      <c r="L645" s="150" t="s">
        <v>22</v>
      </c>
      <c r="M645" s="1651" t="s">
        <v>22</v>
      </c>
      <c r="N645" s="1652"/>
    </row>
    <row r="646" spans="1:21" s="532" customFormat="1" ht="17" thickBot="1">
      <c r="A646" s="53" t="s">
        <v>60</v>
      </c>
      <c r="B646" s="1440">
        <f>SUM(B641:C645)</f>
        <v>171</v>
      </c>
      <c r="C646" s="1609"/>
      <c r="D646" s="1441">
        <f>SUM(D641:E645)</f>
        <v>2930964.5748000001</v>
      </c>
      <c r="E646" s="1609"/>
      <c r="F646" s="1512">
        <f>SUM(F641:G645)</f>
        <v>8.9948000000000015</v>
      </c>
      <c r="G646" s="1575"/>
      <c r="H646" s="471">
        <f>SUM(H641:H645)</f>
        <v>49.942</v>
      </c>
      <c r="I646" s="136">
        <f>SUM(I641:I645)</f>
        <v>0</v>
      </c>
      <c r="J646" s="136">
        <f>SUM(J641:J645)</f>
        <v>1000</v>
      </c>
      <c r="K646" s="136">
        <f>SUM(K641:K645)</f>
        <v>16550</v>
      </c>
      <c r="L646" s="136">
        <f>SUM(L641:L645)</f>
        <v>17550</v>
      </c>
      <c r="M646" s="1670"/>
      <c r="N646" s="1671"/>
      <c r="O646" s="1401"/>
      <c r="P646" s="1401"/>
      <c r="Q646" s="1401"/>
      <c r="R646" s="1401"/>
      <c r="S646" s="1401"/>
      <c r="T646" s="1401"/>
      <c r="U646" s="1401"/>
    </row>
    <row r="647" spans="1:21" s="1161" customFormat="1" ht="17" thickBot="1">
      <c r="A647" s="1186" t="s">
        <v>17</v>
      </c>
      <c r="B647" s="1663">
        <f>B636+B639+B646</f>
        <v>1457</v>
      </c>
      <c r="C647" s="1664"/>
      <c r="D647" s="1665">
        <f>SUM(D646,D639,D636)</f>
        <v>17953627.450800002</v>
      </c>
      <c r="E647" s="1664"/>
      <c r="F647" s="1666">
        <f>SUM(F646,F639,F636)</f>
        <v>55.100800000000007</v>
      </c>
      <c r="G647" s="1667"/>
      <c r="H647" s="1254">
        <f>SUM(F647,H636,H639,H646)</f>
        <v>943.63080000000014</v>
      </c>
      <c r="I647" s="1188">
        <f>I636+I639+I646</f>
        <v>0</v>
      </c>
      <c r="J647" s="1188">
        <f>J636+J639+J646</f>
        <v>17258</v>
      </c>
      <c r="K647" s="1188">
        <f>K636+K639+K646</f>
        <v>101420</v>
      </c>
      <c r="L647" s="1188">
        <f>L636+L639+L646</f>
        <v>118678</v>
      </c>
      <c r="M647" s="1668"/>
      <c r="N647" s="1669"/>
      <c r="O647" s="274"/>
      <c r="P647" s="274"/>
      <c r="Q647" s="274"/>
      <c r="R647" s="274"/>
      <c r="S647" s="274"/>
      <c r="T647" s="274"/>
      <c r="U647" s="274"/>
    </row>
    <row r="649" spans="1:21" ht="18">
      <c r="A649" s="356" t="s">
        <v>271</v>
      </c>
      <c r="B649" s="1566" t="s">
        <v>59</v>
      </c>
      <c r="C649" s="1566"/>
      <c r="D649" s="1566"/>
      <c r="E649" s="1641"/>
    </row>
    <row r="650" spans="1:21">
      <c r="B650" s="1559" t="s">
        <v>19</v>
      </c>
      <c r="C650" s="1559"/>
      <c r="D650" s="1559"/>
      <c r="E650" s="1559"/>
    </row>
  </sheetData>
  <mergeCells count="2298">
    <mergeCell ref="B76:C76"/>
    <mergeCell ref="D76:E76"/>
    <mergeCell ref="F76:G76"/>
    <mergeCell ref="M76:N76"/>
    <mergeCell ref="B78:E78"/>
    <mergeCell ref="B79:E79"/>
    <mergeCell ref="B71:C71"/>
    <mergeCell ref="D71:E71"/>
    <mergeCell ref="F71:G71"/>
    <mergeCell ref="M71:N71"/>
    <mergeCell ref="B72:C72"/>
    <mergeCell ref="D72:E72"/>
    <mergeCell ref="F72:G72"/>
    <mergeCell ref="M72:N72"/>
    <mergeCell ref="B73:C73"/>
    <mergeCell ref="D73:E73"/>
    <mergeCell ref="F73:G73"/>
    <mergeCell ref="B74:C74"/>
    <mergeCell ref="D74:E74"/>
    <mergeCell ref="F74:G74"/>
    <mergeCell ref="M74:N74"/>
    <mergeCell ref="B75:C75"/>
    <mergeCell ref="D75:E75"/>
    <mergeCell ref="F75:G75"/>
    <mergeCell ref="M75:N75"/>
    <mergeCell ref="B66:C66"/>
    <mergeCell ref="D66:E66"/>
    <mergeCell ref="F66:G66"/>
    <mergeCell ref="M66:N66"/>
    <mergeCell ref="B67:C67"/>
    <mergeCell ref="D67:E67"/>
    <mergeCell ref="F67:G67"/>
    <mergeCell ref="M67:N67"/>
    <mergeCell ref="B68:C68"/>
    <mergeCell ref="D68:E68"/>
    <mergeCell ref="F68:G68"/>
    <mergeCell ref="M68:N68"/>
    <mergeCell ref="B69:C69"/>
    <mergeCell ref="D69:E69"/>
    <mergeCell ref="F69:G69"/>
    <mergeCell ref="M69:N69"/>
    <mergeCell ref="B70:C70"/>
    <mergeCell ref="D70:E70"/>
    <mergeCell ref="F70:G70"/>
    <mergeCell ref="M70:N70"/>
    <mergeCell ref="B61:C61"/>
    <mergeCell ref="D61:E61"/>
    <mergeCell ref="F61:G61"/>
    <mergeCell ref="M61:N61"/>
    <mergeCell ref="B62:C62"/>
    <mergeCell ref="D62:E62"/>
    <mergeCell ref="F62:G62"/>
    <mergeCell ref="M62:N62"/>
    <mergeCell ref="B63:C63"/>
    <mergeCell ref="D63:E63"/>
    <mergeCell ref="F63:G63"/>
    <mergeCell ref="M63:N63"/>
    <mergeCell ref="B64:C64"/>
    <mergeCell ref="D64:E64"/>
    <mergeCell ref="F64:G64"/>
    <mergeCell ref="M64:N64"/>
    <mergeCell ref="B65:C65"/>
    <mergeCell ref="D65:E65"/>
    <mergeCell ref="F65:G65"/>
    <mergeCell ref="M65:N65"/>
    <mergeCell ref="B56:C56"/>
    <mergeCell ref="D56:E56"/>
    <mergeCell ref="F56:G56"/>
    <mergeCell ref="M56:N56"/>
    <mergeCell ref="B57:C57"/>
    <mergeCell ref="D57:E57"/>
    <mergeCell ref="F57:G57"/>
    <mergeCell ref="M57:N57"/>
    <mergeCell ref="B58:C58"/>
    <mergeCell ref="D58:E58"/>
    <mergeCell ref="F58:G58"/>
    <mergeCell ref="M58:N58"/>
    <mergeCell ref="B59:C59"/>
    <mergeCell ref="D59:E59"/>
    <mergeCell ref="F59:G59"/>
    <mergeCell ref="M59:N59"/>
    <mergeCell ref="B60:C60"/>
    <mergeCell ref="D60:E60"/>
    <mergeCell ref="F60:G60"/>
    <mergeCell ref="B51:C51"/>
    <mergeCell ref="D51:E51"/>
    <mergeCell ref="F51:G51"/>
    <mergeCell ref="M51:N51"/>
    <mergeCell ref="B52:C52"/>
    <mergeCell ref="D52:E52"/>
    <mergeCell ref="F52:G52"/>
    <mergeCell ref="M52:N52"/>
    <mergeCell ref="B53:C53"/>
    <mergeCell ref="D53:E53"/>
    <mergeCell ref="F53:G53"/>
    <mergeCell ref="M53:N53"/>
    <mergeCell ref="B54:C54"/>
    <mergeCell ref="D54:E54"/>
    <mergeCell ref="F54:G54"/>
    <mergeCell ref="B55:C55"/>
    <mergeCell ref="D55:E55"/>
    <mergeCell ref="F55:G55"/>
    <mergeCell ref="M55:N55"/>
    <mergeCell ref="B46:C46"/>
    <mergeCell ref="D46:E46"/>
    <mergeCell ref="F46:G46"/>
    <mergeCell ref="M46:N46"/>
    <mergeCell ref="B47:C47"/>
    <mergeCell ref="D47:E47"/>
    <mergeCell ref="F47:G47"/>
    <mergeCell ref="M47:N47"/>
    <mergeCell ref="B48:C48"/>
    <mergeCell ref="D48:E48"/>
    <mergeCell ref="F48:G48"/>
    <mergeCell ref="M48:N48"/>
    <mergeCell ref="B49:C49"/>
    <mergeCell ref="D49:E49"/>
    <mergeCell ref="F49:G49"/>
    <mergeCell ref="M49:N49"/>
    <mergeCell ref="B50:C50"/>
    <mergeCell ref="D50:E50"/>
    <mergeCell ref="F50:G50"/>
    <mergeCell ref="M50:N50"/>
    <mergeCell ref="I41:L41"/>
    <mergeCell ref="B42:C42"/>
    <mergeCell ref="D42:E42"/>
    <mergeCell ref="F42:G42"/>
    <mergeCell ref="M42:N42"/>
    <mergeCell ref="B43:C43"/>
    <mergeCell ref="D43:E43"/>
    <mergeCell ref="F43:G43"/>
    <mergeCell ref="M43:N43"/>
    <mergeCell ref="B44:C44"/>
    <mergeCell ref="D44:E44"/>
    <mergeCell ref="F44:G44"/>
    <mergeCell ref="M44:N44"/>
    <mergeCell ref="B45:C45"/>
    <mergeCell ref="D45:E45"/>
    <mergeCell ref="F45:G45"/>
    <mergeCell ref="M45:N45"/>
    <mergeCell ref="B328:E328"/>
    <mergeCell ref="B329:E329"/>
    <mergeCell ref="B319:C319"/>
    <mergeCell ref="D319:E319"/>
    <mergeCell ref="F319:G319"/>
    <mergeCell ref="M319:N319"/>
    <mergeCell ref="B320:C320"/>
    <mergeCell ref="D320:E320"/>
    <mergeCell ref="F320:G320"/>
    <mergeCell ref="M320:N320"/>
    <mergeCell ref="B325:C325"/>
    <mergeCell ref="D325:E325"/>
    <mergeCell ref="F325:G325"/>
    <mergeCell ref="M325:N325"/>
    <mergeCell ref="B326:C326"/>
    <mergeCell ref="D326:E326"/>
    <mergeCell ref="F326:G326"/>
    <mergeCell ref="M326:N326"/>
    <mergeCell ref="B324:C324"/>
    <mergeCell ref="D324:E324"/>
    <mergeCell ref="F324:G324"/>
    <mergeCell ref="M324:N324"/>
    <mergeCell ref="B321:C321"/>
    <mergeCell ref="D321:E321"/>
    <mergeCell ref="B323:C323"/>
    <mergeCell ref="D323:E323"/>
    <mergeCell ref="F323:G323"/>
    <mergeCell ref="M323:N323"/>
    <mergeCell ref="B322:C322"/>
    <mergeCell ref="D322:E322"/>
    <mergeCell ref="F322:G322"/>
    <mergeCell ref="M322:N322"/>
    <mergeCell ref="M317:N317"/>
    <mergeCell ref="B137:C137"/>
    <mergeCell ref="D137:E137"/>
    <mergeCell ref="F137:G137"/>
    <mergeCell ref="M137:N137"/>
    <mergeCell ref="B177:C177"/>
    <mergeCell ref="D177:E177"/>
    <mergeCell ref="F177:G177"/>
    <mergeCell ref="M177:N177"/>
    <mergeCell ref="B314:C314"/>
    <mergeCell ref="D314:E314"/>
    <mergeCell ref="F314:G314"/>
    <mergeCell ref="M314:N314"/>
    <mergeCell ref="B315:C315"/>
    <mergeCell ref="D315:E315"/>
    <mergeCell ref="F315:G315"/>
    <mergeCell ref="M315:N315"/>
    <mergeCell ref="B312:C312"/>
    <mergeCell ref="D312:E312"/>
    <mergeCell ref="F312:G312"/>
    <mergeCell ref="M312:N312"/>
    <mergeCell ref="B313:C313"/>
    <mergeCell ref="D313:E313"/>
    <mergeCell ref="F313:G313"/>
    <mergeCell ref="M313:N313"/>
    <mergeCell ref="B296:C296"/>
    <mergeCell ref="D296:E296"/>
    <mergeCell ref="F296:G296"/>
    <mergeCell ref="M296:N296"/>
    <mergeCell ref="B297:C297"/>
    <mergeCell ref="D297:E297"/>
    <mergeCell ref="F297:G297"/>
    <mergeCell ref="F321:G321"/>
    <mergeCell ref="M321:N321"/>
    <mergeCell ref="B318:C318"/>
    <mergeCell ref="D318:E318"/>
    <mergeCell ref="F318:G318"/>
    <mergeCell ref="M318:N318"/>
    <mergeCell ref="B310:C310"/>
    <mergeCell ref="D310:E310"/>
    <mergeCell ref="F310:G310"/>
    <mergeCell ref="M310:N310"/>
    <mergeCell ref="B311:C311"/>
    <mergeCell ref="D311:E311"/>
    <mergeCell ref="F311:G311"/>
    <mergeCell ref="M311:N311"/>
    <mergeCell ref="D300:E300"/>
    <mergeCell ref="F300:G300"/>
    <mergeCell ref="M300:N300"/>
    <mergeCell ref="B308:C308"/>
    <mergeCell ref="D308:E308"/>
    <mergeCell ref="F308:G308"/>
    <mergeCell ref="M308:N308"/>
    <mergeCell ref="B309:C309"/>
    <mergeCell ref="D309:E309"/>
    <mergeCell ref="F309:G309"/>
    <mergeCell ref="M309:N309"/>
    <mergeCell ref="B316:C316"/>
    <mergeCell ref="D316:E316"/>
    <mergeCell ref="F316:G316"/>
    <mergeCell ref="M316:N316"/>
    <mergeCell ref="B317:C317"/>
    <mergeCell ref="D317:E317"/>
    <mergeCell ref="F317:G317"/>
    <mergeCell ref="F306:G306"/>
    <mergeCell ref="M306:N306"/>
    <mergeCell ref="B307:C307"/>
    <mergeCell ref="D307:E307"/>
    <mergeCell ref="F307:G307"/>
    <mergeCell ref="M307:N307"/>
    <mergeCell ref="B304:C304"/>
    <mergeCell ref="D304:E304"/>
    <mergeCell ref="F304:G304"/>
    <mergeCell ref="M304:N304"/>
    <mergeCell ref="B305:C305"/>
    <mergeCell ref="D305:E305"/>
    <mergeCell ref="F305:G305"/>
    <mergeCell ref="M305:N305"/>
    <mergeCell ref="B306:C306"/>
    <mergeCell ref="D306:E306"/>
    <mergeCell ref="B299:C299"/>
    <mergeCell ref="D299:E299"/>
    <mergeCell ref="F299:G299"/>
    <mergeCell ref="M299:N299"/>
    <mergeCell ref="B302:C302"/>
    <mergeCell ref="D302:E302"/>
    <mergeCell ref="F302:G302"/>
    <mergeCell ref="M302:N302"/>
    <mergeCell ref="I289:L289"/>
    <mergeCell ref="B290:C290"/>
    <mergeCell ref="D290:E290"/>
    <mergeCell ref="F290:G290"/>
    <mergeCell ref="M290:N290"/>
    <mergeCell ref="B291:C291"/>
    <mergeCell ref="D291:E291"/>
    <mergeCell ref="F291:G291"/>
    <mergeCell ref="M291:N291"/>
    <mergeCell ref="B301:C301"/>
    <mergeCell ref="D301:E301"/>
    <mergeCell ref="F301:G301"/>
    <mergeCell ref="M301:N301"/>
    <mergeCell ref="B303:C303"/>
    <mergeCell ref="D303:E303"/>
    <mergeCell ref="F303:G303"/>
    <mergeCell ref="M303:N303"/>
    <mergeCell ref="B298:C298"/>
    <mergeCell ref="D298:E298"/>
    <mergeCell ref="F298:G298"/>
    <mergeCell ref="M298:N298"/>
    <mergeCell ref="B300:C300"/>
    <mergeCell ref="B294:C294"/>
    <mergeCell ref="D294:E294"/>
    <mergeCell ref="F294:G294"/>
    <mergeCell ref="M294:N294"/>
    <mergeCell ref="B295:C295"/>
    <mergeCell ref="D295:E295"/>
    <mergeCell ref="F295:G295"/>
    <mergeCell ref="M295:N295"/>
    <mergeCell ref="B292:C292"/>
    <mergeCell ref="D292:E292"/>
    <mergeCell ref="F292:G292"/>
    <mergeCell ref="M292:N292"/>
    <mergeCell ref="B293:C293"/>
    <mergeCell ref="D293:E293"/>
    <mergeCell ref="F293:G293"/>
    <mergeCell ref="M293:N293"/>
    <mergeCell ref="M297:N297"/>
    <mergeCell ref="B393:C393"/>
    <mergeCell ref="D393:E393"/>
    <mergeCell ref="F393:G393"/>
    <mergeCell ref="D392:E392"/>
    <mergeCell ref="F392:G392"/>
    <mergeCell ref="B387:C387"/>
    <mergeCell ref="D387:E387"/>
    <mergeCell ref="F387:G387"/>
    <mergeCell ref="B378:C378"/>
    <mergeCell ref="D378:E378"/>
    <mergeCell ref="M377:N377"/>
    <mergeCell ref="B376:C376"/>
    <mergeCell ref="D376:E376"/>
    <mergeCell ref="F376:G376"/>
    <mergeCell ref="B377:C377"/>
    <mergeCell ref="D377:E377"/>
    <mergeCell ref="F377:G377"/>
    <mergeCell ref="M376:N376"/>
    <mergeCell ref="B389:C389"/>
    <mergeCell ref="D389:E389"/>
    <mergeCell ref="F389:G389"/>
    <mergeCell ref="M389:N389"/>
    <mergeCell ref="B390:C390"/>
    <mergeCell ref="D390:E390"/>
    <mergeCell ref="F390:G390"/>
    <mergeCell ref="B399:E399"/>
    <mergeCell ref="B400:E400"/>
    <mergeCell ref="B396:C396"/>
    <mergeCell ref="D396:E396"/>
    <mergeCell ref="F396:G396"/>
    <mergeCell ref="M396:N396"/>
    <mergeCell ref="B397:C397"/>
    <mergeCell ref="D397:E397"/>
    <mergeCell ref="F397:G397"/>
    <mergeCell ref="M393:N393"/>
    <mergeCell ref="B394:C394"/>
    <mergeCell ref="D394:E394"/>
    <mergeCell ref="F394:G394"/>
    <mergeCell ref="M394:N394"/>
    <mergeCell ref="B391:C391"/>
    <mergeCell ref="D391:E391"/>
    <mergeCell ref="F391:G391"/>
    <mergeCell ref="B388:C388"/>
    <mergeCell ref="D388:E388"/>
    <mergeCell ref="F388:G388"/>
    <mergeCell ref="M388:N388"/>
    <mergeCell ref="B385:C385"/>
    <mergeCell ref="D381:E381"/>
    <mergeCell ref="F381:G381"/>
    <mergeCell ref="M381:N381"/>
    <mergeCell ref="B382:C382"/>
    <mergeCell ref="D382:E382"/>
    <mergeCell ref="F382:G382"/>
    <mergeCell ref="M382:N382"/>
    <mergeCell ref="M397:N397"/>
    <mergeCell ref="D384:E384"/>
    <mergeCell ref="F384:G384"/>
    <mergeCell ref="M391:N391"/>
    <mergeCell ref="B392:C392"/>
    <mergeCell ref="M392:N392"/>
    <mergeCell ref="B395:C395"/>
    <mergeCell ref="D395:E395"/>
    <mergeCell ref="F395:G395"/>
    <mergeCell ref="M395:N395"/>
    <mergeCell ref="I368:L368"/>
    <mergeCell ref="B369:C369"/>
    <mergeCell ref="D369:E369"/>
    <mergeCell ref="F369:G369"/>
    <mergeCell ref="M369:N369"/>
    <mergeCell ref="B370:C370"/>
    <mergeCell ref="D370:E370"/>
    <mergeCell ref="F370:G370"/>
    <mergeCell ref="M370:N370"/>
    <mergeCell ref="B380:C380"/>
    <mergeCell ref="D380:E380"/>
    <mergeCell ref="F380:G380"/>
    <mergeCell ref="M380:N380"/>
    <mergeCell ref="M378:N378"/>
    <mergeCell ref="M379:N379"/>
    <mergeCell ref="B379:C379"/>
    <mergeCell ref="D379:E379"/>
    <mergeCell ref="F379:G379"/>
    <mergeCell ref="F378:G378"/>
    <mergeCell ref="B374:C374"/>
    <mergeCell ref="D374:E374"/>
    <mergeCell ref="F374:G374"/>
    <mergeCell ref="M374:N374"/>
    <mergeCell ref="B375:C375"/>
    <mergeCell ref="D375:E375"/>
    <mergeCell ref="F375:G375"/>
    <mergeCell ref="M375:N375"/>
    <mergeCell ref="M552:N552"/>
    <mergeCell ref="I528:L528"/>
    <mergeCell ref="B529:C529"/>
    <mergeCell ref="D529:E529"/>
    <mergeCell ref="B373:C373"/>
    <mergeCell ref="D373:E373"/>
    <mergeCell ref="F373:G373"/>
    <mergeCell ref="M373:N373"/>
    <mergeCell ref="B371:C371"/>
    <mergeCell ref="D371:E371"/>
    <mergeCell ref="F371:G371"/>
    <mergeCell ref="M371:N371"/>
    <mergeCell ref="B372:C372"/>
    <mergeCell ref="D372:E372"/>
    <mergeCell ref="F372:G372"/>
    <mergeCell ref="M372:N372"/>
    <mergeCell ref="D385:E385"/>
    <mergeCell ref="F385:G385"/>
    <mergeCell ref="M385:N385"/>
    <mergeCell ref="B386:C386"/>
    <mergeCell ref="D386:E386"/>
    <mergeCell ref="F386:G386"/>
    <mergeCell ref="M386:N386"/>
    <mergeCell ref="B383:C383"/>
    <mergeCell ref="D383:E383"/>
    <mergeCell ref="F383:G383"/>
    <mergeCell ref="M383:N383"/>
    <mergeCell ref="B384:C384"/>
    <mergeCell ref="M390:N390"/>
    <mergeCell ref="M387:N387"/>
    <mergeCell ref="B510:C510"/>
    <mergeCell ref="D510:E510"/>
    <mergeCell ref="M617:N617"/>
    <mergeCell ref="M616:N616"/>
    <mergeCell ref="M601:N601"/>
    <mergeCell ref="I606:L606"/>
    <mergeCell ref="F607:G607"/>
    <mergeCell ref="D601:E601"/>
    <mergeCell ref="M600:N600"/>
    <mergeCell ref="F599:G599"/>
    <mergeCell ref="M384:N384"/>
    <mergeCell ref="B381:C381"/>
    <mergeCell ref="D622:E622"/>
    <mergeCell ref="B626:C626"/>
    <mergeCell ref="D626:E626"/>
    <mergeCell ref="F626:G626"/>
    <mergeCell ref="B615:C615"/>
    <mergeCell ref="D615:E615"/>
    <mergeCell ref="F622:G622"/>
    <mergeCell ref="B624:C624"/>
    <mergeCell ref="M582:N582"/>
    <mergeCell ref="M607:N607"/>
    <mergeCell ref="B608:C608"/>
    <mergeCell ref="D608:E608"/>
    <mergeCell ref="M577:N577"/>
    <mergeCell ref="B575:C575"/>
    <mergeCell ref="D575:E575"/>
    <mergeCell ref="B577:C577"/>
    <mergeCell ref="D577:E577"/>
    <mergeCell ref="D585:E585"/>
    <mergeCell ref="B588:C588"/>
    <mergeCell ref="F588:G588"/>
    <mergeCell ref="M588:N588"/>
    <mergeCell ref="M591:N591"/>
    <mergeCell ref="F510:G510"/>
    <mergeCell ref="M510:N510"/>
    <mergeCell ref="B511:C511"/>
    <mergeCell ref="D511:E511"/>
    <mergeCell ref="F511:G511"/>
    <mergeCell ref="M511:N511"/>
    <mergeCell ref="B512:C512"/>
    <mergeCell ref="D512:E512"/>
    <mergeCell ref="F512:G512"/>
    <mergeCell ref="M512:N512"/>
    <mergeCell ref="B516:C516"/>
    <mergeCell ref="F517:G517"/>
    <mergeCell ref="F518:G518"/>
    <mergeCell ref="B517:C517"/>
    <mergeCell ref="B518:C518"/>
    <mergeCell ref="D516:E516"/>
    <mergeCell ref="F516:G516"/>
    <mergeCell ref="M516:N516"/>
    <mergeCell ref="F515:G515"/>
    <mergeCell ref="B515:C515"/>
    <mergeCell ref="B519:C519"/>
    <mergeCell ref="F513:G513"/>
    <mergeCell ref="M513:N513"/>
    <mergeCell ref="M517:N517"/>
    <mergeCell ref="F593:G593"/>
    <mergeCell ref="M593:N593"/>
    <mergeCell ref="B520:C520"/>
    <mergeCell ref="B521:C521"/>
    <mergeCell ref="D513:E513"/>
    <mergeCell ref="D521:E521"/>
    <mergeCell ref="D517:E517"/>
    <mergeCell ref="D518:E518"/>
    <mergeCell ref="D519:E519"/>
    <mergeCell ref="B514:C514"/>
    <mergeCell ref="B513:C513"/>
    <mergeCell ref="B569:C569"/>
    <mergeCell ref="B553:C553"/>
    <mergeCell ref="D553:E553"/>
    <mergeCell ref="F553:G553"/>
    <mergeCell ref="D576:E576"/>
    <mergeCell ref="D534:E534"/>
    <mergeCell ref="B539:C539"/>
    <mergeCell ref="B537:C537"/>
    <mergeCell ref="B538:C538"/>
    <mergeCell ref="D537:E537"/>
    <mergeCell ref="D536:E536"/>
    <mergeCell ref="F536:G536"/>
    <mergeCell ref="F538:G538"/>
    <mergeCell ref="M523:N523"/>
    <mergeCell ref="M578:N578"/>
    <mergeCell ref="M520:N520"/>
    <mergeCell ref="M521:N521"/>
    <mergeCell ref="F509:G509"/>
    <mergeCell ref="M509:N509"/>
    <mergeCell ref="B504:C504"/>
    <mergeCell ref="D504:E504"/>
    <mergeCell ref="F504:G504"/>
    <mergeCell ref="M504:N504"/>
    <mergeCell ref="B505:C505"/>
    <mergeCell ref="D505:E505"/>
    <mergeCell ref="F505:G505"/>
    <mergeCell ref="M505:N505"/>
    <mergeCell ref="B506:C506"/>
    <mergeCell ref="D506:E506"/>
    <mergeCell ref="F506:G506"/>
    <mergeCell ref="M506:N506"/>
    <mergeCell ref="B508:C508"/>
    <mergeCell ref="D508:E508"/>
    <mergeCell ref="F508:G508"/>
    <mergeCell ref="M508:N508"/>
    <mergeCell ref="B509:C509"/>
    <mergeCell ref="D509:E509"/>
    <mergeCell ref="F494:G494"/>
    <mergeCell ref="M494:N494"/>
    <mergeCell ref="B495:C495"/>
    <mergeCell ref="D495:E495"/>
    <mergeCell ref="F495:G495"/>
    <mergeCell ref="M495:N495"/>
    <mergeCell ref="B497:C497"/>
    <mergeCell ref="D497:E497"/>
    <mergeCell ref="F497:G497"/>
    <mergeCell ref="M497:N497"/>
    <mergeCell ref="B496:C496"/>
    <mergeCell ref="D496:E496"/>
    <mergeCell ref="F496:G496"/>
    <mergeCell ref="M496:N496"/>
    <mergeCell ref="B507:C507"/>
    <mergeCell ref="D507:E507"/>
    <mergeCell ref="F507:G507"/>
    <mergeCell ref="M507:N507"/>
    <mergeCell ref="B494:C494"/>
    <mergeCell ref="D494:E494"/>
    <mergeCell ref="F503:G503"/>
    <mergeCell ref="M503:N503"/>
    <mergeCell ref="B501:C501"/>
    <mergeCell ref="D501:E501"/>
    <mergeCell ref="B498:C498"/>
    <mergeCell ref="D498:E498"/>
    <mergeCell ref="F498:G498"/>
    <mergeCell ref="F501:G501"/>
    <mergeCell ref="M501:N501"/>
    <mergeCell ref="F545:G545"/>
    <mergeCell ref="D535:E535"/>
    <mergeCell ref="F535:G535"/>
    <mergeCell ref="D550:E550"/>
    <mergeCell ref="D544:E544"/>
    <mergeCell ref="F544:G544"/>
    <mergeCell ref="M544:N544"/>
    <mergeCell ref="F534:G534"/>
    <mergeCell ref="D539:E539"/>
    <mergeCell ref="B540:C540"/>
    <mergeCell ref="F576:G576"/>
    <mergeCell ref="F601:G601"/>
    <mergeCell ref="B600:C600"/>
    <mergeCell ref="D600:E600"/>
    <mergeCell ref="F600:G600"/>
    <mergeCell ref="B601:C601"/>
    <mergeCell ref="B593:C593"/>
    <mergeCell ref="D593:E593"/>
    <mergeCell ref="F598:G598"/>
    <mergeCell ref="M579:N579"/>
    <mergeCell ref="F597:G597"/>
    <mergeCell ref="M597:N597"/>
    <mergeCell ref="B589:C589"/>
    <mergeCell ref="B590:C590"/>
    <mergeCell ref="D590:E590"/>
    <mergeCell ref="F590:G590"/>
    <mergeCell ref="M590:N590"/>
    <mergeCell ref="D588:E588"/>
    <mergeCell ref="D591:E591"/>
    <mergeCell ref="D589:E589"/>
    <mergeCell ref="F585:G585"/>
    <mergeCell ref="M589:N589"/>
    <mergeCell ref="B649:E649"/>
    <mergeCell ref="B650:E650"/>
    <mergeCell ref="B555:E555"/>
    <mergeCell ref="B556:E556"/>
    <mergeCell ref="B603:E603"/>
    <mergeCell ref="B604:E604"/>
    <mergeCell ref="B579:C579"/>
    <mergeCell ref="D579:E579"/>
    <mergeCell ref="D569:E569"/>
    <mergeCell ref="B576:C576"/>
    <mergeCell ref="B552:C552"/>
    <mergeCell ref="D552:E552"/>
    <mergeCell ref="F552:G552"/>
    <mergeCell ref="F571:G571"/>
    <mergeCell ref="D571:E571"/>
    <mergeCell ref="B571:C571"/>
    <mergeCell ref="B568:C568"/>
    <mergeCell ref="D568:E568"/>
    <mergeCell ref="D607:E607"/>
    <mergeCell ref="F589:G589"/>
    <mergeCell ref="F564:G564"/>
    <mergeCell ref="D613:E613"/>
    <mergeCell ref="F613:G613"/>
    <mergeCell ref="F621:G621"/>
    <mergeCell ref="D643:E643"/>
    <mergeCell ref="F643:G643"/>
    <mergeCell ref="F609:G609"/>
    <mergeCell ref="D586:E586"/>
    <mergeCell ref="F586:G586"/>
    <mergeCell ref="B594:C594"/>
    <mergeCell ref="D594:E594"/>
    <mergeCell ref="F594:G594"/>
    <mergeCell ref="M489:N489"/>
    <mergeCell ref="B490:C490"/>
    <mergeCell ref="D490:E490"/>
    <mergeCell ref="F490:G490"/>
    <mergeCell ref="M490:N490"/>
    <mergeCell ref="B535:C535"/>
    <mergeCell ref="M529:N529"/>
    <mergeCell ref="B530:C530"/>
    <mergeCell ref="D530:E530"/>
    <mergeCell ref="B491:C491"/>
    <mergeCell ref="D491:E491"/>
    <mergeCell ref="F491:G491"/>
    <mergeCell ref="M491:N491"/>
    <mergeCell ref="B492:C492"/>
    <mergeCell ref="D492:E492"/>
    <mergeCell ref="F492:G492"/>
    <mergeCell ref="M492:N492"/>
    <mergeCell ref="M493:N493"/>
    <mergeCell ref="M522:N522"/>
    <mergeCell ref="M498:N498"/>
    <mergeCell ref="B499:C499"/>
    <mergeCell ref="D499:E499"/>
    <mergeCell ref="F499:G499"/>
    <mergeCell ref="M499:N499"/>
    <mergeCell ref="B502:C502"/>
    <mergeCell ref="D502:E502"/>
    <mergeCell ref="F502:G502"/>
    <mergeCell ref="M502:N502"/>
    <mergeCell ref="B500:C500"/>
    <mergeCell ref="D500:E500"/>
    <mergeCell ref="F500:G500"/>
    <mergeCell ref="M500:N500"/>
    <mergeCell ref="D540:E540"/>
    <mergeCell ref="F540:G540"/>
    <mergeCell ref="M540:N540"/>
    <mergeCell ref="B542:C542"/>
    <mergeCell ref="D542:E542"/>
    <mergeCell ref="F542:G542"/>
    <mergeCell ref="M542:N542"/>
    <mergeCell ref="F537:G537"/>
    <mergeCell ref="F532:G532"/>
    <mergeCell ref="D532:E532"/>
    <mergeCell ref="B532:C532"/>
    <mergeCell ref="B493:C493"/>
    <mergeCell ref="M536:N536"/>
    <mergeCell ref="B551:C551"/>
    <mergeCell ref="D551:E551"/>
    <mergeCell ref="M538:N538"/>
    <mergeCell ref="B547:C547"/>
    <mergeCell ref="D547:E547"/>
    <mergeCell ref="F547:G547"/>
    <mergeCell ref="B548:C548"/>
    <mergeCell ref="M539:N539"/>
    <mergeCell ref="F539:G539"/>
    <mergeCell ref="F549:G549"/>
    <mergeCell ref="M549:N549"/>
    <mergeCell ref="D548:E548"/>
    <mergeCell ref="F548:G548"/>
    <mergeCell ref="M548:N548"/>
    <mergeCell ref="B546:C546"/>
    <mergeCell ref="D546:E546"/>
    <mergeCell ref="F546:G546"/>
    <mergeCell ref="M546:N546"/>
    <mergeCell ref="M547:N547"/>
    <mergeCell ref="M564:N564"/>
    <mergeCell ref="M559:N559"/>
    <mergeCell ref="B560:C560"/>
    <mergeCell ref="D560:E560"/>
    <mergeCell ref="D564:E564"/>
    <mergeCell ref="B549:C549"/>
    <mergeCell ref="D549:E549"/>
    <mergeCell ref="B544:C544"/>
    <mergeCell ref="B559:C559"/>
    <mergeCell ref="F560:G560"/>
    <mergeCell ref="M514:N514"/>
    <mergeCell ref="M515:N515"/>
    <mergeCell ref="D514:E514"/>
    <mergeCell ref="D515:E515"/>
    <mergeCell ref="I558:L558"/>
    <mergeCell ref="M560:N560"/>
    <mergeCell ref="M533:N533"/>
    <mergeCell ref="M518:N518"/>
    <mergeCell ref="M519:N519"/>
    <mergeCell ref="B531:C531"/>
    <mergeCell ref="D531:E531"/>
    <mergeCell ref="F531:G531"/>
    <mergeCell ref="M531:N531"/>
    <mergeCell ref="B533:C533"/>
    <mergeCell ref="B534:C534"/>
    <mergeCell ref="M532:N532"/>
    <mergeCell ref="B550:C550"/>
    <mergeCell ref="M543:N543"/>
    <mergeCell ref="B541:C541"/>
    <mergeCell ref="D541:E541"/>
    <mergeCell ref="F541:G541"/>
    <mergeCell ref="M537:N537"/>
    <mergeCell ref="I488:L488"/>
    <mergeCell ref="B489:C489"/>
    <mergeCell ref="D489:E489"/>
    <mergeCell ref="F489:G489"/>
    <mergeCell ref="D538:E538"/>
    <mergeCell ref="D493:E493"/>
    <mergeCell ref="F493:G493"/>
    <mergeCell ref="F514:G514"/>
    <mergeCell ref="B503:C503"/>
    <mergeCell ref="D503:E503"/>
    <mergeCell ref="B545:C545"/>
    <mergeCell ref="D545:E545"/>
    <mergeCell ref="B561:C561"/>
    <mergeCell ref="D561:E561"/>
    <mergeCell ref="F561:G561"/>
    <mergeCell ref="M561:N561"/>
    <mergeCell ref="F550:G550"/>
    <mergeCell ref="M550:N550"/>
    <mergeCell ref="M541:N541"/>
    <mergeCell ref="D533:E533"/>
    <mergeCell ref="M534:N534"/>
    <mergeCell ref="B543:C543"/>
    <mergeCell ref="D543:E543"/>
    <mergeCell ref="F543:G543"/>
    <mergeCell ref="M545:N545"/>
    <mergeCell ref="M535:N535"/>
    <mergeCell ref="F551:G551"/>
    <mergeCell ref="M551:N551"/>
    <mergeCell ref="M553:N553"/>
    <mergeCell ref="B536:C536"/>
    <mergeCell ref="F530:G530"/>
    <mergeCell ref="M530:N530"/>
    <mergeCell ref="M570:N570"/>
    <mergeCell ref="F569:G569"/>
    <mergeCell ref="M565:N565"/>
    <mergeCell ref="B567:C567"/>
    <mergeCell ref="D567:E567"/>
    <mergeCell ref="F567:G567"/>
    <mergeCell ref="M567:N567"/>
    <mergeCell ref="B566:C566"/>
    <mergeCell ref="M569:N569"/>
    <mergeCell ref="B591:C591"/>
    <mergeCell ref="B570:C570"/>
    <mergeCell ref="D570:E570"/>
    <mergeCell ref="F570:G570"/>
    <mergeCell ref="B587:C587"/>
    <mergeCell ref="D587:E587"/>
    <mergeCell ref="F587:G587"/>
    <mergeCell ref="M587:N587"/>
    <mergeCell ref="B582:C582"/>
    <mergeCell ref="D582:E582"/>
    <mergeCell ref="F582:G582"/>
    <mergeCell ref="M568:N568"/>
    <mergeCell ref="M576:N576"/>
    <mergeCell ref="M575:N575"/>
    <mergeCell ref="B574:C574"/>
    <mergeCell ref="D574:E574"/>
    <mergeCell ref="F574:G574"/>
    <mergeCell ref="M574:N574"/>
    <mergeCell ref="B572:C572"/>
    <mergeCell ref="D572:E572"/>
    <mergeCell ref="F572:G572"/>
    <mergeCell ref="M572:N572"/>
    <mergeCell ref="F568:G568"/>
    <mergeCell ref="M613:N613"/>
    <mergeCell ref="B614:C614"/>
    <mergeCell ref="M620:N620"/>
    <mergeCell ref="F619:G619"/>
    <mergeCell ref="B617:C617"/>
    <mergeCell ref="B616:C616"/>
    <mergeCell ref="D616:E616"/>
    <mergeCell ref="F616:G616"/>
    <mergeCell ref="D617:E617"/>
    <mergeCell ref="F617:G617"/>
    <mergeCell ref="M622:N622"/>
    <mergeCell ref="B623:C623"/>
    <mergeCell ref="D623:E623"/>
    <mergeCell ref="M562:N562"/>
    <mergeCell ref="D566:E566"/>
    <mergeCell ref="F566:G566"/>
    <mergeCell ref="M566:N566"/>
    <mergeCell ref="M571:N571"/>
    <mergeCell ref="M599:N599"/>
    <mergeCell ref="M563:N563"/>
    <mergeCell ref="F592:G592"/>
    <mergeCell ref="M592:N592"/>
    <mergeCell ref="M596:N596"/>
    <mergeCell ref="D563:E563"/>
    <mergeCell ref="F563:G563"/>
    <mergeCell ref="B597:C597"/>
    <mergeCell ref="D597:E597"/>
    <mergeCell ref="B592:C592"/>
    <mergeCell ref="D592:E592"/>
    <mergeCell ref="B564:C564"/>
    <mergeCell ref="B621:C621"/>
    <mergeCell ref="D621:E621"/>
    <mergeCell ref="M621:N621"/>
    <mergeCell ref="B622:C622"/>
    <mergeCell ref="D618:E618"/>
    <mergeCell ref="F618:G618"/>
    <mergeCell ref="M618:N618"/>
    <mergeCell ref="B647:C647"/>
    <mergeCell ref="D647:E647"/>
    <mergeCell ref="F647:G647"/>
    <mergeCell ref="M647:N647"/>
    <mergeCell ref="B645:C645"/>
    <mergeCell ref="D645:E645"/>
    <mergeCell ref="F645:G645"/>
    <mergeCell ref="M645:N645"/>
    <mergeCell ref="B646:C646"/>
    <mergeCell ref="D646:E646"/>
    <mergeCell ref="B644:C644"/>
    <mergeCell ref="D644:E644"/>
    <mergeCell ref="F644:G644"/>
    <mergeCell ref="M644:N644"/>
    <mergeCell ref="B625:C625"/>
    <mergeCell ref="D625:E625"/>
    <mergeCell ref="F625:G625"/>
    <mergeCell ref="M625:N625"/>
    <mergeCell ref="F646:G646"/>
    <mergeCell ref="M646:N646"/>
    <mergeCell ref="B643:C643"/>
    <mergeCell ref="M637:N637"/>
    <mergeCell ref="D624:E624"/>
    <mergeCell ref="F624:G624"/>
    <mergeCell ref="B639:C639"/>
    <mergeCell ref="D639:E639"/>
    <mergeCell ref="F639:G639"/>
    <mergeCell ref="M635:N635"/>
    <mergeCell ref="B637:C637"/>
    <mergeCell ref="D637:E637"/>
    <mergeCell ref="D638:E638"/>
    <mergeCell ref="B635:C635"/>
    <mergeCell ref="F638:G638"/>
    <mergeCell ref="M638:N638"/>
    <mergeCell ref="B636:C636"/>
    <mergeCell ref="D636:E636"/>
    <mergeCell ref="F636:G636"/>
    <mergeCell ref="M636:N636"/>
    <mergeCell ref="F623:G623"/>
    <mergeCell ref="M623:N623"/>
    <mergeCell ref="M624:N624"/>
    <mergeCell ref="F633:G633"/>
    <mergeCell ref="M633:N633"/>
    <mergeCell ref="B632:C632"/>
    <mergeCell ref="D632:E632"/>
    <mergeCell ref="F632:G632"/>
    <mergeCell ref="M626:N626"/>
    <mergeCell ref="M643:N643"/>
    <mergeCell ref="B641:C641"/>
    <mergeCell ref="F637:G637"/>
    <mergeCell ref="D642:E642"/>
    <mergeCell ref="F642:G642"/>
    <mergeCell ref="M642:N642"/>
    <mergeCell ref="M630:N630"/>
    <mergeCell ref="B633:C633"/>
    <mergeCell ref="D633:E633"/>
    <mergeCell ref="B631:C631"/>
    <mergeCell ref="D631:E631"/>
    <mergeCell ref="F631:G631"/>
    <mergeCell ref="M631:N631"/>
    <mergeCell ref="B634:C634"/>
    <mergeCell ref="D634:E634"/>
    <mergeCell ref="F634:G634"/>
    <mergeCell ref="M634:N634"/>
    <mergeCell ref="M632:N632"/>
    <mergeCell ref="D630:E630"/>
    <mergeCell ref="F630:G630"/>
    <mergeCell ref="D641:E641"/>
    <mergeCell ref="F641:G641"/>
    <mergeCell ref="M641:N641"/>
    <mergeCell ref="B642:C642"/>
    <mergeCell ref="B640:C640"/>
    <mergeCell ref="D640:E640"/>
    <mergeCell ref="F640:G640"/>
    <mergeCell ref="M640:N640"/>
    <mergeCell ref="D635:E635"/>
    <mergeCell ref="F635:G635"/>
    <mergeCell ref="M639:N639"/>
    <mergeCell ref="B638:C638"/>
    <mergeCell ref="M609:N609"/>
    <mergeCell ref="B612:C612"/>
    <mergeCell ref="D612:E612"/>
    <mergeCell ref="F612:G612"/>
    <mergeCell ref="M612:N612"/>
    <mergeCell ref="B611:C611"/>
    <mergeCell ref="D611:E611"/>
    <mergeCell ref="F611:G611"/>
    <mergeCell ref="M611:N611"/>
    <mergeCell ref="F615:G615"/>
    <mergeCell ref="M615:N615"/>
    <mergeCell ref="B630:C630"/>
    <mergeCell ref="F573:G573"/>
    <mergeCell ref="M573:N573"/>
    <mergeCell ref="M595:N595"/>
    <mergeCell ref="B610:C610"/>
    <mergeCell ref="D610:E610"/>
    <mergeCell ref="F610:G610"/>
    <mergeCell ref="M610:N610"/>
    <mergeCell ref="B609:C609"/>
    <mergeCell ref="D609:E609"/>
    <mergeCell ref="D614:E614"/>
    <mergeCell ref="F614:G614"/>
    <mergeCell ref="M614:N614"/>
    <mergeCell ref="B620:C620"/>
    <mergeCell ref="D620:E620"/>
    <mergeCell ref="F620:G620"/>
    <mergeCell ref="B619:C619"/>
    <mergeCell ref="D619:E619"/>
    <mergeCell ref="M619:N619"/>
    <mergeCell ref="B618:C618"/>
    <mergeCell ref="B586:C586"/>
    <mergeCell ref="F608:G608"/>
    <mergeCell ref="M608:N608"/>
    <mergeCell ref="M586:N586"/>
    <mergeCell ref="B607:C607"/>
    <mergeCell ref="B584:C584"/>
    <mergeCell ref="D584:E584"/>
    <mergeCell ref="F584:G584"/>
    <mergeCell ref="M584:N584"/>
    <mergeCell ref="B583:C583"/>
    <mergeCell ref="D583:E583"/>
    <mergeCell ref="F583:G583"/>
    <mergeCell ref="M583:N583"/>
    <mergeCell ref="B585:C585"/>
    <mergeCell ref="M598:N598"/>
    <mergeCell ref="M594:N594"/>
    <mergeCell ref="D599:E599"/>
    <mergeCell ref="B595:C595"/>
    <mergeCell ref="D595:E595"/>
    <mergeCell ref="B596:C596"/>
    <mergeCell ref="D596:E596"/>
    <mergeCell ref="F596:G596"/>
    <mergeCell ref="B599:C599"/>
    <mergeCell ref="B598:C598"/>
    <mergeCell ref="D598:E598"/>
    <mergeCell ref="F595:G595"/>
    <mergeCell ref="M585:N585"/>
    <mergeCell ref="F591:G591"/>
    <mergeCell ref="B613:C613"/>
    <mergeCell ref="B562:C562"/>
    <mergeCell ref="D562:E562"/>
    <mergeCell ref="F562:G562"/>
    <mergeCell ref="B565:C565"/>
    <mergeCell ref="D565:E565"/>
    <mergeCell ref="F565:G565"/>
    <mergeCell ref="F579:G579"/>
    <mergeCell ref="B573:C573"/>
    <mergeCell ref="D573:E573"/>
    <mergeCell ref="D520:E520"/>
    <mergeCell ref="F519:G519"/>
    <mergeCell ref="F520:G520"/>
    <mergeCell ref="F521:G521"/>
    <mergeCell ref="F533:G533"/>
    <mergeCell ref="B525:E525"/>
    <mergeCell ref="D559:E559"/>
    <mergeCell ref="F523:G523"/>
    <mergeCell ref="B563:C563"/>
    <mergeCell ref="F575:G575"/>
    <mergeCell ref="F559:G559"/>
    <mergeCell ref="B526:E526"/>
    <mergeCell ref="B522:C522"/>
    <mergeCell ref="D522:E522"/>
    <mergeCell ref="F522:G522"/>
    <mergeCell ref="B523:C523"/>
    <mergeCell ref="D523:E523"/>
    <mergeCell ref="F529:G529"/>
    <mergeCell ref="B578:C578"/>
    <mergeCell ref="D578:E578"/>
    <mergeCell ref="F578:G578"/>
    <mergeCell ref="F577:G577"/>
    <mergeCell ref="I445:L445"/>
    <mergeCell ref="B446:C446"/>
    <mergeCell ref="D446:E446"/>
    <mergeCell ref="F446:G446"/>
    <mergeCell ref="M446:N446"/>
    <mergeCell ref="B447:C447"/>
    <mergeCell ref="D447:E447"/>
    <mergeCell ref="F447:G447"/>
    <mergeCell ref="M447:N447"/>
    <mergeCell ref="B450:C450"/>
    <mergeCell ref="D450:E450"/>
    <mergeCell ref="F450:G450"/>
    <mergeCell ref="M450:N450"/>
    <mergeCell ref="B451:C451"/>
    <mergeCell ref="D451:E451"/>
    <mergeCell ref="F451:G451"/>
    <mergeCell ref="M451:N451"/>
    <mergeCell ref="B448:C448"/>
    <mergeCell ref="D448:E448"/>
    <mergeCell ref="F448:G448"/>
    <mergeCell ref="M448:N448"/>
    <mergeCell ref="B449:C449"/>
    <mergeCell ref="D449:E449"/>
    <mergeCell ref="F449:G449"/>
    <mergeCell ref="M449:N449"/>
    <mergeCell ref="B454:C454"/>
    <mergeCell ref="D454:E454"/>
    <mergeCell ref="F454:G454"/>
    <mergeCell ref="M454:N454"/>
    <mergeCell ref="B455:C455"/>
    <mergeCell ref="D455:E455"/>
    <mergeCell ref="F455:G455"/>
    <mergeCell ref="M455:N455"/>
    <mergeCell ref="B452:C452"/>
    <mergeCell ref="D452:E452"/>
    <mergeCell ref="F452:G452"/>
    <mergeCell ref="M452:N452"/>
    <mergeCell ref="B453:C453"/>
    <mergeCell ref="D453:E453"/>
    <mergeCell ref="F453:G453"/>
    <mergeCell ref="M453:N453"/>
    <mergeCell ref="B458:C458"/>
    <mergeCell ref="D458:E458"/>
    <mergeCell ref="F458:G458"/>
    <mergeCell ref="M458:N458"/>
    <mergeCell ref="B459:C459"/>
    <mergeCell ref="D459:E459"/>
    <mergeCell ref="F459:G459"/>
    <mergeCell ref="M459:N459"/>
    <mergeCell ref="B456:C456"/>
    <mergeCell ref="D456:E456"/>
    <mergeCell ref="F456:G456"/>
    <mergeCell ref="M456:N456"/>
    <mergeCell ref="B457:C457"/>
    <mergeCell ref="D457:E457"/>
    <mergeCell ref="F457:G457"/>
    <mergeCell ref="M457:N457"/>
    <mergeCell ref="B462:C462"/>
    <mergeCell ref="D462:E462"/>
    <mergeCell ref="F462:G462"/>
    <mergeCell ref="M462:N462"/>
    <mergeCell ref="B463:C463"/>
    <mergeCell ref="D463:E463"/>
    <mergeCell ref="F463:G463"/>
    <mergeCell ref="M463:N463"/>
    <mergeCell ref="B460:C460"/>
    <mergeCell ref="D460:E460"/>
    <mergeCell ref="F460:G460"/>
    <mergeCell ref="M460:N460"/>
    <mergeCell ref="B461:C461"/>
    <mergeCell ref="D461:E461"/>
    <mergeCell ref="F461:G461"/>
    <mergeCell ref="M461:N461"/>
    <mergeCell ref="D466:E466"/>
    <mergeCell ref="F466:G466"/>
    <mergeCell ref="M466:N466"/>
    <mergeCell ref="B467:C467"/>
    <mergeCell ref="D467:E467"/>
    <mergeCell ref="F467:G467"/>
    <mergeCell ref="M467:N467"/>
    <mergeCell ref="M471:N471"/>
    <mergeCell ref="B464:C464"/>
    <mergeCell ref="D464:E464"/>
    <mergeCell ref="F464:G464"/>
    <mergeCell ref="M464:N464"/>
    <mergeCell ref="B465:C465"/>
    <mergeCell ref="D465:E465"/>
    <mergeCell ref="F465:G465"/>
    <mergeCell ref="M465:N465"/>
    <mergeCell ref="B466:C466"/>
    <mergeCell ref="B473:C473"/>
    <mergeCell ref="D473:E473"/>
    <mergeCell ref="M469:N469"/>
    <mergeCell ref="B470:C470"/>
    <mergeCell ref="D470:E470"/>
    <mergeCell ref="F470:G470"/>
    <mergeCell ref="M470:N470"/>
    <mergeCell ref="B471:C471"/>
    <mergeCell ref="D471:E471"/>
    <mergeCell ref="F471:G471"/>
    <mergeCell ref="B468:C468"/>
    <mergeCell ref="D468:E468"/>
    <mergeCell ref="F468:G468"/>
    <mergeCell ref="M468:N468"/>
    <mergeCell ref="B469:C469"/>
    <mergeCell ref="D469:E469"/>
    <mergeCell ref="F469:G469"/>
    <mergeCell ref="F473:G473"/>
    <mergeCell ref="M473:N473"/>
    <mergeCell ref="B472:C472"/>
    <mergeCell ref="D472:E472"/>
    <mergeCell ref="F472:G472"/>
    <mergeCell ref="M472:N472"/>
    <mergeCell ref="B474:C474"/>
    <mergeCell ref="D474:E474"/>
    <mergeCell ref="F474:G474"/>
    <mergeCell ref="M474:N474"/>
    <mergeCell ref="B475:C475"/>
    <mergeCell ref="B476:C476"/>
    <mergeCell ref="M476:N476"/>
    <mergeCell ref="B479:C479"/>
    <mergeCell ref="D479:E479"/>
    <mergeCell ref="F479:G479"/>
    <mergeCell ref="M479:N479"/>
    <mergeCell ref="B480:C480"/>
    <mergeCell ref="D480:E480"/>
    <mergeCell ref="F480:G480"/>
    <mergeCell ref="M480:N480"/>
    <mergeCell ref="F483:G483"/>
    <mergeCell ref="M483:N483"/>
    <mergeCell ref="B477:C477"/>
    <mergeCell ref="D477:E477"/>
    <mergeCell ref="F477:G477"/>
    <mergeCell ref="M477:N477"/>
    <mergeCell ref="B478:C478"/>
    <mergeCell ref="D478:E478"/>
    <mergeCell ref="F478:G478"/>
    <mergeCell ref="M478:N478"/>
    <mergeCell ref="B481:C481"/>
    <mergeCell ref="D481:E481"/>
    <mergeCell ref="F481:G481"/>
    <mergeCell ref="M481:N481"/>
    <mergeCell ref="D476:E476"/>
    <mergeCell ref="F476:G476"/>
    <mergeCell ref="B485:E485"/>
    <mergeCell ref="B486:E486"/>
    <mergeCell ref="B482:C482"/>
    <mergeCell ref="D482:E482"/>
    <mergeCell ref="F482:G482"/>
    <mergeCell ref="M482:N482"/>
    <mergeCell ref="B483:C483"/>
    <mergeCell ref="D483:E483"/>
    <mergeCell ref="I402:L402"/>
    <mergeCell ref="B403:C403"/>
    <mergeCell ref="D403:E403"/>
    <mergeCell ref="F403:G403"/>
    <mergeCell ref="M403:N403"/>
    <mergeCell ref="B404:C404"/>
    <mergeCell ref="D404:E404"/>
    <mergeCell ref="F404:G404"/>
    <mergeCell ref="M404:N404"/>
    <mergeCell ref="B405:C405"/>
    <mergeCell ref="D405:E405"/>
    <mergeCell ref="F405:G405"/>
    <mergeCell ref="M405:N405"/>
    <mergeCell ref="B406:C406"/>
    <mergeCell ref="D406:E406"/>
    <mergeCell ref="F406:G406"/>
    <mergeCell ref="M406:N406"/>
    <mergeCell ref="B407:C407"/>
    <mergeCell ref="D407:E407"/>
    <mergeCell ref="F407:G407"/>
    <mergeCell ref="M407:N407"/>
    <mergeCell ref="B408:C408"/>
    <mergeCell ref="D408:E408"/>
    <mergeCell ref="F408:G408"/>
    <mergeCell ref="M408:N408"/>
    <mergeCell ref="B409:C409"/>
    <mergeCell ref="D409:E409"/>
    <mergeCell ref="F409:G409"/>
    <mergeCell ref="M409:N409"/>
    <mergeCell ref="B410:C410"/>
    <mergeCell ref="D410:E410"/>
    <mergeCell ref="F410:G410"/>
    <mergeCell ref="M410:N410"/>
    <mergeCell ref="B411:C411"/>
    <mergeCell ref="D411:E411"/>
    <mergeCell ref="F411:G411"/>
    <mergeCell ref="M411:N411"/>
    <mergeCell ref="B412:C412"/>
    <mergeCell ref="D412:E412"/>
    <mergeCell ref="F412:G412"/>
    <mergeCell ref="M412:N412"/>
    <mergeCell ref="B413:C413"/>
    <mergeCell ref="D413:E413"/>
    <mergeCell ref="F413:G413"/>
    <mergeCell ref="M413:N413"/>
    <mergeCell ref="B414:C414"/>
    <mergeCell ref="D414:E414"/>
    <mergeCell ref="F414:G414"/>
    <mergeCell ref="M414:N414"/>
    <mergeCell ref="B415:C415"/>
    <mergeCell ref="D415:E415"/>
    <mergeCell ref="F415:G415"/>
    <mergeCell ref="M415:N415"/>
    <mergeCell ref="B416:C416"/>
    <mergeCell ref="D416:E416"/>
    <mergeCell ref="F416:G416"/>
    <mergeCell ref="M416:N416"/>
    <mergeCell ref="B417:C417"/>
    <mergeCell ref="D417:E417"/>
    <mergeCell ref="F417:G417"/>
    <mergeCell ref="M417:N417"/>
    <mergeCell ref="B418:C418"/>
    <mergeCell ref="D418:E418"/>
    <mergeCell ref="F418:G418"/>
    <mergeCell ref="M418:N418"/>
    <mergeCell ref="B419:C419"/>
    <mergeCell ref="D419:E419"/>
    <mergeCell ref="F419:G419"/>
    <mergeCell ref="M419:N419"/>
    <mergeCell ref="B420:C420"/>
    <mergeCell ref="D420:E420"/>
    <mergeCell ref="F420:G420"/>
    <mergeCell ref="M420:N420"/>
    <mergeCell ref="B421:C421"/>
    <mergeCell ref="D421:E421"/>
    <mergeCell ref="F421:G421"/>
    <mergeCell ref="M421:N421"/>
    <mergeCell ref="B422:C422"/>
    <mergeCell ref="D422:E422"/>
    <mergeCell ref="F422:G422"/>
    <mergeCell ref="M422:N422"/>
    <mergeCell ref="B423:C423"/>
    <mergeCell ref="D423:E423"/>
    <mergeCell ref="F423:G423"/>
    <mergeCell ref="M423:N423"/>
    <mergeCell ref="B424:C424"/>
    <mergeCell ref="D424:E424"/>
    <mergeCell ref="F424:G424"/>
    <mergeCell ref="M424:N424"/>
    <mergeCell ref="B425:C425"/>
    <mergeCell ref="D425:E425"/>
    <mergeCell ref="F425:G425"/>
    <mergeCell ref="M425:N425"/>
    <mergeCell ref="B426:C426"/>
    <mergeCell ref="D426:E426"/>
    <mergeCell ref="F426:G426"/>
    <mergeCell ref="M426:N426"/>
    <mergeCell ref="B427:C427"/>
    <mergeCell ref="D427:E427"/>
    <mergeCell ref="F427:G427"/>
    <mergeCell ref="M427:N427"/>
    <mergeCell ref="B428:C428"/>
    <mergeCell ref="D428:E428"/>
    <mergeCell ref="F428:G428"/>
    <mergeCell ref="M428:N428"/>
    <mergeCell ref="B429:C429"/>
    <mergeCell ref="D429:E429"/>
    <mergeCell ref="F429:G429"/>
    <mergeCell ref="M429:N429"/>
    <mergeCell ref="B430:C430"/>
    <mergeCell ref="D430:E430"/>
    <mergeCell ref="F430:G430"/>
    <mergeCell ref="M430:N430"/>
    <mergeCell ref="B431:C431"/>
    <mergeCell ref="D431:E431"/>
    <mergeCell ref="F431:G431"/>
    <mergeCell ref="M431:N431"/>
    <mergeCell ref="B432:C432"/>
    <mergeCell ref="B433:C433"/>
    <mergeCell ref="D433:E433"/>
    <mergeCell ref="F433:G433"/>
    <mergeCell ref="M433:N433"/>
    <mergeCell ref="B434:C434"/>
    <mergeCell ref="D434:E434"/>
    <mergeCell ref="F434:G434"/>
    <mergeCell ref="M434:N434"/>
    <mergeCell ref="B435:C435"/>
    <mergeCell ref="D435:E435"/>
    <mergeCell ref="F435:G435"/>
    <mergeCell ref="M435:N435"/>
    <mergeCell ref="B436:C436"/>
    <mergeCell ref="D436:E436"/>
    <mergeCell ref="F436:G436"/>
    <mergeCell ref="M436:N436"/>
    <mergeCell ref="B437:C437"/>
    <mergeCell ref="D437:E437"/>
    <mergeCell ref="F437:G437"/>
    <mergeCell ref="M437:N437"/>
    <mergeCell ref="B438:C438"/>
    <mergeCell ref="D438:E438"/>
    <mergeCell ref="F438:G438"/>
    <mergeCell ref="M438:N438"/>
    <mergeCell ref="B439:C439"/>
    <mergeCell ref="D439:E439"/>
    <mergeCell ref="F439:G439"/>
    <mergeCell ref="M439:N439"/>
    <mergeCell ref="B440:C440"/>
    <mergeCell ref="D440:E440"/>
    <mergeCell ref="F440:G440"/>
    <mergeCell ref="M440:N440"/>
    <mergeCell ref="B442:E442"/>
    <mergeCell ref="B443:E443"/>
    <mergeCell ref="I331:L331"/>
    <mergeCell ref="B332:C332"/>
    <mergeCell ref="D332:E332"/>
    <mergeCell ref="F332:G332"/>
    <mergeCell ref="M332:N332"/>
    <mergeCell ref="B333:C333"/>
    <mergeCell ref="D333:E333"/>
    <mergeCell ref="F333:G333"/>
    <mergeCell ref="M333:N333"/>
    <mergeCell ref="B334:C334"/>
    <mergeCell ref="D334:E334"/>
    <mergeCell ref="F334:G334"/>
    <mergeCell ref="M334:N334"/>
    <mergeCell ref="B335:C335"/>
    <mergeCell ref="D335:E335"/>
    <mergeCell ref="F335:G335"/>
    <mergeCell ref="M335:N335"/>
    <mergeCell ref="B336:C336"/>
    <mergeCell ref="D336:E336"/>
    <mergeCell ref="F336:G336"/>
    <mergeCell ref="M336:N336"/>
    <mergeCell ref="B337:C337"/>
    <mergeCell ref="D337:E337"/>
    <mergeCell ref="F337:G337"/>
    <mergeCell ref="M337:N337"/>
    <mergeCell ref="B338:C338"/>
    <mergeCell ref="D338:E338"/>
    <mergeCell ref="F338:G338"/>
    <mergeCell ref="M338:N338"/>
    <mergeCell ref="B339:C339"/>
    <mergeCell ref="D339:E339"/>
    <mergeCell ref="F339:G339"/>
    <mergeCell ref="M339:N339"/>
    <mergeCell ref="B340:C340"/>
    <mergeCell ref="D340:E340"/>
    <mergeCell ref="F340:G340"/>
    <mergeCell ref="M340:N340"/>
    <mergeCell ref="B341:C341"/>
    <mergeCell ref="D341:E341"/>
    <mergeCell ref="F341:G341"/>
    <mergeCell ref="M341:N341"/>
    <mergeCell ref="B342:C342"/>
    <mergeCell ref="D342:E342"/>
    <mergeCell ref="F342:G342"/>
    <mergeCell ref="M342:N342"/>
    <mergeCell ref="B343:C343"/>
    <mergeCell ref="D343:E343"/>
    <mergeCell ref="F343:G343"/>
    <mergeCell ref="M343:N343"/>
    <mergeCell ref="B344:C344"/>
    <mergeCell ref="D344:E344"/>
    <mergeCell ref="F344:G344"/>
    <mergeCell ref="M344:N344"/>
    <mergeCell ref="B345:C345"/>
    <mergeCell ref="D345:E345"/>
    <mergeCell ref="F345:G345"/>
    <mergeCell ref="M345:N345"/>
    <mergeCell ref="B347:C347"/>
    <mergeCell ref="D347:E347"/>
    <mergeCell ref="F347:G347"/>
    <mergeCell ref="M347:N347"/>
    <mergeCell ref="B348:C348"/>
    <mergeCell ref="D348:E348"/>
    <mergeCell ref="F348:G348"/>
    <mergeCell ref="M348:N348"/>
    <mergeCell ref="B349:C349"/>
    <mergeCell ref="D349:E349"/>
    <mergeCell ref="F349:G349"/>
    <mergeCell ref="M349:N349"/>
    <mergeCell ref="B350:C350"/>
    <mergeCell ref="D350:E350"/>
    <mergeCell ref="F350:G350"/>
    <mergeCell ref="M350:N350"/>
    <mergeCell ref="B351:C351"/>
    <mergeCell ref="D351:E351"/>
    <mergeCell ref="F351:G351"/>
    <mergeCell ref="M351:N351"/>
    <mergeCell ref="D360:E360"/>
    <mergeCell ref="F360:G360"/>
    <mergeCell ref="F361:G361"/>
    <mergeCell ref="M361:N361"/>
    <mergeCell ref="B352:C352"/>
    <mergeCell ref="D352:E352"/>
    <mergeCell ref="F352:G352"/>
    <mergeCell ref="M352:N352"/>
    <mergeCell ref="B353:C353"/>
    <mergeCell ref="D353:E353"/>
    <mergeCell ref="F353:G353"/>
    <mergeCell ref="M353:N353"/>
    <mergeCell ref="B354:C354"/>
    <mergeCell ref="D354:E354"/>
    <mergeCell ref="F354:G354"/>
    <mergeCell ref="M354:N354"/>
    <mergeCell ref="F355:G355"/>
    <mergeCell ref="M355:N355"/>
    <mergeCell ref="B356:C356"/>
    <mergeCell ref="D356:E356"/>
    <mergeCell ref="F356:G356"/>
    <mergeCell ref="M356:N356"/>
    <mergeCell ref="B365:E365"/>
    <mergeCell ref="B366:E366"/>
    <mergeCell ref="B363:C363"/>
    <mergeCell ref="D363:E363"/>
    <mergeCell ref="F363:G363"/>
    <mergeCell ref="M363:N363"/>
    <mergeCell ref="B357:C357"/>
    <mergeCell ref="D357:E357"/>
    <mergeCell ref="F357:G357"/>
    <mergeCell ref="M357:N357"/>
    <mergeCell ref="B358:C358"/>
    <mergeCell ref="D358:E358"/>
    <mergeCell ref="F358:G358"/>
    <mergeCell ref="M358:N358"/>
    <mergeCell ref="B346:C346"/>
    <mergeCell ref="D346:E346"/>
    <mergeCell ref="F346:G346"/>
    <mergeCell ref="M346:N346"/>
    <mergeCell ref="B362:C362"/>
    <mergeCell ref="D362:E362"/>
    <mergeCell ref="F362:G362"/>
    <mergeCell ref="M362:N362"/>
    <mergeCell ref="B355:C355"/>
    <mergeCell ref="D355:E355"/>
    <mergeCell ref="B359:C359"/>
    <mergeCell ref="D359:E359"/>
    <mergeCell ref="F359:G359"/>
    <mergeCell ref="M359:N359"/>
    <mergeCell ref="B361:C361"/>
    <mergeCell ref="D361:E361"/>
    <mergeCell ref="B360:C360"/>
    <mergeCell ref="M360:N360"/>
    <mergeCell ref="I245:L245"/>
    <mergeCell ref="B246:C246"/>
    <mergeCell ref="D246:E246"/>
    <mergeCell ref="F246:G246"/>
    <mergeCell ref="M246:N246"/>
    <mergeCell ref="B247:C247"/>
    <mergeCell ref="D247:E247"/>
    <mergeCell ref="F247:G247"/>
    <mergeCell ref="M247:N247"/>
    <mergeCell ref="B248:C248"/>
    <mergeCell ref="D248:E248"/>
    <mergeCell ref="F248:G248"/>
    <mergeCell ref="M248:N248"/>
    <mergeCell ref="B249:C249"/>
    <mergeCell ref="D249:E249"/>
    <mergeCell ref="F249:G249"/>
    <mergeCell ref="M249:N249"/>
    <mergeCell ref="B250:C250"/>
    <mergeCell ref="D250:E250"/>
    <mergeCell ref="F250:G250"/>
    <mergeCell ref="M250:N250"/>
    <mergeCell ref="B251:C251"/>
    <mergeCell ref="D251:E251"/>
    <mergeCell ref="F251:G251"/>
    <mergeCell ref="M251:N251"/>
    <mergeCell ref="B252:C252"/>
    <mergeCell ref="D252:E252"/>
    <mergeCell ref="F252:G252"/>
    <mergeCell ref="M252:N252"/>
    <mergeCell ref="B253:C253"/>
    <mergeCell ref="D253:E253"/>
    <mergeCell ref="F253:G253"/>
    <mergeCell ref="M253:N253"/>
    <mergeCell ref="B254:C254"/>
    <mergeCell ref="D254:E254"/>
    <mergeCell ref="F254:G254"/>
    <mergeCell ref="M254:N254"/>
    <mergeCell ref="B256:C256"/>
    <mergeCell ref="D256:E256"/>
    <mergeCell ref="F256:G256"/>
    <mergeCell ref="M256:N256"/>
    <mergeCell ref="B257:C257"/>
    <mergeCell ref="D257:E257"/>
    <mergeCell ref="F257:G257"/>
    <mergeCell ref="M257:N257"/>
    <mergeCell ref="B258:C258"/>
    <mergeCell ref="D258:E258"/>
    <mergeCell ref="F258:G258"/>
    <mergeCell ref="M258:N258"/>
    <mergeCell ref="B259:C259"/>
    <mergeCell ref="D259:E259"/>
    <mergeCell ref="F259:G259"/>
    <mergeCell ref="M259:N259"/>
    <mergeCell ref="B260:C260"/>
    <mergeCell ref="D260:E260"/>
    <mergeCell ref="F260:G260"/>
    <mergeCell ref="M260:N260"/>
    <mergeCell ref="B261:C261"/>
    <mergeCell ref="D261:E261"/>
    <mergeCell ref="F261:G261"/>
    <mergeCell ref="M261:N261"/>
    <mergeCell ref="B262:C262"/>
    <mergeCell ref="D262:E262"/>
    <mergeCell ref="F262:G262"/>
    <mergeCell ref="M262:N262"/>
    <mergeCell ref="B263:C263"/>
    <mergeCell ref="D263:E263"/>
    <mergeCell ref="F263:G263"/>
    <mergeCell ref="M263:N263"/>
    <mergeCell ref="B264:C264"/>
    <mergeCell ref="D264:E264"/>
    <mergeCell ref="F264:G264"/>
    <mergeCell ref="M264:N264"/>
    <mergeCell ref="B265:C265"/>
    <mergeCell ref="D265:E265"/>
    <mergeCell ref="F265:G265"/>
    <mergeCell ref="M265:N265"/>
    <mergeCell ref="B266:C266"/>
    <mergeCell ref="D266:E266"/>
    <mergeCell ref="F266:G266"/>
    <mergeCell ref="M266:N266"/>
    <mergeCell ref="B267:C267"/>
    <mergeCell ref="D267:E267"/>
    <mergeCell ref="F267:G267"/>
    <mergeCell ref="M267:N267"/>
    <mergeCell ref="B268:C268"/>
    <mergeCell ref="D268:E268"/>
    <mergeCell ref="F268:G268"/>
    <mergeCell ref="M268:N268"/>
    <mergeCell ref="B269:C269"/>
    <mergeCell ref="D269:E269"/>
    <mergeCell ref="F269:G269"/>
    <mergeCell ref="M269:N269"/>
    <mergeCell ref="B270:C270"/>
    <mergeCell ref="D270:E270"/>
    <mergeCell ref="F270:G270"/>
    <mergeCell ref="M270:N270"/>
    <mergeCell ref="F278:G278"/>
    <mergeCell ref="M278:N278"/>
    <mergeCell ref="B280:C280"/>
    <mergeCell ref="D280:E280"/>
    <mergeCell ref="F280:G280"/>
    <mergeCell ref="M280:N280"/>
    <mergeCell ref="B281:C281"/>
    <mergeCell ref="D281:E281"/>
    <mergeCell ref="F281:G281"/>
    <mergeCell ref="M281:N281"/>
    <mergeCell ref="B271:C271"/>
    <mergeCell ref="D271:E271"/>
    <mergeCell ref="F271:G271"/>
    <mergeCell ref="M271:N271"/>
    <mergeCell ref="B272:C272"/>
    <mergeCell ref="D272:E272"/>
    <mergeCell ref="F272:G272"/>
    <mergeCell ref="M272:N272"/>
    <mergeCell ref="B273:C273"/>
    <mergeCell ref="D273:E273"/>
    <mergeCell ref="F273:G273"/>
    <mergeCell ref="M273:N273"/>
    <mergeCell ref="B274:C274"/>
    <mergeCell ref="D274:E274"/>
    <mergeCell ref="F274:G274"/>
    <mergeCell ref="M274:N274"/>
    <mergeCell ref="B275:C275"/>
    <mergeCell ref="D275:E275"/>
    <mergeCell ref="F275:G275"/>
    <mergeCell ref="M275:N275"/>
    <mergeCell ref="B282:C282"/>
    <mergeCell ref="D282:E282"/>
    <mergeCell ref="F282:G282"/>
    <mergeCell ref="M282:N282"/>
    <mergeCell ref="B283:C283"/>
    <mergeCell ref="D283:E283"/>
    <mergeCell ref="F283:G283"/>
    <mergeCell ref="M283:N283"/>
    <mergeCell ref="B284:C284"/>
    <mergeCell ref="D284:E284"/>
    <mergeCell ref="F284:G284"/>
    <mergeCell ref="M284:N284"/>
    <mergeCell ref="B286:E286"/>
    <mergeCell ref="B287:E287"/>
    <mergeCell ref="B255:C255"/>
    <mergeCell ref="D255:E255"/>
    <mergeCell ref="F255:G255"/>
    <mergeCell ref="M255:N255"/>
    <mergeCell ref="B279:C279"/>
    <mergeCell ref="D279:E279"/>
    <mergeCell ref="F279:G279"/>
    <mergeCell ref="M279:N279"/>
    <mergeCell ref="B276:C276"/>
    <mergeCell ref="D276:E276"/>
    <mergeCell ref="F276:G276"/>
    <mergeCell ref="M276:N276"/>
    <mergeCell ref="B277:C277"/>
    <mergeCell ref="D277:E277"/>
    <mergeCell ref="F277:G277"/>
    <mergeCell ref="M277:N277"/>
    <mergeCell ref="B278:C278"/>
    <mergeCell ref="D278:E278"/>
    <mergeCell ref="I200:L200"/>
    <mergeCell ref="B201:C201"/>
    <mergeCell ref="D201:E201"/>
    <mergeCell ref="F201:G201"/>
    <mergeCell ref="M201:N201"/>
    <mergeCell ref="B202:C202"/>
    <mergeCell ref="D202:E202"/>
    <mergeCell ref="F202:G202"/>
    <mergeCell ref="M202:N202"/>
    <mergeCell ref="B203:C203"/>
    <mergeCell ref="D203:E203"/>
    <mergeCell ref="F203:G203"/>
    <mergeCell ref="M203:N203"/>
    <mergeCell ref="B204:C204"/>
    <mergeCell ref="D204:E204"/>
    <mergeCell ref="F204:G204"/>
    <mergeCell ref="M204:N204"/>
    <mergeCell ref="B205:C205"/>
    <mergeCell ref="D205:E205"/>
    <mergeCell ref="F205:G205"/>
    <mergeCell ref="M205:N205"/>
    <mergeCell ref="B206:C206"/>
    <mergeCell ref="D206:E206"/>
    <mergeCell ref="F206:G206"/>
    <mergeCell ref="M206:N206"/>
    <mergeCell ref="B207:C207"/>
    <mergeCell ref="D207:E207"/>
    <mergeCell ref="F207:G207"/>
    <mergeCell ref="M207:N207"/>
    <mergeCell ref="B208:C208"/>
    <mergeCell ref="D208:E208"/>
    <mergeCell ref="F208:G208"/>
    <mergeCell ref="M208:N208"/>
    <mergeCell ref="B209:C209"/>
    <mergeCell ref="D209:E209"/>
    <mergeCell ref="F209:G209"/>
    <mergeCell ref="M209:N209"/>
    <mergeCell ref="B210:C210"/>
    <mergeCell ref="D210:E210"/>
    <mergeCell ref="F210:G210"/>
    <mergeCell ref="M210:N210"/>
    <mergeCell ref="B211:C211"/>
    <mergeCell ref="D211:E211"/>
    <mergeCell ref="F211:G211"/>
    <mergeCell ref="M211:N211"/>
    <mergeCell ref="B212:C212"/>
    <mergeCell ref="D212:E212"/>
    <mergeCell ref="F212:G212"/>
    <mergeCell ref="M212:N212"/>
    <mergeCell ref="B213:C213"/>
    <mergeCell ref="D213:E213"/>
    <mergeCell ref="F213:G213"/>
    <mergeCell ref="M213:N213"/>
    <mergeCell ref="B214:C214"/>
    <mergeCell ref="D214:E214"/>
    <mergeCell ref="F214:G214"/>
    <mergeCell ref="M214:N214"/>
    <mergeCell ref="B215:C215"/>
    <mergeCell ref="D215:E215"/>
    <mergeCell ref="F215:G215"/>
    <mergeCell ref="M215:N215"/>
    <mergeCell ref="B216:C216"/>
    <mergeCell ref="D216:E216"/>
    <mergeCell ref="F216:G216"/>
    <mergeCell ref="M216:N216"/>
    <mergeCell ref="B217:C217"/>
    <mergeCell ref="D217:E217"/>
    <mergeCell ref="F217:G217"/>
    <mergeCell ref="M217:N217"/>
    <mergeCell ref="B218:C218"/>
    <mergeCell ref="D218:E218"/>
    <mergeCell ref="F218:G218"/>
    <mergeCell ref="M218:N218"/>
    <mergeCell ref="B219:C219"/>
    <mergeCell ref="D219:E219"/>
    <mergeCell ref="F219:G219"/>
    <mergeCell ref="M219:N219"/>
    <mergeCell ref="B220:C220"/>
    <mergeCell ref="D220:E220"/>
    <mergeCell ref="F220:G220"/>
    <mergeCell ref="M220:N220"/>
    <mergeCell ref="B221:C221"/>
    <mergeCell ref="D221:E221"/>
    <mergeCell ref="F221:G221"/>
    <mergeCell ref="M221:N221"/>
    <mergeCell ref="B222:C222"/>
    <mergeCell ref="D222:E222"/>
    <mergeCell ref="F222:G222"/>
    <mergeCell ref="M222:N222"/>
    <mergeCell ref="B223:C223"/>
    <mergeCell ref="D223:E223"/>
    <mergeCell ref="F223:G223"/>
    <mergeCell ref="M223:N223"/>
    <mergeCell ref="B224:C224"/>
    <mergeCell ref="D224:E224"/>
    <mergeCell ref="F224:G224"/>
    <mergeCell ref="M224:N224"/>
    <mergeCell ref="B225:C225"/>
    <mergeCell ref="D225:E225"/>
    <mergeCell ref="F225:G225"/>
    <mergeCell ref="M225:N225"/>
    <mergeCell ref="B226:C226"/>
    <mergeCell ref="D226:E226"/>
    <mergeCell ref="F226:G226"/>
    <mergeCell ref="M226:N226"/>
    <mergeCell ref="B227:C227"/>
    <mergeCell ref="D227:E227"/>
    <mergeCell ref="F227:G227"/>
    <mergeCell ref="M227:N227"/>
    <mergeCell ref="B228:C228"/>
    <mergeCell ref="D228:E228"/>
    <mergeCell ref="F228:G228"/>
    <mergeCell ref="M228:N228"/>
    <mergeCell ref="B229:C229"/>
    <mergeCell ref="D229:E229"/>
    <mergeCell ref="F229:G229"/>
    <mergeCell ref="M229:N229"/>
    <mergeCell ref="B230:C230"/>
    <mergeCell ref="D230:E230"/>
    <mergeCell ref="F230:G230"/>
    <mergeCell ref="M230:N230"/>
    <mergeCell ref="B231:C231"/>
    <mergeCell ref="D231:E231"/>
    <mergeCell ref="F231:G231"/>
    <mergeCell ref="M231:N231"/>
    <mergeCell ref="B232:C232"/>
    <mergeCell ref="D232:E232"/>
    <mergeCell ref="F232:G232"/>
    <mergeCell ref="M232:N232"/>
    <mergeCell ref="B233:C233"/>
    <mergeCell ref="D233:E233"/>
    <mergeCell ref="F233:G233"/>
    <mergeCell ref="M233:N233"/>
    <mergeCell ref="B234:C234"/>
    <mergeCell ref="D234:E234"/>
    <mergeCell ref="F234:G234"/>
    <mergeCell ref="M234:N234"/>
    <mergeCell ref="B242:E242"/>
    <mergeCell ref="B243:E243"/>
    <mergeCell ref="B236:C236"/>
    <mergeCell ref="D236:E236"/>
    <mergeCell ref="F236:G236"/>
    <mergeCell ref="M236:N236"/>
    <mergeCell ref="B237:C237"/>
    <mergeCell ref="D237:E237"/>
    <mergeCell ref="F237:G237"/>
    <mergeCell ref="M237:N237"/>
    <mergeCell ref="B238:C238"/>
    <mergeCell ref="D238:E238"/>
    <mergeCell ref="F238:G238"/>
    <mergeCell ref="M238:N238"/>
    <mergeCell ref="B239:C239"/>
    <mergeCell ref="D239:E239"/>
    <mergeCell ref="F239:G239"/>
    <mergeCell ref="M239:N239"/>
    <mergeCell ref="B240:C240"/>
    <mergeCell ref="D240:E240"/>
    <mergeCell ref="F240:G240"/>
    <mergeCell ref="M240:N240"/>
    <mergeCell ref="I161:L161"/>
    <mergeCell ref="B162:C162"/>
    <mergeCell ref="D162:E162"/>
    <mergeCell ref="F162:G162"/>
    <mergeCell ref="M162:N162"/>
    <mergeCell ref="B163:C163"/>
    <mergeCell ref="D163:E163"/>
    <mergeCell ref="F163:G163"/>
    <mergeCell ref="M163:N163"/>
    <mergeCell ref="B164:C164"/>
    <mergeCell ref="D164:E164"/>
    <mergeCell ref="F164:G164"/>
    <mergeCell ref="M164:N164"/>
    <mergeCell ref="B165:C165"/>
    <mergeCell ref="D165:E165"/>
    <mergeCell ref="F165:G165"/>
    <mergeCell ref="M165:N165"/>
    <mergeCell ref="B166:C166"/>
    <mergeCell ref="D166:E166"/>
    <mergeCell ref="F166:G166"/>
    <mergeCell ref="M166:N166"/>
    <mergeCell ref="B167:C167"/>
    <mergeCell ref="D167:E167"/>
    <mergeCell ref="F167:G167"/>
    <mergeCell ref="M167:N167"/>
    <mergeCell ref="B168:C168"/>
    <mergeCell ref="D168:E168"/>
    <mergeCell ref="F168:G168"/>
    <mergeCell ref="M168:N168"/>
    <mergeCell ref="B169:C169"/>
    <mergeCell ref="D169:E169"/>
    <mergeCell ref="F169:G169"/>
    <mergeCell ref="M169:N169"/>
    <mergeCell ref="B170:C170"/>
    <mergeCell ref="D170:E170"/>
    <mergeCell ref="F170:G170"/>
    <mergeCell ref="M170:N170"/>
    <mergeCell ref="B171:C171"/>
    <mergeCell ref="D171:E171"/>
    <mergeCell ref="F171:G171"/>
    <mergeCell ref="M171:N171"/>
    <mergeCell ref="B173:C173"/>
    <mergeCell ref="D173:E173"/>
    <mergeCell ref="F173:G173"/>
    <mergeCell ref="M173:N173"/>
    <mergeCell ref="B174:C174"/>
    <mergeCell ref="D174:E174"/>
    <mergeCell ref="F174:G174"/>
    <mergeCell ref="M174:N174"/>
    <mergeCell ref="B175:C175"/>
    <mergeCell ref="D175:E175"/>
    <mergeCell ref="F175:G175"/>
    <mergeCell ref="M175:N175"/>
    <mergeCell ref="B176:C176"/>
    <mergeCell ref="D176:E176"/>
    <mergeCell ref="F176:G176"/>
    <mergeCell ref="M176:N176"/>
    <mergeCell ref="B172:C172"/>
    <mergeCell ref="D172:E172"/>
    <mergeCell ref="F172:G172"/>
    <mergeCell ref="M172:N172"/>
    <mergeCell ref="B179:C179"/>
    <mergeCell ref="D179:E179"/>
    <mergeCell ref="F179:G179"/>
    <mergeCell ref="M179:N179"/>
    <mergeCell ref="B180:C180"/>
    <mergeCell ref="D180:E180"/>
    <mergeCell ref="F180:G180"/>
    <mergeCell ref="M180:N180"/>
    <mergeCell ref="B181:C181"/>
    <mergeCell ref="D181:E181"/>
    <mergeCell ref="F181:G181"/>
    <mergeCell ref="M181:N181"/>
    <mergeCell ref="B182:C182"/>
    <mergeCell ref="D182:E182"/>
    <mergeCell ref="F182:G182"/>
    <mergeCell ref="M182:N182"/>
    <mergeCell ref="B178:C178"/>
    <mergeCell ref="D178:E178"/>
    <mergeCell ref="F178:G178"/>
    <mergeCell ref="M178:N178"/>
    <mergeCell ref="B186:C186"/>
    <mergeCell ref="D186:E186"/>
    <mergeCell ref="F186:G186"/>
    <mergeCell ref="M186:N186"/>
    <mergeCell ref="B187:C187"/>
    <mergeCell ref="D187:E187"/>
    <mergeCell ref="F187:G187"/>
    <mergeCell ref="M187:N187"/>
    <mergeCell ref="B188:C188"/>
    <mergeCell ref="D188:E188"/>
    <mergeCell ref="F188:G188"/>
    <mergeCell ref="M188:N188"/>
    <mergeCell ref="B189:C189"/>
    <mergeCell ref="D189:E189"/>
    <mergeCell ref="F189:G189"/>
    <mergeCell ref="M189:N189"/>
    <mergeCell ref="B183:C183"/>
    <mergeCell ref="D183:E183"/>
    <mergeCell ref="F183:G183"/>
    <mergeCell ref="M183:N183"/>
    <mergeCell ref="B184:C184"/>
    <mergeCell ref="D184:E184"/>
    <mergeCell ref="F184:G184"/>
    <mergeCell ref="M184:N184"/>
    <mergeCell ref="B185:C185"/>
    <mergeCell ref="D185:E185"/>
    <mergeCell ref="F185:G185"/>
    <mergeCell ref="M185:N185"/>
    <mergeCell ref="F190:G190"/>
    <mergeCell ref="B197:E197"/>
    <mergeCell ref="B198:E198"/>
    <mergeCell ref="B192:C192"/>
    <mergeCell ref="D192:E192"/>
    <mergeCell ref="F192:G192"/>
    <mergeCell ref="M192:N192"/>
    <mergeCell ref="B193:C193"/>
    <mergeCell ref="D193:E193"/>
    <mergeCell ref="F193:G193"/>
    <mergeCell ref="M193:N193"/>
    <mergeCell ref="B194:C194"/>
    <mergeCell ref="D194:E194"/>
    <mergeCell ref="F194:G194"/>
    <mergeCell ref="M194:N194"/>
    <mergeCell ref="B195:C195"/>
    <mergeCell ref="D195:E195"/>
    <mergeCell ref="F195:G195"/>
    <mergeCell ref="M195:N195"/>
    <mergeCell ref="F191:G191"/>
    <mergeCell ref="B190:C190"/>
    <mergeCell ref="D190:E190"/>
    <mergeCell ref="B191:C191"/>
    <mergeCell ref="D191:E191"/>
    <mergeCell ref="M191:N191"/>
    <mergeCell ref="M190:N190"/>
    <mergeCell ref="I121:L121"/>
    <mergeCell ref="B122:C122"/>
    <mergeCell ref="D122:E122"/>
    <mergeCell ref="F122:G122"/>
    <mergeCell ref="M122:N122"/>
    <mergeCell ref="B123:C123"/>
    <mergeCell ref="D123:E123"/>
    <mergeCell ref="F123:G123"/>
    <mergeCell ref="M123:N123"/>
    <mergeCell ref="B124:C124"/>
    <mergeCell ref="D124:E124"/>
    <mergeCell ref="F124:G124"/>
    <mergeCell ref="M124:N124"/>
    <mergeCell ref="B125:C125"/>
    <mergeCell ref="D125:E125"/>
    <mergeCell ref="F125:G125"/>
    <mergeCell ref="M125:N125"/>
    <mergeCell ref="B136:C136"/>
    <mergeCell ref="D136:E136"/>
    <mergeCell ref="F136:G136"/>
    <mergeCell ref="M136:N136"/>
    <mergeCell ref="B126:C126"/>
    <mergeCell ref="D126:E126"/>
    <mergeCell ref="F126:G126"/>
    <mergeCell ref="M126:N126"/>
    <mergeCell ref="B127:C127"/>
    <mergeCell ref="D127:E127"/>
    <mergeCell ref="F127:G127"/>
    <mergeCell ref="M127:N127"/>
    <mergeCell ref="B128:C128"/>
    <mergeCell ref="D128:E128"/>
    <mergeCell ref="F128:G128"/>
    <mergeCell ref="M128:N128"/>
    <mergeCell ref="B129:C129"/>
    <mergeCell ref="D129:E129"/>
    <mergeCell ref="F129:G129"/>
    <mergeCell ref="M129:N129"/>
    <mergeCell ref="B130:C130"/>
    <mergeCell ref="D130:E130"/>
    <mergeCell ref="F130:G130"/>
    <mergeCell ref="M130:N130"/>
    <mergeCell ref="B132:C132"/>
    <mergeCell ref="D132:E132"/>
    <mergeCell ref="F132:G132"/>
    <mergeCell ref="M132:N132"/>
    <mergeCell ref="K134:L134"/>
    <mergeCell ref="B138:C138"/>
    <mergeCell ref="D138:E138"/>
    <mergeCell ref="F138:G138"/>
    <mergeCell ref="M138:N138"/>
    <mergeCell ref="B139:C139"/>
    <mergeCell ref="D139:E139"/>
    <mergeCell ref="F139:G139"/>
    <mergeCell ref="M139:N139"/>
    <mergeCell ref="B140:C140"/>
    <mergeCell ref="D140:E140"/>
    <mergeCell ref="F140:G140"/>
    <mergeCell ref="M140:N140"/>
    <mergeCell ref="B141:C141"/>
    <mergeCell ref="D141:E141"/>
    <mergeCell ref="F141:G141"/>
    <mergeCell ref="M141:N141"/>
    <mergeCell ref="B131:C131"/>
    <mergeCell ref="D131:E131"/>
    <mergeCell ref="F131:G131"/>
    <mergeCell ref="M131:N131"/>
    <mergeCell ref="B133:C133"/>
    <mergeCell ref="D133:E133"/>
    <mergeCell ref="F133:G133"/>
    <mergeCell ref="M133:N133"/>
    <mergeCell ref="B134:C134"/>
    <mergeCell ref="D134:E134"/>
    <mergeCell ref="F134:G134"/>
    <mergeCell ref="M134:N134"/>
    <mergeCell ref="B135:C135"/>
    <mergeCell ref="D135:E135"/>
    <mergeCell ref="F135:G135"/>
    <mergeCell ref="M135:N135"/>
    <mergeCell ref="B142:C142"/>
    <mergeCell ref="D142:E142"/>
    <mergeCell ref="F142:G142"/>
    <mergeCell ref="M142:N142"/>
    <mergeCell ref="B143:C143"/>
    <mergeCell ref="D143:E143"/>
    <mergeCell ref="F143:G143"/>
    <mergeCell ref="M143:N143"/>
    <mergeCell ref="B144:C144"/>
    <mergeCell ref="D144:E144"/>
    <mergeCell ref="F144:G144"/>
    <mergeCell ref="M144:N144"/>
    <mergeCell ref="B145:C145"/>
    <mergeCell ref="D145:E145"/>
    <mergeCell ref="F145:G145"/>
    <mergeCell ref="M145:N145"/>
    <mergeCell ref="B146:C146"/>
    <mergeCell ref="D146:E146"/>
    <mergeCell ref="F146:G146"/>
    <mergeCell ref="M146:N146"/>
    <mergeCell ref="B147:C147"/>
    <mergeCell ref="D147:E147"/>
    <mergeCell ref="F147:G147"/>
    <mergeCell ref="M147:N147"/>
    <mergeCell ref="B148:C148"/>
    <mergeCell ref="D148:E148"/>
    <mergeCell ref="F148:G148"/>
    <mergeCell ref="M148:N148"/>
    <mergeCell ref="B149:C149"/>
    <mergeCell ref="D149:E149"/>
    <mergeCell ref="F149:G149"/>
    <mergeCell ref="M149:N149"/>
    <mergeCell ref="B150:C150"/>
    <mergeCell ref="D150:E150"/>
    <mergeCell ref="F150:G150"/>
    <mergeCell ref="M150:N150"/>
    <mergeCell ref="B151:C151"/>
    <mergeCell ref="D151:E151"/>
    <mergeCell ref="F151:G151"/>
    <mergeCell ref="M151:N151"/>
    <mergeCell ref="B158:E158"/>
    <mergeCell ref="B159:E159"/>
    <mergeCell ref="B152:C152"/>
    <mergeCell ref="D152:E152"/>
    <mergeCell ref="F152:G152"/>
    <mergeCell ref="M152:N152"/>
    <mergeCell ref="B153:C153"/>
    <mergeCell ref="D153:E153"/>
    <mergeCell ref="F153:G153"/>
    <mergeCell ref="M153:N153"/>
    <mergeCell ref="B154:C154"/>
    <mergeCell ref="D154:E154"/>
    <mergeCell ref="F154:G154"/>
    <mergeCell ref="M154:N154"/>
    <mergeCell ref="B155:C155"/>
    <mergeCell ref="D155:E155"/>
    <mergeCell ref="F155:G155"/>
    <mergeCell ref="M155:N155"/>
    <mergeCell ref="B156:C156"/>
    <mergeCell ref="D156:E156"/>
    <mergeCell ref="F156:G156"/>
    <mergeCell ref="M156:N156"/>
    <mergeCell ref="I81:L81"/>
    <mergeCell ref="B82:C82"/>
    <mergeCell ref="D82:E82"/>
    <mergeCell ref="F82:G82"/>
    <mergeCell ref="M82:N82"/>
    <mergeCell ref="B83:C83"/>
    <mergeCell ref="D83:E83"/>
    <mergeCell ref="F83:G83"/>
    <mergeCell ref="M83:N83"/>
    <mergeCell ref="B84:C84"/>
    <mergeCell ref="D84:E84"/>
    <mergeCell ref="F84:G84"/>
    <mergeCell ref="M84:N84"/>
    <mergeCell ref="B85:C85"/>
    <mergeCell ref="D85:E85"/>
    <mergeCell ref="F85:G85"/>
    <mergeCell ref="M85:N85"/>
    <mergeCell ref="B86:C86"/>
    <mergeCell ref="D86:E86"/>
    <mergeCell ref="F86:G86"/>
    <mergeCell ref="M86:N86"/>
    <mergeCell ref="B87:C87"/>
    <mergeCell ref="D87:E87"/>
    <mergeCell ref="F87:G87"/>
    <mergeCell ref="M87:N87"/>
    <mergeCell ref="B88:C88"/>
    <mergeCell ref="D88:E88"/>
    <mergeCell ref="F88:G88"/>
    <mergeCell ref="M88:N88"/>
    <mergeCell ref="B89:C89"/>
    <mergeCell ref="D89:E89"/>
    <mergeCell ref="F89:G89"/>
    <mergeCell ref="M89:N89"/>
    <mergeCell ref="B90:C90"/>
    <mergeCell ref="D90:E90"/>
    <mergeCell ref="F90:G90"/>
    <mergeCell ref="M90:N90"/>
    <mergeCell ref="B91:C91"/>
    <mergeCell ref="D91:E91"/>
    <mergeCell ref="F91:G91"/>
    <mergeCell ref="M91:N91"/>
    <mergeCell ref="B92:C92"/>
    <mergeCell ref="D92:E92"/>
    <mergeCell ref="F92:G92"/>
    <mergeCell ref="M92:N92"/>
    <mergeCell ref="B93:C93"/>
    <mergeCell ref="D93:E93"/>
    <mergeCell ref="F93:G93"/>
    <mergeCell ref="M93:N93"/>
    <mergeCell ref="B94:C94"/>
    <mergeCell ref="D94:E94"/>
    <mergeCell ref="F94:G94"/>
    <mergeCell ref="B95:C95"/>
    <mergeCell ref="D95:E95"/>
    <mergeCell ref="F95:G95"/>
    <mergeCell ref="M95:N95"/>
    <mergeCell ref="B96:C96"/>
    <mergeCell ref="D96:E96"/>
    <mergeCell ref="F96:G96"/>
    <mergeCell ref="M96:N96"/>
    <mergeCell ref="B97:C97"/>
    <mergeCell ref="D97:E97"/>
    <mergeCell ref="F97:G97"/>
    <mergeCell ref="M97:N97"/>
    <mergeCell ref="B98:C98"/>
    <mergeCell ref="D98:E98"/>
    <mergeCell ref="F98:G98"/>
    <mergeCell ref="M98:N98"/>
    <mergeCell ref="B99:C99"/>
    <mergeCell ref="D99:E99"/>
    <mergeCell ref="F99:G99"/>
    <mergeCell ref="M99:N99"/>
    <mergeCell ref="B100:C100"/>
    <mergeCell ref="D100:E100"/>
    <mergeCell ref="F100:G100"/>
    <mergeCell ref="B101:C101"/>
    <mergeCell ref="D101:E101"/>
    <mergeCell ref="F101:G101"/>
    <mergeCell ref="M101:N101"/>
    <mergeCell ref="B102:C102"/>
    <mergeCell ref="D102:E102"/>
    <mergeCell ref="F102:G102"/>
    <mergeCell ref="M102:N102"/>
    <mergeCell ref="B103:C103"/>
    <mergeCell ref="D103:E103"/>
    <mergeCell ref="F103:G103"/>
    <mergeCell ref="M103:N103"/>
    <mergeCell ref="B104:C104"/>
    <mergeCell ref="D104:E104"/>
    <mergeCell ref="F104:G104"/>
    <mergeCell ref="M104:N104"/>
    <mergeCell ref="B105:C105"/>
    <mergeCell ref="D105:E105"/>
    <mergeCell ref="F105:G105"/>
    <mergeCell ref="M105:N105"/>
    <mergeCell ref="B106:C106"/>
    <mergeCell ref="D106:E106"/>
    <mergeCell ref="F106:G106"/>
    <mergeCell ref="M106:N106"/>
    <mergeCell ref="B107:C107"/>
    <mergeCell ref="D107:E107"/>
    <mergeCell ref="F107:G107"/>
    <mergeCell ref="M107:N107"/>
    <mergeCell ref="B108:C108"/>
    <mergeCell ref="D108:E108"/>
    <mergeCell ref="F108:G108"/>
    <mergeCell ref="M108:N108"/>
    <mergeCell ref="B109:C109"/>
    <mergeCell ref="D109:E109"/>
    <mergeCell ref="F109:G109"/>
    <mergeCell ref="M109:N109"/>
    <mergeCell ref="B115:C115"/>
    <mergeCell ref="D115:E115"/>
    <mergeCell ref="F115:G115"/>
    <mergeCell ref="M115:N115"/>
    <mergeCell ref="B116:C116"/>
    <mergeCell ref="D116:E116"/>
    <mergeCell ref="F116:G116"/>
    <mergeCell ref="M116:N116"/>
    <mergeCell ref="B118:E118"/>
    <mergeCell ref="B119:E119"/>
    <mergeCell ref="B110:C110"/>
    <mergeCell ref="D110:E110"/>
    <mergeCell ref="F110:G110"/>
    <mergeCell ref="M110:N110"/>
    <mergeCell ref="B111:C111"/>
    <mergeCell ref="D111:E111"/>
    <mergeCell ref="F111:G111"/>
    <mergeCell ref="M111:N111"/>
    <mergeCell ref="B112:C112"/>
    <mergeCell ref="D112:E112"/>
    <mergeCell ref="F112:G112"/>
    <mergeCell ref="M112:N112"/>
    <mergeCell ref="B113:C113"/>
    <mergeCell ref="D113:E113"/>
    <mergeCell ref="F113:G113"/>
    <mergeCell ref="B114:C114"/>
    <mergeCell ref="D114:E114"/>
    <mergeCell ref="F114:G114"/>
    <mergeCell ref="M114:N114"/>
    <mergeCell ref="I1:L1"/>
    <mergeCell ref="B2:C2"/>
    <mergeCell ref="D2:E2"/>
    <mergeCell ref="F2:G2"/>
    <mergeCell ref="M2:N2"/>
    <mergeCell ref="B3:C3"/>
    <mergeCell ref="D3:E3"/>
    <mergeCell ref="F3:G3"/>
    <mergeCell ref="M3:N3"/>
    <mergeCell ref="B4:C4"/>
    <mergeCell ref="D4:E4"/>
    <mergeCell ref="F4:G4"/>
    <mergeCell ref="M4:N4"/>
    <mergeCell ref="B5:C5"/>
    <mergeCell ref="D5:E5"/>
    <mergeCell ref="F5:G5"/>
    <mergeCell ref="M5:N5"/>
    <mergeCell ref="B6:C6"/>
    <mergeCell ref="D6:E6"/>
    <mergeCell ref="F6:G6"/>
    <mergeCell ref="M6:N6"/>
    <mergeCell ref="B7:C7"/>
    <mergeCell ref="D7:E7"/>
    <mergeCell ref="F7:G7"/>
    <mergeCell ref="M7:N7"/>
    <mergeCell ref="B8:C8"/>
    <mergeCell ref="D8:E8"/>
    <mergeCell ref="F8:G8"/>
    <mergeCell ref="M8:N8"/>
    <mergeCell ref="B9:C9"/>
    <mergeCell ref="D9:E9"/>
    <mergeCell ref="F9:G9"/>
    <mergeCell ref="M9:N9"/>
    <mergeCell ref="B10:C10"/>
    <mergeCell ref="D10:E10"/>
    <mergeCell ref="F10:G10"/>
    <mergeCell ref="M10:N10"/>
    <mergeCell ref="B11:C11"/>
    <mergeCell ref="D11:E11"/>
    <mergeCell ref="F11:G11"/>
    <mergeCell ref="M11:N11"/>
    <mergeCell ref="B12:C12"/>
    <mergeCell ref="D12:E12"/>
    <mergeCell ref="F12:G12"/>
    <mergeCell ref="M12:N12"/>
    <mergeCell ref="B13:C13"/>
    <mergeCell ref="D13:E13"/>
    <mergeCell ref="F13:G13"/>
    <mergeCell ref="M13:N13"/>
    <mergeCell ref="B14:C14"/>
    <mergeCell ref="D14:E14"/>
    <mergeCell ref="F14:G14"/>
    <mergeCell ref="B15:C15"/>
    <mergeCell ref="D15:E15"/>
    <mergeCell ref="F15:G15"/>
    <mergeCell ref="M15:N15"/>
    <mergeCell ref="B16:C16"/>
    <mergeCell ref="D16:E16"/>
    <mergeCell ref="F16:G16"/>
    <mergeCell ref="M16:N16"/>
    <mergeCell ref="B17:C17"/>
    <mergeCell ref="D17:E17"/>
    <mergeCell ref="F17:G17"/>
    <mergeCell ref="M17:N17"/>
    <mergeCell ref="B18:C18"/>
    <mergeCell ref="D18:E18"/>
    <mergeCell ref="F18:G18"/>
    <mergeCell ref="M18:N18"/>
    <mergeCell ref="B20:C20"/>
    <mergeCell ref="D20:E20"/>
    <mergeCell ref="F20:G20"/>
    <mergeCell ref="M20:N20"/>
    <mergeCell ref="B21:C21"/>
    <mergeCell ref="D21:E21"/>
    <mergeCell ref="F21:G21"/>
    <mergeCell ref="B19:C19"/>
    <mergeCell ref="D19:E19"/>
    <mergeCell ref="F19:G19"/>
    <mergeCell ref="M19:N19"/>
    <mergeCell ref="B22:C22"/>
    <mergeCell ref="D22:E22"/>
    <mergeCell ref="F22:G22"/>
    <mergeCell ref="M22:N22"/>
    <mergeCell ref="B23:C23"/>
    <mergeCell ref="D23:E23"/>
    <mergeCell ref="F23:G23"/>
    <mergeCell ref="M23:N23"/>
    <mergeCell ref="B24:C24"/>
    <mergeCell ref="D24:E24"/>
    <mergeCell ref="F24:G24"/>
    <mergeCell ref="M24:N24"/>
    <mergeCell ref="B25:C25"/>
    <mergeCell ref="D25:E25"/>
    <mergeCell ref="F25:G25"/>
    <mergeCell ref="M25:N25"/>
    <mergeCell ref="B26:C26"/>
    <mergeCell ref="D26:E26"/>
    <mergeCell ref="F26:G26"/>
    <mergeCell ref="M26:N26"/>
    <mergeCell ref="B27:C27"/>
    <mergeCell ref="D27:E27"/>
    <mergeCell ref="F27:G27"/>
    <mergeCell ref="M27:N27"/>
    <mergeCell ref="B28:C28"/>
    <mergeCell ref="D28:E28"/>
    <mergeCell ref="F28:G28"/>
    <mergeCell ref="M28:N28"/>
    <mergeCell ref="B29:C29"/>
    <mergeCell ref="D29:E29"/>
    <mergeCell ref="F29:G29"/>
    <mergeCell ref="M29:N29"/>
    <mergeCell ref="B30:C30"/>
    <mergeCell ref="D30:E30"/>
    <mergeCell ref="F30:G30"/>
    <mergeCell ref="M30:N30"/>
    <mergeCell ref="B31:C31"/>
    <mergeCell ref="D31:E31"/>
    <mergeCell ref="F31:G31"/>
    <mergeCell ref="M31:N31"/>
    <mergeCell ref="B37:C37"/>
    <mergeCell ref="D37:E37"/>
    <mergeCell ref="F37:G37"/>
    <mergeCell ref="M37:N37"/>
    <mergeCell ref="B39:E39"/>
    <mergeCell ref="B40:E40"/>
    <mergeCell ref="B32:C32"/>
    <mergeCell ref="D32:E32"/>
    <mergeCell ref="F32:G32"/>
    <mergeCell ref="M32:N32"/>
    <mergeCell ref="B33:C33"/>
    <mergeCell ref="D33:E33"/>
    <mergeCell ref="F33:G33"/>
    <mergeCell ref="M33:N33"/>
    <mergeCell ref="B34:C34"/>
    <mergeCell ref="D34:E34"/>
    <mergeCell ref="F34:G34"/>
    <mergeCell ref="B35:C35"/>
    <mergeCell ref="D35:E35"/>
    <mergeCell ref="F35:G35"/>
    <mergeCell ref="M35:N35"/>
    <mergeCell ref="B36:C36"/>
    <mergeCell ref="D36:E36"/>
    <mergeCell ref="F36:G36"/>
    <mergeCell ref="M36:N36"/>
  </mergeCells>
  <phoneticPr fontId="2" type="noConversion"/>
  <printOptions horizontalCentered="1"/>
  <pageMargins left="0.25" right="0.25" top="1.5" bottom="0" header="0.6" footer="0"/>
  <pageSetup scale="45" fitToHeight="0" orientation="landscape" r:id="rId1"/>
  <headerFooter alignWithMargins="0">
    <oddHeader xml:space="preserve">&amp;C&amp;"Arial,Bold"&amp;22City of Ontario
IEUA Regional Conservation Programs Annual Report &amp;"Arial,Regular"
</oddHeader>
  </headerFooter>
  <rowBreaks count="14" manualBreakCount="14">
    <brk id="79" max="16383" man="1"/>
    <brk id="119" max="13" man="1"/>
    <brk id="159" max="13" man="1"/>
    <brk id="198" max="13" man="1"/>
    <brk id="243" max="13" man="1"/>
    <brk id="287" max="13" man="1"/>
    <brk id="329" max="13" man="1"/>
    <brk id="366" max="13" man="1"/>
    <brk id="400" max="13" man="1"/>
    <brk id="443" max="13" man="1"/>
    <brk id="486" max="13" man="1"/>
    <brk id="526" max="13" man="1"/>
    <brk id="556" max="13" man="1"/>
    <brk id="604" max="13" man="1"/>
  </rowBreaks>
  <colBreaks count="1" manualBreakCount="1">
    <brk id="14" max="1048575" man="1"/>
  </col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FFC000"/>
  </sheetPr>
  <dimension ref="A3:V458"/>
  <sheetViews>
    <sheetView topLeftCell="A426" zoomScaleNormal="100" workbookViewId="0">
      <selection activeCell="A441" sqref="A441"/>
    </sheetView>
  </sheetViews>
  <sheetFormatPr baseColWidth="10" defaultColWidth="8.83203125" defaultRowHeight="13"/>
  <cols>
    <col min="1" max="1" width="48.5" bestFit="1" customWidth="1"/>
    <col min="4" max="4" width="10.5" customWidth="1"/>
    <col min="5" max="5" width="9.83203125" customWidth="1"/>
    <col min="6" max="6" width="11.33203125" customWidth="1"/>
    <col min="7" max="7" width="10.5" customWidth="1"/>
    <col min="9" max="10" width="10.1640625" bestFit="1" customWidth="1"/>
    <col min="11" max="11" width="11.1640625" bestFit="1" customWidth="1"/>
  </cols>
  <sheetData>
    <row r="3" spans="1:14" ht="14" thickBot="1">
      <c r="B3" s="43" t="s">
        <v>35</v>
      </c>
      <c r="C3" s="43" t="s">
        <v>36</v>
      </c>
      <c r="D3" s="43" t="s">
        <v>37</v>
      </c>
      <c r="E3" s="43" t="s">
        <v>38</v>
      </c>
      <c r="F3" s="43" t="s">
        <v>39</v>
      </c>
      <c r="G3" s="43" t="s">
        <v>40</v>
      </c>
      <c r="H3" s="43" t="s">
        <v>41</v>
      </c>
      <c r="I3" s="43" t="s">
        <v>42</v>
      </c>
      <c r="J3" s="43" t="s">
        <v>43</v>
      </c>
      <c r="K3" s="43" t="s">
        <v>44</v>
      </c>
      <c r="L3" s="43" t="s">
        <v>45</v>
      </c>
      <c r="M3" s="43" t="s">
        <v>46</v>
      </c>
      <c r="N3" s="43" t="s">
        <v>10</v>
      </c>
    </row>
    <row r="4" spans="1:14" ht="17" thickBot="1">
      <c r="A4" s="31" t="s">
        <v>34</v>
      </c>
      <c r="B4" s="24"/>
      <c r="C4" s="24"/>
      <c r="D4" s="22"/>
      <c r="E4" s="22"/>
      <c r="F4" s="25"/>
      <c r="G4" s="25"/>
      <c r="H4" s="22"/>
      <c r="I4" s="22"/>
      <c r="J4" s="22"/>
      <c r="K4" s="22"/>
      <c r="L4" s="24"/>
      <c r="M4" s="24"/>
      <c r="N4" s="26"/>
    </row>
    <row r="5" spans="1:14" ht="14" thickBot="1">
      <c r="A5" s="38" t="s">
        <v>48</v>
      </c>
      <c r="B5" s="39"/>
      <c r="C5" s="39"/>
      <c r="D5" s="39"/>
      <c r="E5" s="39"/>
      <c r="F5" s="39"/>
      <c r="G5" s="39"/>
      <c r="H5" s="39"/>
      <c r="I5" s="39"/>
      <c r="J5" s="39"/>
      <c r="K5" s="39"/>
      <c r="L5" s="39"/>
      <c r="M5" s="39"/>
      <c r="N5" s="40"/>
    </row>
    <row r="6" spans="1:14">
      <c r="A6" s="32" t="s">
        <v>28</v>
      </c>
      <c r="B6" s="1092">
        <v>0</v>
      </c>
      <c r="C6" s="1092">
        <v>0</v>
      </c>
      <c r="D6" s="1092">
        <v>0</v>
      </c>
      <c r="E6" s="1092">
        <v>0</v>
      </c>
      <c r="F6" s="1092">
        <v>0</v>
      </c>
      <c r="G6" s="1092">
        <v>1</v>
      </c>
      <c r="H6" s="1092">
        <v>0</v>
      </c>
      <c r="I6" s="1092">
        <v>0</v>
      </c>
      <c r="J6" s="1092">
        <v>2</v>
      </c>
      <c r="K6" s="1092">
        <v>3</v>
      </c>
      <c r="L6" s="1092">
        <v>0</v>
      </c>
      <c r="M6" s="1092">
        <v>0</v>
      </c>
      <c r="N6" s="27">
        <f t="shared" ref="N6:N26" si="0">SUM(B6:M6)</f>
        <v>6</v>
      </c>
    </row>
    <row r="7" spans="1:14">
      <c r="A7" s="32" t="s">
        <v>29</v>
      </c>
      <c r="B7" s="1092">
        <v>0</v>
      </c>
      <c r="C7" s="1092">
        <v>0</v>
      </c>
      <c r="D7" s="1092">
        <v>0</v>
      </c>
      <c r="E7" s="1092">
        <v>0</v>
      </c>
      <c r="F7" s="1092">
        <v>0</v>
      </c>
      <c r="G7" s="1092">
        <v>0</v>
      </c>
      <c r="H7" s="1092">
        <v>0</v>
      </c>
      <c r="I7" s="1092">
        <v>0</v>
      </c>
      <c r="J7" s="1092">
        <v>0</v>
      </c>
      <c r="K7" s="1092">
        <v>0</v>
      </c>
      <c r="L7" s="1092">
        <v>0</v>
      </c>
      <c r="M7" s="1092">
        <v>0</v>
      </c>
      <c r="N7" s="27">
        <f t="shared" si="0"/>
        <v>0</v>
      </c>
    </row>
    <row r="8" spans="1:14">
      <c r="A8" s="32" t="s">
        <v>33</v>
      </c>
      <c r="B8" s="1092">
        <v>5</v>
      </c>
      <c r="C8" s="1092">
        <v>0</v>
      </c>
      <c r="D8" s="1092">
        <v>17</v>
      </c>
      <c r="E8" s="1092">
        <v>33</v>
      </c>
      <c r="F8" s="1092">
        <v>15</v>
      </c>
      <c r="G8" s="1092">
        <v>8</v>
      </c>
      <c r="H8" s="1092">
        <v>20</v>
      </c>
      <c r="I8" s="1092">
        <v>15</v>
      </c>
      <c r="J8" s="1092">
        <v>12</v>
      </c>
      <c r="K8" s="1092">
        <v>17</v>
      </c>
      <c r="L8" s="1092">
        <v>12</v>
      </c>
      <c r="M8" s="1092">
        <v>16</v>
      </c>
      <c r="N8" s="27">
        <f t="shared" si="0"/>
        <v>170</v>
      </c>
    </row>
    <row r="9" spans="1:14">
      <c r="A9" s="32" t="s">
        <v>56</v>
      </c>
      <c r="B9" s="1092">
        <v>0</v>
      </c>
      <c r="C9" s="1092">
        <v>0</v>
      </c>
      <c r="D9" s="1092">
        <v>0</v>
      </c>
      <c r="E9" s="1092">
        <v>0</v>
      </c>
      <c r="F9" s="1092">
        <v>0</v>
      </c>
      <c r="G9" s="1092">
        <v>0</v>
      </c>
      <c r="H9" s="1092">
        <v>0</v>
      </c>
      <c r="I9" s="1092">
        <v>0</v>
      </c>
      <c r="J9" s="1092">
        <v>0</v>
      </c>
      <c r="K9" s="1092">
        <v>22</v>
      </c>
      <c r="L9" s="1092">
        <v>0</v>
      </c>
      <c r="M9" s="1092">
        <v>0</v>
      </c>
      <c r="N9" s="27">
        <f t="shared" si="0"/>
        <v>22</v>
      </c>
    </row>
    <row r="10" spans="1:14">
      <c r="A10" s="32" t="s">
        <v>52</v>
      </c>
      <c r="B10" s="1092">
        <v>0</v>
      </c>
      <c r="C10" s="1092">
        <v>0</v>
      </c>
      <c r="D10" s="1092">
        <v>0</v>
      </c>
      <c r="E10" s="1092">
        <v>0</v>
      </c>
      <c r="F10" s="1092">
        <v>0</v>
      </c>
      <c r="G10" s="1092">
        <v>0</v>
      </c>
      <c r="H10" s="1092">
        <v>0</v>
      </c>
      <c r="I10" s="1092">
        <v>0</v>
      </c>
      <c r="J10" s="1092">
        <v>0</v>
      </c>
      <c r="K10" s="1092">
        <v>0</v>
      </c>
      <c r="L10" s="1092">
        <v>0</v>
      </c>
      <c r="M10" s="1092">
        <v>0</v>
      </c>
      <c r="N10" s="27">
        <f>SUM(B10:M10)</f>
        <v>0</v>
      </c>
    </row>
    <row r="11" spans="1:14">
      <c r="A11" s="33" t="s">
        <v>57</v>
      </c>
      <c r="B11" s="1092">
        <v>0</v>
      </c>
      <c r="C11" s="1092">
        <v>0</v>
      </c>
      <c r="D11" s="1092">
        <v>0</v>
      </c>
      <c r="E11" s="1092">
        <v>0</v>
      </c>
      <c r="F11" s="1092">
        <v>0</v>
      </c>
      <c r="G11" s="1092">
        <v>0</v>
      </c>
      <c r="H11" s="1092">
        <v>0</v>
      </c>
      <c r="I11" s="1092">
        <v>0</v>
      </c>
      <c r="J11" s="1092">
        <v>0</v>
      </c>
      <c r="K11" s="1092">
        <v>0</v>
      </c>
      <c r="L11" s="1092">
        <v>0</v>
      </c>
      <c r="M11" s="1092">
        <v>0</v>
      </c>
      <c r="N11" s="27">
        <f>SUM(B11:M11)</f>
        <v>0</v>
      </c>
    </row>
    <row r="12" spans="1:14" ht="14" thickBot="1">
      <c r="A12" s="33" t="s">
        <v>82</v>
      </c>
      <c r="B12" s="1092">
        <v>0</v>
      </c>
      <c r="C12" s="1092">
        <v>0</v>
      </c>
      <c r="D12" s="1092">
        <v>0</v>
      </c>
      <c r="E12" s="1092">
        <v>0</v>
      </c>
      <c r="F12" s="1092">
        <v>0</v>
      </c>
      <c r="G12" s="1092">
        <v>0</v>
      </c>
      <c r="H12" s="1092">
        <v>0</v>
      </c>
      <c r="I12" s="1092">
        <v>0</v>
      </c>
      <c r="J12" s="1092">
        <v>0</v>
      </c>
      <c r="K12" s="1092">
        <v>1</v>
      </c>
      <c r="L12" s="1092">
        <v>0</v>
      </c>
      <c r="M12" s="1092">
        <v>2</v>
      </c>
      <c r="N12" s="27">
        <f>SUM(B12:M12)</f>
        <v>3</v>
      </c>
    </row>
    <row r="13" spans="1:14" ht="14" thickBot="1">
      <c r="A13" s="53" t="s">
        <v>60</v>
      </c>
      <c r="B13" s="55">
        <f>SUM(B6:B12)</f>
        <v>5</v>
      </c>
      <c r="C13" s="55">
        <f>SUM(C6:C12)</f>
        <v>0</v>
      </c>
      <c r="D13" s="55">
        <f t="shared" ref="D13:M13" si="1">SUM(D6:D12)</f>
        <v>17</v>
      </c>
      <c r="E13" s="55">
        <f t="shared" si="1"/>
        <v>33</v>
      </c>
      <c r="F13" s="55">
        <f t="shared" si="1"/>
        <v>15</v>
      </c>
      <c r="G13" s="55">
        <f t="shared" si="1"/>
        <v>9</v>
      </c>
      <c r="H13" s="55">
        <f t="shared" si="1"/>
        <v>20</v>
      </c>
      <c r="I13" s="55">
        <f t="shared" si="1"/>
        <v>15</v>
      </c>
      <c r="J13" s="55">
        <f t="shared" si="1"/>
        <v>14</v>
      </c>
      <c r="K13" s="55">
        <f t="shared" si="1"/>
        <v>43</v>
      </c>
      <c r="L13" s="55">
        <f t="shared" si="1"/>
        <v>12</v>
      </c>
      <c r="M13" s="55">
        <f t="shared" si="1"/>
        <v>18</v>
      </c>
      <c r="N13" s="54">
        <f>SUM(N6:N12)</f>
        <v>201</v>
      </c>
    </row>
    <row r="14" spans="1:14" ht="14" thickBot="1">
      <c r="A14" s="38" t="s">
        <v>49</v>
      </c>
      <c r="B14" s="39"/>
      <c r="C14" s="39"/>
      <c r="D14" s="39"/>
      <c r="E14" s="39"/>
      <c r="F14" s="39"/>
      <c r="G14" s="39"/>
      <c r="H14" s="39"/>
      <c r="I14" s="39"/>
      <c r="J14" s="39"/>
      <c r="K14" s="39"/>
      <c r="L14" s="39"/>
      <c r="M14" s="39"/>
      <c r="N14" s="40"/>
    </row>
    <row r="15" spans="1:14" ht="14" thickBot="1">
      <c r="A15" s="33" t="s">
        <v>49</v>
      </c>
      <c r="B15" s="1092">
        <v>0</v>
      </c>
      <c r="C15" s="1092">
        <v>0</v>
      </c>
      <c r="D15" s="1092">
        <v>0</v>
      </c>
      <c r="E15" s="1092">
        <v>0</v>
      </c>
      <c r="F15" s="1092">
        <v>0</v>
      </c>
      <c r="G15" s="1092">
        <v>0</v>
      </c>
      <c r="H15" s="1092">
        <v>0</v>
      </c>
      <c r="I15" s="1092">
        <v>0</v>
      </c>
      <c r="J15" s="1092">
        <v>0</v>
      </c>
      <c r="K15" s="1092">
        <v>0</v>
      </c>
      <c r="L15" s="1092">
        <v>0</v>
      </c>
      <c r="M15" s="1092">
        <v>28</v>
      </c>
      <c r="N15" s="27">
        <f>SUM(B15:M15)</f>
        <v>28</v>
      </c>
    </row>
    <row r="16" spans="1:14" ht="14" thickBot="1">
      <c r="A16" s="53" t="s">
        <v>60</v>
      </c>
      <c r="B16" s="55">
        <f>SUM(B15)</f>
        <v>0</v>
      </c>
      <c r="C16" s="55">
        <f t="shared" ref="C16:M16" si="2">SUM(C15)</f>
        <v>0</v>
      </c>
      <c r="D16" s="55">
        <f t="shared" si="2"/>
        <v>0</v>
      </c>
      <c r="E16" s="55">
        <f t="shared" si="2"/>
        <v>0</v>
      </c>
      <c r="F16" s="55">
        <f t="shared" si="2"/>
        <v>0</v>
      </c>
      <c r="G16" s="55">
        <f t="shared" si="2"/>
        <v>0</v>
      </c>
      <c r="H16" s="55">
        <f t="shared" si="2"/>
        <v>0</v>
      </c>
      <c r="I16" s="55">
        <f t="shared" si="2"/>
        <v>0</v>
      </c>
      <c r="J16" s="55">
        <f t="shared" si="2"/>
        <v>0</v>
      </c>
      <c r="K16" s="55">
        <f t="shared" si="2"/>
        <v>0</v>
      </c>
      <c r="L16" s="55">
        <f t="shared" si="2"/>
        <v>0</v>
      </c>
      <c r="M16" s="55">
        <f t="shared" si="2"/>
        <v>28</v>
      </c>
      <c r="N16" s="54">
        <f>SUM(N15)</f>
        <v>28</v>
      </c>
    </row>
    <row r="17" spans="1:14" ht="14" thickBot="1">
      <c r="A17" s="38" t="s">
        <v>50</v>
      </c>
      <c r="B17" s="39"/>
      <c r="C17" s="39"/>
      <c r="D17" s="39"/>
      <c r="E17" s="39"/>
      <c r="F17" s="39"/>
      <c r="G17" s="39"/>
      <c r="H17" s="39"/>
      <c r="I17" s="39"/>
      <c r="J17" s="39"/>
      <c r="K17" s="39"/>
      <c r="L17" s="39"/>
      <c r="M17" s="39"/>
      <c r="N17" s="40"/>
    </row>
    <row r="18" spans="1:14">
      <c r="A18" s="34" t="s">
        <v>26</v>
      </c>
      <c r="B18" s="1092">
        <v>0</v>
      </c>
      <c r="C18" s="1092">
        <v>0</v>
      </c>
      <c r="D18" s="1092">
        <v>0</v>
      </c>
      <c r="E18" s="1092">
        <v>0</v>
      </c>
      <c r="F18" s="1092">
        <v>0</v>
      </c>
      <c r="G18" s="1092">
        <v>0</v>
      </c>
      <c r="H18" s="1092">
        <v>0</v>
      </c>
      <c r="I18" s="1092">
        <v>0</v>
      </c>
      <c r="J18" s="1092">
        <v>0</v>
      </c>
      <c r="K18" s="1092">
        <v>0</v>
      </c>
      <c r="L18" s="1092">
        <v>0</v>
      </c>
      <c r="M18" s="1092">
        <v>0</v>
      </c>
      <c r="N18" s="27">
        <f t="shared" si="0"/>
        <v>0</v>
      </c>
    </row>
    <row r="19" spans="1:14">
      <c r="A19" s="34" t="s">
        <v>25</v>
      </c>
      <c r="B19" s="1092">
        <v>0</v>
      </c>
      <c r="C19" s="1092">
        <v>0</v>
      </c>
      <c r="D19" s="1092">
        <v>0</v>
      </c>
      <c r="E19" s="1092">
        <v>0</v>
      </c>
      <c r="F19" s="1092">
        <v>0</v>
      </c>
      <c r="G19" s="1092">
        <v>0</v>
      </c>
      <c r="H19" s="1092">
        <v>0</v>
      </c>
      <c r="I19" s="1092">
        <v>0</v>
      </c>
      <c r="J19" s="1092">
        <v>0</v>
      </c>
      <c r="K19" s="1092">
        <v>0</v>
      </c>
      <c r="L19" s="1092">
        <v>0</v>
      </c>
      <c r="M19" s="1092">
        <v>0</v>
      </c>
      <c r="N19" s="27">
        <f t="shared" si="0"/>
        <v>0</v>
      </c>
    </row>
    <row r="20" spans="1:14">
      <c r="A20" s="32" t="s">
        <v>29</v>
      </c>
      <c r="B20" s="1092">
        <v>0</v>
      </c>
      <c r="C20" s="1092">
        <v>0</v>
      </c>
      <c r="D20" s="1092">
        <v>0</v>
      </c>
      <c r="E20" s="1092">
        <v>0</v>
      </c>
      <c r="F20" s="1092">
        <v>0</v>
      </c>
      <c r="G20" s="1092">
        <v>0</v>
      </c>
      <c r="H20" s="1092">
        <v>158</v>
      </c>
      <c r="I20" s="1092">
        <v>0</v>
      </c>
      <c r="J20" s="1092">
        <v>0</v>
      </c>
      <c r="K20" s="1092">
        <v>0</v>
      </c>
      <c r="L20" s="1092">
        <v>0</v>
      </c>
      <c r="M20" s="1092">
        <v>0</v>
      </c>
      <c r="N20" s="27">
        <f>SUM(B20:M20)</f>
        <v>158</v>
      </c>
    </row>
    <row r="21" spans="1:14">
      <c r="A21" s="32" t="s">
        <v>51</v>
      </c>
      <c r="B21" s="1092">
        <v>0</v>
      </c>
      <c r="C21" s="1092">
        <v>0</v>
      </c>
      <c r="D21" s="1092">
        <v>0</v>
      </c>
      <c r="E21" s="1092">
        <v>0</v>
      </c>
      <c r="F21" s="1092">
        <v>0</v>
      </c>
      <c r="G21" s="1092">
        <v>0</v>
      </c>
      <c r="H21" s="1092">
        <v>20</v>
      </c>
      <c r="I21" s="1092">
        <v>70</v>
      </c>
      <c r="J21" s="1092">
        <v>0</v>
      </c>
      <c r="K21" s="1092">
        <v>0</v>
      </c>
      <c r="L21" s="1092">
        <v>0</v>
      </c>
      <c r="M21" s="1092">
        <v>0</v>
      </c>
      <c r="N21" s="27">
        <f t="shared" si="0"/>
        <v>90</v>
      </c>
    </row>
    <row r="22" spans="1:14">
      <c r="A22" s="34" t="s">
        <v>20</v>
      </c>
      <c r="B22" s="1092">
        <v>0</v>
      </c>
      <c r="C22" s="1092">
        <v>0</v>
      </c>
      <c r="D22" s="1092">
        <v>0</v>
      </c>
      <c r="E22" s="1092">
        <v>0</v>
      </c>
      <c r="F22" s="1092">
        <v>0</v>
      </c>
      <c r="G22" s="1092">
        <v>0</v>
      </c>
      <c r="H22" s="1092">
        <v>0</v>
      </c>
      <c r="I22" s="1092">
        <v>0</v>
      </c>
      <c r="J22" s="1092">
        <v>0</v>
      </c>
      <c r="K22" s="1092">
        <v>0</v>
      </c>
      <c r="L22" s="1092">
        <v>0</v>
      </c>
      <c r="M22" s="1092">
        <v>0</v>
      </c>
      <c r="N22" s="27">
        <f t="shared" si="0"/>
        <v>0</v>
      </c>
    </row>
    <row r="23" spans="1:14">
      <c r="A23" s="34" t="s">
        <v>204</v>
      </c>
      <c r="B23" s="1092">
        <v>0</v>
      </c>
      <c r="C23" s="1092">
        <v>0</v>
      </c>
      <c r="D23" s="1092">
        <v>0</v>
      </c>
      <c r="E23" s="1092">
        <v>0</v>
      </c>
      <c r="F23" s="1092">
        <v>0</v>
      </c>
      <c r="G23" s="1092">
        <v>0</v>
      </c>
      <c r="H23" s="1092">
        <v>0</v>
      </c>
      <c r="I23" s="1092">
        <v>0</v>
      </c>
      <c r="J23" s="1092">
        <v>0</v>
      </c>
      <c r="K23" s="1092">
        <v>0</v>
      </c>
      <c r="L23" s="1092">
        <v>0</v>
      </c>
      <c r="M23" s="1092">
        <v>0</v>
      </c>
      <c r="N23" s="27">
        <f t="shared" si="0"/>
        <v>0</v>
      </c>
    </row>
    <row r="24" spans="1:14">
      <c r="A24" s="35" t="s">
        <v>47</v>
      </c>
      <c r="B24" s="1092">
        <v>0</v>
      </c>
      <c r="C24" s="1092">
        <v>0</v>
      </c>
      <c r="D24" s="1092">
        <v>0</v>
      </c>
      <c r="E24" s="1092">
        <v>0</v>
      </c>
      <c r="F24" s="1092">
        <v>0</v>
      </c>
      <c r="G24" s="1092">
        <v>0</v>
      </c>
      <c r="H24" s="1092">
        <v>0</v>
      </c>
      <c r="I24" s="1092">
        <v>0</v>
      </c>
      <c r="J24" s="1092">
        <v>0</v>
      </c>
      <c r="K24" s="1092">
        <v>0</v>
      </c>
      <c r="L24" s="1092">
        <v>0</v>
      </c>
      <c r="M24" s="1092">
        <v>0</v>
      </c>
      <c r="N24" s="27">
        <f t="shared" si="0"/>
        <v>0</v>
      </c>
    </row>
    <row r="25" spans="1:14">
      <c r="A25" s="33" t="s">
        <v>52</v>
      </c>
      <c r="B25" s="1092">
        <v>0</v>
      </c>
      <c r="C25" s="1092">
        <v>0</v>
      </c>
      <c r="D25" s="1092">
        <v>0</v>
      </c>
      <c r="E25" s="1092">
        <v>0</v>
      </c>
      <c r="F25" s="1092">
        <v>0</v>
      </c>
      <c r="G25" s="1092">
        <v>0</v>
      </c>
      <c r="H25" s="1092">
        <v>0</v>
      </c>
      <c r="I25" s="1092">
        <v>0</v>
      </c>
      <c r="J25" s="1092">
        <v>0</v>
      </c>
      <c r="K25" s="1092">
        <v>0</v>
      </c>
      <c r="L25" s="1092">
        <v>0</v>
      </c>
      <c r="M25" s="1092">
        <v>0</v>
      </c>
      <c r="N25" s="27">
        <f t="shared" si="0"/>
        <v>0</v>
      </c>
    </row>
    <row r="26" spans="1:14">
      <c r="A26" s="33" t="s">
        <v>83</v>
      </c>
      <c r="B26" s="1092">
        <v>0</v>
      </c>
      <c r="C26" s="1092">
        <v>0</v>
      </c>
      <c r="D26" s="1092">
        <v>0</v>
      </c>
      <c r="E26" s="1092">
        <v>0</v>
      </c>
      <c r="F26" s="1092">
        <v>0</v>
      </c>
      <c r="G26" s="1092">
        <v>2</v>
      </c>
      <c r="H26" s="1092">
        <v>0</v>
      </c>
      <c r="I26" s="1092">
        <v>0</v>
      </c>
      <c r="J26" s="1092">
        <v>0</v>
      </c>
      <c r="K26" s="1092">
        <v>0</v>
      </c>
      <c r="L26" s="1092">
        <v>0</v>
      </c>
      <c r="M26" s="1092">
        <v>0</v>
      </c>
      <c r="N26" s="27">
        <f t="shared" si="0"/>
        <v>2</v>
      </c>
    </row>
    <row r="27" spans="1:14" ht="14" thickBot="1">
      <c r="A27" s="32" t="s">
        <v>56</v>
      </c>
      <c r="B27" s="1092">
        <v>0</v>
      </c>
      <c r="C27" s="1092">
        <v>0</v>
      </c>
      <c r="D27" s="1092">
        <v>0</v>
      </c>
      <c r="E27" s="1092">
        <v>0</v>
      </c>
      <c r="F27" s="1092">
        <v>0</v>
      </c>
      <c r="G27" s="1092">
        <v>0</v>
      </c>
      <c r="H27" s="1092">
        <v>0</v>
      </c>
      <c r="I27" s="1092">
        <v>0</v>
      </c>
      <c r="J27" s="1092">
        <v>0</v>
      </c>
      <c r="K27" s="1092">
        <v>0</v>
      </c>
      <c r="L27" s="1092">
        <v>0</v>
      </c>
      <c r="M27" s="1092">
        <v>0</v>
      </c>
      <c r="N27" s="27">
        <f>SUM(B27:M27)</f>
        <v>0</v>
      </c>
    </row>
    <row r="28" spans="1:14" ht="14" thickBot="1">
      <c r="A28" s="53" t="s">
        <v>60</v>
      </c>
      <c r="B28" s="55">
        <f>SUM(B18:B27)</f>
        <v>0</v>
      </c>
      <c r="C28" s="55">
        <f t="shared" ref="C28:M28" si="3">SUM(C18:C27)</f>
        <v>0</v>
      </c>
      <c r="D28" s="55">
        <f t="shared" si="3"/>
        <v>0</v>
      </c>
      <c r="E28" s="55">
        <f t="shared" si="3"/>
        <v>0</v>
      </c>
      <c r="F28" s="55">
        <f t="shared" si="3"/>
        <v>0</v>
      </c>
      <c r="G28" s="55">
        <f t="shared" si="3"/>
        <v>2</v>
      </c>
      <c r="H28" s="55">
        <f t="shared" si="3"/>
        <v>178</v>
      </c>
      <c r="I28" s="55">
        <f t="shared" si="3"/>
        <v>70</v>
      </c>
      <c r="J28" s="55">
        <f t="shared" si="3"/>
        <v>0</v>
      </c>
      <c r="K28" s="55">
        <f t="shared" si="3"/>
        <v>0</v>
      </c>
      <c r="L28" s="55">
        <f t="shared" si="3"/>
        <v>0</v>
      </c>
      <c r="M28" s="55">
        <f t="shared" si="3"/>
        <v>0</v>
      </c>
      <c r="N28" s="54">
        <f>SUM(N18:N27)</f>
        <v>250</v>
      </c>
    </row>
    <row r="29" spans="1:14" ht="14" thickBot="1">
      <c r="A29" s="38" t="s">
        <v>54</v>
      </c>
      <c r="B29" s="46"/>
      <c r="C29" s="46"/>
      <c r="D29" s="46"/>
      <c r="E29" s="46"/>
      <c r="F29" s="46"/>
      <c r="G29" s="46"/>
      <c r="H29" s="46"/>
      <c r="I29" s="46"/>
      <c r="J29" s="46"/>
      <c r="K29" s="46"/>
      <c r="L29" s="46"/>
      <c r="M29" s="46"/>
      <c r="N29" s="42"/>
    </row>
    <row r="30" spans="1:14">
      <c r="A30" s="36" t="s">
        <v>29</v>
      </c>
      <c r="B30" s="1099">
        <v>0</v>
      </c>
      <c r="C30" s="1100">
        <v>0</v>
      </c>
      <c r="D30" s="1100">
        <v>0</v>
      </c>
      <c r="E30" s="1100">
        <v>0</v>
      </c>
      <c r="F30" s="1100">
        <v>0</v>
      </c>
      <c r="G30" s="1100">
        <v>0</v>
      </c>
      <c r="H30" s="1100">
        <v>0</v>
      </c>
      <c r="I30" s="1100">
        <v>0</v>
      </c>
      <c r="J30" s="1100">
        <v>0</v>
      </c>
      <c r="K30" s="1093">
        <v>0</v>
      </c>
      <c r="L30" s="1093">
        <v>0</v>
      </c>
      <c r="M30" s="1101">
        <v>0</v>
      </c>
      <c r="N30" s="28">
        <f>SUM(B30:M30)</f>
        <v>0</v>
      </c>
    </row>
    <row r="31" spans="1:14">
      <c r="A31" s="34" t="s">
        <v>51</v>
      </c>
      <c r="B31" s="1102">
        <v>0</v>
      </c>
      <c r="C31" s="1092">
        <v>0</v>
      </c>
      <c r="D31" s="1092">
        <v>0</v>
      </c>
      <c r="E31" s="1092">
        <v>0</v>
      </c>
      <c r="F31" s="1092">
        <v>0</v>
      </c>
      <c r="G31" s="1092">
        <v>0</v>
      </c>
      <c r="H31" s="1092">
        <v>0</v>
      </c>
      <c r="I31" s="1092">
        <v>0</v>
      </c>
      <c r="J31" s="1092">
        <v>0</v>
      </c>
      <c r="K31" s="1092">
        <v>51</v>
      </c>
      <c r="L31" s="1092">
        <v>0</v>
      </c>
      <c r="M31" s="1103">
        <v>0</v>
      </c>
      <c r="N31" s="29">
        <f>SUM(B31:M31)</f>
        <v>51</v>
      </c>
    </row>
    <row r="32" spans="1:14">
      <c r="A32" s="34" t="s">
        <v>15</v>
      </c>
      <c r="B32" s="1102">
        <v>0</v>
      </c>
      <c r="C32" s="1092">
        <v>0</v>
      </c>
      <c r="D32" s="1092">
        <v>0</v>
      </c>
      <c r="E32" s="1092">
        <v>0</v>
      </c>
      <c r="F32" s="1092">
        <v>0</v>
      </c>
      <c r="G32" s="1092">
        <v>0</v>
      </c>
      <c r="H32" s="1092">
        <v>0</v>
      </c>
      <c r="I32" s="1092">
        <v>0</v>
      </c>
      <c r="J32" s="1092">
        <v>0</v>
      </c>
      <c r="K32" s="1092">
        <v>0</v>
      </c>
      <c r="L32" s="1094">
        <v>42</v>
      </c>
      <c r="M32" s="1103">
        <v>0</v>
      </c>
      <c r="N32" s="29">
        <f>SUM(B32:M32)</f>
        <v>42</v>
      </c>
    </row>
    <row r="33" spans="1:14">
      <c r="A33" s="34" t="s">
        <v>30</v>
      </c>
      <c r="B33" s="1102">
        <v>0</v>
      </c>
      <c r="C33" s="1092">
        <v>0</v>
      </c>
      <c r="D33" s="1092">
        <v>0</v>
      </c>
      <c r="E33" s="1092">
        <v>0</v>
      </c>
      <c r="F33" s="1092">
        <v>0</v>
      </c>
      <c r="G33" s="1092">
        <v>0</v>
      </c>
      <c r="H33" s="1092">
        <v>0</v>
      </c>
      <c r="I33" s="1092">
        <v>0</v>
      </c>
      <c r="J33" s="1092">
        <v>0</v>
      </c>
      <c r="K33" s="1092">
        <v>0</v>
      </c>
      <c r="L33" s="1092">
        <v>0</v>
      </c>
      <c r="M33" s="1103">
        <v>0</v>
      </c>
      <c r="N33" s="29">
        <f>SUM(B33:M33)</f>
        <v>0</v>
      </c>
    </row>
    <row r="34" spans="1:14" ht="14" thickBot="1">
      <c r="A34" s="37" t="s">
        <v>55</v>
      </c>
      <c r="B34" s="1105">
        <v>0</v>
      </c>
      <c r="C34" s="1106">
        <v>0</v>
      </c>
      <c r="D34" s="1106">
        <v>0</v>
      </c>
      <c r="E34" s="1106">
        <v>0</v>
      </c>
      <c r="F34" s="1106">
        <v>0</v>
      </c>
      <c r="G34" s="1106">
        <v>0</v>
      </c>
      <c r="H34" s="1106">
        <v>0</v>
      </c>
      <c r="I34" s="1106">
        <v>0</v>
      </c>
      <c r="J34" s="1106">
        <v>0</v>
      </c>
      <c r="K34" s="1097">
        <v>0</v>
      </c>
      <c r="L34" s="1097">
        <v>0</v>
      </c>
      <c r="M34" s="1098">
        <v>0</v>
      </c>
      <c r="N34" s="30">
        <f>SUM(B34:M34)</f>
        <v>0</v>
      </c>
    </row>
    <row r="35" spans="1:14" ht="14" thickBot="1">
      <c r="A35" s="53" t="s">
        <v>60</v>
      </c>
      <c r="B35" s="55">
        <f>SUM(B30:B34)</f>
        <v>0</v>
      </c>
      <c r="C35" s="55">
        <f t="shared" ref="C35:M35" si="4">SUM(C30:C34)</f>
        <v>0</v>
      </c>
      <c r="D35" s="55">
        <f t="shared" si="4"/>
        <v>0</v>
      </c>
      <c r="E35" s="55">
        <f t="shared" si="4"/>
        <v>0</v>
      </c>
      <c r="F35" s="55">
        <f t="shared" si="4"/>
        <v>0</v>
      </c>
      <c r="G35" s="55">
        <f t="shared" si="4"/>
        <v>0</v>
      </c>
      <c r="H35" s="55">
        <f t="shared" si="4"/>
        <v>0</v>
      </c>
      <c r="I35" s="55">
        <f t="shared" si="4"/>
        <v>0</v>
      </c>
      <c r="J35" s="55">
        <f t="shared" si="4"/>
        <v>0</v>
      </c>
      <c r="K35" s="55">
        <f t="shared" si="4"/>
        <v>51</v>
      </c>
      <c r="L35" s="55">
        <f t="shared" si="4"/>
        <v>42</v>
      </c>
      <c r="M35" s="55">
        <f t="shared" si="4"/>
        <v>0</v>
      </c>
      <c r="N35" s="302">
        <f>SUM(N30:N34)</f>
        <v>93</v>
      </c>
    </row>
    <row r="38" spans="1:14" ht="14" thickBot="1">
      <c r="B38" s="43" t="s">
        <v>35</v>
      </c>
      <c r="C38" s="43" t="s">
        <v>36</v>
      </c>
      <c r="D38" s="43" t="s">
        <v>37</v>
      </c>
      <c r="E38" s="43" t="s">
        <v>38</v>
      </c>
      <c r="F38" s="43" t="s">
        <v>39</v>
      </c>
      <c r="G38" s="43" t="s">
        <v>40</v>
      </c>
      <c r="H38" s="43" t="s">
        <v>41</v>
      </c>
      <c r="I38" s="43" t="s">
        <v>42</v>
      </c>
      <c r="J38" s="43" t="s">
        <v>43</v>
      </c>
      <c r="K38" s="43" t="s">
        <v>44</v>
      </c>
      <c r="L38" s="43" t="s">
        <v>45</v>
      </c>
      <c r="M38" s="43" t="s">
        <v>46</v>
      </c>
      <c r="N38" s="43" t="s">
        <v>10</v>
      </c>
    </row>
    <row r="39" spans="1:14" ht="17" thickBot="1">
      <c r="A39" s="31" t="s">
        <v>99</v>
      </c>
      <c r="B39" s="24"/>
      <c r="C39" s="24"/>
      <c r="D39" s="22"/>
      <c r="E39" s="22"/>
      <c r="F39" s="25"/>
      <c r="G39" s="25"/>
      <c r="H39" s="22"/>
      <c r="I39" s="22"/>
      <c r="J39" s="22"/>
      <c r="K39" s="22"/>
      <c r="L39" s="24"/>
      <c r="M39" s="24"/>
      <c r="N39" s="26"/>
    </row>
    <row r="40" spans="1:14" ht="14" thickBot="1">
      <c r="A40" s="38" t="s">
        <v>48</v>
      </c>
      <c r="B40" s="39"/>
      <c r="C40" s="39"/>
      <c r="D40" s="39"/>
      <c r="E40" s="39"/>
      <c r="F40" s="39"/>
      <c r="G40" s="39"/>
      <c r="H40" s="39"/>
      <c r="I40" s="39"/>
      <c r="J40" s="39"/>
      <c r="K40" s="39"/>
      <c r="L40" s="39"/>
      <c r="M40" s="39"/>
      <c r="N40" s="40"/>
    </row>
    <row r="41" spans="1:14">
      <c r="A41" s="32" t="s">
        <v>28</v>
      </c>
      <c r="B41" s="1092">
        <v>0</v>
      </c>
      <c r="C41" s="1092">
        <v>0</v>
      </c>
      <c r="D41" s="1092">
        <v>0</v>
      </c>
      <c r="E41" s="1092">
        <v>0</v>
      </c>
      <c r="F41" s="1092">
        <v>0</v>
      </c>
      <c r="G41" s="1092">
        <v>0</v>
      </c>
      <c r="H41" s="1092">
        <v>0</v>
      </c>
      <c r="I41" s="1092">
        <v>0</v>
      </c>
      <c r="J41" s="1092">
        <v>0</v>
      </c>
      <c r="K41" s="1092">
        <v>0</v>
      </c>
      <c r="L41" s="1092">
        <v>0</v>
      </c>
      <c r="M41" s="1092">
        <v>0</v>
      </c>
      <c r="N41" s="27">
        <f>SUM(B41:M41)</f>
        <v>0</v>
      </c>
    </row>
    <row r="42" spans="1:14">
      <c r="A42" s="32" t="s">
        <v>29</v>
      </c>
      <c r="B42" s="1092">
        <v>0</v>
      </c>
      <c r="C42" s="1092">
        <v>0</v>
      </c>
      <c r="D42" s="1092">
        <v>0</v>
      </c>
      <c r="E42" s="1092">
        <v>3</v>
      </c>
      <c r="F42" s="1092">
        <v>1</v>
      </c>
      <c r="G42" s="1092">
        <v>7</v>
      </c>
      <c r="H42" s="1092">
        <v>0</v>
      </c>
      <c r="I42" s="1092">
        <v>2</v>
      </c>
      <c r="J42" s="1092">
        <v>144</v>
      </c>
      <c r="K42" s="1092">
        <v>0</v>
      </c>
      <c r="L42" s="1092">
        <v>3</v>
      </c>
      <c r="M42" s="1092">
        <v>18</v>
      </c>
      <c r="N42" s="27">
        <f>SUM(B42:M42)</f>
        <v>178</v>
      </c>
    </row>
    <row r="43" spans="1:14">
      <c r="A43" s="32" t="s">
        <v>33</v>
      </c>
      <c r="B43" s="1092">
        <v>0</v>
      </c>
      <c r="C43" s="1092">
        <v>0</v>
      </c>
      <c r="D43" s="1092">
        <v>2</v>
      </c>
      <c r="E43" s="1092">
        <v>15</v>
      </c>
      <c r="F43" s="1092">
        <v>8</v>
      </c>
      <c r="G43" s="1092">
        <v>13</v>
      </c>
      <c r="H43" s="1092">
        <v>3</v>
      </c>
      <c r="I43" s="1092">
        <v>5</v>
      </c>
      <c r="J43" s="1092">
        <v>12</v>
      </c>
      <c r="K43" s="1092">
        <v>1</v>
      </c>
      <c r="L43" s="1092">
        <v>17</v>
      </c>
      <c r="M43" s="1092">
        <v>11</v>
      </c>
      <c r="N43" s="27">
        <f>SUM(B43:M43)</f>
        <v>87</v>
      </c>
    </row>
    <row r="44" spans="1:14">
      <c r="A44" s="32" t="s">
        <v>56</v>
      </c>
      <c r="B44" s="1092">
        <v>0</v>
      </c>
      <c r="C44" s="1092">
        <v>0</v>
      </c>
      <c r="D44" s="1092">
        <v>0</v>
      </c>
      <c r="E44" s="1092">
        <v>20</v>
      </c>
      <c r="F44" s="1092">
        <v>0</v>
      </c>
      <c r="G44" s="1092">
        <v>20</v>
      </c>
      <c r="H44" s="1092">
        <v>0</v>
      </c>
      <c r="I44" s="1092">
        <v>0</v>
      </c>
      <c r="J44" s="1092">
        <v>0</v>
      </c>
      <c r="K44" s="1092">
        <v>0</v>
      </c>
      <c r="L44" s="1092">
        <v>0</v>
      </c>
      <c r="M44" s="1092">
        <v>0</v>
      </c>
      <c r="N44" s="27">
        <f>SUM(B44:M44)</f>
        <v>40</v>
      </c>
    </row>
    <row r="45" spans="1:14">
      <c r="A45" s="32" t="s">
        <v>52</v>
      </c>
      <c r="B45" s="1092">
        <v>0</v>
      </c>
      <c r="C45" s="1092">
        <v>0</v>
      </c>
      <c r="D45" s="1092">
        <v>0</v>
      </c>
      <c r="E45" s="1092">
        <v>0</v>
      </c>
      <c r="F45" s="1092">
        <v>0</v>
      </c>
      <c r="G45" s="1092">
        <v>0</v>
      </c>
      <c r="H45" s="1092">
        <v>0</v>
      </c>
      <c r="I45" s="1092">
        <v>0</v>
      </c>
      <c r="J45" s="1092">
        <v>0</v>
      </c>
      <c r="K45" s="1092">
        <v>1</v>
      </c>
      <c r="L45" s="1092">
        <v>0</v>
      </c>
      <c r="M45" s="1092">
        <v>0</v>
      </c>
      <c r="N45" s="27">
        <f>SUM(B45:M45)</f>
        <v>1</v>
      </c>
    </row>
    <row r="46" spans="1:14">
      <c r="A46" s="33" t="s">
        <v>105</v>
      </c>
      <c r="B46" s="1092">
        <v>0</v>
      </c>
      <c r="C46" s="1092">
        <v>0</v>
      </c>
      <c r="D46" s="1092">
        <v>0</v>
      </c>
      <c r="E46" s="1092">
        <v>0</v>
      </c>
      <c r="F46" s="1092">
        <v>0</v>
      </c>
      <c r="G46" s="1092">
        <v>0</v>
      </c>
      <c r="H46" s="1092">
        <v>0</v>
      </c>
      <c r="I46" s="1092">
        <v>0</v>
      </c>
      <c r="J46" s="1092">
        <v>0</v>
      </c>
      <c r="K46" s="1092">
        <v>0</v>
      </c>
      <c r="L46" s="1092">
        <v>0</v>
      </c>
      <c r="M46" s="1092">
        <v>0</v>
      </c>
      <c r="N46" s="27">
        <v>4</v>
      </c>
    </row>
    <row r="47" spans="1:14" ht="14" thickBot="1">
      <c r="A47" s="76" t="s">
        <v>124</v>
      </c>
      <c r="B47" s="1092">
        <v>0</v>
      </c>
      <c r="C47" s="1092">
        <v>0</v>
      </c>
      <c r="D47" s="1092">
        <v>0</v>
      </c>
      <c r="E47" s="1092">
        <v>0</v>
      </c>
      <c r="F47" s="1092">
        <v>0</v>
      </c>
      <c r="G47" s="1092">
        <v>0</v>
      </c>
      <c r="H47" s="1092">
        <v>0</v>
      </c>
      <c r="I47" s="1092">
        <v>0</v>
      </c>
      <c r="J47" s="1092">
        <v>0</v>
      </c>
      <c r="K47" s="1092">
        <v>0</v>
      </c>
      <c r="L47" s="1092">
        <v>0</v>
      </c>
      <c r="M47" s="1092">
        <v>0</v>
      </c>
      <c r="N47" s="27">
        <v>8</v>
      </c>
    </row>
    <row r="48" spans="1:14" ht="14" thickBot="1">
      <c r="A48" s="53" t="s">
        <v>60</v>
      </c>
      <c r="B48" s="55">
        <f>SUM(B41:B47)</f>
        <v>0</v>
      </c>
      <c r="C48" s="55">
        <f t="shared" ref="C48:M48" si="5">SUM(C41:C47)</f>
        <v>0</v>
      </c>
      <c r="D48" s="55">
        <f t="shared" si="5"/>
        <v>2</v>
      </c>
      <c r="E48" s="55">
        <f t="shared" si="5"/>
        <v>38</v>
      </c>
      <c r="F48" s="55">
        <f t="shared" si="5"/>
        <v>9</v>
      </c>
      <c r="G48" s="55">
        <f t="shared" si="5"/>
        <v>40</v>
      </c>
      <c r="H48" s="55">
        <f t="shared" si="5"/>
        <v>3</v>
      </c>
      <c r="I48" s="55">
        <f t="shared" si="5"/>
        <v>7</v>
      </c>
      <c r="J48" s="55">
        <f t="shared" si="5"/>
        <v>156</v>
      </c>
      <c r="K48" s="55">
        <f t="shared" si="5"/>
        <v>2</v>
      </c>
      <c r="L48" s="55">
        <f t="shared" si="5"/>
        <v>20</v>
      </c>
      <c r="M48" s="55">
        <f t="shared" si="5"/>
        <v>29</v>
      </c>
      <c r="N48" s="54">
        <f>SUM(N41:N47)</f>
        <v>318</v>
      </c>
    </row>
    <row r="49" spans="1:14" ht="14" thickBot="1">
      <c r="A49" s="38" t="s">
        <v>49</v>
      </c>
      <c r="B49" s="39"/>
      <c r="C49" s="39"/>
      <c r="D49" s="39"/>
      <c r="E49" s="39"/>
      <c r="F49" s="39"/>
      <c r="G49" s="39"/>
      <c r="H49" s="39"/>
      <c r="I49" s="39"/>
      <c r="J49" s="39"/>
      <c r="K49" s="39"/>
      <c r="L49" s="39"/>
      <c r="M49" s="39"/>
      <c r="N49" s="40"/>
    </row>
    <row r="50" spans="1:14" ht="14" thickBot="1">
      <c r="A50" s="33" t="s">
        <v>49</v>
      </c>
      <c r="B50" s="1092">
        <v>0</v>
      </c>
      <c r="C50" s="1092">
        <v>0</v>
      </c>
      <c r="D50" s="1092">
        <v>224</v>
      </c>
      <c r="E50" s="1092">
        <v>0</v>
      </c>
      <c r="F50" s="1092">
        <v>11</v>
      </c>
      <c r="G50" s="1092">
        <v>0</v>
      </c>
      <c r="H50" s="1092">
        <v>0</v>
      </c>
      <c r="I50" s="1092">
        <v>0</v>
      </c>
      <c r="J50" s="1092">
        <v>0</v>
      </c>
      <c r="K50" s="1092">
        <v>0</v>
      </c>
      <c r="L50" s="1092">
        <v>0</v>
      </c>
      <c r="M50" s="1092">
        <v>0</v>
      </c>
      <c r="N50" s="27">
        <f>SUM(B50:M50)</f>
        <v>235</v>
      </c>
    </row>
    <row r="51" spans="1:14" ht="14" thickBot="1">
      <c r="A51" s="53" t="s">
        <v>60</v>
      </c>
      <c r="B51" s="55">
        <f>SUM(B50)</f>
        <v>0</v>
      </c>
      <c r="C51" s="55">
        <f t="shared" ref="C51:M51" si="6">SUM(C50)</f>
        <v>0</v>
      </c>
      <c r="D51" s="55">
        <f t="shared" si="6"/>
        <v>224</v>
      </c>
      <c r="E51" s="55">
        <f t="shared" si="6"/>
        <v>0</v>
      </c>
      <c r="F51" s="55">
        <f t="shared" si="6"/>
        <v>11</v>
      </c>
      <c r="G51" s="55">
        <f t="shared" si="6"/>
        <v>0</v>
      </c>
      <c r="H51" s="55">
        <f t="shared" si="6"/>
        <v>0</v>
      </c>
      <c r="I51" s="55">
        <f t="shared" si="6"/>
        <v>0</v>
      </c>
      <c r="J51" s="55">
        <f t="shared" si="6"/>
        <v>0</v>
      </c>
      <c r="K51" s="55">
        <f t="shared" si="6"/>
        <v>0</v>
      </c>
      <c r="L51" s="55">
        <f t="shared" si="6"/>
        <v>0</v>
      </c>
      <c r="M51" s="55">
        <f t="shared" si="6"/>
        <v>0</v>
      </c>
      <c r="N51" s="54">
        <f>SUM(N50)</f>
        <v>235</v>
      </c>
    </row>
    <row r="52" spans="1:14" ht="14" thickBot="1">
      <c r="A52" s="38" t="s">
        <v>50</v>
      </c>
      <c r="B52" s="39"/>
      <c r="C52" s="39"/>
      <c r="D52" s="39"/>
      <c r="E52" s="39"/>
      <c r="F52" s="39"/>
      <c r="G52" s="39"/>
      <c r="H52" s="39"/>
      <c r="I52" s="39"/>
      <c r="J52" s="39"/>
      <c r="K52" s="39"/>
      <c r="L52" s="39"/>
      <c r="M52" s="39"/>
      <c r="N52" s="40"/>
    </row>
    <row r="53" spans="1:14">
      <c r="A53" s="34" t="s">
        <v>26</v>
      </c>
      <c r="B53" s="1092">
        <v>0</v>
      </c>
      <c r="C53" s="1092">
        <v>0</v>
      </c>
      <c r="D53" s="1092">
        <v>0</v>
      </c>
      <c r="E53" s="1092">
        <v>0</v>
      </c>
      <c r="F53" s="1092">
        <v>0</v>
      </c>
      <c r="G53" s="1092">
        <v>0</v>
      </c>
      <c r="H53" s="1092">
        <v>0</v>
      </c>
      <c r="I53" s="1092">
        <v>0</v>
      </c>
      <c r="J53" s="1092">
        <v>0</v>
      </c>
      <c r="K53" s="1092">
        <v>0</v>
      </c>
      <c r="L53" s="1092">
        <v>0</v>
      </c>
      <c r="M53" s="1092">
        <v>0</v>
      </c>
      <c r="N53" s="27">
        <f>SUM(B53:M53)</f>
        <v>0</v>
      </c>
    </row>
    <row r="54" spans="1:14">
      <c r="A54" s="34" t="s">
        <v>25</v>
      </c>
      <c r="B54" s="1092">
        <v>0</v>
      </c>
      <c r="C54" s="1092">
        <v>0</v>
      </c>
      <c r="D54" s="1092">
        <v>0</v>
      </c>
      <c r="E54" s="1092">
        <v>0</v>
      </c>
      <c r="F54" s="1092">
        <v>0</v>
      </c>
      <c r="G54" s="1092">
        <v>0</v>
      </c>
      <c r="H54" s="1092">
        <v>0</v>
      </c>
      <c r="I54" s="1092">
        <v>0</v>
      </c>
      <c r="J54" s="1092">
        <v>0</v>
      </c>
      <c r="K54" s="1092">
        <v>0</v>
      </c>
      <c r="L54" s="1092">
        <v>0</v>
      </c>
      <c r="M54" s="1092">
        <v>0</v>
      </c>
      <c r="N54" s="27">
        <f>SUM(B54:M54)</f>
        <v>0</v>
      </c>
    </row>
    <row r="55" spans="1:14">
      <c r="A55" s="32" t="s">
        <v>29</v>
      </c>
      <c r="B55" s="1092">
        <v>0</v>
      </c>
      <c r="C55" s="1092">
        <v>0</v>
      </c>
      <c r="D55" s="1092">
        <v>0</v>
      </c>
      <c r="E55" s="1092">
        <v>0</v>
      </c>
      <c r="F55" s="1092">
        <v>12</v>
      </c>
      <c r="G55" s="1092">
        <v>0</v>
      </c>
      <c r="H55" s="1092">
        <v>0</v>
      </c>
      <c r="I55" s="1092">
        <v>14</v>
      </c>
      <c r="J55" s="1092">
        <v>0</v>
      </c>
      <c r="K55" s="1092">
        <v>0</v>
      </c>
      <c r="L55" s="1092">
        <v>0</v>
      </c>
      <c r="M55" s="1092">
        <v>0</v>
      </c>
      <c r="N55" s="27">
        <f>SUM(B55:M55)</f>
        <v>26</v>
      </c>
    </row>
    <row r="56" spans="1:14">
      <c r="A56" s="32" t="s">
        <v>51</v>
      </c>
      <c r="B56" s="1092">
        <v>0</v>
      </c>
      <c r="C56" s="1092">
        <v>4</v>
      </c>
      <c r="D56" s="1092">
        <v>0</v>
      </c>
      <c r="E56" s="1092">
        <v>0</v>
      </c>
      <c r="F56" s="1092">
        <v>0</v>
      </c>
      <c r="G56" s="1092">
        <v>5</v>
      </c>
      <c r="H56" s="1092">
        <v>2</v>
      </c>
      <c r="I56" s="1092">
        <v>0</v>
      </c>
      <c r="J56" s="1092">
        <v>7</v>
      </c>
      <c r="K56" s="1092">
        <v>0</v>
      </c>
      <c r="L56" s="1092">
        <v>0</v>
      </c>
      <c r="M56" s="1092">
        <v>11</v>
      </c>
      <c r="N56" s="27">
        <f t="shared" ref="N56:N61" si="7">SUM(B56:M56)</f>
        <v>29</v>
      </c>
    </row>
    <row r="57" spans="1:14">
      <c r="A57" s="34" t="s">
        <v>20</v>
      </c>
      <c r="B57" s="1092">
        <v>0</v>
      </c>
      <c r="C57" s="1092">
        <v>0</v>
      </c>
      <c r="D57" s="1092">
        <v>0</v>
      </c>
      <c r="E57" s="1092">
        <v>0</v>
      </c>
      <c r="F57" s="1092">
        <v>0</v>
      </c>
      <c r="G57" s="1092">
        <v>0</v>
      </c>
      <c r="H57" s="1092">
        <v>0</v>
      </c>
      <c r="I57" s="1092">
        <v>0</v>
      </c>
      <c r="J57" s="1092">
        <v>0</v>
      </c>
      <c r="K57" s="1092">
        <v>0</v>
      </c>
      <c r="L57" s="1092">
        <v>0</v>
      </c>
      <c r="M57" s="1092">
        <v>0</v>
      </c>
      <c r="N57" s="27">
        <f t="shared" si="7"/>
        <v>0</v>
      </c>
    </row>
    <row r="58" spans="1:14">
      <c r="A58" s="34" t="s">
        <v>13</v>
      </c>
      <c r="B58" s="1092">
        <v>0</v>
      </c>
      <c r="C58" s="1092">
        <v>0</v>
      </c>
      <c r="D58" s="1092">
        <v>1</v>
      </c>
      <c r="E58" s="1092">
        <v>0</v>
      </c>
      <c r="F58" s="1092">
        <v>0</v>
      </c>
      <c r="G58" s="1092">
        <v>0</v>
      </c>
      <c r="H58" s="1092">
        <v>0</v>
      </c>
      <c r="I58" s="1092">
        <v>0</v>
      </c>
      <c r="J58" s="1092">
        <v>0</v>
      </c>
      <c r="K58" s="1092">
        <v>1</v>
      </c>
      <c r="L58" s="1092">
        <v>1</v>
      </c>
      <c r="M58" s="1092">
        <v>0</v>
      </c>
      <c r="N58" s="27">
        <f t="shared" si="7"/>
        <v>3</v>
      </c>
    </row>
    <row r="59" spans="1:14">
      <c r="A59" s="35" t="s">
        <v>47</v>
      </c>
      <c r="B59" s="1092">
        <v>0</v>
      </c>
      <c r="C59" s="1092">
        <v>0</v>
      </c>
      <c r="D59" s="1092">
        <v>0</v>
      </c>
      <c r="E59" s="1092">
        <v>0</v>
      </c>
      <c r="F59" s="1092">
        <v>0</v>
      </c>
      <c r="G59" s="1092">
        <v>0</v>
      </c>
      <c r="H59" s="1092">
        <v>0</v>
      </c>
      <c r="I59" s="1092">
        <v>0</v>
      </c>
      <c r="J59" s="1092">
        <v>0</v>
      </c>
      <c r="K59" s="1092">
        <v>0</v>
      </c>
      <c r="L59" s="1092">
        <v>0</v>
      </c>
      <c r="M59" s="1092">
        <v>0</v>
      </c>
      <c r="N59" s="27">
        <f t="shared" si="7"/>
        <v>0</v>
      </c>
    </row>
    <row r="60" spans="1:14">
      <c r="A60" s="33" t="s">
        <v>52</v>
      </c>
      <c r="B60" s="1092">
        <v>0</v>
      </c>
      <c r="C60" s="1092">
        <v>0</v>
      </c>
      <c r="D60" s="1092">
        <v>0</v>
      </c>
      <c r="E60" s="1092">
        <v>0</v>
      </c>
      <c r="F60" s="1092">
        <v>0</v>
      </c>
      <c r="G60" s="1092">
        <v>0</v>
      </c>
      <c r="H60" s="1092">
        <v>0</v>
      </c>
      <c r="I60" s="1092">
        <v>0</v>
      </c>
      <c r="J60" s="1092">
        <v>0</v>
      </c>
      <c r="K60" s="1092">
        <v>0</v>
      </c>
      <c r="L60" s="1092">
        <v>4</v>
      </c>
      <c r="M60" s="1092">
        <v>4</v>
      </c>
      <c r="N60" s="27">
        <f t="shared" si="7"/>
        <v>8</v>
      </c>
    </row>
    <row r="61" spans="1:14">
      <c r="A61" s="33" t="s">
        <v>53</v>
      </c>
      <c r="B61" s="1092">
        <v>0</v>
      </c>
      <c r="C61" s="1092">
        <v>0</v>
      </c>
      <c r="D61" s="1092">
        <v>0</v>
      </c>
      <c r="E61" s="1092">
        <v>0</v>
      </c>
      <c r="F61" s="1092">
        <v>0</v>
      </c>
      <c r="G61" s="1092">
        <v>0</v>
      </c>
      <c r="H61" s="1092">
        <v>0</v>
      </c>
      <c r="I61" s="1092">
        <v>0</v>
      </c>
      <c r="J61" s="1092">
        <v>0</v>
      </c>
      <c r="K61" s="1092">
        <v>0</v>
      </c>
      <c r="L61" s="1092">
        <v>0</v>
      </c>
      <c r="M61" s="1092">
        <v>0</v>
      </c>
      <c r="N61" s="27">
        <f t="shared" si="7"/>
        <v>0</v>
      </c>
    </row>
    <row r="62" spans="1:14">
      <c r="A62" s="32" t="s">
        <v>56</v>
      </c>
      <c r="B62" s="1092">
        <v>0</v>
      </c>
      <c r="C62" s="1092">
        <v>0</v>
      </c>
      <c r="D62" s="1092">
        <v>0</v>
      </c>
      <c r="E62" s="1092">
        <v>0</v>
      </c>
      <c r="F62" s="1092">
        <v>0</v>
      </c>
      <c r="G62" s="1092">
        <v>0</v>
      </c>
      <c r="H62" s="1092">
        <v>0</v>
      </c>
      <c r="I62" s="1092">
        <v>0</v>
      </c>
      <c r="J62" s="1092">
        <v>0</v>
      </c>
      <c r="K62" s="1092">
        <v>0</v>
      </c>
      <c r="L62" s="1092">
        <v>0</v>
      </c>
      <c r="M62" s="1092">
        <v>0</v>
      </c>
      <c r="N62" s="27">
        <f>SUM(B62:M62)</f>
        <v>0</v>
      </c>
    </row>
    <row r="63" spans="1:14">
      <c r="A63" s="78" t="s">
        <v>122</v>
      </c>
      <c r="B63" s="1092">
        <v>0</v>
      </c>
      <c r="C63" s="1092">
        <v>0</v>
      </c>
      <c r="D63" s="1092">
        <v>0</v>
      </c>
      <c r="E63" s="1092">
        <v>0</v>
      </c>
      <c r="F63" s="1092">
        <v>0</v>
      </c>
      <c r="G63" s="1092">
        <v>0</v>
      </c>
      <c r="H63" s="1092">
        <v>0</v>
      </c>
      <c r="I63" s="1092">
        <v>0</v>
      </c>
      <c r="J63" s="1092">
        <v>0</v>
      </c>
      <c r="K63" s="1092">
        <v>0</v>
      </c>
      <c r="L63" s="1092">
        <v>0</v>
      </c>
      <c r="M63" s="1092">
        <v>0</v>
      </c>
      <c r="N63" s="27">
        <f>SUM(B63:M63)</f>
        <v>0</v>
      </c>
    </row>
    <row r="64" spans="1:14" ht="14" thickBot="1">
      <c r="A64" s="32" t="s">
        <v>102</v>
      </c>
      <c r="B64" s="1092">
        <v>0</v>
      </c>
      <c r="C64" s="1092">
        <v>0</v>
      </c>
      <c r="D64" s="1092">
        <v>15</v>
      </c>
      <c r="E64" s="1092">
        <v>0</v>
      </c>
      <c r="F64" s="1092">
        <v>0</v>
      </c>
      <c r="G64" s="1092">
        <v>0</v>
      </c>
      <c r="H64" s="1092">
        <v>0</v>
      </c>
      <c r="I64" s="1092">
        <v>0</v>
      </c>
      <c r="J64" s="1092">
        <v>0</v>
      </c>
      <c r="K64" s="1092">
        <v>0</v>
      </c>
      <c r="L64" s="1092">
        <v>0</v>
      </c>
      <c r="M64" s="1092">
        <v>0</v>
      </c>
      <c r="N64" s="27">
        <f>SUM(B64:M64)</f>
        <v>15</v>
      </c>
    </row>
    <row r="65" spans="1:14" ht="14" thickBot="1">
      <c r="A65" s="53" t="s">
        <v>60</v>
      </c>
      <c r="B65" s="55">
        <f>SUM(B53:B64)</f>
        <v>0</v>
      </c>
      <c r="C65" s="55">
        <f t="shared" ref="C65:M65" si="8">SUM(C53:C64)</f>
        <v>4</v>
      </c>
      <c r="D65" s="55">
        <f t="shared" si="8"/>
        <v>16</v>
      </c>
      <c r="E65" s="55">
        <f t="shared" si="8"/>
        <v>0</v>
      </c>
      <c r="F65" s="55">
        <f t="shared" si="8"/>
        <v>12</v>
      </c>
      <c r="G65" s="55">
        <f t="shared" si="8"/>
        <v>5</v>
      </c>
      <c r="H65" s="55">
        <f t="shared" si="8"/>
        <v>2</v>
      </c>
      <c r="I65" s="55">
        <f t="shared" si="8"/>
        <v>14</v>
      </c>
      <c r="J65" s="55">
        <f t="shared" si="8"/>
        <v>7</v>
      </c>
      <c r="K65" s="55">
        <f t="shared" si="8"/>
        <v>1</v>
      </c>
      <c r="L65" s="55">
        <f t="shared" si="8"/>
        <v>5</v>
      </c>
      <c r="M65" s="55">
        <f t="shared" si="8"/>
        <v>15</v>
      </c>
      <c r="N65" s="54">
        <f>SUM(N53:N64)</f>
        <v>81</v>
      </c>
    </row>
    <row r="66" spans="1:14" ht="14" thickBot="1">
      <c r="A66" s="38" t="s">
        <v>54</v>
      </c>
      <c r="B66" s="46"/>
      <c r="C66" s="46"/>
      <c r="D66" s="46"/>
      <c r="E66" s="46"/>
      <c r="F66" s="46"/>
      <c r="G66" s="46"/>
      <c r="H66" s="46"/>
      <c r="I66" s="46"/>
      <c r="J66" s="46"/>
      <c r="K66" s="46"/>
      <c r="L66" s="46"/>
      <c r="M66" s="46"/>
      <c r="N66" s="42"/>
    </row>
    <row r="67" spans="1:14">
      <c r="A67" s="36" t="s">
        <v>29</v>
      </c>
      <c r="B67" s="1099">
        <v>0</v>
      </c>
      <c r="C67" s="1100">
        <v>0</v>
      </c>
      <c r="D67" s="1100">
        <v>0</v>
      </c>
      <c r="E67" s="1100">
        <v>0</v>
      </c>
      <c r="F67" s="1100">
        <v>0</v>
      </c>
      <c r="G67" s="1100">
        <v>0</v>
      </c>
      <c r="H67" s="1100">
        <v>0</v>
      </c>
      <c r="I67" s="1100">
        <v>0</v>
      </c>
      <c r="J67" s="1100">
        <v>0</v>
      </c>
      <c r="K67" s="1093">
        <v>0</v>
      </c>
      <c r="L67" s="1093">
        <v>0</v>
      </c>
      <c r="M67" s="1101">
        <v>0</v>
      </c>
      <c r="N67" s="28">
        <f t="shared" ref="N67:N72" si="9">SUM(B67:M67)</f>
        <v>0</v>
      </c>
    </row>
    <row r="68" spans="1:14">
      <c r="A68" s="34" t="s">
        <v>51</v>
      </c>
      <c r="B68" s="1102">
        <v>0</v>
      </c>
      <c r="C68" s="1092">
        <v>0</v>
      </c>
      <c r="D68" s="1092">
        <v>0</v>
      </c>
      <c r="E68" s="1092">
        <v>0</v>
      </c>
      <c r="F68" s="1092">
        <v>0</v>
      </c>
      <c r="G68" s="1092">
        <v>0</v>
      </c>
      <c r="H68" s="1092">
        <v>0</v>
      </c>
      <c r="I68" s="1092">
        <v>0</v>
      </c>
      <c r="J68" s="1092">
        <v>0</v>
      </c>
      <c r="K68" s="1092">
        <v>0</v>
      </c>
      <c r="L68" s="1092">
        <v>0</v>
      </c>
      <c r="M68" s="1103">
        <v>0</v>
      </c>
      <c r="N68" s="29">
        <f t="shared" si="9"/>
        <v>0</v>
      </c>
    </row>
    <row r="69" spans="1:14">
      <c r="A69" s="34" t="s">
        <v>15</v>
      </c>
      <c r="B69" s="1102">
        <v>0</v>
      </c>
      <c r="C69" s="1092">
        <v>0</v>
      </c>
      <c r="D69" s="1092">
        <v>0</v>
      </c>
      <c r="E69" s="1092">
        <v>0</v>
      </c>
      <c r="F69" s="1092">
        <v>0</v>
      </c>
      <c r="G69" s="1092">
        <v>0</v>
      </c>
      <c r="H69" s="1092">
        <v>0</v>
      </c>
      <c r="I69" s="1092">
        <v>0</v>
      </c>
      <c r="J69" s="1092">
        <v>0</v>
      </c>
      <c r="K69" s="1092">
        <v>0</v>
      </c>
      <c r="L69" s="1094">
        <v>0</v>
      </c>
      <c r="M69" s="1103">
        <v>0</v>
      </c>
      <c r="N69" s="29">
        <f t="shared" si="9"/>
        <v>0</v>
      </c>
    </row>
    <row r="70" spans="1:14">
      <c r="A70" s="34" t="s">
        <v>30</v>
      </c>
      <c r="B70" s="1102">
        <v>0</v>
      </c>
      <c r="C70" s="1092">
        <v>0</v>
      </c>
      <c r="D70" s="1092">
        <v>0</v>
      </c>
      <c r="E70" s="1092">
        <v>0</v>
      </c>
      <c r="F70" s="1092">
        <v>0</v>
      </c>
      <c r="G70" s="1092">
        <v>0</v>
      </c>
      <c r="H70" s="1092">
        <v>0</v>
      </c>
      <c r="I70" s="1092">
        <v>0</v>
      </c>
      <c r="J70" s="1092">
        <v>0</v>
      </c>
      <c r="K70" s="1092">
        <v>0</v>
      </c>
      <c r="L70" s="1092">
        <v>0</v>
      </c>
      <c r="M70" s="1103">
        <v>0</v>
      </c>
      <c r="N70" s="29">
        <f t="shared" si="9"/>
        <v>0</v>
      </c>
    </row>
    <row r="71" spans="1:14">
      <c r="A71" s="34" t="s">
        <v>55</v>
      </c>
      <c r="B71" s="1102">
        <v>0</v>
      </c>
      <c r="C71" s="1092">
        <v>0</v>
      </c>
      <c r="D71" s="1092">
        <v>44</v>
      </c>
      <c r="E71" s="1092">
        <v>0</v>
      </c>
      <c r="F71" s="1092">
        <v>0</v>
      </c>
      <c r="G71" s="1092">
        <v>0</v>
      </c>
      <c r="H71" s="1092">
        <v>0</v>
      </c>
      <c r="I71" s="1092">
        <v>0</v>
      </c>
      <c r="J71" s="1092">
        <v>0</v>
      </c>
      <c r="K71" s="1094">
        <v>0</v>
      </c>
      <c r="L71" s="1094">
        <v>0</v>
      </c>
      <c r="M71" s="1104">
        <v>0</v>
      </c>
      <c r="N71" s="29">
        <f t="shared" si="9"/>
        <v>44</v>
      </c>
    </row>
    <row r="72" spans="1:14" ht="14" thickBot="1">
      <c r="A72" s="47" t="s">
        <v>101</v>
      </c>
      <c r="B72" s="1096">
        <v>0</v>
      </c>
      <c r="C72" s="1097">
        <v>0</v>
      </c>
      <c r="D72" s="1097">
        <v>1</v>
      </c>
      <c r="E72" s="1097">
        <v>0</v>
      </c>
      <c r="F72" s="1097">
        <v>0</v>
      </c>
      <c r="G72" s="1097">
        <v>0</v>
      </c>
      <c r="H72" s="1097">
        <v>0</v>
      </c>
      <c r="I72" s="1097">
        <v>0</v>
      </c>
      <c r="J72" s="1097">
        <v>0</v>
      </c>
      <c r="K72" s="1097">
        <v>0</v>
      </c>
      <c r="L72" s="1097">
        <v>0</v>
      </c>
      <c r="M72" s="1098">
        <v>0</v>
      </c>
      <c r="N72" s="30">
        <f t="shared" si="9"/>
        <v>1</v>
      </c>
    </row>
    <row r="73" spans="1:14" ht="14" thickBot="1">
      <c r="A73" s="53" t="s">
        <v>60</v>
      </c>
      <c r="B73" s="55">
        <f>SUM(B67:B72)</f>
        <v>0</v>
      </c>
      <c r="C73" s="55">
        <f>SUM(C67:C72)</f>
        <v>0</v>
      </c>
      <c r="D73" s="55">
        <f t="shared" ref="D73:M73" si="10">SUM(D67:D72)</f>
        <v>45</v>
      </c>
      <c r="E73" s="55">
        <f t="shared" si="10"/>
        <v>0</v>
      </c>
      <c r="F73" s="55">
        <f t="shared" si="10"/>
        <v>0</v>
      </c>
      <c r="G73" s="55">
        <f t="shared" si="10"/>
        <v>0</v>
      </c>
      <c r="H73" s="55">
        <f t="shared" si="10"/>
        <v>0</v>
      </c>
      <c r="I73" s="55">
        <f t="shared" si="10"/>
        <v>0</v>
      </c>
      <c r="J73" s="55">
        <f t="shared" si="10"/>
        <v>0</v>
      </c>
      <c r="K73" s="55">
        <f t="shared" si="10"/>
        <v>0</v>
      </c>
      <c r="L73" s="55">
        <f t="shared" si="10"/>
        <v>0</v>
      </c>
      <c r="M73" s="55">
        <f t="shared" si="10"/>
        <v>0</v>
      </c>
      <c r="N73" s="302">
        <f>SUM(N67:N72)</f>
        <v>45</v>
      </c>
    </row>
    <row r="76" spans="1:14" ht="14" thickBot="1">
      <c r="B76" s="43" t="s">
        <v>35</v>
      </c>
      <c r="C76" s="43" t="s">
        <v>36</v>
      </c>
      <c r="D76" s="43" t="s">
        <v>37</v>
      </c>
      <c r="E76" s="43" t="s">
        <v>38</v>
      </c>
      <c r="F76" s="43" t="s">
        <v>39</v>
      </c>
      <c r="G76" s="43" t="s">
        <v>40</v>
      </c>
      <c r="H76" s="43" t="s">
        <v>41</v>
      </c>
      <c r="I76" s="43" t="s">
        <v>42</v>
      </c>
      <c r="J76" s="43" t="s">
        <v>43</v>
      </c>
      <c r="K76" s="43" t="s">
        <v>44</v>
      </c>
      <c r="L76" s="43" t="s">
        <v>45</v>
      </c>
      <c r="M76" s="43" t="s">
        <v>46</v>
      </c>
      <c r="N76" s="43" t="s">
        <v>10</v>
      </c>
    </row>
    <row r="77" spans="1:14" ht="17" thickBot="1">
      <c r="A77" s="31" t="s">
        <v>143</v>
      </c>
      <c r="B77" s="24"/>
      <c r="C77" s="24"/>
      <c r="D77" s="22"/>
      <c r="E77" s="22"/>
      <c r="F77" s="25"/>
      <c r="G77" s="25"/>
      <c r="H77" s="22"/>
      <c r="I77" s="22"/>
      <c r="J77" s="22"/>
      <c r="K77" s="22"/>
      <c r="L77" s="24"/>
      <c r="M77" s="24"/>
      <c r="N77" s="26"/>
    </row>
    <row r="78" spans="1:14" ht="14" thickBot="1">
      <c r="A78" s="38" t="s">
        <v>48</v>
      </c>
      <c r="B78" s="39"/>
      <c r="C78" s="39"/>
      <c r="D78" s="39"/>
      <c r="E78" s="39"/>
      <c r="F78" s="39"/>
      <c r="G78" s="39"/>
      <c r="H78" s="39"/>
      <c r="I78" s="39"/>
      <c r="J78" s="39"/>
      <c r="K78" s="39"/>
      <c r="L78" s="39"/>
      <c r="M78" s="39"/>
      <c r="N78" s="40"/>
    </row>
    <row r="79" spans="1:14">
      <c r="A79" s="32" t="s">
        <v>28</v>
      </c>
      <c r="B79" s="1092">
        <v>0</v>
      </c>
      <c r="C79" s="1092">
        <v>0</v>
      </c>
      <c r="D79" s="1092">
        <v>0</v>
      </c>
      <c r="E79" s="1092">
        <v>0</v>
      </c>
      <c r="F79" s="1092">
        <v>0</v>
      </c>
      <c r="G79" s="1092">
        <v>0</v>
      </c>
      <c r="H79" s="1092">
        <v>0</v>
      </c>
      <c r="I79" s="1092">
        <v>0</v>
      </c>
      <c r="J79" s="1092">
        <v>0</v>
      </c>
      <c r="K79" s="1092">
        <v>0</v>
      </c>
      <c r="L79" s="1092">
        <v>0</v>
      </c>
      <c r="M79" s="1092">
        <v>0</v>
      </c>
      <c r="N79" s="27">
        <f>SUM(B79:M79)</f>
        <v>0</v>
      </c>
    </row>
    <row r="80" spans="1:14">
      <c r="A80" s="32" t="s">
        <v>29</v>
      </c>
      <c r="B80" s="1092">
        <v>134</v>
      </c>
      <c r="C80" s="1092">
        <v>0</v>
      </c>
      <c r="D80" s="1092">
        <v>0</v>
      </c>
      <c r="E80" s="1092">
        <v>0</v>
      </c>
      <c r="F80" s="1092">
        <v>0</v>
      </c>
      <c r="G80" s="1092">
        <v>1</v>
      </c>
      <c r="H80" s="1092">
        <v>2</v>
      </c>
      <c r="I80" s="1092">
        <v>2</v>
      </c>
      <c r="J80" s="1092">
        <v>2</v>
      </c>
      <c r="K80" s="1092">
        <v>1</v>
      </c>
      <c r="L80" s="1092">
        <v>5</v>
      </c>
      <c r="M80" s="1092">
        <v>0</v>
      </c>
      <c r="N80" s="27">
        <f t="shared" ref="N80:N85" si="11">SUM(B80:M80)</f>
        <v>147</v>
      </c>
    </row>
    <row r="81" spans="1:14">
      <c r="A81" s="32" t="s">
        <v>33</v>
      </c>
      <c r="B81" s="1092">
        <v>11</v>
      </c>
      <c r="C81" s="1092">
        <v>0</v>
      </c>
      <c r="D81" s="1092">
        <v>1</v>
      </c>
      <c r="E81" s="1092">
        <v>2</v>
      </c>
      <c r="F81" s="1092">
        <v>0</v>
      </c>
      <c r="G81" s="1092">
        <v>3</v>
      </c>
      <c r="H81" s="1092">
        <v>2</v>
      </c>
      <c r="I81" s="1092">
        <v>4</v>
      </c>
      <c r="J81" s="1092">
        <v>9</v>
      </c>
      <c r="K81" s="1092">
        <v>1</v>
      </c>
      <c r="L81" s="1092">
        <v>6</v>
      </c>
      <c r="M81" s="1092">
        <v>10</v>
      </c>
      <c r="N81" s="27">
        <f t="shared" si="11"/>
        <v>49</v>
      </c>
    </row>
    <row r="82" spans="1:14">
      <c r="A82" s="32" t="s">
        <v>56</v>
      </c>
      <c r="B82" s="1092">
        <v>0</v>
      </c>
      <c r="C82" s="1092">
        <v>0</v>
      </c>
      <c r="D82" s="1092">
        <v>0</v>
      </c>
      <c r="E82" s="1092">
        <v>0</v>
      </c>
      <c r="F82" s="1092">
        <v>0</v>
      </c>
      <c r="G82" s="1092">
        <v>0</v>
      </c>
      <c r="H82" s="1092">
        <v>0</v>
      </c>
      <c r="I82" s="1092">
        <v>0</v>
      </c>
      <c r="J82" s="1092">
        <v>0</v>
      </c>
      <c r="K82" s="1092">
        <v>0</v>
      </c>
      <c r="L82" s="1092">
        <v>0</v>
      </c>
      <c r="M82" s="1092">
        <v>0</v>
      </c>
      <c r="N82" s="27">
        <f t="shared" si="11"/>
        <v>0</v>
      </c>
    </row>
    <row r="83" spans="1:14">
      <c r="A83" s="32" t="s">
        <v>52</v>
      </c>
      <c r="B83" s="1092">
        <v>0</v>
      </c>
      <c r="C83" s="1092">
        <v>0</v>
      </c>
      <c r="D83" s="1092">
        <v>0</v>
      </c>
      <c r="E83" s="1092">
        <v>0</v>
      </c>
      <c r="F83" s="1092">
        <v>0</v>
      </c>
      <c r="G83" s="1092">
        <v>0</v>
      </c>
      <c r="H83" s="1092">
        <v>1</v>
      </c>
      <c r="I83" s="1092">
        <v>0</v>
      </c>
      <c r="J83" s="1092">
        <v>0</v>
      </c>
      <c r="K83" s="1092">
        <v>0</v>
      </c>
      <c r="L83" s="1092">
        <v>0</v>
      </c>
      <c r="M83" s="1092">
        <v>0</v>
      </c>
      <c r="N83" s="27">
        <f t="shared" si="11"/>
        <v>1</v>
      </c>
    </row>
    <row r="84" spans="1:14">
      <c r="A84" s="76" t="s">
        <v>148</v>
      </c>
      <c r="B84" s="1092">
        <v>0</v>
      </c>
      <c r="C84" s="1092">
        <v>0</v>
      </c>
      <c r="D84" s="1092">
        <v>0</v>
      </c>
      <c r="E84" s="1092">
        <v>0</v>
      </c>
      <c r="F84" s="1092">
        <v>0</v>
      </c>
      <c r="G84" s="1092">
        <v>0</v>
      </c>
      <c r="H84" s="1092">
        <v>0</v>
      </c>
      <c r="I84" s="1092">
        <v>0</v>
      </c>
      <c r="J84" s="1092">
        <v>0</v>
      </c>
      <c r="K84" s="1092">
        <v>0</v>
      </c>
      <c r="L84" s="1092">
        <v>0</v>
      </c>
      <c r="M84" s="1092">
        <v>0</v>
      </c>
      <c r="N84" s="27">
        <f t="shared" si="11"/>
        <v>0</v>
      </c>
    </row>
    <row r="85" spans="1:14" ht="14" thickBot="1">
      <c r="A85" s="76" t="s">
        <v>151</v>
      </c>
      <c r="B85" s="1092">
        <v>0</v>
      </c>
      <c r="C85" s="1092">
        <v>0</v>
      </c>
      <c r="D85" s="1092">
        <v>1</v>
      </c>
      <c r="E85" s="1092">
        <v>0</v>
      </c>
      <c r="F85" s="1092">
        <v>0</v>
      </c>
      <c r="G85" s="1092">
        <v>0</v>
      </c>
      <c r="H85" s="1092">
        <v>0</v>
      </c>
      <c r="I85" s="1092">
        <v>0</v>
      </c>
      <c r="J85" s="1092">
        <v>1</v>
      </c>
      <c r="K85" s="1092">
        <v>0</v>
      </c>
      <c r="L85" s="1092">
        <v>1</v>
      </c>
      <c r="M85" s="1092">
        <v>0</v>
      </c>
      <c r="N85" s="27">
        <f t="shared" si="11"/>
        <v>3</v>
      </c>
    </row>
    <row r="86" spans="1:14" ht="14" thickBot="1">
      <c r="A86" s="53" t="s">
        <v>60</v>
      </c>
      <c r="B86" s="55">
        <f>SUM(B79:B85)</f>
        <v>145</v>
      </c>
      <c r="C86" s="55">
        <f>SUM(C79:C85)</f>
        <v>0</v>
      </c>
      <c r="D86" s="55">
        <f t="shared" ref="D86:M86" si="12">SUM(D79:D85)</f>
        <v>2</v>
      </c>
      <c r="E86" s="55">
        <f t="shared" si="12"/>
        <v>2</v>
      </c>
      <c r="F86" s="55">
        <f t="shared" si="12"/>
        <v>0</v>
      </c>
      <c r="G86" s="55">
        <f t="shared" si="12"/>
        <v>4</v>
      </c>
      <c r="H86" s="55">
        <f t="shared" si="12"/>
        <v>5</v>
      </c>
      <c r="I86" s="55">
        <f t="shared" si="12"/>
        <v>6</v>
      </c>
      <c r="J86" s="55">
        <f t="shared" si="12"/>
        <v>12</v>
      </c>
      <c r="K86" s="55">
        <f t="shared" si="12"/>
        <v>2</v>
      </c>
      <c r="L86" s="55">
        <f t="shared" si="12"/>
        <v>12</v>
      </c>
      <c r="M86" s="55">
        <f t="shared" si="12"/>
        <v>10</v>
      </c>
      <c r="N86" s="54">
        <f>SUM(B86:M86)</f>
        <v>200</v>
      </c>
    </row>
    <row r="87" spans="1:14" ht="14" thickBot="1">
      <c r="A87" s="38" t="s">
        <v>49</v>
      </c>
      <c r="B87" s="39"/>
      <c r="C87" s="39"/>
      <c r="D87" s="39"/>
      <c r="E87" s="39"/>
      <c r="F87" s="39"/>
      <c r="G87" s="39"/>
      <c r="H87" s="39"/>
      <c r="I87" s="39"/>
      <c r="J87" s="39"/>
      <c r="K87" s="39"/>
      <c r="L87" s="39"/>
      <c r="M87" s="39"/>
      <c r="N87" s="40"/>
    </row>
    <row r="88" spans="1:14" ht="14" thickBot="1">
      <c r="A88" s="33" t="s">
        <v>49</v>
      </c>
      <c r="B88" s="1092">
        <v>0</v>
      </c>
      <c r="C88" s="1092">
        <v>0</v>
      </c>
      <c r="D88" s="1092">
        <v>0</v>
      </c>
      <c r="E88" s="1092">
        <v>0</v>
      </c>
      <c r="F88" s="1092">
        <v>0</v>
      </c>
      <c r="G88" s="1092">
        <v>0</v>
      </c>
      <c r="H88" s="1092">
        <v>0</v>
      </c>
      <c r="I88" s="1092">
        <v>0</v>
      </c>
      <c r="J88" s="1092">
        <v>0</v>
      </c>
      <c r="K88" s="1092">
        <v>0</v>
      </c>
      <c r="L88" s="1092">
        <v>0</v>
      </c>
      <c r="M88" s="1092">
        <v>0</v>
      </c>
      <c r="N88" s="27">
        <f>SUM(B88:M88)</f>
        <v>0</v>
      </c>
    </row>
    <row r="89" spans="1:14" ht="14" thickBot="1">
      <c r="A89" s="53" t="s">
        <v>60</v>
      </c>
      <c r="B89" s="55">
        <f>SUM(B88)</f>
        <v>0</v>
      </c>
      <c r="C89" s="55">
        <f t="shared" ref="C89:N89" si="13">SUM(C88)</f>
        <v>0</v>
      </c>
      <c r="D89" s="55">
        <f t="shared" si="13"/>
        <v>0</v>
      </c>
      <c r="E89" s="55">
        <f t="shared" si="13"/>
        <v>0</v>
      </c>
      <c r="F89" s="55">
        <f t="shared" si="13"/>
        <v>0</v>
      </c>
      <c r="G89" s="55">
        <f t="shared" si="13"/>
        <v>0</v>
      </c>
      <c r="H89" s="55">
        <f t="shared" si="13"/>
        <v>0</v>
      </c>
      <c r="I89" s="55">
        <f t="shared" si="13"/>
        <v>0</v>
      </c>
      <c r="J89" s="55">
        <f t="shared" si="13"/>
        <v>0</v>
      </c>
      <c r="K89" s="55">
        <f t="shared" si="13"/>
        <v>0</v>
      </c>
      <c r="L89" s="55">
        <f t="shared" si="13"/>
        <v>0</v>
      </c>
      <c r="M89" s="55">
        <f t="shared" si="13"/>
        <v>0</v>
      </c>
      <c r="N89" s="54">
        <f t="shared" si="13"/>
        <v>0</v>
      </c>
    </row>
    <row r="90" spans="1:14" ht="14" thickBot="1">
      <c r="A90" s="38" t="s">
        <v>50</v>
      </c>
      <c r="B90" s="39"/>
      <c r="C90" s="39"/>
      <c r="D90" s="39"/>
      <c r="E90" s="39"/>
      <c r="F90" s="39"/>
      <c r="G90" s="39"/>
      <c r="H90" s="39"/>
      <c r="I90" s="39"/>
      <c r="J90" s="39"/>
      <c r="K90" s="39"/>
      <c r="L90" s="39"/>
      <c r="M90" s="39"/>
      <c r="N90" s="40"/>
    </row>
    <row r="91" spans="1:14">
      <c r="A91" s="34" t="s">
        <v>26</v>
      </c>
      <c r="B91" s="1092">
        <v>0</v>
      </c>
      <c r="C91" s="1092">
        <v>0</v>
      </c>
      <c r="D91" s="1092">
        <v>0</v>
      </c>
      <c r="E91" s="1092">
        <v>0</v>
      </c>
      <c r="F91" s="1092">
        <v>0</v>
      </c>
      <c r="G91" s="1092">
        <v>0</v>
      </c>
      <c r="H91" s="1092">
        <v>0</v>
      </c>
      <c r="I91" s="1092">
        <v>0</v>
      </c>
      <c r="J91" s="1092">
        <v>0</v>
      </c>
      <c r="K91" s="1092">
        <v>0</v>
      </c>
      <c r="L91" s="1092">
        <v>0</v>
      </c>
      <c r="M91" s="1092">
        <v>0</v>
      </c>
      <c r="N91" s="27">
        <f t="shared" ref="N91:N99" si="14">SUM(B91:M91)</f>
        <v>0</v>
      </c>
    </row>
    <row r="92" spans="1:14">
      <c r="A92" s="34" t="s">
        <v>25</v>
      </c>
      <c r="B92" s="1092">
        <v>0</v>
      </c>
      <c r="C92" s="1092">
        <v>0</v>
      </c>
      <c r="D92" s="1092">
        <v>0</v>
      </c>
      <c r="E92" s="1092">
        <v>0</v>
      </c>
      <c r="F92" s="1092">
        <v>0</v>
      </c>
      <c r="G92" s="1092">
        <v>0</v>
      </c>
      <c r="H92" s="1092">
        <v>0</v>
      </c>
      <c r="I92" s="1092">
        <v>0</v>
      </c>
      <c r="J92" s="1092">
        <v>0</v>
      </c>
      <c r="K92" s="1092">
        <v>0</v>
      </c>
      <c r="L92" s="1092">
        <v>0</v>
      </c>
      <c r="M92" s="1092">
        <v>0</v>
      </c>
      <c r="N92" s="27">
        <f t="shared" si="14"/>
        <v>0</v>
      </c>
    </row>
    <row r="93" spans="1:14">
      <c r="A93" s="32" t="s">
        <v>29</v>
      </c>
      <c r="B93" s="1092">
        <v>0</v>
      </c>
      <c r="C93" s="1092">
        <v>101</v>
      </c>
      <c r="D93" s="1092">
        <v>0</v>
      </c>
      <c r="E93" s="1092">
        <v>0</v>
      </c>
      <c r="F93" s="1092">
        <v>0</v>
      </c>
      <c r="G93" s="1092">
        <v>0</v>
      </c>
      <c r="H93" s="1092">
        <v>0</v>
      </c>
      <c r="I93" s="1092">
        <v>0</v>
      </c>
      <c r="J93" s="1092">
        <v>0</v>
      </c>
      <c r="K93" s="1092">
        <v>0</v>
      </c>
      <c r="L93" s="1092">
        <v>0</v>
      </c>
      <c r="M93" s="1092">
        <v>0</v>
      </c>
      <c r="N93" s="27">
        <f t="shared" si="14"/>
        <v>101</v>
      </c>
    </row>
    <row r="94" spans="1:14">
      <c r="A94" s="32" t="s">
        <v>51</v>
      </c>
      <c r="B94" s="1092">
        <v>0</v>
      </c>
      <c r="C94" s="1092">
        <v>7</v>
      </c>
      <c r="D94" s="1092">
        <v>0</v>
      </c>
      <c r="E94" s="1092">
        <v>8</v>
      </c>
      <c r="F94" s="1092">
        <v>0</v>
      </c>
      <c r="G94" s="1092">
        <v>0</v>
      </c>
      <c r="H94" s="1092">
        <v>0</v>
      </c>
      <c r="I94" s="1092">
        <v>0</v>
      </c>
      <c r="J94" s="1092">
        <v>0</v>
      </c>
      <c r="K94" s="1092">
        <v>0</v>
      </c>
      <c r="L94" s="1092">
        <v>0</v>
      </c>
      <c r="M94" s="1092">
        <v>0</v>
      </c>
      <c r="N94" s="27">
        <f t="shared" si="14"/>
        <v>15</v>
      </c>
    </row>
    <row r="95" spans="1:14">
      <c r="A95" s="34" t="s">
        <v>20</v>
      </c>
      <c r="B95" s="1092">
        <v>0</v>
      </c>
      <c r="C95" s="1092">
        <v>0</v>
      </c>
      <c r="D95" s="1092">
        <v>0</v>
      </c>
      <c r="E95" s="1092">
        <v>0</v>
      </c>
      <c r="F95" s="1092">
        <v>0</v>
      </c>
      <c r="G95" s="1092">
        <v>0</v>
      </c>
      <c r="H95" s="1092">
        <v>0</v>
      </c>
      <c r="I95" s="1092">
        <v>0</v>
      </c>
      <c r="J95" s="1092">
        <v>0</v>
      </c>
      <c r="K95" s="1092">
        <v>0</v>
      </c>
      <c r="L95" s="1092">
        <v>0</v>
      </c>
      <c r="M95" s="1092">
        <v>0</v>
      </c>
      <c r="N95" s="27">
        <f t="shared" si="14"/>
        <v>0</v>
      </c>
    </row>
    <row r="96" spans="1:14">
      <c r="A96" s="34" t="s">
        <v>13</v>
      </c>
      <c r="B96" s="1092">
        <v>0</v>
      </c>
      <c r="C96" s="1092">
        <v>0</v>
      </c>
      <c r="D96" s="1092">
        <v>0</v>
      </c>
      <c r="E96" s="1092">
        <v>0</v>
      </c>
      <c r="F96" s="1092">
        <v>0</v>
      </c>
      <c r="G96" s="1092">
        <v>0</v>
      </c>
      <c r="H96" s="1092">
        <v>0</v>
      </c>
      <c r="I96" s="1092">
        <v>0</v>
      </c>
      <c r="J96" s="1092">
        <v>0</v>
      </c>
      <c r="K96" s="1092">
        <v>0</v>
      </c>
      <c r="L96" s="1092">
        <v>0</v>
      </c>
      <c r="M96" s="1092">
        <v>0</v>
      </c>
      <c r="N96" s="27">
        <f t="shared" si="14"/>
        <v>0</v>
      </c>
    </row>
    <row r="97" spans="1:14">
      <c r="A97" s="35" t="s">
        <v>47</v>
      </c>
      <c r="B97" s="1092">
        <v>0</v>
      </c>
      <c r="C97" s="1092">
        <v>0</v>
      </c>
      <c r="D97" s="1092">
        <v>0</v>
      </c>
      <c r="E97" s="1092">
        <v>0</v>
      </c>
      <c r="F97" s="1092">
        <v>0</v>
      </c>
      <c r="G97" s="1092">
        <v>0</v>
      </c>
      <c r="H97" s="1092">
        <v>0</v>
      </c>
      <c r="I97" s="1092">
        <v>0</v>
      </c>
      <c r="J97" s="1092">
        <v>0</v>
      </c>
      <c r="K97" s="1092">
        <v>0</v>
      </c>
      <c r="L97" s="1092">
        <v>0</v>
      </c>
      <c r="M97" s="1092">
        <v>0</v>
      </c>
      <c r="N97" s="27">
        <f t="shared" si="14"/>
        <v>0</v>
      </c>
    </row>
    <row r="98" spans="1:14">
      <c r="A98" s="76" t="s">
        <v>30</v>
      </c>
      <c r="B98" s="1092">
        <v>0</v>
      </c>
      <c r="C98" s="1092">
        <v>0</v>
      </c>
      <c r="D98" s="1092">
        <v>0</v>
      </c>
      <c r="E98" s="1092">
        <v>0</v>
      </c>
      <c r="F98" s="1092">
        <v>0</v>
      </c>
      <c r="G98" s="1092">
        <v>0</v>
      </c>
      <c r="H98" s="1092">
        <v>0</v>
      </c>
      <c r="I98" s="1092">
        <v>0</v>
      </c>
      <c r="J98" s="1092">
        <v>0</v>
      </c>
      <c r="K98" s="1092">
        <v>1</v>
      </c>
      <c r="L98" s="1092">
        <v>0</v>
      </c>
      <c r="M98" s="1092">
        <v>0</v>
      </c>
      <c r="N98" s="27">
        <f t="shared" si="14"/>
        <v>1</v>
      </c>
    </row>
    <row r="99" spans="1:14">
      <c r="A99" s="76" t="s">
        <v>150</v>
      </c>
      <c r="B99" s="1092">
        <v>0</v>
      </c>
      <c r="C99" s="1092">
        <v>0</v>
      </c>
      <c r="D99" s="1092">
        <v>0</v>
      </c>
      <c r="E99" s="1092">
        <v>0</v>
      </c>
      <c r="F99" s="1092">
        <v>0</v>
      </c>
      <c r="G99" s="1092">
        <v>0</v>
      </c>
      <c r="H99" s="1092">
        <v>0</v>
      </c>
      <c r="I99" s="1092">
        <v>0</v>
      </c>
      <c r="J99" s="1092">
        <v>0</v>
      </c>
      <c r="K99" s="1092">
        <v>0</v>
      </c>
      <c r="L99" s="1092">
        <v>0</v>
      </c>
      <c r="M99" s="1092">
        <v>0</v>
      </c>
      <c r="N99" s="27">
        <f t="shared" si="14"/>
        <v>0</v>
      </c>
    </row>
    <row r="100" spans="1:14">
      <c r="A100" s="32" t="s">
        <v>56</v>
      </c>
      <c r="B100" s="1092">
        <v>0</v>
      </c>
      <c r="C100" s="1092">
        <v>0</v>
      </c>
      <c r="D100" s="1092">
        <v>0</v>
      </c>
      <c r="E100" s="1092">
        <v>0</v>
      </c>
      <c r="F100" s="1092">
        <v>0</v>
      </c>
      <c r="G100" s="1092">
        <v>0</v>
      </c>
      <c r="H100" s="1092">
        <v>0</v>
      </c>
      <c r="I100" s="1092">
        <v>0</v>
      </c>
      <c r="J100" s="1092">
        <v>0</v>
      </c>
      <c r="K100" s="1092">
        <v>0</v>
      </c>
      <c r="L100" s="1092">
        <v>0</v>
      </c>
      <c r="M100" s="1092">
        <v>0</v>
      </c>
      <c r="N100" s="27">
        <f>SUM(B100:M100)</f>
        <v>0</v>
      </c>
    </row>
    <row r="101" spans="1:14">
      <c r="A101" s="78" t="s">
        <v>122</v>
      </c>
      <c r="B101" s="1092">
        <v>0</v>
      </c>
      <c r="C101" s="1092">
        <v>0</v>
      </c>
      <c r="D101" s="1092">
        <v>0</v>
      </c>
      <c r="E101" s="1092">
        <v>0</v>
      </c>
      <c r="F101" s="1092">
        <v>0</v>
      </c>
      <c r="G101" s="1092">
        <v>0</v>
      </c>
      <c r="H101" s="1092">
        <v>0</v>
      </c>
      <c r="I101" s="1092">
        <v>0</v>
      </c>
      <c r="J101" s="1092">
        <v>0</v>
      </c>
      <c r="K101" s="1092">
        <v>0</v>
      </c>
      <c r="L101" s="1092">
        <v>0</v>
      </c>
      <c r="M101" s="1092">
        <v>0</v>
      </c>
      <c r="N101" s="27">
        <f>SUM(B101:M101)</f>
        <v>0</v>
      </c>
    </row>
    <row r="102" spans="1:14" ht="14" thickBot="1">
      <c r="A102" s="32" t="s">
        <v>102</v>
      </c>
      <c r="B102" s="1092">
        <v>0</v>
      </c>
      <c r="C102" s="1092">
        <v>0</v>
      </c>
      <c r="D102" s="1092">
        <v>0</v>
      </c>
      <c r="E102" s="1092">
        <v>0</v>
      </c>
      <c r="F102" s="1092">
        <v>0</v>
      </c>
      <c r="G102" s="1092">
        <v>0</v>
      </c>
      <c r="H102" s="1092">
        <v>0</v>
      </c>
      <c r="I102" s="1092">
        <v>0</v>
      </c>
      <c r="J102" s="1092">
        <v>0</v>
      </c>
      <c r="K102" s="1092">
        <v>0</v>
      </c>
      <c r="L102" s="1092">
        <v>0</v>
      </c>
      <c r="M102" s="1092">
        <v>0</v>
      </c>
      <c r="N102" s="27">
        <f>SUM(B102:M102)</f>
        <v>0</v>
      </c>
    </row>
    <row r="103" spans="1:14" ht="14" thickBot="1">
      <c r="A103" s="53" t="s">
        <v>60</v>
      </c>
      <c r="B103" s="55">
        <f>SUM(B91:B102)</f>
        <v>0</v>
      </c>
      <c r="C103" s="55">
        <f t="shared" ref="C103:M103" si="15">SUM(C91:C102)</f>
        <v>108</v>
      </c>
      <c r="D103" s="55">
        <f t="shared" si="15"/>
        <v>0</v>
      </c>
      <c r="E103" s="55">
        <f t="shared" si="15"/>
        <v>8</v>
      </c>
      <c r="F103" s="55">
        <f t="shared" si="15"/>
        <v>0</v>
      </c>
      <c r="G103" s="55">
        <f t="shared" si="15"/>
        <v>0</v>
      </c>
      <c r="H103" s="55">
        <f t="shared" si="15"/>
        <v>0</v>
      </c>
      <c r="I103" s="55">
        <f t="shared" si="15"/>
        <v>0</v>
      </c>
      <c r="J103" s="55">
        <f t="shared" si="15"/>
        <v>0</v>
      </c>
      <c r="K103" s="55">
        <f t="shared" si="15"/>
        <v>1</v>
      </c>
      <c r="L103" s="55">
        <f t="shared" si="15"/>
        <v>0</v>
      </c>
      <c r="M103" s="55">
        <f t="shared" si="15"/>
        <v>0</v>
      </c>
      <c r="N103" s="54">
        <f>SUM(N91:N102)</f>
        <v>117</v>
      </c>
    </row>
    <row r="104" spans="1:14" ht="14" thickBot="1">
      <c r="A104" s="38" t="s">
        <v>54</v>
      </c>
      <c r="B104" s="41"/>
      <c r="C104" s="41"/>
      <c r="D104" s="41"/>
      <c r="E104" s="41"/>
      <c r="F104" s="41"/>
      <c r="G104" s="41"/>
      <c r="H104" s="41"/>
      <c r="I104" s="41"/>
      <c r="J104" s="41"/>
      <c r="K104" s="41"/>
      <c r="L104" s="41"/>
      <c r="M104" s="41"/>
      <c r="N104" s="42"/>
    </row>
    <row r="105" spans="1:14">
      <c r="A105" s="36" t="s">
        <v>29</v>
      </c>
      <c r="B105" s="1093">
        <v>0</v>
      </c>
      <c r="C105" s="1093">
        <v>0</v>
      </c>
      <c r="D105" s="1093">
        <v>0</v>
      </c>
      <c r="E105" s="1093">
        <v>0</v>
      </c>
      <c r="F105" s="1093">
        <v>0</v>
      </c>
      <c r="G105" s="1093">
        <v>0</v>
      </c>
      <c r="H105" s="1093">
        <v>0</v>
      </c>
      <c r="I105" s="1093">
        <v>0</v>
      </c>
      <c r="J105" s="1093">
        <v>0</v>
      </c>
      <c r="K105" s="1093">
        <v>0</v>
      </c>
      <c r="L105" s="1093">
        <v>0</v>
      </c>
      <c r="M105" s="1093">
        <v>0</v>
      </c>
      <c r="N105" s="28">
        <f t="shared" ref="N105:N110" si="16">SUM(B105:M105)</f>
        <v>0</v>
      </c>
    </row>
    <row r="106" spans="1:14">
      <c r="A106" s="34" t="s">
        <v>51</v>
      </c>
      <c r="B106" s="1092">
        <v>0</v>
      </c>
      <c r="C106" s="1092">
        <v>0</v>
      </c>
      <c r="D106" s="1092">
        <v>0</v>
      </c>
      <c r="E106" s="1092">
        <v>0</v>
      </c>
      <c r="F106" s="1092">
        <v>0</v>
      </c>
      <c r="G106" s="1092">
        <v>0</v>
      </c>
      <c r="H106" s="1092">
        <v>0</v>
      </c>
      <c r="I106" s="1092">
        <v>0</v>
      </c>
      <c r="J106" s="1092">
        <v>0</v>
      </c>
      <c r="K106" s="1092">
        <v>0</v>
      </c>
      <c r="L106" s="1092">
        <v>0</v>
      </c>
      <c r="M106" s="1092">
        <v>0</v>
      </c>
      <c r="N106" s="29">
        <f t="shared" si="16"/>
        <v>0</v>
      </c>
    </row>
    <row r="107" spans="1:14">
      <c r="A107" s="34" t="s">
        <v>15</v>
      </c>
      <c r="B107" s="1092">
        <v>0</v>
      </c>
      <c r="C107" s="1092">
        <v>0</v>
      </c>
      <c r="D107" s="1092">
        <v>0</v>
      </c>
      <c r="E107" s="1092">
        <v>0</v>
      </c>
      <c r="F107" s="1092">
        <v>0</v>
      </c>
      <c r="G107" s="1092">
        <v>0</v>
      </c>
      <c r="H107" s="1092">
        <v>0</v>
      </c>
      <c r="I107" s="1092">
        <v>0</v>
      </c>
      <c r="J107" s="1092">
        <v>0</v>
      </c>
      <c r="K107" s="1092">
        <v>0</v>
      </c>
      <c r="L107" s="1094">
        <v>0</v>
      </c>
      <c r="M107" s="1092">
        <v>0</v>
      </c>
      <c r="N107" s="29">
        <f t="shared" si="16"/>
        <v>0</v>
      </c>
    </row>
    <row r="108" spans="1:14">
      <c r="A108" s="34" t="s">
        <v>30</v>
      </c>
      <c r="B108" s="1092">
        <v>0</v>
      </c>
      <c r="C108" s="1092">
        <v>0</v>
      </c>
      <c r="D108" s="1092">
        <v>0</v>
      </c>
      <c r="E108" s="1092">
        <v>0</v>
      </c>
      <c r="F108" s="1092">
        <v>0</v>
      </c>
      <c r="G108" s="1092">
        <v>0</v>
      </c>
      <c r="H108" s="1092">
        <v>0</v>
      </c>
      <c r="I108" s="1092">
        <v>0</v>
      </c>
      <c r="J108" s="1092">
        <v>0</v>
      </c>
      <c r="K108" s="1092">
        <v>0</v>
      </c>
      <c r="L108" s="1092">
        <v>0</v>
      </c>
      <c r="M108" s="1092">
        <v>0</v>
      </c>
      <c r="N108" s="29">
        <f t="shared" si="16"/>
        <v>0</v>
      </c>
    </row>
    <row r="109" spans="1:14">
      <c r="A109" s="32" t="s">
        <v>55</v>
      </c>
      <c r="B109" s="1094">
        <v>0</v>
      </c>
      <c r="C109" s="1094">
        <v>0</v>
      </c>
      <c r="D109" s="1095">
        <v>0</v>
      </c>
      <c r="E109" s="1094">
        <v>0</v>
      </c>
      <c r="F109" s="1094">
        <v>0</v>
      </c>
      <c r="G109" s="1094">
        <v>0</v>
      </c>
      <c r="H109" s="1094">
        <v>0</v>
      </c>
      <c r="I109" s="1094">
        <v>0</v>
      </c>
      <c r="J109" s="1094">
        <v>0</v>
      </c>
      <c r="K109" s="1094">
        <v>0</v>
      </c>
      <c r="L109" s="1094">
        <v>0</v>
      </c>
      <c r="M109" s="1094">
        <v>0</v>
      </c>
      <c r="N109" s="29">
        <f t="shared" si="16"/>
        <v>0</v>
      </c>
    </row>
    <row r="110" spans="1:14" ht="14" thickBot="1">
      <c r="A110" s="104" t="s">
        <v>150</v>
      </c>
      <c r="B110" s="1096">
        <v>0</v>
      </c>
      <c r="C110" s="1097">
        <v>0</v>
      </c>
      <c r="D110" s="1097">
        <v>0</v>
      </c>
      <c r="E110" s="1097">
        <v>0</v>
      </c>
      <c r="F110" s="1097">
        <v>0</v>
      </c>
      <c r="G110" s="1097">
        <v>0</v>
      </c>
      <c r="H110" s="1097">
        <v>0</v>
      </c>
      <c r="I110" s="1097">
        <v>0</v>
      </c>
      <c r="J110" s="1097">
        <v>0</v>
      </c>
      <c r="K110" s="1097">
        <v>0</v>
      </c>
      <c r="L110" s="1097">
        <v>0</v>
      </c>
      <c r="M110" s="1098">
        <v>0</v>
      </c>
      <c r="N110" s="29">
        <f t="shared" si="16"/>
        <v>0</v>
      </c>
    </row>
    <row r="111" spans="1:14" ht="14" thickBot="1">
      <c r="A111" s="53" t="s">
        <v>60</v>
      </c>
      <c r="B111" s="55">
        <f>SUM(B105:B110)</f>
        <v>0</v>
      </c>
      <c r="C111" s="55">
        <f>SUM(C105:C110)</f>
        <v>0</v>
      </c>
      <c r="D111" s="55">
        <f>SUM(D105:D110)</f>
        <v>0</v>
      </c>
      <c r="E111" s="55">
        <f t="shared" ref="E111:M111" si="17">SUM(E105:E110)</f>
        <v>0</v>
      </c>
      <c r="F111" s="55">
        <f t="shared" si="17"/>
        <v>0</v>
      </c>
      <c r="G111" s="55">
        <f t="shared" si="17"/>
        <v>0</v>
      </c>
      <c r="H111" s="55">
        <f t="shared" si="17"/>
        <v>0</v>
      </c>
      <c r="I111" s="55">
        <f t="shared" si="17"/>
        <v>0</v>
      </c>
      <c r="J111" s="55">
        <f t="shared" si="17"/>
        <v>0</v>
      </c>
      <c r="K111" s="55">
        <f t="shared" si="17"/>
        <v>0</v>
      </c>
      <c r="L111" s="55">
        <f t="shared" si="17"/>
        <v>0</v>
      </c>
      <c r="M111" s="55">
        <f t="shared" si="17"/>
        <v>0</v>
      </c>
      <c r="N111" s="54">
        <f>SUM(N105:N110)</f>
        <v>0</v>
      </c>
    </row>
    <row r="114" spans="1:14" ht="14" thickBot="1">
      <c r="B114" s="43" t="s">
        <v>35</v>
      </c>
      <c r="C114" s="43" t="s">
        <v>36</v>
      </c>
      <c r="D114" s="43" t="s">
        <v>37</v>
      </c>
      <c r="E114" s="43" t="s">
        <v>38</v>
      </c>
      <c r="F114" s="43" t="s">
        <v>39</v>
      </c>
      <c r="G114" s="43" t="s">
        <v>40</v>
      </c>
      <c r="H114" s="43" t="s">
        <v>41</v>
      </c>
      <c r="I114" s="43" t="s">
        <v>42</v>
      </c>
      <c r="J114" s="43" t="s">
        <v>43</v>
      </c>
      <c r="K114" s="43" t="s">
        <v>44</v>
      </c>
      <c r="L114" s="43" t="s">
        <v>45</v>
      </c>
      <c r="M114" s="43" t="s">
        <v>46</v>
      </c>
      <c r="N114" s="43" t="s">
        <v>10</v>
      </c>
    </row>
    <row r="115" spans="1:14" ht="17" thickBot="1">
      <c r="A115" s="31" t="s">
        <v>162</v>
      </c>
      <c r="B115" s="24"/>
      <c r="C115" s="24"/>
      <c r="D115" s="22"/>
      <c r="E115" s="22"/>
      <c r="F115" s="25"/>
      <c r="G115" s="25"/>
      <c r="H115" s="22"/>
      <c r="I115" s="22"/>
      <c r="J115" s="22"/>
      <c r="K115" s="22"/>
      <c r="L115" s="24"/>
      <c r="M115" s="24"/>
      <c r="N115" s="26"/>
    </row>
    <row r="116" spans="1:14" ht="14" thickBot="1">
      <c r="A116" s="38" t="s">
        <v>48</v>
      </c>
      <c r="B116" s="39"/>
      <c r="C116" s="39"/>
      <c r="D116" s="39"/>
      <c r="E116" s="39"/>
      <c r="F116" s="39"/>
      <c r="G116" s="39"/>
      <c r="H116" s="39"/>
      <c r="I116" s="39"/>
      <c r="J116" s="39"/>
      <c r="K116" s="39"/>
      <c r="L116" s="39"/>
      <c r="M116" s="39"/>
      <c r="N116" s="40"/>
    </row>
    <row r="117" spans="1:14">
      <c r="A117" s="32" t="s">
        <v>29</v>
      </c>
      <c r="B117" s="1092">
        <v>4</v>
      </c>
      <c r="C117" s="1092">
        <v>1</v>
      </c>
      <c r="D117" s="1092">
        <v>0</v>
      </c>
      <c r="E117" s="1092">
        <v>0</v>
      </c>
      <c r="F117" s="1092">
        <v>0</v>
      </c>
      <c r="G117" s="1092">
        <v>0</v>
      </c>
      <c r="H117" s="1092">
        <v>0</v>
      </c>
      <c r="I117" s="1092">
        <v>0</v>
      </c>
      <c r="J117" s="1092">
        <v>0</v>
      </c>
      <c r="K117" s="1092">
        <v>0</v>
      </c>
      <c r="L117" s="1092">
        <v>0</v>
      </c>
      <c r="M117" s="1092">
        <v>0</v>
      </c>
      <c r="N117" s="27">
        <f t="shared" ref="N117:N123" si="18">SUM(B117:M117)</f>
        <v>5</v>
      </c>
    </row>
    <row r="118" spans="1:14">
      <c r="A118" s="32" t="s">
        <v>33</v>
      </c>
      <c r="B118" s="1092">
        <v>9</v>
      </c>
      <c r="C118" s="1092">
        <v>13</v>
      </c>
      <c r="D118" s="1092">
        <v>36</v>
      </c>
      <c r="E118" s="1092">
        <v>13</v>
      </c>
      <c r="F118" s="1092">
        <v>28</v>
      </c>
      <c r="G118" s="1092">
        <v>6</v>
      </c>
      <c r="H118" s="1092">
        <v>16</v>
      </c>
      <c r="I118" s="1092">
        <v>0</v>
      </c>
      <c r="J118" s="1092">
        <v>28</v>
      </c>
      <c r="K118" s="1092">
        <v>2</v>
      </c>
      <c r="L118" s="1092">
        <v>31</v>
      </c>
      <c r="M118" s="1092">
        <v>17</v>
      </c>
      <c r="N118" s="27">
        <f t="shared" si="18"/>
        <v>199</v>
      </c>
    </row>
    <row r="119" spans="1:14">
      <c r="A119" s="32" t="s">
        <v>56</v>
      </c>
      <c r="B119" s="1092">
        <v>15</v>
      </c>
      <c r="C119" s="1092">
        <v>0</v>
      </c>
      <c r="D119" s="1092">
        <v>0</v>
      </c>
      <c r="E119" s="1092">
        <v>0</v>
      </c>
      <c r="F119" s="1092">
        <v>75</v>
      </c>
      <c r="G119" s="1092">
        <v>0</v>
      </c>
      <c r="H119" s="1092">
        <v>0</v>
      </c>
      <c r="I119" s="1092">
        <v>0</v>
      </c>
      <c r="J119" s="1092">
        <v>0</v>
      </c>
      <c r="K119" s="1092">
        <v>0</v>
      </c>
      <c r="L119" s="1092">
        <v>0</v>
      </c>
      <c r="M119" s="1092">
        <v>0</v>
      </c>
      <c r="N119" s="27">
        <f t="shared" si="18"/>
        <v>90</v>
      </c>
    </row>
    <row r="120" spans="1:14">
      <c r="A120" s="78" t="s">
        <v>30</v>
      </c>
      <c r="B120" s="1092">
        <v>0</v>
      </c>
      <c r="C120" s="1092">
        <v>0</v>
      </c>
      <c r="D120" s="1092">
        <v>0</v>
      </c>
      <c r="E120" s="1092">
        <v>0</v>
      </c>
      <c r="F120" s="1092">
        <v>1</v>
      </c>
      <c r="G120" s="1092">
        <v>0</v>
      </c>
      <c r="H120" s="1092">
        <v>0</v>
      </c>
      <c r="I120" s="1092">
        <v>0</v>
      </c>
      <c r="J120" s="1092">
        <v>0</v>
      </c>
      <c r="K120" s="1092">
        <v>0</v>
      </c>
      <c r="L120" s="1092">
        <v>0</v>
      </c>
      <c r="M120" s="1092">
        <v>0</v>
      </c>
      <c r="N120" s="27">
        <f t="shared" si="18"/>
        <v>1</v>
      </c>
    </row>
    <row r="121" spans="1:14">
      <c r="A121" s="76" t="s">
        <v>168</v>
      </c>
      <c r="B121" s="1092">
        <v>0</v>
      </c>
      <c r="C121" s="1092">
        <v>0</v>
      </c>
      <c r="D121" s="1092">
        <v>0</v>
      </c>
      <c r="E121" s="1092">
        <v>0</v>
      </c>
      <c r="F121" s="1092">
        <v>600</v>
      </c>
      <c r="G121" s="1092">
        <v>0</v>
      </c>
      <c r="H121" s="1092">
        <v>0</v>
      </c>
      <c r="I121" s="1092">
        <v>0</v>
      </c>
      <c r="J121" s="1092">
        <v>0</v>
      </c>
      <c r="K121" s="1092">
        <v>0</v>
      </c>
      <c r="L121" s="1092">
        <v>0</v>
      </c>
      <c r="M121" s="1092">
        <v>0</v>
      </c>
      <c r="N121" s="27">
        <f t="shared" si="18"/>
        <v>600</v>
      </c>
    </row>
    <row r="122" spans="1:14">
      <c r="A122" s="76" t="s">
        <v>165</v>
      </c>
      <c r="B122" s="1092">
        <v>0</v>
      </c>
      <c r="C122" s="1092">
        <v>0</v>
      </c>
      <c r="D122" s="1092">
        <v>0</v>
      </c>
      <c r="E122" s="1092">
        <v>0</v>
      </c>
      <c r="F122" s="1092">
        <v>0</v>
      </c>
      <c r="G122" s="1092">
        <v>0</v>
      </c>
      <c r="H122" s="1092">
        <v>0</v>
      </c>
      <c r="I122" s="1092">
        <v>0</v>
      </c>
      <c r="J122" s="1092">
        <v>0</v>
      </c>
      <c r="K122" s="1092">
        <v>48</v>
      </c>
      <c r="L122" s="1092">
        <v>0</v>
      </c>
      <c r="M122" s="1092">
        <v>0</v>
      </c>
      <c r="N122" s="27">
        <f t="shared" si="18"/>
        <v>48</v>
      </c>
    </row>
    <row r="123" spans="1:14" ht="14" thickBot="1">
      <c r="A123" s="76" t="s">
        <v>166</v>
      </c>
      <c r="B123" s="1092">
        <v>0</v>
      </c>
      <c r="C123" s="1092">
        <v>0</v>
      </c>
      <c r="D123" s="1092">
        <v>0</v>
      </c>
      <c r="E123" s="1092">
        <v>0</v>
      </c>
      <c r="F123" s="1092">
        <v>0</v>
      </c>
      <c r="G123" s="1092">
        <v>0</v>
      </c>
      <c r="H123" s="1092">
        <v>0</v>
      </c>
      <c r="I123" s="1092">
        <v>0</v>
      </c>
      <c r="J123" s="1092">
        <v>0</v>
      </c>
      <c r="K123" s="1092">
        <v>0</v>
      </c>
      <c r="L123" s="1092">
        <v>0</v>
      </c>
      <c r="M123" s="1092">
        <v>0</v>
      </c>
      <c r="N123" s="27">
        <f t="shared" si="18"/>
        <v>0</v>
      </c>
    </row>
    <row r="124" spans="1:14" ht="14" thickBot="1">
      <c r="A124" s="53" t="s">
        <v>60</v>
      </c>
      <c r="B124" s="55">
        <f>SUM(B117:B123)</f>
        <v>28</v>
      </c>
      <c r="C124" s="55">
        <f t="shared" ref="C124:M124" si="19">SUM(C117:C123)</f>
        <v>14</v>
      </c>
      <c r="D124" s="55">
        <f t="shared" si="19"/>
        <v>36</v>
      </c>
      <c r="E124" s="55">
        <f t="shared" si="19"/>
        <v>13</v>
      </c>
      <c r="F124" s="55">
        <f t="shared" si="19"/>
        <v>704</v>
      </c>
      <c r="G124" s="55">
        <f t="shared" si="19"/>
        <v>6</v>
      </c>
      <c r="H124" s="55">
        <f t="shared" si="19"/>
        <v>16</v>
      </c>
      <c r="I124" s="55">
        <f t="shared" si="19"/>
        <v>0</v>
      </c>
      <c r="J124" s="55">
        <f t="shared" si="19"/>
        <v>28</v>
      </c>
      <c r="K124" s="55">
        <f t="shared" si="19"/>
        <v>50</v>
      </c>
      <c r="L124" s="55">
        <f t="shared" si="19"/>
        <v>31</v>
      </c>
      <c r="M124" s="55">
        <f t="shared" si="19"/>
        <v>17</v>
      </c>
      <c r="N124" s="54">
        <f>SUM(N117:N123)</f>
        <v>943</v>
      </c>
    </row>
    <row r="125" spans="1:14" ht="14" thickBot="1">
      <c r="A125" s="38" t="s">
        <v>49</v>
      </c>
      <c r="B125" s="39"/>
      <c r="C125" s="39"/>
      <c r="D125" s="39"/>
      <c r="E125" s="39"/>
      <c r="F125" s="39"/>
      <c r="G125" s="39"/>
      <c r="H125" s="39"/>
      <c r="I125" s="39"/>
      <c r="J125" s="39"/>
      <c r="K125" s="39"/>
      <c r="L125" s="39"/>
      <c r="M125" s="39"/>
      <c r="N125" s="40"/>
    </row>
    <row r="126" spans="1:14" ht="14" thickBot="1">
      <c r="A126" s="33" t="s">
        <v>49</v>
      </c>
      <c r="B126" s="1092">
        <v>0</v>
      </c>
      <c r="C126" s="1092">
        <v>0</v>
      </c>
      <c r="D126" s="1092">
        <v>0</v>
      </c>
      <c r="E126" s="1092">
        <v>0</v>
      </c>
      <c r="F126" s="1092">
        <v>0</v>
      </c>
      <c r="G126" s="1092">
        <v>0</v>
      </c>
      <c r="H126" s="1092">
        <v>1</v>
      </c>
      <c r="I126" s="1092">
        <v>0</v>
      </c>
      <c r="J126" s="1092">
        <v>0</v>
      </c>
      <c r="K126" s="1092">
        <v>0</v>
      </c>
      <c r="L126" s="1092">
        <v>0</v>
      </c>
      <c r="M126" s="1092">
        <v>0</v>
      </c>
      <c r="N126" s="308">
        <f>SUM(B126:M126)</f>
        <v>1</v>
      </c>
    </row>
    <row r="127" spans="1:14" ht="14" thickBot="1">
      <c r="A127" s="53" t="s">
        <v>60</v>
      </c>
      <c r="B127" s="55">
        <f>SUM(B126)</f>
        <v>0</v>
      </c>
      <c r="C127" s="55">
        <f t="shared" ref="C127:M127" si="20">SUM(C126)</f>
        <v>0</v>
      </c>
      <c r="D127" s="55">
        <f t="shared" si="20"/>
        <v>0</v>
      </c>
      <c r="E127" s="55">
        <f t="shared" si="20"/>
        <v>0</v>
      </c>
      <c r="F127" s="55">
        <f t="shared" si="20"/>
        <v>0</v>
      </c>
      <c r="G127" s="55">
        <f t="shared" si="20"/>
        <v>0</v>
      </c>
      <c r="H127" s="55">
        <f t="shared" si="20"/>
        <v>1</v>
      </c>
      <c r="I127" s="55">
        <f t="shared" si="20"/>
        <v>0</v>
      </c>
      <c r="J127" s="55">
        <f t="shared" si="20"/>
        <v>0</v>
      </c>
      <c r="K127" s="55">
        <f t="shared" si="20"/>
        <v>0</v>
      </c>
      <c r="L127" s="55">
        <f t="shared" si="20"/>
        <v>0</v>
      </c>
      <c r="M127" s="55">
        <f t="shared" si="20"/>
        <v>0</v>
      </c>
      <c r="N127" s="54">
        <f>SUM(N126)</f>
        <v>1</v>
      </c>
    </row>
    <row r="128" spans="1:14" ht="14" thickBot="1">
      <c r="A128" s="38" t="s">
        <v>50</v>
      </c>
      <c r="B128" s="39"/>
      <c r="C128" s="39"/>
      <c r="D128" s="39"/>
      <c r="E128" s="39"/>
      <c r="F128" s="39"/>
      <c r="G128" s="39"/>
      <c r="H128" s="39"/>
      <c r="I128" s="39"/>
      <c r="J128" s="39"/>
      <c r="K128" s="39"/>
      <c r="L128" s="39"/>
      <c r="M128" s="39"/>
      <c r="N128" s="40"/>
    </row>
    <row r="129" spans="1:14">
      <c r="A129" s="32" t="s">
        <v>29</v>
      </c>
      <c r="B129" s="1092">
        <v>0</v>
      </c>
      <c r="C129" s="1092">
        <v>0</v>
      </c>
      <c r="D129" s="1092">
        <v>0</v>
      </c>
      <c r="E129" s="1092">
        <v>0</v>
      </c>
      <c r="F129" s="1092">
        <v>0</v>
      </c>
      <c r="G129" s="1092">
        <v>0</v>
      </c>
      <c r="H129" s="1092">
        <v>0</v>
      </c>
      <c r="I129" s="1092">
        <v>0</v>
      </c>
      <c r="J129" s="1092">
        <v>0</v>
      </c>
      <c r="K129" s="1092">
        <v>0</v>
      </c>
      <c r="L129" s="1092">
        <v>0</v>
      </c>
      <c r="M129" s="1092">
        <v>0</v>
      </c>
      <c r="N129" s="27">
        <f t="shared" ref="N129:N135" si="21">SUM(B129:M129)</f>
        <v>0</v>
      </c>
    </row>
    <row r="130" spans="1:14">
      <c r="A130" s="32" t="s">
        <v>51</v>
      </c>
      <c r="B130" s="1092">
        <v>0</v>
      </c>
      <c r="C130" s="1092">
        <v>0</v>
      </c>
      <c r="D130" s="1092">
        <v>0</v>
      </c>
      <c r="E130" s="1092">
        <v>1</v>
      </c>
      <c r="F130" s="1092">
        <v>0</v>
      </c>
      <c r="G130" s="1092">
        <v>87</v>
      </c>
      <c r="H130" s="1092">
        <v>23</v>
      </c>
      <c r="I130" s="1092">
        <v>0</v>
      </c>
      <c r="J130" s="1092">
        <v>0</v>
      </c>
      <c r="K130" s="1092">
        <v>0</v>
      </c>
      <c r="L130" s="1092">
        <v>0</v>
      </c>
      <c r="M130" s="1092">
        <v>0</v>
      </c>
      <c r="N130" s="27">
        <f t="shared" si="21"/>
        <v>111</v>
      </c>
    </row>
    <row r="131" spans="1:14">
      <c r="A131" s="34" t="s">
        <v>20</v>
      </c>
      <c r="B131" s="1092">
        <v>0</v>
      </c>
      <c r="C131" s="1092">
        <v>0</v>
      </c>
      <c r="D131" s="1092">
        <v>0</v>
      </c>
      <c r="E131" s="1092">
        <v>0</v>
      </c>
      <c r="F131" s="1092">
        <v>0</v>
      </c>
      <c r="G131" s="1092">
        <v>0</v>
      </c>
      <c r="H131" s="1092">
        <v>0</v>
      </c>
      <c r="I131" s="1092">
        <v>0</v>
      </c>
      <c r="J131" s="1092">
        <v>0</v>
      </c>
      <c r="K131" s="1092">
        <v>0</v>
      </c>
      <c r="L131" s="1092">
        <v>0</v>
      </c>
      <c r="M131" s="1092">
        <v>0</v>
      </c>
      <c r="N131" s="27">
        <f t="shared" si="21"/>
        <v>0</v>
      </c>
    </row>
    <row r="132" spans="1:14">
      <c r="A132" s="34" t="s">
        <v>13</v>
      </c>
      <c r="B132" s="1092">
        <v>0</v>
      </c>
      <c r="C132" s="1092">
        <v>0</v>
      </c>
      <c r="D132" s="1092">
        <v>0</v>
      </c>
      <c r="E132" s="1092">
        <v>0</v>
      </c>
      <c r="F132" s="1092">
        <v>0</v>
      </c>
      <c r="G132" s="1092">
        <v>0</v>
      </c>
      <c r="H132" s="1092">
        <v>0</v>
      </c>
      <c r="I132" s="1092">
        <v>0</v>
      </c>
      <c r="J132" s="1092">
        <v>0</v>
      </c>
      <c r="K132" s="1092">
        <v>0</v>
      </c>
      <c r="L132" s="1092">
        <v>0</v>
      </c>
      <c r="M132" s="1092">
        <v>0</v>
      </c>
      <c r="N132" s="27">
        <f t="shared" si="21"/>
        <v>0</v>
      </c>
    </row>
    <row r="133" spans="1:14">
      <c r="A133" s="35" t="s">
        <v>47</v>
      </c>
      <c r="B133" s="1092">
        <v>0</v>
      </c>
      <c r="C133" s="1092">
        <v>0</v>
      </c>
      <c r="D133" s="1092">
        <v>0</v>
      </c>
      <c r="E133" s="1092">
        <v>0</v>
      </c>
      <c r="F133" s="1092">
        <v>0</v>
      </c>
      <c r="G133" s="1092">
        <v>0</v>
      </c>
      <c r="H133" s="1092">
        <v>0</v>
      </c>
      <c r="I133" s="1092">
        <v>0</v>
      </c>
      <c r="J133" s="1092">
        <v>0</v>
      </c>
      <c r="K133" s="1092">
        <v>0</v>
      </c>
      <c r="L133" s="1092">
        <v>0</v>
      </c>
      <c r="M133" s="1092">
        <v>0</v>
      </c>
      <c r="N133" s="27">
        <f t="shared" si="21"/>
        <v>0</v>
      </c>
    </row>
    <row r="134" spans="1:14">
      <c r="A134" s="76" t="s">
        <v>30</v>
      </c>
      <c r="B134" s="1092">
        <v>0</v>
      </c>
      <c r="C134" s="1092">
        <v>0</v>
      </c>
      <c r="D134" s="1092">
        <v>0</v>
      </c>
      <c r="E134" s="1092">
        <v>0</v>
      </c>
      <c r="F134" s="1092">
        <v>0</v>
      </c>
      <c r="G134" s="1092">
        <v>0</v>
      </c>
      <c r="H134" s="1092">
        <v>0</v>
      </c>
      <c r="I134" s="1092">
        <v>0</v>
      </c>
      <c r="J134" s="1092">
        <v>0</v>
      </c>
      <c r="K134" s="1092">
        <v>0</v>
      </c>
      <c r="L134" s="1092">
        <v>0</v>
      </c>
      <c r="M134" s="1092">
        <v>0</v>
      </c>
      <c r="N134" s="27">
        <f t="shared" si="21"/>
        <v>0</v>
      </c>
    </row>
    <row r="135" spans="1:14">
      <c r="A135" s="76" t="s">
        <v>150</v>
      </c>
      <c r="B135" s="1092">
        <v>0</v>
      </c>
      <c r="C135" s="1092">
        <v>0</v>
      </c>
      <c r="D135" s="1092">
        <v>0</v>
      </c>
      <c r="E135" s="1092">
        <v>0</v>
      </c>
      <c r="F135" s="1092">
        <v>0</v>
      </c>
      <c r="G135" s="1092">
        <v>0</v>
      </c>
      <c r="H135" s="1092">
        <v>0</v>
      </c>
      <c r="I135" s="1092">
        <v>0</v>
      </c>
      <c r="J135" s="1092">
        <v>0</v>
      </c>
      <c r="K135" s="1092">
        <v>0</v>
      </c>
      <c r="L135" s="1092">
        <v>0</v>
      </c>
      <c r="M135" s="1092">
        <v>0</v>
      </c>
      <c r="N135" s="27">
        <f t="shared" si="21"/>
        <v>0</v>
      </c>
    </row>
    <row r="136" spans="1:14">
      <c r="A136" s="32" t="s">
        <v>56</v>
      </c>
      <c r="B136" s="1092">
        <v>0</v>
      </c>
      <c r="C136" s="1092">
        <v>0</v>
      </c>
      <c r="D136" s="1092">
        <v>0</v>
      </c>
      <c r="E136" s="1092">
        <v>0</v>
      </c>
      <c r="F136" s="1092">
        <v>0</v>
      </c>
      <c r="G136" s="1092">
        <v>0</v>
      </c>
      <c r="H136" s="1092">
        <v>0</v>
      </c>
      <c r="I136" s="1092">
        <v>0</v>
      </c>
      <c r="J136" s="1092">
        <v>0</v>
      </c>
      <c r="K136" s="1092">
        <v>0</v>
      </c>
      <c r="L136" s="1092">
        <v>0</v>
      </c>
      <c r="M136" s="1092">
        <v>0</v>
      </c>
      <c r="N136" s="27">
        <f>SUM(B136:M136)</f>
        <v>0</v>
      </c>
    </row>
    <row r="137" spans="1:14">
      <c r="A137" s="78" t="s">
        <v>122</v>
      </c>
      <c r="B137" s="1092">
        <v>0</v>
      </c>
      <c r="C137" s="1092">
        <v>0</v>
      </c>
      <c r="D137" s="1092">
        <v>0</v>
      </c>
      <c r="E137" s="1092">
        <v>0</v>
      </c>
      <c r="F137" s="1092">
        <v>0</v>
      </c>
      <c r="G137" s="1092">
        <v>0</v>
      </c>
      <c r="H137" s="1092">
        <v>0</v>
      </c>
      <c r="I137" s="1092">
        <v>0</v>
      </c>
      <c r="J137" s="1092">
        <v>0</v>
      </c>
      <c r="K137" s="1092">
        <v>0</v>
      </c>
      <c r="L137" s="1092">
        <v>0</v>
      </c>
      <c r="M137" s="1092">
        <v>0</v>
      </c>
      <c r="N137" s="27">
        <f>SUM(B137:M137)</f>
        <v>0</v>
      </c>
    </row>
    <row r="138" spans="1:14">
      <c r="A138" s="32" t="s">
        <v>102</v>
      </c>
      <c r="B138" s="1092">
        <v>0</v>
      </c>
      <c r="C138" s="1092">
        <v>0</v>
      </c>
      <c r="D138" s="1092">
        <v>0</v>
      </c>
      <c r="E138" s="1092">
        <v>0</v>
      </c>
      <c r="F138" s="1092">
        <v>0</v>
      </c>
      <c r="G138" s="1092">
        <v>0</v>
      </c>
      <c r="H138" s="1092">
        <v>0</v>
      </c>
      <c r="I138" s="1092">
        <v>0</v>
      </c>
      <c r="J138" s="1092">
        <v>0</v>
      </c>
      <c r="K138" s="1092">
        <v>0</v>
      </c>
      <c r="L138" s="1092">
        <v>0</v>
      </c>
      <c r="M138" s="1092">
        <v>0</v>
      </c>
      <c r="N138" s="27">
        <f>SUM(B138:M138)</f>
        <v>0</v>
      </c>
    </row>
    <row r="139" spans="1:14" ht="14" thickBot="1">
      <c r="A139" s="78" t="s">
        <v>167</v>
      </c>
      <c r="B139" s="1092">
        <v>0</v>
      </c>
      <c r="C139" s="1092">
        <v>0</v>
      </c>
      <c r="D139" s="1092">
        <v>0</v>
      </c>
      <c r="E139" s="1092">
        <v>0</v>
      </c>
      <c r="F139" s="1092">
        <v>0</v>
      </c>
      <c r="G139" s="1092">
        <v>0</v>
      </c>
      <c r="H139" s="1092">
        <v>0</v>
      </c>
      <c r="I139" s="1092">
        <v>0</v>
      </c>
      <c r="J139" s="1092">
        <v>0</v>
      </c>
      <c r="K139" s="1092">
        <v>0</v>
      </c>
      <c r="L139" s="1092">
        <v>0</v>
      </c>
      <c r="M139" s="1092">
        <v>0</v>
      </c>
      <c r="N139" s="27">
        <f>SUM(B139:M139)</f>
        <v>0</v>
      </c>
    </row>
    <row r="140" spans="1:14" ht="14" thickBot="1">
      <c r="A140" s="53" t="s">
        <v>60</v>
      </c>
      <c r="B140" s="55">
        <f>SUM(B129:B139)</f>
        <v>0</v>
      </c>
      <c r="C140" s="55">
        <f t="shared" ref="C140:M140" si="22">SUM(C129:C139)</f>
        <v>0</v>
      </c>
      <c r="D140" s="55">
        <f t="shared" si="22"/>
        <v>0</v>
      </c>
      <c r="E140" s="55">
        <f t="shared" si="22"/>
        <v>1</v>
      </c>
      <c r="F140" s="55">
        <f t="shared" si="22"/>
        <v>0</v>
      </c>
      <c r="G140" s="55">
        <f t="shared" si="22"/>
        <v>87</v>
      </c>
      <c r="H140" s="55">
        <f t="shared" si="22"/>
        <v>23</v>
      </c>
      <c r="I140" s="55">
        <f t="shared" si="22"/>
        <v>0</v>
      </c>
      <c r="J140" s="55">
        <f t="shared" si="22"/>
        <v>0</v>
      </c>
      <c r="K140" s="55">
        <f t="shared" si="22"/>
        <v>0</v>
      </c>
      <c r="L140" s="55">
        <f t="shared" si="22"/>
        <v>0</v>
      </c>
      <c r="M140" s="55">
        <f t="shared" si="22"/>
        <v>0</v>
      </c>
      <c r="N140" s="54">
        <f>SUM(N129:N139)</f>
        <v>111</v>
      </c>
    </row>
    <row r="143" spans="1:14" ht="14" thickBot="1">
      <c r="B143" s="43" t="s">
        <v>35</v>
      </c>
      <c r="C143" s="43" t="s">
        <v>36</v>
      </c>
      <c r="D143" s="43" t="s">
        <v>37</v>
      </c>
      <c r="E143" s="43" t="s">
        <v>38</v>
      </c>
      <c r="F143" s="43" t="s">
        <v>39</v>
      </c>
      <c r="G143" s="43" t="s">
        <v>40</v>
      </c>
      <c r="H143" s="43" t="s">
        <v>41</v>
      </c>
      <c r="I143" s="43" t="s">
        <v>42</v>
      </c>
      <c r="J143" s="43" t="s">
        <v>43</v>
      </c>
      <c r="K143" s="43" t="s">
        <v>44</v>
      </c>
      <c r="L143" s="43" t="s">
        <v>45</v>
      </c>
      <c r="M143" s="43" t="s">
        <v>46</v>
      </c>
      <c r="N143" s="43" t="s">
        <v>10</v>
      </c>
    </row>
    <row r="144" spans="1:14" ht="17" thickBot="1">
      <c r="A144" s="31" t="s">
        <v>178</v>
      </c>
      <c r="B144" s="24"/>
      <c r="C144" s="24"/>
      <c r="D144" s="22"/>
      <c r="E144" s="22"/>
      <c r="F144" s="25"/>
      <c r="G144" s="25"/>
      <c r="H144" s="22"/>
      <c r="I144" s="22"/>
      <c r="J144" s="22"/>
      <c r="K144" s="22"/>
      <c r="L144" s="24"/>
      <c r="M144" s="24"/>
      <c r="N144" s="26"/>
    </row>
    <row r="145" spans="1:14" ht="14" thickBot="1">
      <c r="A145" s="38" t="s">
        <v>48</v>
      </c>
      <c r="B145" s="39"/>
      <c r="C145" s="39"/>
      <c r="D145" s="39"/>
      <c r="E145" s="39"/>
      <c r="F145" s="39"/>
      <c r="G145" s="39"/>
      <c r="H145" s="39"/>
      <c r="I145" s="39"/>
      <c r="J145" s="39"/>
      <c r="K145" s="39"/>
      <c r="L145" s="39"/>
      <c r="M145" s="39"/>
      <c r="N145" s="40"/>
    </row>
    <row r="146" spans="1:14" hidden="1">
      <c r="A146" s="32" t="s">
        <v>29</v>
      </c>
      <c r="B146" s="44"/>
      <c r="C146" s="44"/>
      <c r="D146" s="44"/>
      <c r="E146" s="44"/>
      <c r="F146" s="44"/>
      <c r="G146" s="44"/>
      <c r="H146" s="44"/>
      <c r="I146" s="44"/>
      <c r="J146" s="44"/>
      <c r="K146" s="44"/>
      <c r="L146" s="44"/>
      <c r="M146" s="44"/>
      <c r="N146" s="27">
        <f t="shared" ref="N146:N152" si="23">SUM(B146:M146)</f>
        <v>0</v>
      </c>
    </row>
    <row r="147" spans="1:14">
      <c r="A147" s="32" t="s">
        <v>33</v>
      </c>
      <c r="B147" s="1092">
        <v>3</v>
      </c>
      <c r="C147" s="1092">
        <v>4</v>
      </c>
      <c r="D147" s="1092">
        <v>10</v>
      </c>
      <c r="E147" s="1092">
        <v>21</v>
      </c>
      <c r="F147" s="1092">
        <v>0</v>
      </c>
      <c r="G147" s="1092">
        <v>20</v>
      </c>
      <c r="H147" s="1092">
        <v>11</v>
      </c>
      <c r="I147" s="1092">
        <v>11</v>
      </c>
      <c r="J147" s="1092">
        <v>12</v>
      </c>
      <c r="K147" s="1092">
        <v>14</v>
      </c>
      <c r="L147" s="1092">
        <v>7</v>
      </c>
      <c r="M147" s="1092">
        <v>13</v>
      </c>
      <c r="N147" s="27">
        <f t="shared" si="23"/>
        <v>126</v>
      </c>
    </row>
    <row r="148" spans="1:14">
      <c r="A148" s="32" t="s">
        <v>56</v>
      </c>
      <c r="B148" s="1092">
        <v>0</v>
      </c>
      <c r="C148" s="1092">
        <v>0</v>
      </c>
      <c r="D148" s="1092">
        <v>0</v>
      </c>
      <c r="E148" s="1092">
        <v>0</v>
      </c>
      <c r="F148" s="1092">
        <v>0</v>
      </c>
      <c r="G148" s="1092">
        <v>0</v>
      </c>
      <c r="H148" s="1092">
        <v>0</v>
      </c>
      <c r="I148" s="1092">
        <v>0</v>
      </c>
      <c r="J148" s="1092">
        <v>0</v>
      </c>
      <c r="K148" s="1092">
        <v>0</v>
      </c>
      <c r="L148" s="1092">
        <v>0</v>
      </c>
      <c r="M148" s="1092">
        <v>0</v>
      </c>
      <c r="N148" s="27">
        <f t="shared" si="23"/>
        <v>0</v>
      </c>
    </row>
    <row r="149" spans="1:14">
      <c r="A149" s="78" t="s">
        <v>30</v>
      </c>
      <c r="B149" s="1092">
        <v>0</v>
      </c>
      <c r="C149" s="1092">
        <v>1</v>
      </c>
      <c r="D149" s="1092">
        <v>0</v>
      </c>
      <c r="E149" s="1092">
        <v>0</v>
      </c>
      <c r="F149" s="1092">
        <v>0</v>
      </c>
      <c r="G149" s="1092">
        <v>0</v>
      </c>
      <c r="H149" s="1092">
        <v>0</v>
      </c>
      <c r="I149" s="1092">
        <v>0</v>
      </c>
      <c r="J149" s="1092">
        <v>1</v>
      </c>
      <c r="K149" s="1092">
        <v>0</v>
      </c>
      <c r="L149" s="1092">
        <v>0</v>
      </c>
      <c r="M149" s="1092">
        <v>0</v>
      </c>
      <c r="N149" s="27">
        <f t="shared" si="23"/>
        <v>2</v>
      </c>
    </row>
    <row r="150" spans="1:14" hidden="1">
      <c r="A150" s="76" t="s">
        <v>182</v>
      </c>
      <c r="B150" s="1092"/>
      <c r="C150" s="1092"/>
      <c r="D150" s="1092"/>
      <c r="E150" s="1092"/>
      <c r="F150" s="1092"/>
      <c r="G150" s="1092"/>
      <c r="H150" s="1092"/>
      <c r="I150" s="1092"/>
      <c r="J150" s="1092"/>
      <c r="K150" s="1092"/>
      <c r="L150" s="1092"/>
      <c r="M150" s="1092"/>
      <c r="N150" s="27">
        <f t="shared" si="23"/>
        <v>0</v>
      </c>
    </row>
    <row r="151" spans="1:14">
      <c r="A151" s="76" t="s">
        <v>165</v>
      </c>
      <c r="B151" s="1092">
        <v>0</v>
      </c>
      <c r="C151" s="1092">
        <v>0</v>
      </c>
      <c r="D151" s="1092">
        <v>0</v>
      </c>
      <c r="E151" s="1092">
        <v>0</v>
      </c>
      <c r="F151" s="1092">
        <v>0</v>
      </c>
      <c r="G151" s="1092">
        <v>0</v>
      </c>
      <c r="H151" s="1092">
        <v>0</v>
      </c>
      <c r="I151" s="1092">
        <v>0</v>
      </c>
      <c r="J151" s="1092">
        <v>0</v>
      </c>
      <c r="K151" s="1092">
        <v>0</v>
      </c>
      <c r="L151" s="1092">
        <v>0</v>
      </c>
      <c r="M151" s="1092">
        <v>1103</v>
      </c>
      <c r="N151" s="27">
        <v>1103</v>
      </c>
    </row>
    <row r="152" spans="1:14" ht="14" thickBot="1">
      <c r="A152" s="76" t="s">
        <v>166</v>
      </c>
      <c r="B152" s="1092">
        <v>0</v>
      </c>
      <c r="C152" s="1092">
        <v>0</v>
      </c>
      <c r="D152" s="1092">
        <v>0</v>
      </c>
      <c r="E152" s="1092">
        <v>0</v>
      </c>
      <c r="F152" s="1092">
        <v>0</v>
      </c>
      <c r="G152" s="1092">
        <v>0</v>
      </c>
      <c r="H152" s="1092">
        <v>0</v>
      </c>
      <c r="I152" s="1092">
        <v>0</v>
      </c>
      <c r="J152" s="1092">
        <v>0</v>
      </c>
      <c r="K152" s="1092">
        <v>0</v>
      </c>
      <c r="L152" s="1092">
        <v>0</v>
      </c>
      <c r="M152" s="1092">
        <v>0</v>
      </c>
      <c r="N152" s="27">
        <f t="shared" si="23"/>
        <v>0</v>
      </c>
    </row>
    <row r="153" spans="1:14" ht="14" thickBot="1">
      <c r="A153" s="53" t="s">
        <v>60</v>
      </c>
      <c r="B153" s="55">
        <f>SUM(B146:B152)</f>
        <v>3</v>
      </c>
      <c r="C153" s="55">
        <f t="shared" ref="C153:M153" si="24">SUM(C146:C152)</f>
        <v>5</v>
      </c>
      <c r="D153" s="55">
        <f t="shared" si="24"/>
        <v>10</v>
      </c>
      <c r="E153" s="55">
        <f t="shared" si="24"/>
        <v>21</v>
      </c>
      <c r="F153" s="55">
        <f t="shared" si="24"/>
        <v>0</v>
      </c>
      <c r="G153" s="55">
        <f t="shared" si="24"/>
        <v>20</v>
      </c>
      <c r="H153" s="55">
        <f t="shared" si="24"/>
        <v>11</v>
      </c>
      <c r="I153" s="55">
        <f t="shared" si="24"/>
        <v>11</v>
      </c>
      <c r="J153" s="55">
        <f t="shared" si="24"/>
        <v>13</v>
      </c>
      <c r="K153" s="55">
        <f t="shared" si="24"/>
        <v>14</v>
      </c>
      <c r="L153" s="55">
        <f t="shared" si="24"/>
        <v>7</v>
      </c>
      <c r="M153" s="55">
        <f t="shared" si="24"/>
        <v>1116</v>
      </c>
      <c r="N153" s="54">
        <f>SUM(N146:N152)</f>
        <v>1231</v>
      </c>
    </row>
    <row r="154" spans="1:14" ht="14" thickBot="1">
      <c r="A154" s="38" t="s">
        <v>49</v>
      </c>
      <c r="B154" s="39"/>
      <c r="C154" s="39"/>
      <c r="D154" s="39"/>
      <c r="E154" s="39"/>
      <c r="F154" s="39"/>
      <c r="G154" s="39"/>
      <c r="H154" s="39"/>
      <c r="I154" s="39"/>
      <c r="J154" s="39"/>
      <c r="K154" s="39"/>
      <c r="L154" s="39"/>
      <c r="M154" s="39"/>
      <c r="N154" s="40"/>
    </row>
    <row r="155" spans="1:14">
      <c r="A155" s="76" t="s">
        <v>147</v>
      </c>
      <c r="B155" s="1092">
        <v>0</v>
      </c>
      <c r="C155" s="1092">
        <v>0</v>
      </c>
      <c r="D155" s="1092">
        <v>0</v>
      </c>
      <c r="E155" s="1092">
        <v>0</v>
      </c>
      <c r="F155" s="1092">
        <v>0</v>
      </c>
      <c r="G155" s="1092">
        <v>0</v>
      </c>
      <c r="H155" s="1092">
        <v>0</v>
      </c>
      <c r="I155" s="1092">
        <v>0</v>
      </c>
      <c r="J155" s="1092">
        <v>0</v>
      </c>
      <c r="K155" s="1092">
        <v>0</v>
      </c>
      <c r="L155" s="1092">
        <v>0</v>
      </c>
      <c r="M155" s="1092">
        <v>2</v>
      </c>
      <c r="N155" s="27">
        <v>2</v>
      </c>
    </row>
    <row r="156" spans="1:14" ht="14" thickBot="1">
      <c r="A156" s="76" t="s">
        <v>179</v>
      </c>
      <c r="B156" s="1092">
        <v>0</v>
      </c>
      <c r="C156" s="1092">
        <v>0</v>
      </c>
      <c r="D156" s="1092">
        <v>0</v>
      </c>
      <c r="E156" s="1092">
        <v>0</v>
      </c>
      <c r="F156" s="1092">
        <v>0</v>
      </c>
      <c r="G156" s="1092">
        <v>0</v>
      </c>
      <c r="H156" s="1092">
        <v>0</v>
      </c>
      <c r="I156" s="1092">
        <v>0</v>
      </c>
      <c r="J156" s="1092">
        <v>0</v>
      </c>
      <c r="K156" s="1092">
        <v>0</v>
      </c>
      <c r="L156" s="1092">
        <v>0</v>
      </c>
      <c r="M156" s="1092">
        <v>82</v>
      </c>
      <c r="N156" s="27">
        <v>82</v>
      </c>
    </row>
    <row r="157" spans="1:14" ht="14" thickBot="1">
      <c r="A157" s="53" t="s">
        <v>60</v>
      </c>
      <c r="B157" s="55">
        <f>SUM(B155)</f>
        <v>0</v>
      </c>
      <c r="C157" s="55">
        <f t="shared" ref="C157:M157" si="25">SUM(C155)</f>
        <v>0</v>
      </c>
      <c r="D157" s="55">
        <f t="shared" si="25"/>
        <v>0</v>
      </c>
      <c r="E157" s="55">
        <f t="shared" si="25"/>
        <v>0</v>
      </c>
      <c r="F157" s="55">
        <f t="shared" si="25"/>
        <v>0</v>
      </c>
      <c r="G157" s="55">
        <f t="shared" si="25"/>
        <v>0</v>
      </c>
      <c r="H157" s="55">
        <f t="shared" si="25"/>
        <v>0</v>
      </c>
      <c r="I157" s="55">
        <f t="shared" si="25"/>
        <v>0</v>
      </c>
      <c r="J157" s="55">
        <f t="shared" si="25"/>
        <v>0</v>
      </c>
      <c r="K157" s="55">
        <f t="shared" si="25"/>
        <v>0</v>
      </c>
      <c r="L157" s="55">
        <f t="shared" si="25"/>
        <v>0</v>
      </c>
      <c r="M157" s="55">
        <f t="shared" si="25"/>
        <v>2</v>
      </c>
      <c r="N157" s="54">
        <f>SUM(N155:N156)</f>
        <v>84</v>
      </c>
    </row>
    <row r="158" spans="1:14" ht="14" thickBot="1">
      <c r="A158" s="38" t="s">
        <v>50</v>
      </c>
      <c r="B158" s="39"/>
      <c r="C158" s="39"/>
      <c r="D158" s="39"/>
      <c r="E158" s="39"/>
      <c r="F158" s="39"/>
      <c r="G158" s="39"/>
      <c r="H158" s="39"/>
      <c r="I158" s="39"/>
      <c r="J158" s="39"/>
      <c r="K158" s="39"/>
      <c r="L158" s="39"/>
      <c r="M158" s="39"/>
      <c r="N158" s="40"/>
    </row>
    <row r="159" spans="1:14">
      <c r="A159" s="32" t="s">
        <v>29</v>
      </c>
      <c r="B159" s="1092">
        <v>0</v>
      </c>
      <c r="C159" s="1092">
        <v>0</v>
      </c>
      <c r="D159" s="1092">
        <v>0</v>
      </c>
      <c r="E159" s="1092">
        <v>0</v>
      </c>
      <c r="F159" s="1092">
        <v>0</v>
      </c>
      <c r="G159" s="1092">
        <v>0</v>
      </c>
      <c r="H159" s="1092">
        <v>0</v>
      </c>
      <c r="I159" s="1092">
        <v>0</v>
      </c>
      <c r="J159" s="1092">
        <v>0</v>
      </c>
      <c r="K159" s="1092">
        <v>0</v>
      </c>
      <c r="L159" s="1092">
        <v>0</v>
      </c>
      <c r="M159" s="1092">
        <v>0</v>
      </c>
      <c r="N159" s="27">
        <f t="shared" ref="N159:N165" si="26">SUM(B159:M159)</f>
        <v>0</v>
      </c>
    </row>
    <row r="160" spans="1:14">
      <c r="A160" s="32" t="s">
        <v>51</v>
      </c>
      <c r="B160" s="1092">
        <v>0</v>
      </c>
      <c r="C160" s="1092">
        <v>0</v>
      </c>
      <c r="D160" s="1092">
        <v>0</v>
      </c>
      <c r="E160" s="1092">
        <v>0</v>
      </c>
      <c r="F160" s="1092">
        <v>0</v>
      </c>
      <c r="G160" s="1092">
        <v>4</v>
      </c>
      <c r="H160" s="1092">
        <v>2</v>
      </c>
      <c r="I160" s="1092">
        <v>0</v>
      </c>
      <c r="J160" s="1092">
        <v>0</v>
      </c>
      <c r="K160" s="1092">
        <v>0</v>
      </c>
      <c r="L160" s="1092">
        <v>0</v>
      </c>
      <c r="M160" s="1092">
        <v>0</v>
      </c>
      <c r="N160" s="27">
        <f t="shared" si="26"/>
        <v>6</v>
      </c>
    </row>
    <row r="161" spans="1:14">
      <c r="A161" s="34" t="s">
        <v>20</v>
      </c>
      <c r="B161" s="1092">
        <v>0</v>
      </c>
      <c r="C161" s="1092">
        <v>0</v>
      </c>
      <c r="D161" s="1092">
        <v>0</v>
      </c>
      <c r="E161" s="1092">
        <v>0</v>
      </c>
      <c r="F161" s="1092">
        <v>0</v>
      </c>
      <c r="G161" s="1092">
        <v>0</v>
      </c>
      <c r="H161" s="1092">
        <v>0</v>
      </c>
      <c r="I161" s="1092">
        <v>0</v>
      </c>
      <c r="J161" s="1092">
        <v>0</v>
      </c>
      <c r="K161" s="1092">
        <v>0</v>
      </c>
      <c r="L161" s="1092">
        <v>0</v>
      </c>
      <c r="M161" s="1092">
        <v>0</v>
      </c>
      <c r="N161" s="27">
        <f t="shared" si="26"/>
        <v>0</v>
      </c>
    </row>
    <row r="162" spans="1:14">
      <c r="A162" s="34" t="s">
        <v>13</v>
      </c>
      <c r="B162" s="1092">
        <v>0</v>
      </c>
      <c r="C162" s="1092">
        <v>0</v>
      </c>
      <c r="D162" s="1092">
        <v>0</v>
      </c>
      <c r="E162" s="1092">
        <v>0</v>
      </c>
      <c r="F162" s="1092">
        <v>0</v>
      </c>
      <c r="G162" s="1092">
        <v>0</v>
      </c>
      <c r="H162" s="1092">
        <v>0</v>
      </c>
      <c r="I162" s="1092">
        <v>0</v>
      </c>
      <c r="J162" s="1092">
        <v>0</v>
      </c>
      <c r="K162" s="1092">
        <v>0</v>
      </c>
      <c r="L162" s="1092">
        <v>0</v>
      </c>
      <c r="M162" s="1092">
        <v>0</v>
      </c>
      <c r="N162" s="27">
        <f t="shared" si="26"/>
        <v>0</v>
      </c>
    </row>
    <row r="163" spans="1:14" hidden="1">
      <c r="A163" s="35" t="s">
        <v>47</v>
      </c>
      <c r="B163" s="1092">
        <v>0</v>
      </c>
      <c r="C163" s="1092">
        <v>0</v>
      </c>
      <c r="D163" s="1092">
        <v>0</v>
      </c>
      <c r="E163" s="1092">
        <v>0</v>
      </c>
      <c r="F163" s="1092">
        <v>0</v>
      </c>
      <c r="G163" s="1092">
        <v>0</v>
      </c>
      <c r="H163" s="1092">
        <v>0</v>
      </c>
      <c r="I163" s="1092">
        <v>0</v>
      </c>
      <c r="J163" s="1092">
        <v>0</v>
      </c>
      <c r="K163" s="1092">
        <v>0</v>
      </c>
      <c r="L163" s="1092">
        <v>0</v>
      </c>
      <c r="M163" s="1092">
        <v>0</v>
      </c>
      <c r="N163" s="27">
        <f t="shared" si="26"/>
        <v>0</v>
      </c>
    </row>
    <row r="164" spans="1:14">
      <c r="A164" s="76" t="s">
        <v>30</v>
      </c>
      <c r="B164" s="1092">
        <v>0</v>
      </c>
      <c r="C164" s="1092">
        <v>0</v>
      </c>
      <c r="D164" s="1092">
        <v>0</v>
      </c>
      <c r="E164" s="1092">
        <v>0</v>
      </c>
      <c r="F164" s="1092">
        <v>0</v>
      </c>
      <c r="G164" s="1092">
        <v>0</v>
      </c>
      <c r="H164" s="1092">
        <v>0</v>
      </c>
      <c r="I164" s="1092">
        <v>0</v>
      </c>
      <c r="J164" s="1092">
        <v>0</v>
      </c>
      <c r="K164" s="1092">
        <v>0</v>
      </c>
      <c r="L164" s="1092">
        <v>0</v>
      </c>
      <c r="M164" s="1092">
        <v>0</v>
      </c>
      <c r="N164" s="27">
        <f t="shared" si="26"/>
        <v>0</v>
      </c>
    </row>
    <row r="165" spans="1:14" ht="12.75" hidden="1" customHeight="1">
      <c r="A165" s="76" t="s">
        <v>150</v>
      </c>
      <c r="B165" s="1092">
        <v>0</v>
      </c>
      <c r="C165" s="1092">
        <v>0</v>
      </c>
      <c r="D165" s="1092">
        <v>0</v>
      </c>
      <c r="E165" s="1092">
        <v>0</v>
      </c>
      <c r="F165" s="1092">
        <v>0</v>
      </c>
      <c r="G165" s="1092">
        <v>0</v>
      </c>
      <c r="H165" s="1092">
        <v>0</v>
      </c>
      <c r="I165" s="1092">
        <v>0</v>
      </c>
      <c r="J165" s="1092">
        <v>0</v>
      </c>
      <c r="K165" s="1092">
        <v>0</v>
      </c>
      <c r="L165" s="1092">
        <v>0</v>
      </c>
      <c r="M165" s="1092">
        <v>0</v>
      </c>
      <c r="N165" s="27">
        <f t="shared" si="26"/>
        <v>0</v>
      </c>
    </row>
    <row r="166" spans="1:14">
      <c r="A166" s="32" t="s">
        <v>56</v>
      </c>
      <c r="B166" s="1092">
        <v>0</v>
      </c>
      <c r="C166" s="1092">
        <v>0</v>
      </c>
      <c r="D166" s="1092">
        <v>0</v>
      </c>
      <c r="E166" s="1092">
        <v>0</v>
      </c>
      <c r="F166" s="1092">
        <v>0</v>
      </c>
      <c r="G166" s="1092">
        <v>0</v>
      </c>
      <c r="H166" s="1092">
        <v>0</v>
      </c>
      <c r="I166" s="1092">
        <v>0</v>
      </c>
      <c r="J166" s="1092">
        <v>0</v>
      </c>
      <c r="K166" s="1092">
        <v>0</v>
      </c>
      <c r="L166" s="1092">
        <v>0</v>
      </c>
      <c r="M166" s="1092">
        <v>0</v>
      </c>
      <c r="N166" s="27">
        <f>SUM(B166:M166)</f>
        <v>0</v>
      </c>
    </row>
    <row r="167" spans="1:14">
      <c r="A167" s="78" t="s">
        <v>122</v>
      </c>
      <c r="B167" s="1092">
        <v>0</v>
      </c>
      <c r="C167" s="1092">
        <v>0</v>
      </c>
      <c r="D167" s="1092">
        <v>0</v>
      </c>
      <c r="E167" s="1092">
        <v>0</v>
      </c>
      <c r="F167" s="1092">
        <v>0</v>
      </c>
      <c r="G167" s="1092">
        <v>0</v>
      </c>
      <c r="H167" s="1092">
        <v>0</v>
      </c>
      <c r="I167" s="1092">
        <v>0</v>
      </c>
      <c r="J167" s="1092">
        <v>0</v>
      </c>
      <c r="K167" s="1092">
        <v>0</v>
      </c>
      <c r="L167" s="1092">
        <v>0</v>
      </c>
      <c r="M167" s="1092">
        <v>0</v>
      </c>
      <c r="N167" s="27">
        <f>SUM(B167:M167)</f>
        <v>0</v>
      </c>
    </row>
    <row r="168" spans="1:14" ht="14" hidden="1" thickBot="1">
      <c r="A168" s="32" t="s">
        <v>102</v>
      </c>
      <c r="B168" s="1092">
        <v>0</v>
      </c>
      <c r="C168" s="1092">
        <v>0</v>
      </c>
      <c r="D168" s="1092">
        <v>0</v>
      </c>
      <c r="E168" s="1092">
        <v>0</v>
      </c>
      <c r="F168" s="1092">
        <v>0</v>
      </c>
      <c r="G168" s="1092">
        <v>0</v>
      </c>
      <c r="H168" s="1092">
        <v>0</v>
      </c>
      <c r="I168" s="1092">
        <v>0</v>
      </c>
      <c r="J168" s="1092">
        <v>0</v>
      </c>
      <c r="K168" s="1092">
        <v>0</v>
      </c>
      <c r="L168" s="1092">
        <v>0</v>
      </c>
      <c r="M168" s="1092">
        <v>0</v>
      </c>
      <c r="N168" s="27">
        <f>SUM(B168:M168)</f>
        <v>0</v>
      </c>
    </row>
    <row r="169" spans="1:14">
      <c r="A169" s="78" t="s">
        <v>167</v>
      </c>
      <c r="B169" s="1092">
        <v>0</v>
      </c>
      <c r="C169" s="1092">
        <v>0</v>
      </c>
      <c r="D169" s="1092">
        <v>0</v>
      </c>
      <c r="E169" s="1092">
        <v>0</v>
      </c>
      <c r="F169" s="1092">
        <v>0</v>
      </c>
      <c r="G169" s="1092">
        <v>0</v>
      </c>
      <c r="H169" s="1092">
        <v>0</v>
      </c>
      <c r="I169" s="1092">
        <v>0</v>
      </c>
      <c r="J169" s="1092">
        <v>0</v>
      </c>
      <c r="K169" s="1092">
        <v>0</v>
      </c>
      <c r="L169" s="1092">
        <v>0</v>
      </c>
      <c r="M169" s="1092">
        <v>0</v>
      </c>
      <c r="N169" s="27">
        <f>SUM(B169:M169)</f>
        <v>0</v>
      </c>
    </row>
    <row r="170" spans="1:14">
      <c r="A170" s="32" t="s">
        <v>165</v>
      </c>
      <c r="B170" s="1092">
        <v>0</v>
      </c>
      <c r="C170" s="1092">
        <v>0</v>
      </c>
      <c r="D170" s="1092">
        <v>0</v>
      </c>
      <c r="E170" s="1092">
        <v>0</v>
      </c>
      <c r="F170" s="1092">
        <v>0</v>
      </c>
      <c r="G170" s="1092">
        <v>0</v>
      </c>
      <c r="H170" s="1092">
        <v>0</v>
      </c>
      <c r="I170" s="1092">
        <v>0</v>
      </c>
      <c r="J170" s="1092">
        <v>0</v>
      </c>
      <c r="K170" s="1092">
        <v>0</v>
      </c>
      <c r="L170" s="1092">
        <v>0</v>
      </c>
      <c r="M170" s="1092">
        <v>1855</v>
      </c>
      <c r="N170" s="27">
        <v>1855</v>
      </c>
    </row>
    <row r="171" spans="1:14" ht="14" thickBot="1">
      <c r="A171" s="78" t="s">
        <v>184</v>
      </c>
      <c r="B171" s="1092">
        <v>0</v>
      </c>
      <c r="C171" s="1092">
        <v>0</v>
      </c>
      <c r="D171" s="1092">
        <v>0</v>
      </c>
      <c r="E171" s="1092">
        <v>0</v>
      </c>
      <c r="F171" s="1092">
        <v>0</v>
      </c>
      <c r="G171" s="1092">
        <v>0</v>
      </c>
      <c r="H171" s="1092">
        <v>0</v>
      </c>
      <c r="I171" s="1092">
        <v>0</v>
      </c>
      <c r="J171" s="1092">
        <v>0</v>
      </c>
      <c r="K171" s="1092">
        <v>0</v>
      </c>
      <c r="L171" s="1092">
        <v>0</v>
      </c>
      <c r="M171" s="1092">
        <v>0</v>
      </c>
      <c r="N171" s="27">
        <f>SUM(B171:M171)</f>
        <v>0</v>
      </c>
    </row>
    <row r="172" spans="1:14" ht="14" thickBot="1">
      <c r="A172" s="53" t="s">
        <v>60</v>
      </c>
      <c r="B172" s="55">
        <f>SUM(B159:B171)</f>
        <v>0</v>
      </c>
      <c r="C172" s="55">
        <f t="shared" ref="C172:M172" si="27">SUM(C159:C171)</f>
        <v>0</v>
      </c>
      <c r="D172" s="55">
        <f t="shared" si="27"/>
        <v>0</v>
      </c>
      <c r="E172" s="55">
        <f t="shared" si="27"/>
        <v>0</v>
      </c>
      <c r="F172" s="55">
        <f t="shared" si="27"/>
        <v>0</v>
      </c>
      <c r="G172" s="55">
        <f t="shared" si="27"/>
        <v>4</v>
      </c>
      <c r="H172" s="55">
        <f t="shared" si="27"/>
        <v>2</v>
      </c>
      <c r="I172" s="55">
        <f t="shared" si="27"/>
        <v>0</v>
      </c>
      <c r="J172" s="55">
        <f t="shared" si="27"/>
        <v>0</v>
      </c>
      <c r="K172" s="55">
        <f t="shared" si="27"/>
        <v>0</v>
      </c>
      <c r="L172" s="55">
        <f t="shared" si="27"/>
        <v>0</v>
      </c>
      <c r="M172" s="55">
        <f t="shared" si="27"/>
        <v>1855</v>
      </c>
      <c r="N172" s="54">
        <f>SUM(N159:N171)</f>
        <v>1861</v>
      </c>
    </row>
    <row r="175" spans="1:14" ht="14" thickBot="1">
      <c r="B175" s="43" t="s">
        <v>35</v>
      </c>
      <c r="C175" s="43" t="s">
        <v>36</v>
      </c>
      <c r="D175" s="43" t="s">
        <v>37</v>
      </c>
      <c r="E175" s="43" t="s">
        <v>38</v>
      </c>
      <c r="F175" s="43" t="s">
        <v>39</v>
      </c>
      <c r="G175" s="43" t="s">
        <v>40</v>
      </c>
      <c r="H175" s="43" t="s">
        <v>41</v>
      </c>
      <c r="I175" s="43" t="s">
        <v>42</v>
      </c>
      <c r="J175" s="43" t="s">
        <v>43</v>
      </c>
      <c r="K175" s="43" t="s">
        <v>44</v>
      </c>
      <c r="L175" s="43" t="s">
        <v>45</v>
      </c>
      <c r="M175" s="43" t="s">
        <v>46</v>
      </c>
      <c r="N175" s="43" t="s">
        <v>10</v>
      </c>
    </row>
    <row r="176" spans="1:14" ht="17" thickBot="1">
      <c r="A176" s="31" t="s">
        <v>186</v>
      </c>
      <c r="B176" s="24"/>
      <c r="C176" s="24"/>
      <c r="D176" s="22"/>
      <c r="E176" s="22"/>
      <c r="F176" s="25"/>
      <c r="G176" s="25"/>
      <c r="H176" s="22"/>
      <c r="I176" s="22"/>
      <c r="J176" s="22"/>
      <c r="K176" s="22"/>
      <c r="L176" s="24"/>
      <c r="M176" s="24"/>
      <c r="N176" s="26"/>
    </row>
    <row r="177" spans="1:14" ht="14" thickBot="1">
      <c r="A177" s="38" t="str">
        <f>Ontario!A177</f>
        <v>SoCal Water$mart Residential Rebates</v>
      </c>
      <c r="B177" s="39"/>
      <c r="C177" s="39"/>
      <c r="D177" s="39"/>
      <c r="E177" s="39"/>
      <c r="F177" s="39"/>
      <c r="G177" s="39"/>
      <c r="H177" s="39"/>
      <c r="I177" s="39"/>
      <c r="J177" s="39"/>
      <c r="K177" s="39"/>
      <c r="L177" s="39"/>
      <c r="M177" s="39"/>
      <c r="N177" s="40"/>
    </row>
    <row r="178" spans="1:14">
      <c r="A178" s="32" t="str">
        <f>Ontario!A178</f>
        <v>High Efficiency Toilets (HET)</v>
      </c>
      <c r="B178" s="1092">
        <v>0</v>
      </c>
      <c r="C178" s="1092">
        <v>0</v>
      </c>
      <c r="D178" s="1092">
        <v>0</v>
      </c>
      <c r="E178" s="1092">
        <v>0</v>
      </c>
      <c r="F178" s="1092">
        <v>0</v>
      </c>
      <c r="G178" s="1092">
        <v>0</v>
      </c>
      <c r="H178" s="1092">
        <v>0</v>
      </c>
      <c r="I178" s="1092">
        <v>0</v>
      </c>
      <c r="J178" s="1092">
        <v>0</v>
      </c>
      <c r="K178" s="1092">
        <v>0</v>
      </c>
      <c r="L178" s="1092">
        <v>0</v>
      </c>
      <c r="M178" s="1092">
        <v>3</v>
      </c>
      <c r="N178" s="27">
        <f>SUM(B178:M178)</f>
        <v>3</v>
      </c>
    </row>
    <row r="179" spans="1:14">
      <c r="A179" s="32" t="str">
        <f>Ontario!A179</f>
        <v>High Efficiency Clothes Washers (HECW)</v>
      </c>
      <c r="B179" s="1092">
        <v>0</v>
      </c>
      <c r="C179" s="1092">
        <v>11</v>
      </c>
      <c r="D179" s="1092">
        <v>1</v>
      </c>
      <c r="E179" s="1092">
        <v>6</v>
      </c>
      <c r="F179" s="1092">
        <v>15</v>
      </c>
      <c r="G179" s="1092">
        <v>1</v>
      </c>
      <c r="H179" s="1092">
        <v>8</v>
      </c>
      <c r="I179" s="1092">
        <v>9</v>
      </c>
      <c r="J179" s="1092">
        <v>8</v>
      </c>
      <c r="K179" s="1092">
        <v>6</v>
      </c>
      <c r="L179" s="1092">
        <v>8</v>
      </c>
      <c r="M179" s="1092">
        <v>29</v>
      </c>
      <c r="N179" s="27">
        <f>SUM(B179:M179)</f>
        <v>102</v>
      </c>
    </row>
    <row r="180" spans="1:14">
      <c r="A180" s="32" t="str">
        <f>Ontario!A180</f>
        <v>Rotating Nozzles for Pop-up Spray Heads</v>
      </c>
      <c r="B180" s="1092">
        <v>0</v>
      </c>
      <c r="C180" s="1092">
        <v>0</v>
      </c>
      <c r="D180" s="1092">
        <v>0</v>
      </c>
      <c r="E180" s="1092">
        <v>0</v>
      </c>
      <c r="F180" s="1092">
        <v>0</v>
      </c>
      <c r="G180" s="1092">
        <v>0</v>
      </c>
      <c r="H180" s="1092">
        <v>1</v>
      </c>
      <c r="I180" s="1092">
        <v>0</v>
      </c>
      <c r="J180" s="1092">
        <v>0</v>
      </c>
      <c r="K180" s="1092">
        <v>0</v>
      </c>
      <c r="L180" s="1092">
        <v>0</v>
      </c>
      <c r="M180" s="1092">
        <v>1</v>
      </c>
      <c r="N180" s="27">
        <f>SUM(B180:M180)</f>
        <v>2</v>
      </c>
    </row>
    <row r="181" spans="1:14" ht="14" thickBot="1">
      <c r="A181" s="32" t="str">
        <f>Ontario!A181</f>
        <v>Weather Based Irrigation Controllers (WBIC)</v>
      </c>
      <c r="B181" s="1092">
        <v>0</v>
      </c>
      <c r="C181" s="1092">
        <v>1</v>
      </c>
      <c r="D181" s="1092">
        <v>0</v>
      </c>
      <c r="E181" s="1092">
        <v>1</v>
      </c>
      <c r="F181" s="1092">
        <v>1</v>
      </c>
      <c r="G181" s="1092">
        <v>0</v>
      </c>
      <c r="H181" s="1092">
        <v>0</v>
      </c>
      <c r="I181" s="1092">
        <v>0</v>
      </c>
      <c r="J181" s="1092">
        <v>0</v>
      </c>
      <c r="K181" s="1092">
        <v>0</v>
      </c>
      <c r="L181" s="1092">
        <v>0</v>
      </c>
      <c r="M181" s="1092">
        <v>0</v>
      </c>
      <c r="N181" s="27">
        <f>SUM(B181:M181)</f>
        <v>3</v>
      </c>
    </row>
    <row r="182" spans="1:14" hidden="1">
      <c r="A182" s="76" t="s">
        <v>182</v>
      </c>
      <c r="B182" s="44"/>
      <c r="C182" s="44"/>
      <c r="D182" s="44"/>
      <c r="E182" s="44"/>
      <c r="F182" s="44"/>
      <c r="G182" s="44"/>
      <c r="H182" s="44"/>
      <c r="I182" s="44"/>
      <c r="J182" s="44"/>
      <c r="K182" s="44"/>
      <c r="L182" s="44"/>
      <c r="M182" s="44"/>
      <c r="N182" s="27">
        <f>SUM(B182:M182)</f>
        <v>0</v>
      </c>
    </row>
    <row r="183" spans="1:14" ht="14" thickBot="1">
      <c r="A183" s="38" t="str">
        <f>Ontario!A183</f>
        <v>IEUA Locally Implemented Residential Programs</v>
      </c>
      <c r="B183" s="39"/>
      <c r="C183" s="39"/>
      <c r="D183" s="39"/>
      <c r="E183" s="39"/>
      <c r="F183" s="39"/>
      <c r="G183" s="39"/>
      <c r="H183" s="39"/>
      <c r="I183" s="39"/>
      <c r="J183" s="39"/>
      <c r="K183" s="39"/>
      <c r="L183" s="39"/>
      <c r="M183" s="39"/>
      <c r="N183" s="40"/>
    </row>
    <row r="184" spans="1:14">
      <c r="A184" s="32" t="str">
        <f>Ontario!A184</f>
        <v>FreeSprinklerNozzles.com Program</v>
      </c>
      <c r="B184" s="1092">
        <v>0</v>
      </c>
      <c r="C184" s="1092">
        <v>0</v>
      </c>
      <c r="D184" s="1092">
        <v>0</v>
      </c>
      <c r="E184" s="1092">
        <v>0</v>
      </c>
      <c r="F184" s="1092">
        <v>0</v>
      </c>
      <c r="G184" s="1092">
        <v>0</v>
      </c>
      <c r="H184" s="1092">
        <v>0</v>
      </c>
      <c r="I184" s="1092">
        <v>0</v>
      </c>
      <c r="J184" s="1092">
        <v>0</v>
      </c>
      <c r="K184" s="1092">
        <v>0</v>
      </c>
      <c r="L184" s="1092">
        <v>0</v>
      </c>
      <c r="M184" s="1092">
        <v>748</v>
      </c>
      <c r="N184" s="27">
        <f>SUM(B184:M184)</f>
        <v>748</v>
      </c>
    </row>
    <row r="185" spans="1:14">
      <c r="A185" s="32" t="str">
        <f>Ontario!A185</f>
        <v>Residential Landscape Retrofit Program</v>
      </c>
      <c r="B185" s="1092">
        <v>0</v>
      </c>
      <c r="C185" s="1092">
        <v>0</v>
      </c>
      <c r="D185" s="1092">
        <v>0</v>
      </c>
      <c r="E185" s="1092">
        <v>0</v>
      </c>
      <c r="F185" s="1092">
        <v>0</v>
      </c>
      <c r="G185" s="1092">
        <v>0</v>
      </c>
      <c r="H185" s="1092">
        <v>0</v>
      </c>
      <c r="I185" s="1092">
        <v>0</v>
      </c>
      <c r="J185" s="1092">
        <v>0</v>
      </c>
      <c r="K185" s="1092">
        <v>0</v>
      </c>
      <c r="L185" s="1092">
        <v>0</v>
      </c>
      <c r="M185" s="1092">
        <v>0</v>
      </c>
      <c r="N185" s="27">
        <f>SUM(B185:M185)</f>
        <v>0</v>
      </c>
    </row>
    <row r="186" spans="1:14" ht="14" thickBot="1">
      <c r="A186" s="32" t="str">
        <f>Ontario!A186</f>
        <v>Landscape Transformation Program</v>
      </c>
      <c r="B186" s="1092">
        <v>0</v>
      </c>
      <c r="C186" s="1092">
        <v>0</v>
      </c>
      <c r="D186" s="1092">
        <v>0</v>
      </c>
      <c r="E186" s="1092">
        <v>0</v>
      </c>
      <c r="F186" s="1092">
        <v>0</v>
      </c>
      <c r="G186" s="1092">
        <v>0</v>
      </c>
      <c r="H186" s="1092">
        <v>0</v>
      </c>
      <c r="I186" s="1092">
        <v>1</v>
      </c>
      <c r="J186" s="1092">
        <v>1</v>
      </c>
      <c r="K186" s="1092">
        <v>0</v>
      </c>
      <c r="L186" s="1092">
        <v>1</v>
      </c>
      <c r="M186" s="1092">
        <v>3</v>
      </c>
      <c r="N186" s="27">
        <f>SUM(B186:M186)</f>
        <v>6</v>
      </c>
    </row>
    <row r="187" spans="1:14" ht="14" thickBot="1">
      <c r="A187" s="53" t="s">
        <v>60</v>
      </c>
      <c r="B187" s="55">
        <f>SUM(B178:B186)</f>
        <v>0</v>
      </c>
      <c r="C187" s="55">
        <f t="shared" ref="C187:M187" si="28">SUM(C178:C186)</f>
        <v>12</v>
      </c>
      <c r="D187" s="55">
        <f t="shared" si="28"/>
        <v>1</v>
      </c>
      <c r="E187" s="55">
        <f t="shared" si="28"/>
        <v>7</v>
      </c>
      <c r="F187" s="55">
        <f t="shared" si="28"/>
        <v>16</v>
      </c>
      <c r="G187" s="55">
        <f t="shared" si="28"/>
        <v>1</v>
      </c>
      <c r="H187" s="55">
        <f t="shared" si="28"/>
        <v>9</v>
      </c>
      <c r="I187" s="55">
        <f t="shared" si="28"/>
        <v>10</v>
      </c>
      <c r="J187" s="55">
        <f t="shared" si="28"/>
        <v>9</v>
      </c>
      <c r="K187" s="55">
        <f t="shared" si="28"/>
        <v>6</v>
      </c>
      <c r="L187" s="55">
        <f t="shared" si="28"/>
        <v>9</v>
      </c>
      <c r="M187" s="55">
        <f t="shared" si="28"/>
        <v>784</v>
      </c>
      <c r="N187" s="54">
        <f>SUM(N178:N186)</f>
        <v>864</v>
      </c>
    </row>
    <row r="188" spans="1:14" ht="14" thickBot="1">
      <c r="A188" s="38" t="str">
        <f>Ontario!A188</f>
        <v xml:space="preserve">IEUA High Efficiency Toilet (HET) Installation Prog. </v>
      </c>
      <c r="B188" s="39"/>
      <c r="C188" s="39"/>
      <c r="D188" s="39"/>
      <c r="E188" s="39"/>
      <c r="F188" s="39"/>
      <c r="G188" s="39"/>
      <c r="H188" s="39"/>
      <c r="I188" s="39"/>
      <c r="J188" s="39"/>
      <c r="K188" s="39"/>
      <c r="L188" s="39"/>
      <c r="M188" s="39"/>
      <c r="N188" s="40"/>
    </row>
    <row r="189" spans="1:14">
      <c r="A189" s="32" t="str">
        <f>Ontario!A189</f>
        <v>IEUA Multi-Family Direct Install Prog. (HET/ULFT)</v>
      </c>
      <c r="B189" s="1092">
        <v>0</v>
      </c>
      <c r="C189" s="1092">
        <v>0</v>
      </c>
      <c r="D189" s="1092">
        <v>0</v>
      </c>
      <c r="E189" s="1092">
        <v>0</v>
      </c>
      <c r="F189" s="1092">
        <v>0</v>
      </c>
      <c r="G189" s="1092">
        <v>0</v>
      </c>
      <c r="H189" s="1092">
        <v>0</v>
      </c>
      <c r="I189" s="1092">
        <v>0</v>
      </c>
      <c r="J189" s="1092">
        <v>0</v>
      </c>
      <c r="K189" s="1092">
        <v>0</v>
      </c>
      <c r="L189" s="1092">
        <v>0</v>
      </c>
      <c r="M189" s="1092">
        <v>0</v>
      </c>
      <c r="N189" s="27">
        <f>SUM(B189:M189)</f>
        <v>0</v>
      </c>
    </row>
    <row r="190" spans="1:14" ht="14" thickBot="1">
      <c r="A190" s="32" t="str">
        <f>Ontario!A190</f>
        <v>IEUA Single-Family Direct Install Prog. (HET/ULFT)</v>
      </c>
      <c r="B190" s="1092">
        <v>2</v>
      </c>
      <c r="C190" s="1092">
        <v>25</v>
      </c>
      <c r="D190" s="1092">
        <v>5</v>
      </c>
      <c r="E190" s="1092">
        <v>5</v>
      </c>
      <c r="F190" s="1092">
        <v>1</v>
      </c>
      <c r="G190" s="1092">
        <v>3</v>
      </c>
      <c r="H190" s="1092">
        <v>11</v>
      </c>
      <c r="I190" s="1092">
        <v>19</v>
      </c>
      <c r="J190" s="1092">
        <v>8</v>
      </c>
      <c r="K190" s="1092">
        <v>22</v>
      </c>
      <c r="L190" s="1092">
        <v>1</v>
      </c>
      <c r="M190" s="1092">
        <v>0</v>
      </c>
      <c r="N190" s="27">
        <f>SUM(B190:M190)</f>
        <v>102</v>
      </c>
    </row>
    <row r="191" spans="1:14" ht="14" thickBot="1">
      <c r="A191" s="53" t="s">
        <v>60</v>
      </c>
      <c r="B191" s="55">
        <f>SUM(B189:B190)</f>
        <v>2</v>
      </c>
      <c r="C191" s="55">
        <f t="shared" ref="C191:M191" si="29">SUM(C189:C190)</f>
        <v>25</v>
      </c>
      <c r="D191" s="55">
        <f t="shared" si="29"/>
        <v>5</v>
      </c>
      <c r="E191" s="55">
        <f t="shared" si="29"/>
        <v>5</v>
      </c>
      <c r="F191" s="55">
        <f t="shared" si="29"/>
        <v>1</v>
      </c>
      <c r="G191" s="55">
        <f t="shared" si="29"/>
        <v>3</v>
      </c>
      <c r="H191" s="55">
        <f t="shared" si="29"/>
        <v>11</v>
      </c>
      <c r="I191" s="55">
        <f t="shared" si="29"/>
        <v>19</v>
      </c>
      <c r="J191" s="55">
        <f t="shared" si="29"/>
        <v>8</v>
      </c>
      <c r="K191" s="55">
        <f t="shared" si="29"/>
        <v>22</v>
      </c>
      <c r="L191" s="55">
        <f t="shared" si="29"/>
        <v>1</v>
      </c>
      <c r="M191" s="55">
        <f t="shared" si="29"/>
        <v>0</v>
      </c>
      <c r="N191" s="54">
        <f>SUM(N189:N190)</f>
        <v>102</v>
      </c>
    </row>
    <row r="192" spans="1:14" ht="14" thickBot="1">
      <c r="A192" s="38" t="str">
        <f>Ontario!A192</f>
        <v>SoCal Water$mart Commercial Rebates</v>
      </c>
      <c r="B192" s="39"/>
      <c r="C192" s="39"/>
      <c r="D192" s="39"/>
      <c r="E192" s="39"/>
      <c r="F192" s="39"/>
      <c r="G192" s="39"/>
      <c r="H192" s="39"/>
      <c r="I192" s="39"/>
      <c r="J192" s="39"/>
      <c r="K192" s="39"/>
      <c r="L192" s="39"/>
      <c r="M192" s="39"/>
      <c r="N192" s="40"/>
    </row>
    <row r="193" spans="1:14">
      <c r="A193" s="32" t="str">
        <f>Ontario!A193</f>
        <v>High Efficiency Toilets (HET)</v>
      </c>
      <c r="B193" s="1092">
        <v>0</v>
      </c>
      <c r="C193" s="1092">
        <v>0</v>
      </c>
      <c r="D193" s="1092">
        <v>0</v>
      </c>
      <c r="E193" s="1092">
        <v>0</v>
      </c>
      <c r="F193" s="1092">
        <v>0</v>
      </c>
      <c r="G193" s="1092">
        <v>0</v>
      </c>
      <c r="H193" s="1092">
        <v>1</v>
      </c>
      <c r="I193" s="1092">
        <v>0</v>
      </c>
      <c r="J193" s="1092">
        <v>0</v>
      </c>
      <c r="K193" s="1092">
        <v>0</v>
      </c>
      <c r="L193" s="1092">
        <v>0</v>
      </c>
      <c r="M193" s="1092">
        <v>0</v>
      </c>
      <c r="N193" s="27">
        <f t="shared" ref="N193:N208" si="30">SUM(B193:M193)</f>
        <v>1</v>
      </c>
    </row>
    <row r="194" spans="1:14">
      <c r="A194" s="32" t="str">
        <f>Ontario!A194</f>
        <v>Waterless Urinals</v>
      </c>
      <c r="B194" s="1092">
        <v>0</v>
      </c>
      <c r="C194" s="1092">
        <v>0</v>
      </c>
      <c r="D194" s="1092">
        <v>0</v>
      </c>
      <c r="E194" s="1092">
        <v>0</v>
      </c>
      <c r="F194" s="1092">
        <v>0</v>
      </c>
      <c r="G194" s="1092">
        <v>0</v>
      </c>
      <c r="H194" s="1092">
        <v>1</v>
      </c>
      <c r="I194" s="1092">
        <v>0</v>
      </c>
      <c r="J194" s="1092">
        <v>0</v>
      </c>
      <c r="K194" s="1092">
        <v>0</v>
      </c>
      <c r="L194" s="1092">
        <v>0</v>
      </c>
      <c r="M194" s="1092">
        <v>0</v>
      </c>
      <c r="N194" s="27">
        <f t="shared" si="30"/>
        <v>1</v>
      </c>
    </row>
    <row r="195" spans="1:14">
      <c r="A195" s="32" t="s">
        <v>204</v>
      </c>
      <c r="B195" s="1092">
        <v>0</v>
      </c>
      <c r="C195" s="1092">
        <v>0</v>
      </c>
      <c r="D195" s="1092">
        <v>0</v>
      </c>
      <c r="E195" s="1092">
        <v>0</v>
      </c>
      <c r="F195" s="1092">
        <v>0</v>
      </c>
      <c r="G195" s="1092">
        <v>0</v>
      </c>
      <c r="H195" s="1092">
        <v>0</v>
      </c>
      <c r="I195" s="1092">
        <v>0</v>
      </c>
      <c r="J195" s="1092">
        <v>0</v>
      </c>
      <c r="K195" s="1092">
        <v>0</v>
      </c>
      <c r="L195" s="1092">
        <v>0</v>
      </c>
      <c r="M195" s="1092">
        <v>0</v>
      </c>
      <c r="N195" s="27">
        <f t="shared" si="30"/>
        <v>0</v>
      </c>
    </row>
    <row r="196" spans="1:14">
      <c r="A196" s="32" t="str">
        <f>Ontario!A196</f>
        <v>High Efficiency Clothes Washers</v>
      </c>
      <c r="B196" s="1092">
        <v>0</v>
      </c>
      <c r="C196" s="1092">
        <v>0</v>
      </c>
      <c r="D196" s="1092">
        <v>0</v>
      </c>
      <c r="E196" s="1092">
        <v>0</v>
      </c>
      <c r="F196" s="1092">
        <v>0</v>
      </c>
      <c r="G196" s="1092">
        <v>0</v>
      </c>
      <c r="H196" s="1092">
        <v>0</v>
      </c>
      <c r="I196" s="1092">
        <v>0</v>
      </c>
      <c r="J196" s="1092">
        <v>0</v>
      </c>
      <c r="K196" s="1092">
        <v>0</v>
      </c>
      <c r="L196" s="1092">
        <v>0</v>
      </c>
      <c r="M196" s="1092">
        <v>0</v>
      </c>
      <c r="N196" s="27">
        <f t="shared" si="30"/>
        <v>0</v>
      </c>
    </row>
    <row r="197" spans="1:14" hidden="1">
      <c r="A197" s="35" t="s">
        <v>47</v>
      </c>
      <c r="B197" s="1092">
        <v>0</v>
      </c>
      <c r="C197" s="1092">
        <v>0</v>
      </c>
      <c r="D197" s="1092">
        <v>0</v>
      </c>
      <c r="E197" s="1092">
        <v>0</v>
      </c>
      <c r="F197" s="1092">
        <v>0</v>
      </c>
      <c r="G197" s="1092">
        <v>0</v>
      </c>
      <c r="H197" s="1092">
        <v>0</v>
      </c>
      <c r="I197" s="1092">
        <v>0</v>
      </c>
      <c r="J197" s="1092">
        <v>0</v>
      </c>
      <c r="K197" s="1092">
        <v>0</v>
      </c>
      <c r="L197" s="1092">
        <v>0</v>
      </c>
      <c r="M197" s="1092">
        <v>0</v>
      </c>
      <c r="N197" s="27">
        <f t="shared" si="30"/>
        <v>0</v>
      </c>
    </row>
    <row r="198" spans="1:14">
      <c r="A198" s="32" t="str">
        <f>Ontario!A198</f>
        <v>Weather Based Irrigation Controllers (WBIC)</v>
      </c>
      <c r="B198" s="1092">
        <v>0</v>
      </c>
      <c r="C198" s="1092">
        <v>0</v>
      </c>
      <c r="D198" s="1092">
        <v>0</v>
      </c>
      <c r="E198" s="1092">
        <v>0</v>
      </c>
      <c r="F198" s="1092">
        <v>0</v>
      </c>
      <c r="G198" s="1092">
        <v>0</v>
      </c>
      <c r="H198" s="1092">
        <v>0</v>
      </c>
      <c r="I198" s="1092">
        <v>0</v>
      </c>
      <c r="J198" s="1092">
        <v>0</v>
      </c>
      <c r="K198" s="1092">
        <v>0</v>
      </c>
      <c r="L198" s="1092">
        <v>0</v>
      </c>
      <c r="M198" s="1092">
        <v>0</v>
      </c>
      <c r="N198" s="27">
        <f t="shared" si="30"/>
        <v>0</v>
      </c>
    </row>
    <row r="199" spans="1:14" ht="12.75" hidden="1" customHeight="1">
      <c r="A199" s="76" t="s">
        <v>150</v>
      </c>
      <c r="B199" s="1092">
        <v>0</v>
      </c>
      <c r="C199" s="1092">
        <v>0</v>
      </c>
      <c r="D199" s="1092">
        <v>0</v>
      </c>
      <c r="E199" s="1092">
        <v>0</v>
      </c>
      <c r="F199" s="1092">
        <v>0</v>
      </c>
      <c r="G199" s="1092">
        <v>0</v>
      </c>
      <c r="H199" s="1092">
        <v>0</v>
      </c>
      <c r="I199" s="1092">
        <v>0</v>
      </c>
      <c r="J199" s="1092">
        <v>0</v>
      </c>
      <c r="K199" s="1092">
        <v>0</v>
      </c>
      <c r="L199" s="1092">
        <v>0</v>
      </c>
      <c r="M199" s="1092">
        <v>0</v>
      </c>
      <c r="N199" s="27">
        <f t="shared" si="30"/>
        <v>0</v>
      </c>
    </row>
    <row r="200" spans="1:14">
      <c r="A200" s="32" t="str">
        <f>Ontario!A200</f>
        <v>Rotating Nozzles for Pop-up Spray Heads</v>
      </c>
      <c r="B200" s="1092">
        <v>0</v>
      </c>
      <c r="C200" s="1092">
        <v>0</v>
      </c>
      <c r="D200" s="1092">
        <v>0</v>
      </c>
      <c r="E200" s="1092">
        <v>0</v>
      </c>
      <c r="F200" s="1092">
        <v>0</v>
      </c>
      <c r="G200" s="1092">
        <v>0</v>
      </c>
      <c r="H200" s="1092">
        <v>0</v>
      </c>
      <c r="I200" s="1092">
        <v>0</v>
      </c>
      <c r="J200" s="1092">
        <v>0</v>
      </c>
      <c r="K200" s="1092">
        <v>0</v>
      </c>
      <c r="L200" s="1092">
        <v>0</v>
      </c>
      <c r="M200" s="1092">
        <v>0</v>
      </c>
      <c r="N200" s="27">
        <f t="shared" si="30"/>
        <v>0</v>
      </c>
    </row>
    <row r="201" spans="1:14">
      <c r="A201" s="32" t="str">
        <f>Ontario!A201</f>
        <v>Large Rotary Nozzles</v>
      </c>
      <c r="B201" s="1092">
        <v>0</v>
      </c>
      <c r="C201" s="1092">
        <v>0</v>
      </c>
      <c r="D201" s="1092">
        <v>0</v>
      </c>
      <c r="E201" s="1092">
        <v>0</v>
      </c>
      <c r="F201" s="1092">
        <v>0</v>
      </c>
      <c r="G201" s="1092">
        <v>0</v>
      </c>
      <c r="H201" s="1092">
        <v>0</v>
      </c>
      <c r="I201" s="1092">
        <v>0</v>
      </c>
      <c r="J201" s="1092">
        <v>0</v>
      </c>
      <c r="K201" s="1092">
        <v>0</v>
      </c>
      <c r="L201" s="1092">
        <v>0</v>
      </c>
      <c r="M201" s="1092">
        <v>0</v>
      </c>
      <c r="N201" s="27">
        <f t="shared" si="30"/>
        <v>0</v>
      </c>
    </row>
    <row r="202" spans="1:14" hidden="1">
      <c r="A202" s="32" t="s">
        <v>102</v>
      </c>
      <c r="B202" s="1092">
        <v>0</v>
      </c>
      <c r="C202" s="1092">
        <v>0</v>
      </c>
      <c r="D202" s="1092">
        <v>0</v>
      </c>
      <c r="E202" s="1092">
        <v>0</v>
      </c>
      <c r="F202" s="1092">
        <v>0</v>
      </c>
      <c r="G202" s="1092">
        <v>0</v>
      </c>
      <c r="H202" s="1092">
        <v>0</v>
      </c>
      <c r="I202" s="1092">
        <v>0</v>
      </c>
      <c r="J202" s="1092">
        <v>0</v>
      </c>
      <c r="K202" s="1092">
        <v>0</v>
      </c>
      <c r="L202" s="1092">
        <v>0</v>
      </c>
      <c r="M202" s="1092">
        <v>0</v>
      </c>
      <c r="N202" s="27">
        <f t="shared" si="30"/>
        <v>0</v>
      </c>
    </row>
    <row r="203" spans="1:14">
      <c r="A203" s="32" t="str">
        <f>Ontario!A203</f>
        <v xml:space="preserve">Central Computerized Irrigation Controller </v>
      </c>
      <c r="B203" s="1092">
        <v>0</v>
      </c>
      <c r="C203" s="1092">
        <v>0</v>
      </c>
      <c r="D203" s="1092">
        <v>0</v>
      </c>
      <c r="E203" s="1092">
        <v>0</v>
      </c>
      <c r="F203" s="1092">
        <v>0</v>
      </c>
      <c r="G203" s="1092">
        <v>0</v>
      </c>
      <c r="H203" s="1092">
        <v>0</v>
      </c>
      <c r="I203" s="1092">
        <v>0</v>
      </c>
      <c r="J203" s="1092">
        <v>0</v>
      </c>
      <c r="K203" s="1092">
        <v>0</v>
      </c>
      <c r="L203" s="1092">
        <v>0</v>
      </c>
      <c r="M203" s="1092">
        <v>0</v>
      </c>
      <c r="N203" s="27">
        <f>SUM(B203:M203)</f>
        <v>0</v>
      </c>
    </row>
    <row r="204" spans="1:14">
      <c r="A204" s="32" t="str">
        <f>Ontario!A204</f>
        <v>Laminar Flow Restrictor</v>
      </c>
      <c r="B204" s="1092">
        <v>0</v>
      </c>
      <c r="C204" s="1092">
        <v>0</v>
      </c>
      <c r="D204" s="1092">
        <v>0</v>
      </c>
      <c r="E204" s="1092">
        <v>0</v>
      </c>
      <c r="F204" s="1092">
        <v>0</v>
      </c>
      <c r="G204" s="1092">
        <v>0</v>
      </c>
      <c r="H204" s="1092">
        <v>0</v>
      </c>
      <c r="I204" s="1092">
        <v>0</v>
      </c>
      <c r="J204" s="1092">
        <v>0</v>
      </c>
      <c r="K204" s="1092">
        <v>0</v>
      </c>
      <c r="L204" s="1092">
        <v>0</v>
      </c>
      <c r="M204" s="1092">
        <v>0</v>
      </c>
      <c r="N204" s="27">
        <f>SUM(B204:M204)</f>
        <v>0</v>
      </c>
    </row>
    <row r="205" spans="1:14" ht="14" thickBot="1">
      <c r="A205" s="32" t="str">
        <f>Ontario!A205</f>
        <v>Air-Cooled Ice Machine</v>
      </c>
      <c r="B205" s="1092">
        <v>0</v>
      </c>
      <c r="C205" s="1092">
        <v>0</v>
      </c>
      <c r="D205" s="1092">
        <v>0</v>
      </c>
      <c r="E205" s="1092">
        <v>0</v>
      </c>
      <c r="F205" s="1092">
        <v>0</v>
      </c>
      <c r="G205" s="1092">
        <v>0</v>
      </c>
      <c r="H205" s="1092">
        <v>0</v>
      </c>
      <c r="I205" s="1092">
        <v>0</v>
      </c>
      <c r="J205" s="1092">
        <v>0</v>
      </c>
      <c r="K205" s="1092">
        <v>0</v>
      </c>
      <c r="L205" s="1092">
        <v>0</v>
      </c>
      <c r="M205" s="1092">
        <v>0</v>
      </c>
      <c r="N205" s="27">
        <f>SUM(B205:M205)</f>
        <v>0</v>
      </c>
    </row>
    <row r="206" spans="1:14" ht="14" thickBot="1">
      <c r="A206" s="38" t="str">
        <f>Ontario!A206</f>
        <v>IEUA Locally Implemented Commercial Programs</v>
      </c>
      <c r="B206" s="39"/>
      <c r="C206" s="39"/>
      <c r="D206" s="39"/>
      <c r="E206" s="39"/>
      <c r="F206" s="39"/>
      <c r="G206" s="39"/>
      <c r="H206" s="39"/>
      <c r="I206" s="39"/>
      <c r="J206" s="39"/>
      <c r="K206" s="39"/>
      <c r="L206" s="39"/>
      <c r="M206" s="39"/>
      <c r="N206" s="40"/>
    </row>
    <row r="207" spans="1:14">
      <c r="A207" s="32" t="str">
        <f>Ontario!A207</f>
        <v>Fontana Unified School Retrofit Program</v>
      </c>
      <c r="B207" s="1092">
        <v>0</v>
      </c>
      <c r="C207" s="1092">
        <v>0</v>
      </c>
      <c r="D207" s="1092">
        <v>0</v>
      </c>
      <c r="E207" s="1092">
        <v>0</v>
      </c>
      <c r="F207" s="1092">
        <v>0</v>
      </c>
      <c r="G207" s="1092">
        <v>0</v>
      </c>
      <c r="H207" s="1092">
        <v>0</v>
      </c>
      <c r="I207" s="1092">
        <v>0</v>
      </c>
      <c r="J207" s="1092">
        <v>0</v>
      </c>
      <c r="K207" s="1092">
        <v>0</v>
      </c>
      <c r="L207" s="1092">
        <v>0</v>
      </c>
      <c r="M207" s="1092">
        <v>0</v>
      </c>
      <c r="N207" s="27">
        <f t="shared" si="30"/>
        <v>0</v>
      </c>
    </row>
    <row r="208" spans="1:14" ht="14" thickBot="1">
      <c r="A208" s="32" t="str">
        <f>Ontario!A208</f>
        <v>FreeSprinklerNozzles.com Program</v>
      </c>
      <c r="B208" s="1092">
        <v>0</v>
      </c>
      <c r="C208" s="1092">
        <v>0</v>
      </c>
      <c r="D208" s="1092">
        <v>0</v>
      </c>
      <c r="E208" s="1092">
        <v>0</v>
      </c>
      <c r="F208" s="1092">
        <v>0</v>
      </c>
      <c r="G208" s="1092">
        <v>0</v>
      </c>
      <c r="H208" s="1092">
        <v>0</v>
      </c>
      <c r="I208" s="1092">
        <v>0</v>
      </c>
      <c r="J208" s="1092">
        <v>0</v>
      </c>
      <c r="K208" s="1092">
        <v>0</v>
      </c>
      <c r="L208" s="1092">
        <v>0</v>
      </c>
      <c r="M208" s="1092">
        <v>3340</v>
      </c>
      <c r="N208" s="27">
        <f t="shared" si="30"/>
        <v>3340</v>
      </c>
    </row>
    <row r="209" spans="1:14" ht="14" thickBot="1">
      <c r="A209" s="53" t="s">
        <v>60</v>
      </c>
      <c r="B209" s="55">
        <f>SUM(B193:B208)</f>
        <v>0</v>
      </c>
      <c r="C209" s="55">
        <f>SUM(C193:C208)</f>
        <v>0</v>
      </c>
      <c r="D209" s="55">
        <f t="shared" ref="D209:M209" si="31">SUM(D193:D208)</f>
        <v>0</v>
      </c>
      <c r="E209" s="55">
        <f t="shared" si="31"/>
        <v>0</v>
      </c>
      <c r="F209" s="55">
        <f t="shared" si="31"/>
        <v>0</v>
      </c>
      <c r="G209" s="55">
        <f t="shared" si="31"/>
        <v>0</v>
      </c>
      <c r="H209" s="55">
        <f t="shared" si="31"/>
        <v>2</v>
      </c>
      <c r="I209" s="55">
        <f t="shared" si="31"/>
        <v>0</v>
      </c>
      <c r="J209" s="55">
        <f t="shared" si="31"/>
        <v>0</v>
      </c>
      <c r="K209" s="55">
        <f t="shared" si="31"/>
        <v>0</v>
      </c>
      <c r="L209" s="55">
        <f t="shared" si="31"/>
        <v>0</v>
      </c>
      <c r="M209" s="55">
        <f t="shared" si="31"/>
        <v>3340</v>
      </c>
      <c r="N209" s="54">
        <f>SUM(N193:N208)</f>
        <v>3342</v>
      </c>
    </row>
    <row r="212" spans="1:14" ht="14" thickBot="1">
      <c r="B212" s="43" t="s">
        <v>35</v>
      </c>
      <c r="C212" s="43" t="s">
        <v>36</v>
      </c>
      <c r="D212" s="43" t="s">
        <v>37</v>
      </c>
      <c r="E212" s="43" t="s">
        <v>38</v>
      </c>
      <c r="F212" s="43" t="s">
        <v>39</v>
      </c>
      <c r="G212" s="43" t="s">
        <v>40</v>
      </c>
      <c r="H212" s="43" t="s">
        <v>41</v>
      </c>
      <c r="I212" s="43" t="s">
        <v>42</v>
      </c>
      <c r="J212" s="43" t="s">
        <v>43</v>
      </c>
      <c r="K212" s="43" t="s">
        <v>44</v>
      </c>
      <c r="L212" s="43" t="s">
        <v>45</v>
      </c>
      <c r="M212" s="43" t="s">
        <v>46</v>
      </c>
      <c r="N212" s="43" t="s">
        <v>10</v>
      </c>
    </row>
    <row r="213" spans="1:14" ht="17" thickBot="1">
      <c r="A213" s="31" t="s">
        <v>210</v>
      </c>
      <c r="B213" s="24"/>
      <c r="C213" s="24"/>
      <c r="D213" s="22"/>
      <c r="E213" s="22"/>
      <c r="F213" s="25"/>
      <c r="G213" s="25"/>
      <c r="H213" s="22"/>
      <c r="I213" s="22"/>
      <c r="J213" s="22"/>
      <c r="K213" s="22"/>
      <c r="L213" s="24"/>
      <c r="M213" s="24"/>
      <c r="N213" s="26"/>
    </row>
    <row r="214" spans="1:14" ht="14" thickBot="1">
      <c r="A214" s="38" t="str">
        <f>Ontario!A214</f>
        <v>SoCal Water$mart Residential Rebates</v>
      </c>
      <c r="B214" s="39"/>
      <c r="C214" s="39"/>
      <c r="D214" s="39"/>
      <c r="E214" s="39"/>
      <c r="F214" s="39"/>
      <c r="G214" s="39"/>
      <c r="H214" s="39"/>
      <c r="I214" s="39"/>
      <c r="J214" s="39"/>
      <c r="K214" s="39"/>
      <c r="L214" s="39"/>
      <c r="M214" s="39"/>
      <c r="N214" s="40"/>
    </row>
    <row r="215" spans="1:14">
      <c r="A215" s="32" t="str">
        <f>Ontario!A215</f>
        <v>High Efficiency Toilets (HET)</v>
      </c>
      <c r="B215" s="1092">
        <v>2</v>
      </c>
      <c r="C215" s="1092">
        <v>2</v>
      </c>
      <c r="D215" s="1092">
        <v>0</v>
      </c>
      <c r="E215" s="1092">
        <v>0</v>
      </c>
      <c r="F215" s="1092">
        <v>0</v>
      </c>
      <c r="G215" s="1092">
        <v>2</v>
      </c>
      <c r="H215" s="1092">
        <v>0</v>
      </c>
      <c r="I215" s="1092">
        <v>0</v>
      </c>
      <c r="J215" s="1092">
        <v>0</v>
      </c>
      <c r="K215" s="1092">
        <v>4</v>
      </c>
      <c r="L215" s="1092">
        <v>2</v>
      </c>
      <c r="M215" s="1092">
        <v>3</v>
      </c>
      <c r="N215" s="27">
        <f t="shared" ref="N215:N220" si="32">SUM(B215:M215)</f>
        <v>15</v>
      </c>
    </row>
    <row r="216" spans="1:14">
      <c r="A216" s="32" t="str">
        <f>Ontario!A216</f>
        <v>High Efficiency Clothes Washers (HECW)</v>
      </c>
      <c r="B216" s="1092">
        <v>9</v>
      </c>
      <c r="C216" s="1092">
        <v>2</v>
      </c>
      <c r="D216" s="1092">
        <v>8</v>
      </c>
      <c r="E216" s="1092">
        <v>10</v>
      </c>
      <c r="F216" s="1092">
        <v>3</v>
      </c>
      <c r="G216" s="1092">
        <v>5</v>
      </c>
      <c r="H216" s="1092">
        <v>7</v>
      </c>
      <c r="I216" s="1092">
        <v>6</v>
      </c>
      <c r="J216" s="1092">
        <v>2</v>
      </c>
      <c r="K216" s="1092">
        <v>5</v>
      </c>
      <c r="L216" s="1092">
        <v>9</v>
      </c>
      <c r="M216" s="1092">
        <v>4</v>
      </c>
      <c r="N216" s="27">
        <f t="shared" si="32"/>
        <v>70</v>
      </c>
    </row>
    <row r="217" spans="1:14">
      <c r="A217" s="32" t="str">
        <f>Ontario!A217</f>
        <v>Rotating Nozzles for Pop-up Spray Heads</v>
      </c>
      <c r="B217" s="1092">
        <v>0</v>
      </c>
      <c r="C217" s="1092">
        <v>0</v>
      </c>
      <c r="D217" s="1092">
        <v>0</v>
      </c>
      <c r="E217" s="1092">
        <v>0</v>
      </c>
      <c r="F217" s="1092">
        <v>0</v>
      </c>
      <c r="G217" s="1092">
        <v>0</v>
      </c>
      <c r="H217" s="1092">
        <v>0</v>
      </c>
      <c r="I217" s="1092">
        <v>0</v>
      </c>
      <c r="J217" s="1092">
        <v>0</v>
      </c>
      <c r="K217" s="1092">
        <v>0</v>
      </c>
      <c r="L217" s="1092">
        <v>0</v>
      </c>
      <c r="M217" s="1092">
        <v>0</v>
      </c>
      <c r="N217" s="27">
        <f t="shared" si="32"/>
        <v>0</v>
      </c>
    </row>
    <row r="218" spans="1:14">
      <c r="A218" s="32" t="str">
        <f>Ontario!A218</f>
        <v>Weather Based Irrigation Controllers (WBIC)</v>
      </c>
      <c r="B218" s="1092">
        <v>0</v>
      </c>
      <c r="C218" s="1092">
        <v>0</v>
      </c>
      <c r="D218" s="1092">
        <v>0</v>
      </c>
      <c r="E218" s="1092">
        <v>0</v>
      </c>
      <c r="F218" s="1092">
        <v>0</v>
      </c>
      <c r="G218" s="1092">
        <v>0</v>
      </c>
      <c r="H218" s="1092">
        <v>0</v>
      </c>
      <c r="I218" s="1092">
        <v>0</v>
      </c>
      <c r="J218" s="1092">
        <v>0</v>
      </c>
      <c r="K218" s="1092">
        <v>0</v>
      </c>
      <c r="L218" s="1092">
        <v>0</v>
      </c>
      <c r="M218" s="1092">
        <v>0</v>
      </c>
      <c r="N218" s="27">
        <f t="shared" si="32"/>
        <v>0</v>
      </c>
    </row>
    <row r="219" spans="1:14" ht="14" hidden="1" thickBot="1">
      <c r="A219" s="76" t="s">
        <v>182</v>
      </c>
      <c r="B219" s="1092">
        <v>0</v>
      </c>
      <c r="C219" s="1092">
        <v>0</v>
      </c>
      <c r="D219" s="1092"/>
      <c r="E219" s="1092">
        <v>0</v>
      </c>
      <c r="F219" s="1092">
        <v>0</v>
      </c>
      <c r="G219" s="1092">
        <v>0</v>
      </c>
      <c r="H219" s="1092">
        <v>0</v>
      </c>
      <c r="I219" s="1092">
        <v>0</v>
      </c>
      <c r="J219" s="1092">
        <v>0</v>
      </c>
      <c r="K219" s="1092">
        <v>0</v>
      </c>
      <c r="L219" s="1092">
        <v>0</v>
      </c>
      <c r="M219" s="1092">
        <v>0</v>
      </c>
      <c r="N219" s="27">
        <f t="shared" si="32"/>
        <v>0</v>
      </c>
    </row>
    <row r="220" spans="1:14" ht="14" thickBot="1">
      <c r="A220" s="76" t="s">
        <v>212</v>
      </c>
      <c r="B220" s="1092">
        <v>0</v>
      </c>
      <c r="C220" s="1092">
        <v>0</v>
      </c>
      <c r="D220" s="1092">
        <v>0</v>
      </c>
      <c r="E220" s="1092">
        <v>0</v>
      </c>
      <c r="F220" s="1092">
        <v>0</v>
      </c>
      <c r="G220" s="1092">
        <v>0</v>
      </c>
      <c r="H220" s="1092">
        <v>0</v>
      </c>
      <c r="I220" s="1092">
        <v>0</v>
      </c>
      <c r="J220" s="1092">
        <v>0</v>
      </c>
      <c r="K220" s="1092">
        <v>0</v>
      </c>
      <c r="L220" s="1092">
        <v>0</v>
      </c>
      <c r="M220" s="1092">
        <v>0</v>
      </c>
      <c r="N220" s="27">
        <f t="shared" si="32"/>
        <v>0</v>
      </c>
    </row>
    <row r="221" spans="1:14" ht="14" thickBot="1">
      <c r="A221" s="38" t="str">
        <f>Ontario!A221</f>
        <v>IEUA Locally Implemented Residential Programs</v>
      </c>
      <c r="B221" s="39"/>
      <c r="C221" s="39"/>
      <c r="D221" s="39"/>
      <c r="E221" s="39"/>
      <c r="F221" s="39"/>
      <c r="G221" s="39"/>
      <c r="H221" s="39"/>
      <c r="I221" s="39"/>
      <c r="J221" s="39"/>
      <c r="K221" s="39"/>
      <c r="L221" s="39"/>
      <c r="M221" s="39"/>
      <c r="N221" s="40"/>
    </row>
    <row r="222" spans="1:14">
      <c r="A222" s="32" t="str">
        <f>Ontario!A222</f>
        <v>FreeSprinklerNozzles.com Program</v>
      </c>
      <c r="B222" s="1092">
        <v>325</v>
      </c>
      <c r="C222" s="1092">
        <v>0</v>
      </c>
      <c r="D222" s="1092">
        <v>0</v>
      </c>
      <c r="E222" s="1092">
        <v>0</v>
      </c>
      <c r="F222" s="1092">
        <v>0</v>
      </c>
      <c r="G222" s="1092">
        <v>0</v>
      </c>
      <c r="H222" s="1092">
        <v>0</v>
      </c>
      <c r="I222" s="1092">
        <v>0</v>
      </c>
      <c r="J222" s="1092">
        <v>0</v>
      </c>
      <c r="K222" s="1092">
        <v>0</v>
      </c>
      <c r="L222" s="1092">
        <v>0</v>
      </c>
      <c r="M222" s="1092">
        <v>0</v>
      </c>
      <c r="N222" s="27">
        <f>SUM(B222:M222)</f>
        <v>325</v>
      </c>
    </row>
    <row r="223" spans="1:14">
      <c r="A223" s="32" t="str">
        <f>Ontario!A223</f>
        <v>Residential Landscape Retrofit Program</v>
      </c>
      <c r="B223" s="1092">
        <v>0</v>
      </c>
      <c r="C223" s="1092">
        <v>0</v>
      </c>
      <c r="D223" s="1092">
        <v>0</v>
      </c>
      <c r="E223" s="1092">
        <v>0</v>
      </c>
      <c r="F223" s="1092">
        <v>0</v>
      </c>
      <c r="G223" s="1092">
        <v>0</v>
      </c>
      <c r="H223" s="1092">
        <v>0</v>
      </c>
      <c r="I223" s="1092">
        <v>0</v>
      </c>
      <c r="J223" s="1092">
        <v>0</v>
      </c>
      <c r="K223" s="1092">
        <v>0</v>
      </c>
      <c r="L223" s="1092">
        <v>0</v>
      </c>
      <c r="M223" s="1092">
        <v>0</v>
      </c>
      <c r="N223" s="27">
        <f>SUM(B223:M223)</f>
        <v>0</v>
      </c>
    </row>
    <row r="224" spans="1:14" ht="14" thickBot="1">
      <c r="A224" s="32" t="str">
        <f>Ontario!A224</f>
        <v>Landscape Transformation Program</v>
      </c>
      <c r="B224" s="1092">
        <v>0</v>
      </c>
      <c r="C224" s="1092">
        <v>0</v>
      </c>
      <c r="D224" s="1092">
        <v>0</v>
      </c>
      <c r="E224" s="1092">
        <v>0</v>
      </c>
      <c r="F224" s="1092">
        <v>0</v>
      </c>
      <c r="G224" s="1092">
        <v>2</v>
      </c>
      <c r="H224" s="1092">
        <v>1</v>
      </c>
      <c r="I224" s="1092">
        <v>0</v>
      </c>
      <c r="J224" s="1092">
        <v>1</v>
      </c>
      <c r="K224" s="1092">
        <v>0</v>
      </c>
      <c r="L224" s="1092">
        <v>2</v>
      </c>
      <c r="M224" s="1092">
        <v>0</v>
      </c>
      <c r="N224" s="27">
        <f>SUM(B224:M224)</f>
        <v>6</v>
      </c>
    </row>
    <row r="225" spans="1:22" ht="14" thickBot="1">
      <c r="A225" s="53" t="s">
        <v>60</v>
      </c>
      <c r="B225" s="55">
        <f t="shared" ref="B225:G225" si="33">SUM(B215:B224)</f>
        <v>336</v>
      </c>
      <c r="C225" s="55">
        <f t="shared" si="33"/>
        <v>4</v>
      </c>
      <c r="D225" s="55">
        <f t="shared" si="33"/>
        <v>8</v>
      </c>
      <c r="E225" s="55">
        <f t="shared" si="33"/>
        <v>10</v>
      </c>
      <c r="F225" s="55">
        <f t="shared" si="33"/>
        <v>3</v>
      </c>
      <c r="G225" s="55">
        <f t="shared" si="33"/>
        <v>9</v>
      </c>
      <c r="H225" s="55">
        <f t="shared" ref="H225:M225" si="34">SUM(H215:H224)</f>
        <v>8</v>
      </c>
      <c r="I225" s="55">
        <f t="shared" si="34"/>
        <v>6</v>
      </c>
      <c r="J225" s="55">
        <f t="shared" si="34"/>
        <v>3</v>
      </c>
      <c r="K225" s="55">
        <f t="shared" si="34"/>
        <v>9</v>
      </c>
      <c r="L225" s="55">
        <f t="shared" si="34"/>
        <v>13</v>
      </c>
      <c r="M225" s="55">
        <f t="shared" si="34"/>
        <v>7</v>
      </c>
      <c r="N225" s="54">
        <f>SUM(N215:N224)</f>
        <v>416</v>
      </c>
    </row>
    <row r="226" spans="1:22" ht="14" hidden="1" thickBot="1">
      <c r="A226" s="38" t="str">
        <f>Ontario!A226</f>
        <v xml:space="preserve">IEUA High Efficiency Toilet (HET) Installation Prog. </v>
      </c>
      <c r="B226" s="39"/>
      <c r="C226" s="39"/>
      <c r="D226" s="39"/>
      <c r="E226" s="39"/>
      <c r="F226" s="39"/>
      <c r="G226" s="39"/>
      <c r="H226" s="39"/>
      <c r="I226" s="39"/>
      <c r="J226" s="39"/>
      <c r="K226" s="39"/>
      <c r="L226" s="39"/>
      <c r="M226" s="39"/>
      <c r="N226" s="40"/>
    </row>
    <row r="227" spans="1:22" hidden="1">
      <c r="A227" s="32" t="str">
        <f>Ontario!A227</f>
        <v>IEUA Multi-Family Direct Install Prog. (HET/ULFT)</v>
      </c>
      <c r="B227" s="168"/>
      <c r="C227" s="168"/>
      <c r="D227" s="168"/>
      <c r="E227" s="168"/>
      <c r="F227" s="168"/>
      <c r="G227" s="168"/>
      <c r="H227" s="168"/>
      <c r="I227" s="168"/>
      <c r="J227" s="168"/>
      <c r="K227" s="168"/>
      <c r="L227" s="168"/>
      <c r="M227" s="168"/>
      <c r="N227" s="27">
        <f>SUM(B227:M227)</f>
        <v>0</v>
      </c>
    </row>
    <row r="228" spans="1:22" ht="14" hidden="1" thickBot="1">
      <c r="A228" s="32" t="str">
        <f>Ontario!A228</f>
        <v>IEUA Single-Family Direct Install Prog. (HET/ULFT)</v>
      </c>
      <c r="B228" s="168"/>
      <c r="C228" s="168"/>
      <c r="D228" s="168"/>
      <c r="E228" s="168"/>
      <c r="F228" s="168"/>
      <c r="G228" s="168"/>
      <c r="H228" s="168"/>
      <c r="I228" s="168"/>
      <c r="J228" s="168"/>
      <c r="K228" s="168"/>
      <c r="L228" s="168"/>
      <c r="M228" s="168"/>
      <c r="N228" s="27">
        <f>SUM(B228:M228)</f>
        <v>0</v>
      </c>
    </row>
    <row r="229" spans="1:22" ht="14" hidden="1" thickBot="1">
      <c r="A229" s="53" t="s">
        <v>60</v>
      </c>
      <c r="B229" s="55">
        <f>SUM(B227:B228)</f>
        <v>0</v>
      </c>
      <c r="C229" s="55">
        <f t="shared" ref="C229:M229" si="35">SUM(C227:C228)</f>
        <v>0</v>
      </c>
      <c r="D229" s="55">
        <f t="shared" si="35"/>
        <v>0</v>
      </c>
      <c r="E229" s="55">
        <f t="shared" si="35"/>
        <v>0</v>
      </c>
      <c r="F229" s="55">
        <f t="shared" si="35"/>
        <v>0</v>
      </c>
      <c r="G229" s="55">
        <f t="shared" si="35"/>
        <v>0</v>
      </c>
      <c r="H229" s="55">
        <f t="shared" si="35"/>
        <v>0</v>
      </c>
      <c r="I229" s="55">
        <f t="shared" si="35"/>
        <v>0</v>
      </c>
      <c r="J229" s="55">
        <f t="shared" si="35"/>
        <v>0</v>
      </c>
      <c r="K229" s="55">
        <f t="shared" si="35"/>
        <v>0</v>
      </c>
      <c r="L229" s="55">
        <f t="shared" si="35"/>
        <v>0</v>
      </c>
      <c r="M229" s="55">
        <f t="shared" si="35"/>
        <v>0</v>
      </c>
      <c r="N229" s="54">
        <f>SUM(N227:N228)</f>
        <v>0</v>
      </c>
    </row>
    <row r="230" spans="1:22" ht="14" thickBot="1">
      <c r="A230" s="38" t="str">
        <f>Ontario!A230</f>
        <v>SoCal Water$mart Commercial Rebates</v>
      </c>
      <c r="B230" s="39"/>
      <c r="C230" s="39"/>
      <c r="D230" s="39"/>
      <c r="E230" s="39"/>
      <c r="F230" s="39"/>
      <c r="G230" s="39"/>
      <c r="H230" s="39"/>
      <c r="I230" s="39"/>
      <c r="J230" s="39"/>
      <c r="K230" s="39"/>
      <c r="L230" s="39"/>
      <c r="M230" s="39"/>
      <c r="N230" s="40"/>
    </row>
    <row r="231" spans="1:22">
      <c r="A231" s="32" t="str">
        <f>Ontario!A231</f>
        <v>High Efficiency Toilets (HET)</v>
      </c>
      <c r="B231" s="1092">
        <v>0</v>
      </c>
      <c r="C231" s="1092">
        <v>0</v>
      </c>
      <c r="D231" s="1092">
        <v>0</v>
      </c>
      <c r="E231" s="1092">
        <v>0</v>
      </c>
      <c r="F231" s="1092">
        <v>0</v>
      </c>
      <c r="G231" s="1092">
        <v>0</v>
      </c>
      <c r="H231" s="1092">
        <v>0</v>
      </c>
      <c r="I231" s="1092">
        <v>0</v>
      </c>
      <c r="J231" s="1092">
        <v>0</v>
      </c>
      <c r="K231" s="1092">
        <v>0</v>
      </c>
      <c r="L231" s="1092">
        <v>0</v>
      </c>
      <c r="M231" s="1092">
        <v>0</v>
      </c>
      <c r="N231" s="27">
        <v>0</v>
      </c>
    </row>
    <row r="232" spans="1:22">
      <c r="A232" s="32" t="str">
        <f>Ontario!A232</f>
        <v>Waterless Urinals</v>
      </c>
      <c r="B232" s="1092">
        <v>0</v>
      </c>
      <c r="C232" s="1092">
        <v>0</v>
      </c>
      <c r="D232" s="1092">
        <v>0</v>
      </c>
      <c r="E232" s="1092">
        <v>0</v>
      </c>
      <c r="F232" s="1092">
        <v>0</v>
      </c>
      <c r="G232" s="1092">
        <v>0</v>
      </c>
      <c r="H232" s="1092">
        <v>0</v>
      </c>
      <c r="I232" s="1092">
        <v>0</v>
      </c>
      <c r="J232" s="1092">
        <v>0</v>
      </c>
      <c r="K232" s="1092">
        <v>0</v>
      </c>
      <c r="L232" s="1092">
        <v>0</v>
      </c>
      <c r="M232" s="1092">
        <v>0</v>
      </c>
      <c r="N232" s="27">
        <f t="shared" ref="N232:N240" si="36">SUM(B232:M232)</f>
        <v>0</v>
      </c>
    </row>
    <row r="233" spans="1:22">
      <c r="A233" s="32" t="s">
        <v>204</v>
      </c>
      <c r="B233" s="1092">
        <v>0</v>
      </c>
      <c r="C233" s="1092">
        <v>0</v>
      </c>
      <c r="D233" s="1092">
        <v>0</v>
      </c>
      <c r="E233" s="1092">
        <v>0</v>
      </c>
      <c r="F233" s="1092">
        <v>0</v>
      </c>
      <c r="G233" s="1092">
        <v>0</v>
      </c>
      <c r="H233" s="1092">
        <v>0</v>
      </c>
      <c r="I233" s="1092">
        <v>0</v>
      </c>
      <c r="J233" s="1092">
        <v>0</v>
      </c>
      <c r="K233" s="1092">
        <v>0</v>
      </c>
      <c r="L233" s="1092">
        <v>0</v>
      </c>
      <c r="M233" s="1092">
        <v>0</v>
      </c>
      <c r="N233" s="27">
        <f t="shared" si="36"/>
        <v>0</v>
      </c>
    </row>
    <row r="234" spans="1:22" hidden="1">
      <c r="A234" s="32" t="str">
        <f>Ontario!A234</f>
        <v>High Efficiency Clothes Washers</v>
      </c>
      <c r="B234" s="1092"/>
      <c r="C234" s="1092"/>
      <c r="D234" s="1092"/>
      <c r="E234" s="1092"/>
      <c r="F234" s="1092"/>
      <c r="G234" s="1092"/>
      <c r="H234" s="1092"/>
      <c r="I234" s="1092"/>
      <c r="J234" s="1092"/>
      <c r="K234" s="1092"/>
      <c r="L234" s="1092"/>
      <c r="M234" s="1092"/>
      <c r="N234" s="27">
        <f t="shared" si="36"/>
        <v>0</v>
      </c>
    </row>
    <row r="235" spans="1:22" hidden="1">
      <c r="A235" s="35" t="s">
        <v>47</v>
      </c>
      <c r="B235" s="1092"/>
      <c r="C235" s="1092"/>
      <c r="D235" s="1092"/>
      <c r="E235" s="1092"/>
      <c r="F235" s="1092"/>
      <c r="G235" s="1092"/>
      <c r="H235" s="1092"/>
      <c r="I235" s="1092"/>
      <c r="J235" s="1092"/>
      <c r="K235" s="1092"/>
      <c r="L235" s="1092"/>
      <c r="M235" s="1092"/>
      <c r="N235" s="27">
        <f t="shared" si="36"/>
        <v>0</v>
      </c>
    </row>
    <row r="236" spans="1:22">
      <c r="A236" s="32" t="str">
        <f>Ontario!A236</f>
        <v>Weather Based Irrigation Controllers (WBIC)</v>
      </c>
      <c r="B236" s="1092">
        <v>1</v>
      </c>
      <c r="C236" s="1092">
        <v>0</v>
      </c>
      <c r="D236" s="1092">
        <v>0</v>
      </c>
      <c r="E236" s="1092">
        <v>0</v>
      </c>
      <c r="F236" s="1092">
        <v>0</v>
      </c>
      <c r="G236" s="1092">
        <v>0</v>
      </c>
      <c r="H236" s="1092">
        <v>2</v>
      </c>
      <c r="I236" s="1092">
        <v>0</v>
      </c>
      <c r="J236" s="1092">
        <v>0</v>
      </c>
      <c r="K236" s="1092">
        <v>0</v>
      </c>
      <c r="L236" s="1092">
        <v>1</v>
      </c>
      <c r="M236" s="1092">
        <v>0</v>
      </c>
      <c r="N236" s="27">
        <f t="shared" si="36"/>
        <v>4</v>
      </c>
    </row>
    <row r="237" spans="1:22" ht="12.75" hidden="1" customHeight="1">
      <c r="A237" s="76" t="s">
        <v>150</v>
      </c>
      <c r="B237" s="1092"/>
      <c r="C237" s="1092"/>
      <c r="D237" s="1092"/>
      <c r="E237" s="1092"/>
      <c r="F237" s="1092"/>
      <c r="G237" s="1092"/>
      <c r="H237" s="1092"/>
      <c r="I237" s="1092"/>
      <c r="J237" s="1092"/>
      <c r="K237" s="1092"/>
      <c r="L237" s="1092"/>
      <c r="M237" s="1092"/>
      <c r="N237" s="27">
        <f t="shared" si="36"/>
        <v>0</v>
      </c>
    </row>
    <row r="238" spans="1:22">
      <c r="A238" s="32" t="str">
        <f>Ontario!A238</f>
        <v>Rotating Nozzles for Pop-up Spray Heads</v>
      </c>
      <c r="B238" s="1092">
        <v>23</v>
      </c>
      <c r="C238" s="1092">
        <v>0</v>
      </c>
      <c r="D238" s="1092">
        <v>0</v>
      </c>
      <c r="E238" s="1092">
        <v>0</v>
      </c>
      <c r="F238" s="1092">
        <v>0</v>
      </c>
      <c r="G238" s="1092">
        <v>0</v>
      </c>
      <c r="H238" s="1092">
        <v>0</v>
      </c>
      <c r="I238" s="1092">
        <v>0</v>
      </c>
      <c r="J238" s="1092">
        <v>0</v>
      </c>
      <c r="K238" s="1092">
        <v>0</v>
      </c>
      <c r="L238" s="1092">
        <v>30</v>
      </c>
      <c r="M238" s="1092">
        <v>0</v>
      </c>
      <c r="N238" s="27">
        <f t="shared" si="36"/>
        <v>53</v>
      </c>
    </row>
    <row r="239" spans="1:22">
      <c r="A239" s="32" t="str">
        <f>Ontario!A239</f>
        <v>Large Rotary Nozzles</v>
      </c>
      <c r="B239" s="1092">
        <v>0</v>
      </c>
      <c r="C239" s="1092">
        <v>0</v>
      </c>
      <c r="D239" s="1092">
        <v>0</v>
      </c>
      <c r="E239" s="1092">
        <v>0</v>
      </c>
      <c r="F239" s="1092">
        <v>0</v>
      </c>
      <c r="G239" s="1092">
        <v>0</v>
      </c>
      <c r="H239" s="1092">
        <v>0</v>
      </c>
      <c r="I239" s="1092">
        <v>0</v>
      </c>
      <c r="J239" s="1092">
        <v>0</v>
      </c>
      <c r="K239" s="1092">
        <v>0</v>
      </c>
      <c r="L239" s="1092">
        <v>0</v>
      </c>
      <c r="M239" s="1092">
        <v>0</v>
      </c>
      <c r="N239" s="27">
        <f t="shared" si="36"/>
        <v>0</v>
      </c>
      <c r="V239" s="121"/>
    </row>
    <row r="240" spans="1:22" hidden="1">
      <c r="A240" s="32" t="s">
        <v>102</v>
      </c>
      <c r="B240" s="1092"/>
      <c r="C240" s="1092"/>
      <c r="D240" s="1092"/>
      <c r="E240" s="1092"/>
      <c r="F240" s="1092"/>
      <c r="G240" s="1092"/>
      <c r="H240" s="1092"/>
      <c r="I240" s="1092"/>
      <c r="J240" s="1092"/>
      <c r="K240" s="1092"/>
      <c r="L240" s="1092"/>
      <c r="M240" s="1092"/>
      <c r="N240" s="27">
        <f t="shared" si="36"/>
        <v>0</v>
      </c>
    </row>
    <row r="241" spans="1:14">
      <c r="A241" s="32" t="str">
        <f>Ontario!A241</f>
        <v xml:space="preserve">Central Computerized Irrigation Controller </v>
      </c>
      <c r="B241" s="1092">
        <v>0</v>
      </c>
      <c r="C241" s="1092">
        <v>0</v>
      </c>
      <c r="D241" s="1092">
        <v>0</v>
      </c>
      <c r="E241" s="1092">
        <v>0</v>
      </c>
      <c r="F241" s="1092">
        <v>0</v>
      </c>
      <c r="G241" s="1092">
        <v>0</v>
      </c>
      <c r="H241" s="1092">
        <v>0</v>
      </c>
      <c r="I241" s="1092">
        <v>0</v>
      </c>
      <c r="J241" s="1092">
        <v>0</v>
      </c>
      <c r="K241" s="1092">
        <v>0</v>
      </c>
      <c r="L241" s="1092">
        <v>0</v>
      </c>
      <c r="M241" s="1092">
        <v>0</v>
      </c>
      <c r="N241" s="27">
        <f>SUM(B241:M241)</f>
        <v>0</v>
      </c>
    </row>
    <row r="242" spans="1:14">
      <c r="A242" s="32" t="str">
        <f>Ontario!A242</f>
        <v>Laminar Flow Restrictor</v>
      </c>
      <c r="B242" s="1092">
        <v>0</v>
      </c>
      <c r="C242" s="1092">
        <v>0</v>
      </c>
      <c r="D242" s="1092">
        <v>0</v>
      </c>
      <c r="E242" s="1092">
        <v>0</v>
      </c>
      <c r="F242" s="1092">
        <v>0</v>
      </c>
      <c r="G242" s="1092">
        <v>0</v>
      </c>
      <c r="H242" s="1092">
        <v>0</v>
      </c>
      <c r="I242" s="1092">
        <v>0</v>
      </c>
      <c r="J242" s="1092">
        <v>0</v>
      </c>
      <c r="K242" s="1092">
        <v>0</v>
      </c>
      <c r="L242" s="1092">
        <v>0</v>
      </c>
      <c r="M242" s="1092">
        <v>0</v>
      </c>
      <c r="N242" s="27">
        <f>SUM(B242:M242)</f>
        <v>0</v>
      </c>
    </row>
    <row r="243" spans="1:14">
      <c r="A243" s="32" t="str">
        <f>Ontario!A243</f>
        <v>Air-Cooled Ice Machine</v>
      </c>
      <c r="B243" s="1092">
        <v>0</v>
      </c>
      <c r="C243" s="1092">
        <v>0</v>
      </c>
      <c r="D243" s="1092">
        <v>0</v>
      </c>
      <c r="E243" s="1092">
        <v>0</v>
      </c>
      <c r="F243" s="1092">
        <v>0</v>
      </c>
      <c r="G243" s="1092">
        <v>0</v>
      </c>
      <c r="H243" s="1092">
        <v>0</v>
      </c>
      <c r="I243" s="1092">
        <v>0</v>
      </c>
      <c r="J243" s="1092">
        <v>0</v>
      </c>
      <c r="K243" s="1092">
        <v>0</v>
      </c>
      <c r="L243" s="1092">
        <v>0</v>
      </c>
      <c r="M243" s="1092">
        <v>0</v>
      </c>
      <c r="N243" s="27">
        <f>SUM(B243:M243)</f>
        <v>0</v>
      </c>
    </row>
    <row r="244" spans="1:14" ht="14" thickBot="1">
      <c r="A244" s="32" t="s">
        <v>213</v>
      </c>
      <c r="B244" s="1092">
        <v>0</v>
      </c>
      <c r="C244" s="1092">
        <v>0</v>
      </c>
      <c r="D244" s="1092">
        <v>0</v>
      </c>
      <c r="E244" s="1092">
        <v>0</v>
      </c>
      <c r="F244" s="1092">
        <v>0</v>
      </c>
      <c r="G244" s="1092">
        <v>0</v>
      </c>
      <c r="H244" s="1092">
        <v>0</v>
      </c>
      <c r="I244" s="1092">
        <v>0</v>
      </c>
      <c r="J244" s="1092">
        <v>0</v>
      </c>
      <c r="K244" s="1092">
        <v>0</v>
      </c>
      <c r="L244" s="1092">
        <v>0</v>
      </c>
      <c r="M244" s="1092">
        <v>0</v>
      </c>
      <c r="N244" s="27">
        <f>SUM(B244:M244)</f>
        <v>0</v>
      </c>
    </row>
    <row r="245" spans="1:14" ht="14" thickBot="1">
      <c r="A245" s="38" t="str">
        <f>Ontario!A245</f>
        <v>IEUA Locally Implemented Commercial Programs</v>
      </c>
      <c r="B245" s="39"/>
      <c r="C245" s="39"/>
      <c r="D245" s="39"/>
      <c r="E245" s="39"/>
      <c r="F245" s="39"/>
      <c r="G245" s="39"/>
      <c r="H245" s="39"/>
      <c r="I245" s="39"/>
      <c r="J245" s="39"/>
      <c r="K245" s="39"/>
      <c r="L245" s="39"/>
      <c r="M245" s="39"/>
      <c r="N245" s="40"/>
    </row>
    <row r="246" spans="1:14" hidden="1">
      <c r="A246" s="32" t="str">
        <f>Ontario!A246</f>
        <v>Fontana Unified School Retrofit Program</v>
      </c>
      <c r="B246" s="168"/>
      <c r="C246" s="168"/>
      <c r="D246" s="168"/>
      <c r="E246" s="168"/>
      <c r="F246" s="168"/>
      <c r="G246" s="168"/>
      <c r="H246" s="168"/>
      <c r="I246" s="168"/>
      <c r="J246" s="168"/>
      <c r="K246" s="168"/>
      <c r="L246" s="168"/>
      <c r="M246" s="168"/>
      <c r="N246" s="27">
        <f>SUM(B246:M246)</f>
        <v>0</v>
      </c>
    </row>
    <row r="247" spans="1:14" ht="14" thickBot="1">
      <c r="A247" s="32" t="str">
        <f>Ontario!A247</f>
        <v>FreeSprinklerNozzles.com Program</v>
      </c>
      <c r="B247" s="1092">
        <v>660</v>
      </c>
      <c r="C247" s="1092">
        <v>0</v>
      </c>
      <c r="D247" s="1092">
        <v>0</v>
      </c>
      <c r="E247" s="1092">
        <v>0</v>
      </c>
      <c r="F247" s="1092">
        <v>0</v>
      </c>
      <c r="G247" s="1092">
        <v>0</v>
      </c>
      <c r="H247" s="1092">
        <v>0</v>
      </c>
      <c r="I247" s="1092">
        <v>0</v>
      </c>
      <c r="J247" s="1092">
        <v>0</v>
      </c>
      <c r="K247" s="1092">
        <v>0</v>
      </c>
      <c r="L247" s="1092">
        <v>0</v>
      </c>
      <c r="M247" s="1092">
        <v>0</v>
      </c>
      <c r="N247" s="27">
        <f>SUM(B247:M247)</f>
        <v>660</v>
      </c>
    </row>
    <row r="248" spans="1:14" ht="14" thickBot="1">
      <c r="A248" s="53" t="s">
        <v>60</v>
      </c>
      <c r="B248" s="55">
        <f>SUM(B231:B247)</f>
        <v>684</v>
      </c>
      <c r="C248" s="55">
        <f t="shared" ref="C248:M248" si="37">SUM(C231:C247)</f>
        <v>0</v>
      </c>
      <c r="D248" s="55">
        <f t="shared" si="37"/>
        <v>0</v>
      </c>
      <c r="E248" s="55">
        <f t="shared" si="37"/>
        <v>0</v>
      </c>
      <c r="F248" s="55">
        <f t="shared" si="37"/>
        <v>0</v>
      </c>
      <c r="G248" s="55">
        <f t="shared" si="37"/>
        <v>0</v>
      </c>
      <c r="H248" s="55">
        <f t="shared" si="37"/>
        <v>2</v>
      </c>
      <c r="I248" s="55">
        <f t="shared" si="37"/>
        <v>0</v>
      </c>
      <c r="J248" s="55">
        <f t="shared" si="37"/>
        <v>0</v>
      </c>
      <c r="K248" s="55">
        <f t="shared" si="37"/>
        <v>0</v>
      </c>
      <c r="L248" s="55">
        <f t="shared" si="37"/>
        <v>31</v>
      </c>
      <c r="M248" s="55">
        <f t="shared" si="37"/>
        <v>0</v>
      </c>
      <c r="N248" s="54">
        <f>SUM(N231:N247)</f>
        <v>717</v>
      </c>
    </row>
    <row r="250" spans="1:14" ht="14" thickBot="1">
      <c r="B250" s="43" t="s">
        <v>35</v>
      </c>
      <c r="C250" s="43" t="s">
        <v>36</v>
      </c>
      <c r="D250" s="43" t="s">
        <v>37</v>
      </c>
      <c r="E250" s="43" t="s">
        <v>38</v>
      </c>
      <c r="F250" s="43" t="s">
        <v>39</v>
      </c>
      <c r="G250" s="43" t="s">
        <v>40</v>
      </c>
      <c r="H250" s="43" t="s">
        <v>41</v>
      </c>
      <c r="I250" s="43" t="s">
        <v>42</v>
      </c>
      <c r="J250" s="43" t="s">
        <v>43</v>
      </c>
      <c r="K250" s="43" t="s">
        <v>44</v>
      </c>
      <c r="L250" s="43" t="s">
        <v>45</v>
      </c>
      <c r="M250" s="43" t="s">
        <v>46</v>
      </c>
      <c r="N250" s="43" t="s">
        <v>10</v>
      </c>
    </row>
    <row r="251" spans="1:14" ht="17" thickBot="1">
      <c r="A251" s="31" t="s">
        <v>234</v>
      </c>
      <c r="B251" s="24"/>
      <c r="C251" s="24"/>
      <c r="D251" s="22"/>
      <c r="E251" s="22"/>
      <c r="F251" s="25"/>
      <c r="G251" s="25"/>
      <c r="H251" s="22"/>
      <c r="I251" s="22"/>
      <c r="J251" s="22"/>
      <c r="K251" s="22"/>
      <c r="L251" s="24"/>
      <c r="M251" s="24"/>
      <c r="N251" s="26"/>
    </row>
    <row r="252" spans="1:14" ht="14" thickBot="1">
      <c r="A252" s="38" t="s">
        <v>189</v>
      </c>
      <c r="B252" s="39"/>
      <c r="C252" s="39"/>
      <c r="D252" s="39"/>
      <c r="E252" s="39"/>
      <c r="F252" s="39"/>
      <c r="G252" s="39"/>
      <c r="H252" s="39"/>
      <c r="I252" s="39"/>
      <c r="J252" s="39"/>
      <c r="K252" s="39"/>
      <c r="L252" s="39"/>
      <c r="M252" s="39"/>
      <c r="N252" s="40"/>
    </row>
    <row r="253" spans="1:14">
      <c r="A253" s="32" t="s">
        <v>29</v>
      </c>
      <c r="B253" s="1092">
        <v>3</v>
      </c>
      <c r="C253" s="1092">
        <v>2</v>
      </c>
      <c r="D253" s="1092">
        <v>2</v>
      </c>
      <c r="E253" s="1092">
        <v>3</v>
      </c>
      <c r="F253" s="1092">
        <v>7</v>
      </c>
      <c r="G253" s="1092">
        <v>2</v>
      </c>
      <c r="H253" s="1092">
        <v>9</v>
      </c>
      <c r="I253" s="1092">
        <v>15</v>
      </c>
      <c r="J253" s="1092">
        <v>15</v>
      </c>
      <c r="K253" s="1092">
        <v>16</v>
      </c>
      <c r="L253" s="1092">
        <v>8</v>
      </c>
      <c r="M253" s="1092">
        <v>7</v>
      </c>
      <c r="N253" s="27">
        <f t="shared" ref="N253:N258" si="38">SUM(B253:M253)</f>
        <v>89</v>
      </c>
    </row>
    <row r="254" spans="1:14">
      <c r="A254" s="32" t="s">
        <v>33</v>
      </c>
      <c r="B254" s="1092">
        <v>5</v>
      </c>
      <c r="C254" s="1092">
        <v>8</v>
      </c>
      <c r="D254" s="1092">
        <v>5</v>
      </c>
      <c r="E254" s="1092">
        <v>9</v>
      </c>
      <c r="F254" s="1092">
        <v>10</v>
      </c>
      <c r="G254" s="1092">
        <v>5</v>
      </c>
      <c r="H254" s="1092">
        <v>8</v>
      </c>
      <c r="I254" s="1092">
        <v>4</v>
      </c>
      <c r="J254" s="1092">
        <v>19</v>
      </c>
      <c r="K254" s="1092">
        <v>3</v>
      </c>
      <c r="L254" s="1092">
        <v>7</v>
      </c>
      <c r="M254" s="1092">
        <v>3</v>
      </c>
      <c r="N254" s="27">
        <f t="shared" si="38"/>
        <v>86</v>
      </c>
    </row>
    <row r="255" spans="1:14">
      <c r="A255" s="32" t="s">
        <v>56</v>
      </c>
      <c r="B255" s="1092">
        <v>0</v>
      </c>
      <c r="C255" s="1092">
        <v>30</v>
      </c>
      <c r="D255" s="1092">
        <v>0</v>
      </c>
      <c r="E255" s="1092">
        <v>0</v>
      </c>
      <c r="F255" s="1092">
        <v>0</v>
      </c>
      <c r="G255" s="1092">
        <v>0</v>
      </c>
      <c r="H255" s="1092">
        <v>0</v>
      </c>
      <c r="I255" s="1092">
        <v>0</v>
      </c>
      <c r="J255" s="1092">
        <v>0</v>
      </c>
      <c r="K255" s="1092">
        <v>52</v>
      </c>
      <c r="L255" s="1092">
        <v>0</v>
      </c>
      <c r="M255" s="1092">
        <v>0</v>
      </c>
      <c r="N255" s="27">
        <f t="shared" si="38"/>
        <v>82</v>
      </c>
    </row>
    <row r="256" spans="1:14">
      <c r="A256" s="78" t="s">
        <v>30</v>
      </c>
      <c r="B256" s="1092">
        <v>0</v>
      </c>
      <c r="C256" s="1092">
        <v>1</v>
      </c>
      <c r="D256" s="1092">
        <v>0</v>
      </c>
      <c r="E256" s="1092">
        <v>0</v>
      </c>
      <c r="F256" s="1092">
        <v>0</v>
      </c>
      <c r="G256" s="1092">
        <v>0</v>
      </c>
      <c r="H256" s="1092">
        <v>0</v>
      </c>
      <c r="I256" s="1092">
        <v>0</v>
      </c>
      <c r="J256" s="1092">
        <v>0</v>
      </c>
      <c r="K256" s="1092">
        <v>1</v>
      </c>
      <c r="L256" s="1092">
        <v>0</v>
      </c>
      <c r="M256" s="1092">
        <v>0</v>
      </c>
      <c r="N256" s="27">
        <f t="shared" si="38"/>
        <v>2</v>
      </c>
    </row>
    <row r="257" spans="1:14">
      <c r="A257" s="76" t="s">
        <v>213</v>
      </c>
      <c r="B257" s="1092">
        <v>0</v>
      </c>
      <c r="C257" s="1092">
        <v>0</v>
      </c>
      <c r="D257" s="1092">
        <v>0</v>
      </c>
      <c r="E257" s="1092">
        <v>0</v>
      </c>
      <c r="F257" s="1092">
        <v>0</v>
      </c>
      <c r="G257" s="1092">
        <v>0</v>
      </c>
      <c r="H257" s="1092">
        <v>0</v>
      </c>
      <c r="I257" s="1092">
        <v>0</v>
      </c>
      <c r="J257" s="1092">
        <v>0</v>
      </c>
      <c r="K257" s="1092">
        <v>0</v>
      </c>
      <c r="L257" s="1092">
        <v>0</v>
      </c>
      <c r="M257" s="1092">
        <v>0</v>
      </c>
      <c r="N257" s="27">
        <f t="shared" si="38"/>
        <v>0</v>
      </c>
    </row>
    <row r="258" spans="1:14" ht="14" thickBot="1">
      <c r="A258" s="76" t="s">
        <v>212</v>
      </c>
      <c r="B258" s="1092">
        <v>0</v>
      </c>
      <c r="C258" s="1092">
        <v>1</v>
      </c>
      <c r="D258" s="1092">
        <v>4</v>
      </c>
      <c r="E258" s="1092">
        <v>1</v>
      </c>
      <c r="F258" s="1092">
        <v>4</v>
      </c>
      <c r="G258" s="1092">
        <v>0</v>
      </c>
      <c r="H258" s="1092">
        <v>0</v>
      </c>
      <c r="I258" s="1092">
        <v>0</v>
      </c>
      <c r="J258" s="1092">
        <v>0</v>
      </c>
      <c r="K258" s="1092">
        <v>0</v>
      </c>
      <c r="L258" s="1092">
        <v>0</v>
      </c>
      <c r="M258" s="1092">
        <v>0</v>
      </c>
      <c r="N258" s="27">
        <f t="shared" si="38"/>
        <v>10</v>
      </c>
    </row>
    <row r="259" spans="1:14" ht="14" thickBot="1">
      <c r="A259" s="38" t="s">
        <v>190</v>
      </c>
      <c r="B259" s="39"/>
      <c r="C259" s="39"/>
      <c r="D259" s="39"/>
      <c r="E259" s="39"/>
      <c r="F259" s="39"/>
      <c r="G259" s="39"/>
      <c r="H259" s="39"/>
      <c r="I259" s="39"/>
      <c r="J259" s="39"/>
      <c r="K259" s="39"/>
      <c r="L259" s="39"/>
      <c r="M259" s="39"/>
      <c r="N259" s="40"/>
    </row>
    <row r="260" spans="1:14">
      <c r="A260" s="76" t="s">
        <v>165</v>
      </c>
      <c r="B260" s="1092">
        <v>332</v>
      </c>
      <c r="C260" s="1092">
        <v>0</v>
      </c>
      <c r="D260" s="1092">
        <v>0</v>
      </c>
      <c r="E260" s="1092">
        <v>0</v>
      </c>
      <c r="F260" s="1092">
        <v>0</v>
      </c>
      <c r="G260" s="1092">
        <v>0</v>
      </c>
      <c r="H260" s="1092">
        <v>0</v>
      </c>
      <c r="I260" s="1092">
        <v>0</v>
      </c>
      <c r="J260" s="1092">
        <v>0</v>
      </c>
      <c r="K260" s="1092">
        <v>0</v>
      </c>
      <c r="L260" s="1092">
        <v>0</v>
      </c>
      <c r="M260" s="1092">
        <v>0</v>
      </c>
      <c r="N260" s="27">
        <f>SUM(B260:M260)</f>
        <v>332</v>
      </c>
    </row>
    <row r="261" spans="1:14">
      <c r="A261" s="76" t="s">
        <v>166</v>
      </c>
      <c r="B261" s="1092">
        <v>0</v>
      </c>
      <c r="C261" s="1092">
        <v>0</v>
      </c>
      <c r="D261" s="1092">
        <v>0</v>
      </c>
      <c r="E261" s="1092">
        <v>0</v>
      </c>
      <c r="F261" s="1092">
        <v>0</v>
      </c>
      <c r="G261" s="1092">
        <v>0</v>
      </c>
      <c r="H261" s="1092">
        <v>8</v>
      </c>
      <c r="I261" s="1092">
        <v>5</v>
      </c>
      <c r="J261" s="1092">
        <v>0</v>
      </c>
      <c r="K261" s="1092">
        <v>0</v>
      </c>
      <c r="L261" s="1092">
        <v>3</v>
      </c>
      <c r="M261" s="1092">
        <v>16</v>
      </c>
      <c r="N261" s="27">
        <f>SUM(B261:M261)</f>
        <v>32</v>
      </c>
    </row>
    <row r="262" spans="1:14">
      <c r="A262" s="76" t="s">
        <v>193</v>
      </c>
      <c r="B262" s="1092">
        <v>1</v>
      </c>
      <c r="C262" s="1092">
        <v>1</v>
      </c>
      <c r="D262" s="1092">
        <v>0</v>
      </c>
      <c r="E262" s="1092">
        <v>0</v>
      </c>
      <c r="F262" s="1092">
        <v>3</v>
      </c>
      <c r="G262" s="1092">
        <v>1</v>
      </c>
      <c r="H262" s="1092">
        <v>0</v>
      </c>
      <c r="I262" s="1092">
        <v>5</v>
      </c>
      <c r="J262" s="1092">
        <v>1</v>
      </c>
      <c r="K262" s="1092">
        <v>2</v>
      </c>
      <c r="L262" s="1092">
        <v>0</v>
      </c>
      <c r="M262" s="1092">
        <v>3</v>
      </c>
      <c r="N262" s="27">
        <f>SUM(B262:M262)</f>
        <v>17</v>
      </c>
    </row>
    <row r="263" spans="1:14" ht="14" thickBot="1">
      <c r="A263" s="76" t="s">
        <v>266</v>
      </c>
      <c r="B263" s="1092">
        <v>0</v>
      </c>
      <c r="C263" s="1092">
        <v>0</v>
      </c>
      <c r="D263" s="1092">
        <v>0</v>
      </c>
      <c r="E263" s="1092">
        <v>0</v>
      </c>
      <c r="F263" s="1092">
        <v>0</v>
      </c>
      <c r="G263" s="1092">
        <v>0</v>
      </c>
      <c r="H263" s="1092">
        <v>0</v>
      </c>
      <c r="I263" s="1092">
        <v>0</v>
      </c>
      <c r="J263" s="1092">
        <v>0</v>
      </c>
      <c r="K263" s="1092">
        <v>0</v>
      </c>
      <c r="L263" s="1092">
        <v>0</v>
      </c>
      <c r="M263" s="1092">
        <v>0</v>
      </c>
      <c r="N263" s="27">
        <f>SUM(B263:M263)</f>
        <v>0</v>
      </c>
    </row>
    <row r="264" spans="1:14" ht="14" thickBot="1">
      <c r="A264" s="53" t="s">
        <v>60</v>
      </c>
      <c r="B264" s="55">
        <f t="shared" ref="B264:L264" si="39">SUM(B253:B263)</f>
        <v>341</v>
      </c>
      <c r="C264" s="55">
        <f t="shared" si="39"/>
        <v>43</v>
      </c>
      <c r="D264" s="55">
        <f t="shared" si="39"/>
        <v>11</v>
      </c>
      <c r="E264" s="55">
        <f t="shared" si="39"/>
        <v>13</v>
      </c>
      <c r="F264" s="55">
        <f t="shared" si="39"/>
        <v>24</v>
      </c>
      <c r="G264" s="55">
        <f t="shared" si="39"/>
        <v>8</v>
      </c>
      <c r="H264" s="55">
        <f t="shared" si="39"/>
        <v>25</v>
      </c>
      <c r="I264" s="55">
        <f t="shared" si="39"/>
        <v>29</v>
      </c>
      <c r="J264" s="55">
        <f t="shared" si="39"/>
        <v>35</v>
      </c>
      <c r="K264" s="55">
        <f t="shared" si="39"/>
        <v>74</v>
      </c>
      <c r="L264" s="55">
        <f t="shared" si="39"/>
        <v>18</v>
      </c>
      <c r="M264" s="55">
        <f>SUM(M253:M263)</f>
        <v>29</v>
      </c>
      <c r="N264" s="54">
        <f>SUM(N253:N263)</f>
        <v>650</v>
      </c>
    </row>
    <row r="265" spans="1:14" ht="14" hidden="1" thickBot="1">
      <c r="A265" s="38" t="s">
        <v>191</v>
      </c>
      <c r="B265" s="39"/>
      <c r="C265" s="39"/>
      <c r="D265" s="39"/>
      <c r="E265" s="39"/>
      <c r="F265" s="39"/>
      <c r="G265" s="39"/>
      <c r="H265" s="39"/>
      <c r="I265" s="39"/>
      <c r="J265" s="39"/>
      <c r="K265" s="39"/>
      <c r="L265" s="39"/>
      <c r="M265" s="39"/>
      <c r="N265" s="40"/>
    </row>
    <row r="266" spans="1:14" ht="14" hidden="1" thickBot="1">
      <c r="A266" s="76" t="s">
        <v>147</v>
      </c>
      <c r="B266" s="168"/>
      <c r="C266" s="168"/>
      <c r="D266" s="168"/>
      <c r="E266" s="168"/>
      <c r="F266" s="168"/>
      <c r="G266" s="168"/>
      <c r="H266" s="168"/>
      <c r="I266" s="168"/>
      <c r="J266" s="168"/>
      <c r="K266" s="168"/>
      <c r="L266" s="168"/>
      <c r="M266" s="168"/>
      <c r="N266" s="27"/>
    </row>
    <row r="267" spans="1:14" ht="14" hidden="1" thickBot="1">
      <c r="A267" s="76" t="s">
        <v>179</v>
      </c>
      <c r="B267" s="168"/>
      <c r="C267" s="168"/>
      <c r="D267" s="168"/>
      <c r="E267" s="168"/>
      <c r="F267" s="168"/>
      <c r="G267" s="168"/>
      <c r="H267" s="168"/>
      <c r="I267" s="168"/>
      <c r="J267" s="168"/>
      <c r="K267" s="168"/>
      <c r="L267" s="168"/>
      <c r="M267" s="168"/>
      <c r="N267" s="27"/>
    </row>
    <row r="268" spans="1:14" ht="14" hidden="1" thickBot="1">
      <c r="A268" s="53" t="s">
        <v>60</v>
      </c>
      <c r="B268" s="55"/>
      <c r="C268" s="55"/>
      <c r="D268" s="55"/>
      <c r="E268" s="55"/>
      <c r="F268" s="55"/>
      <c r="G268" s="55"/>
      <c r="H268" s="55"/>
      <c r="I268" s="55"/>
      <c r="J268" s="55"/>
      <c r="K268" s="55"/>
      <c r="L268" s="55"/>
      <c r="M268" s="55"/>
      <c r="N268" s="54"/>
    </row>
    <row r="269" spans="1:14" ht="14" thickBot="1">
      <c r="A269" s="38" t="s">
        <v>194</v>
      </c>
      <c r="B269" s="39"/>
      <c r="C269" s="39"/>
      <c r="D269" s="39"/>
      <c r="E269" s="39"/>
      <c r="F269" s="39"/>
      <c r="G269" s="39"/>
      <c r="H269" s="39"/>
      <c r="I269" s="39"/>
      <c r="J269" s="39"/>
      <c r="K269" s="39"/>
      <c r="L269" s="39"/>
      <c r="M269" s="39"/>
      <c r="N269" s="40"/>
    </row>
    <row r="270" spans="1:14">
      <c r="A270" s="32" t="s">
        <v>29</v>
      </c>
      <c r="B270" s="1092">
        <v>0</v>
      </c>
      <c r="C270" s="1092">
        <v>0</v>
      </c>
      <c r="D270" s="1092">
        <v>0</v>
      </c>
      <c r="E270" s="1092">
        <v>0</v>
      </c>
      <c r="F270" s="1092">
        <v>200</v>
      </c>
      <c r="G270" s="1092">
        <v>0</v>
      </c>
      <c r="H270" s="1092">
        <v>0</v>
      </c>
      <c r="I270" s="1092">
        <v>0</v>
      </c>
      <c r="J270" s="1092">
        <v>0</v>
      </c>
      <c r="K270" s="1092">
        <v>0</v>
      </c>
      <c r="L270" s="1092">
        <v>0</v>
      </c>
      <c r="M270" s="1092">
        <v>0</v>
      </c>
      <c r="N270" s="27">
        <f>SUM(B270:M270)</f>
        <v>200</v>
      </c>
    </row>
    <row r="271" spans="1:14">
      <c r="A271" s="32" t="s">
        <v>51</v>
      </c>
      <c r="B271" s="1092">
        <v>0</v>
      </c>
      <c r="C271" s="1092">
        <v>0</v>
      </c>
      <c r="D271" s="1092">
        <v>0</v>
      </c>
      <c r="E271" s="1092">
        <v>0</v>
      </c>
      <c r="F271" s="1092">
        <v>0</v>
      </c>
      <c r="G271" s="1092">
        <v>0</v>
      </c>
      <c r="H271" s="1092">
        <v>0</v>
      </c>
      <c r="I271" s="1092">
        <v>0</v>
      </c>
      <c r="J271" s="1092">
        <v>0</v>
      </c>
      <c r="K271" s="1092">
        <v>0</v>
      </c>
      <c r="L271" s="1092">
        <v>0</v>
      </c>
      <c r="M271" s="1092">
        <v>0</v>
      </c>
      <c r="N271" s="27">
        <f t="shared" ref="N271:N283" si="40">SUM(B271:M271)</f>
        <v>0</v>
      </c>
    </row>
    <row r="272" spans="1:14">
      <c r="A272" s="34" t="s">
        <v>204</v>
      </c>
      <c r="B272" s="1092">
        <v>0</v>
      </c>
      <c r="C272" s="1092">
        <v>0</v>
      </c>
      <c r="D272" s="1092">
        <v>0</v>
      </c>
      <c r="E272" s="1092">
        <v>0</v>
      </c>
      <c r="F272" s="1092">
        <v>0</v>
      </c>
      <c r="G272" s="1092">
        <v>0</v>
      </c>
      <c r="H272" s="1092">
        <v>0</v>
      </c>
      <c r="I272" s="1092">
        <v>0</v>
      </c>
      <c r="J272" s="1092">
        <v>0</v>
      </c>
      <c r="K272" s="1092">
        <v>0</v>
      </c>
      <c r="L272" s="1092">
        <v>0</v>
      </c>
      <c r="M272" s="1092">
        <v>0</v>
      </c>
      <c r="N272" s="27">
        <f t="shared" si="40"/>
        <v>0</v>
      </c>
    </row>
    <row r="273" spans="1:14" hidden="1">
      <c r="A273" s="34" t="s">
        <v>13</v>
      </c>
      <c r="B273" s="1092"/>
      <c r="C273" s="1092"/>
      <c r="D273" s="1092"/>
      <c r="E273" s="1092"/>
      <c r="F273" s="1092"/>
      <c r="G273" s="1092"/>
      <c r="H273" s="1092"/>
      <c r="I273" s="1092"/>
      <c r="J273" s="1092"/>
      <c r="K273" s="1092"/>
      <c r="L273" s="1092"/>
      <c r="M273" s="1092"/>
      <c r="N273" s="27">
        <f t="shared" si="40"/>
        <v>0</v>
      </c>
    </row>
    <row r="274" spans="1:14" hidden="1">
      <c r="A274" s="35" t="s">
        <v>47</v>
      </c>
      <c r="B274" s="1092"/>
      <c r="C274" s="1092"/>
      <c r="D274" s="1092"/>
      <c r="E274" s="1092"/>
      <c r="F274" s="1092"/>
      <c r="G274" s="1092"/>
      <c r="H274" s="1092"/>
      <c r="I274" s="1092"/>
      <c r="J274" s="1092"/>
      <c r="K274" s="1092"/>
      <c r="L274" s="1092"/>
      <c r="M274" s="1092"/>
      <c r="N274" s="27">
        <f t="shared" si="40"/>
        <v>0</v>
      </c>
    </row>
    <row r="275" spans="1:14">
      <c r="A275" s="76" t="s">
        <v>30</v>
      </c>
      <c r="B275" s="1092">
        <v>3</v>
      </c>
      <c r="C275" s="1092">
        <v>0</v>
      </c>
      <c r="D275" s="1092">
        <v>0</v>
      </c>
      <c r="E275" s="1092">
        <v>0</v>
      </c>
      <c r="F275" s="1092">
        <v>0</v>
      </c>
      <c r="G275" s="1092">
        <v>0</v>
      </c>
      <c r="H275" s="1092">
        <v>8</v>
      </c>
      <c r="I275" s="1092">
        <v>3</v>
      </c>
      <c r="J275" s="1092">
        <v>2</v>
      </c>
      <c r="K275" s="1092">
        <v>0</v>
      </c>
      <c r="L275" s="1092">
        <v>4</v>
      </c>
      <c r="M275" s="1092">
        <v>3</v>
      </c>
      <c r="N275" s="27">
        <f t="shared" si="40"/>
        <v>23</v>
      </c>
    </row>
    <row r="276" spans="1:14" hidden="1">
      <c r="A276" s="76" t="s">
        <v>150</v>
      </c>
      <c r="B276" s="1092"/>
      <c r="C276" s="1092"/>
      <c r="D276" s="1092"/>
      <c r="E276" s="1092"/>
      <c r="F276" s="1092"/>
      <c r="G276" s="1092"/>
      <c r="H276" s="1092"/>
      <c r="I276" s="1092"/>
      <c r="J276" s="1092"/>
      <c r="K276" s="1092"/>
      <c r="L276" s="1092"/>
      <c r="M276" s="1092"/>
      <c r="N276" s="27">
        <f t="shared" si="40"/>
        <v>0</v>
      </c>
    </row>
    <row r="277" spans="1:14">
      <c r="A277" s="32" t="s">
        <v>56</v>
      </c>
      <c r="B277" s="1092">
        <v>1488</v>
      </c>
      <c r="C277" s="1092">
        <v>0</v>
      </c>
      <c r="D277" s="1092">
        <v>0</v>
      </c>
      <c r="E277" s="1092">
        <v>0</v>
      </c>
      <c r="F277" s="1092">
        <v>0</v>
      </c>
      <c r="G277" s="1092">
        <v>0</v>
      </c>
      <c r="H277" s="1092">
        <v>0</v>
      </c>
      <c r="I277" s="1092">
        <v>0</v>
      </c>
      <c r="J277" s="1092">
        <v>0</v>
      </c>
      <c r="K277" s="1092">
        <v>0</v>
      </c>
      <c r="L277" s="1092">
        <v>0</v>
      </c>
      <c r="M277" s="1092">
        <v>1563</v>
      </c>
      <c r="N277" s="27">
        <f t="shared" si="40"/>
        <v>3051</v>
      </c>
    </row>
    <row r="278" spans="1:14">
      <c r="A278" s="78" t="s">
        <v>122</v>
      </c>
      <c r="B278" s="1092">
        <v>0</v>
      </c>
      <c r="C278" s="1092">
        <v>0</v>
      </c>
      <c r="D278" s="1092">
        <v>0</v>
      </c>
      <c r="E278" s="1092">
        <v>0</v>
      </c>
      <c r="F278" s="1092">
        <v>0</v>
      </c>
      <c r="G278" s="1092">
        <v>0</v>
      </c>
      <c r="H278" s="1092">
        <v>0</v>
      </c>
      <c r="I278" s="1092">
        <v>0</v>
      </c>
      <c r="J278" s="1092">
        <v>0</v>
      </c>
      <c r="K278" s="1092">
        <v>0</v>
      </c>
      <c r="L278" s="1092">
        <v>0</v>
      </c>
      <c r="M278" s="1092">
        <v>0</v>
      </c>
      <c r="N278" s="27">
        <f t="shared" si="40"/>
        <v>0</v>
      </c>
    </row>
    <row r="279" spans="1:14" hidden="1">
      <c r="A279" s="32" t="s">
        <v>102</v>
      </c>
      <c r="B279" s="1092"/>
      <c r="C279" s="1092"/>
      <c r="D279" s="1092"/>
      <c r="E279" s="1092"/>
      <c r="F279" s="1092"/>
      <c r="G279" s="1092"/>
      <c r="H279" s="1092"/>
      <c r="I279" s="1092"/>
      <c r="J279" s="1092"/>
      <c r="K279" s="1092"/>
      <c r="L279" s="1092"/>
      <c r="M279" s="1092"/>
      <c r="N279" s="27">
        <f t="shared" si="40"/>
        <v>0</v>
      </c>
    </row>
    <row r="280" spans="1:14">
      <c r="A280" s="78" t="s">
        <v>184</v>
      </c>
      <c r="B280" s="1092">
        <v>0</v>
      </c>
      <c r="C280" s="1092">
        <v>0</v>
      </c>
      <c r="D280" s="1092">
        <v>0</v>
      </c>
      <c r="E280" s="1092">
        <v>0</v>
      </c>
      <c r="F280" s="1092">
        <v>0</v>
      </c>
      <c r="G280" s="1092">
        <v>0</v>
      </c>
      <c r="H280" s="1092">
        <v>0</v>
      </c>
      <c r="I280" s="1092">
        <v>0</v>
      </c>
      <c r="J280" s="1092">
        <v>0</v>
      </c>
      <c r="K280" s="1092">
        <v>0</v>
      </c>
      <c r="L280" s="1092">
        <v>0</v>
      </c>
      <c r="M280" s="1092">
        <v>0</v>
      </c>
      <c r="N280" s="27">
        <f t="shared" si="40"/>
        <v>0</v>
      </c>
    </row>
    <row r="281" spans="1:14">
      <c r="A281" s="78" t="s">
        <v>187</v>
      </c>
      <c r="B281" s="1092">
        <v>0</v>
      </c>
      <c r="C281" s="1092">
        <v>0</v>
      </c>
      <c r="D281" s="1092">
        <v>0</v>
      </c>
      <c r="E281" s="1092">
        <v>0</v>
      </c>
      <c r="F281" s="1092">
        <v>0</v>
      </c>
      <c r="G281" s="1092">
        <v>0</v>
      </c>
      <c r="H281" s="1092">
        <v>0</v>
      </c>
      <c r="I281" s="1092">
        <v>0</v>
      </c>
      <c r="J281" s="1092">
        <v>0</v>
      </c>
      <c r="K281" s="1092">
        <v>0</v>
      </c>
      <c r="L281" s="1092">
        <v>0</v>
      </c>
      <c r="M281" s="1092">
        <v>0</v>
      </c>
      <c r="N281" s="27">
        <f t="shared" si="40"/>
        <v>0</v>
      </c>
    </row>
    <row r="282" spans="1:14">
      <c r="A282" s="78" t="s">
        <v>188</v>
      </c>
      <c r="B282" s="1092">
        <v>0</v>
      </c>
      <c r="C282" s="1092">
        <v>0</v>
      </c>
      <c r="D282" s="1092">
        <v>0</v>
      </c>
      <c r="E282" s="1092">
        <v>0</v>
      </c>
      <c r="F282" s="1092">
        <v>0</v>
      </c>
      <c r="G282" s="1092">
        <v>0</v>
      </c>
      <c r="H282" s="1092">
        <v>0</v>
      </c>
      <c r="I282" s="1092">
        <v>0</v>
      </c>
      <c r="J282" s="1092">
        <v>0</v>
      </c>
      <c r="K282" s="1092">
        <v>0</v>
      </c>
      <c r="L282" s="1092">
        <v>0</v>
      </c>
      <c r="M282" s="1092">
        <v>0</v>
      </c>
      <c r="N282" s="27">
        <f t="shared" si="40"/>
        <v>0</v>
      </c>
    </row>
    <row r="283" spans="1:14" ht="14" thickBot="1">
      <c r="A283" s="78" t="s">
        <v>213</v>
      </c>
      <c r="B283" s="1092">
        <v>3</v>
      </c>
      <c r="C283" s="1092">
        <v>0</v>
      </c>
      <c r="D283" s="1092">
        <v>0</v>
      </c>
      <c r="E283" s="1092">
        <v>0</v>
      </c>
      <c r="F283" s="1092">
        <v>0</v>
      </c>
      <c r="G283" s="1092">
        <v>0</v>
      </c>
      <c r="H283" s="1092">
        <v>0</v>
      </c>
      <c r="I283" s="1092">
        <v>0</v>
      </c>
      <c r="J283" s="1092">
        <v>0</v>
      </c>
      <c r="K283" s="1092">
        <v>0</v>
      </c>
      <c r="L283" s="1092">
        <v>0</v>
      </c>
      <c r="M283" s="1092">
        <v>0</v>
      </c>
      <c r="N283" s="27">
        <f t="shared" si="40"/>
        <v>3</v>
      </c>
    </row>
    <row r="284" spans="1:14" ht="14" thickBot="1">
      <c r="A284" s="38" t="s">
        <v>192</v>
      </c>
      <c r="B284" s="39"/>
      <c r="C284" s="39"/>
      <c r="D284" s="39"/>
      <c r="E284" s="39"/>
      <c r="F284" s="39"/>
      <c r="G284" s="39"/>
      <c r="H284" s="39"/>
      <c r="I284" s="39"/>
      <c r="J284" s="39"/>
      <c r="K284" s="39"/>
      <c r="L284" s="39"/>
      <c r="M284" s="39"/>
      <c r="N284" s="40"/>
    </row>
    <row r="285" spans="1:14" hidden="1">
      <c r="A285" s="78" t="s">
        <v>167</v>
      </c>
      <c r="B285" s="168"/>
      <c r="C285" s="168"/>
      <c r="D285" s="168"/>
      <c r="E285" s="168"/>
      <c r="F285" s="168"/>
      <c r="G285" s="168"/>
      <c r="H285" s="168"/>
      <c r="I285" s="168"/>
      <c r="J285" s="168"/>
      <c r="K285" s="168"/>
      <c r="L285" s="168"/>
      <c r="M285" s="168"/>
      <c r="N285" s="27"/>
    </row>
    <row r="286" spans="1:14" ht="14" thickBot="1">
      <c r="A286" s="32" t="s">
        <v>165</v>
      </c>
      <c r="B286" s="1092">
        <v>0</v>
      </c>
      <c r="C286" s="1092">
        <v>0</v>
      </c>
      <c r="D286" s="1092">
        <v>0</v>
      </c>
      <c r="E286" s="1092">
        <v>0</v>
      </c>
      <c r="F286" s="1092">
        <v>0</v>
      </c>
      <c r="G286" s="1092">
        <v>0</v>
      </c>
      <c r="H286" s="1092">
        <v>0</v>
      </c>
      <c r="I286" s="1092">
        <v>0</v>
      </c>
      <c r="J286" s="1092">
        <v>0</v>
      </c>
      <c r="K286" s="1092">
        <v>0</v>
      </c>
      <c r="L286" s="1092">
        <v>0</v>
      </c>
      <c r="M286" s="1092">
        <v>0</v>
      </c>
      <c r="N286" s="27">
        <f>SUM(B286:M286)</f>
        <v>0</v>
      </c>
    </row>
    <row r="287" spans="1:14" ht="14" thickBot="1">
      <c r="A287" s="53" t="s">
        <v>60</v>
      </c>
      <c r="B287" s="55">
        <f>SUM(B270:B286)</f>
        <v>1494</v>
      </c>
      <c r="C287" s="55">
        <f t="shared" ref="C287:M287" si="41">SUM(C270:C286)</f>
        <v>0</v>
      </c>
      <c r="D287" s="55">
        <f t="shared" si="41"/>
        <v>0</v>
      </c>
      <c r="E287" s="55">
        <f t="shared" si="41"/>
        <v>0</v>
      </c>
      <c r="F287" s="55">
        <f t="shared" si="41"/>
        <v>200</v>
      </c>
      <c r="G287" s="55">
        <f t="shared" si="41"/>
        <v>0</v>
      </c>
      <c r="H287" s="55">
        <f t="shared" si="41"/>
        <v>8</v>
      </c>
      <c r="I287" s="55">
        <f t="shared" si="41"/>
        <v>3</v>
      </c>
      <c r="J287" s="55">
        <f t="shared" si="41"/>
        <v>2</v>
      </c>
      <c r="K287" s="55">
        <f t="shared" si="41"/>
        <v>0</v>
      </c>
      <c r="L287" s="55">
        <f t="shared" si="41"/>
        <v>4</v>
      </c>
      <c r="M287" s="55">
        <f t="shared" si="41"/>
        <v>1566</v>
      </c>
      <c r="N287" s="54">
        <f>SUM(N270:N286)</f>
        <v>3277</v>
      </c>
    </row>
    <row r="289" spans="1:14" ht="14" thickBot="1">
      <c r="B289" s="43" t="s">
        <v>35</v>
      </c>
      <c r="C289" s="43" t="s">
        <v>36</v>
      </c>
      <c r="D289" s="43" t="s">
        <v>37</v>
      </c>
      <c r="E289" s="43" t="s">
        <v>38</v>
      </c>
      <c r="F289" s="43" t="s">
        <v>39</v>
      </c>
      <c r="G289" s="43" t="s">
        <v>40</v>
      </c>
      <c r="H289" s="43" t="s">
        <v>41</v>
      </c>
      <c r="I289" s="43" t="s">
        <v>42</v>
      </c>
      <c r="J289" s="43" t="s">
        <v>43</v>
      </c>
      <c r="K289" s="43" t="s">
        <v>44</v>
      </c>
      <c r="L289" s="43" t="s">
        <v>45</v>
      </c>
      <c r="M289" s="43" t="s">
        <v>46</v>
      </c>
      <c r="N289" s="43" t="s">
        <v>10</v>
      </c>
    </row>
    <row r="290" spans="1:14" ht="17" thickBot="1">
      <c r="A290" s="31" t="s">
        <v>263</v>
      </c>
      <c r="B290" s="24"/>
      <c r="C290" s="24"/>
      <c r="D290" s="22"/>
      <c r="E290" s="22"/>
      <c r="F290" s="25"/>
      <c r="G290" s="25"/>
      <c r="H290" s="22"/>
      <c r="I290" s="22"/>
      <c r="J290" s="22"/>
      <c r="K290" s="22"/>
      <c r="L290" s="24"/>
      <c r="M290" s="24"/>
      <c r="N290" s="26"/>
    </row>
    <row r="291" spans="1:14" ht="14" thickBot="1">
      <c r="A291" s="38" t="s">
        <v>189</v>
      </c>
      <c r="B291" s="39"/>
      <c r="C291" s="39"/>
      <c r="D291" s="39"/>
      <c r="E291" s="39"/>
      <c r="F291" s="39"/>
      <c r="G291" s="39"/>
      <c r="H291" s="39"/>
      <c r="I291" s="39"/>
      <c r="J291" s="39"/>
      <c r="K291" s="39"/>
      <c r="L291" s="39"/>
      <c r="M291" s="39"/>
      <c r="N291" s="40"/>
    </row>
    <row r="292" spans="1:14">
      <c r="A292" s="32" t="s">
        <v>29</v>
      </c>
      <c r="B292" s="1092">
        <v>19</v>
      </c>
      <c r="C292" s="1092">
        <v>16</v>
      </c>
      <c r="D292" s="1092">
        <v>22</v>
      </c>
      <c r="E292" s="1092">
        <v>89</v>
      </c>
      <c r="F292" s="1092">
        <v>16</v>
      </c>
      <c r="G292" s="1092">
        <v>11</v>
      </c>
      <c r="H292" s="1092">
        <v>1</v>
      </c>
      <c r="I292" s="1092">
        <v>3</v>
      </c>
      <c r="J292" s="1092">
        <v>6</v>
      </c>
      <c r="K292" s="1092">
        <v>0</v>
      </c>
      <c r="L292" s="1092">
        <v>0</v>
      </c>
      <c r="M292" s="1092">
        <v>0</v>
      </c>
      <c r="N292" s="27">
        <f>SUM(B292:M292)</f>
        <v>183</v>
      </c>
    </row>
    <row r="293" spans="1:14">
      <c r="A293" s="32" t="s">
        <v>33</v>
      </c>
      <c r="B293" s="1092">
        <v>9</v>
      </c>
      <c r="C293" s="1092">
        <v>1</v>
      </c>
      <c r="D293" s="1092">
        <v>5</v>
      </c>
      <c r="E293" s="1092">
        <v>7</v>
      </c>
      <c r="F293" s="1092">
        <v>1</v>
      </c>
      <c r="G293" s="1092">
        <v>2</v>
      </c>
      <c r="H293" s="1092">
        <v>1</v>
      </c>
      <c r="I293" s="1092">
        <v>10</v>
      </c>
      <c r="J293" s="1092">
        <v>9</v>
      </c>
      <c r="K293" s="1092">
        <v>4</v>
      </c>
      <c r="L293" s="1092">
        <v>4</v>
      </c>
      <c r="M293" s="1092">
        <v>23</v>
      </c>
      <c r="N293" s="27">
        <f t="shared" ref="N293:N302" si="42">SUM(B293:M293)</f>
        <v>76</v>
      </c>
    </row>
    <row r="294" spans="1:14">
      <c r="A294" s="32" t="s">
        <v>56</v>
      </c>
      <c r="B294" s="1092">
        <v>0</v>
      </c>
      <c r="C294" s="1092">
        <v>19</v>
      </c>
      <c r="D294" s="1092">
        <v>27</v>
      </c>
      <c r="E294" s="1092">
        <v>56</v>
      </c>
      <c r="F294" s="1092">
        <v>0</v>
      </c>
      <c r="G294" s="1092">
        <v>0</v>
      </c>
      <c r="H294" s="1092">
        <v>0</v>
      </c>
      <c r="I294" s="1092">
        <v>0</v>
      </c>
      <c r="J294" s="1092">
        <v>0</v>
      </c>
      <c r="K294" s="1092">
        <v>0</v>
      </c>
      <c r="L294" s="1092">
        <v>0</v>
      </c>
      <c r="M294" s="1092">
        <v>0</v>
      </c>
      <c r="N294" s="27">
        <f t="shared" si="42"/>
        <v>102</v>
      </c>
    </row>
    <row r="295" spans="1:14">
      <c r="A295" s="78" t="s">
        <v>30</v>
      </c>
      <c r="B295" s="1092">
        <v>1</v>
      </c>
      <c r="C295" s="1092">
        <v>2</v>
      </c>
      <c r="D295" s="1092">
        <v>0</v>
      </c>
      <c r="E295" s="1092">
        <v>2</v>
      </c>
      <c r="F295" s="1092">
        <v>1</v>
      </c>
      <c r="G295" s="1092">
        <v>0</v>
      </c>
      <c r="H295" s="1092">
        <v>1</v>
      </c>
      <c r="I295" s="1092">
        <v>1</v>
      </c>
      <c r="J295" s="1092">
        <v>1</v>
      </c>
      <c r="K295" s="1092">
        <v>0</v>
      </c>
      <c r="L295" s="1092">
        <v>0</v>
      </c>
      <c r="M295" s="1092">
        <v>3</v>
      </c>
      <c r="N295" s="27">
        <f t="shared" si="42"/>
        <v>12</v>
      </c>
    </row>
    <row r="296" spans="1:14">
      <c r="A296" s="76" t="s">
        <v>213</v>
      </c>
      <c r="B296" s="1092">
        <v>0</v>
      </c>
      <c r="C296" s="1092">
        <v>0</v>
      </c>
      <c r="D296" s="1092">
        <v>3</v>
      </c>
      <c r="E296" s="1092">
        <v>1</v>
      </c>
      <c r="F296" s="1092">
        <v>1</v>
      </c>
      <c r="G296" s="1092">
        <v>5</v>
      </c>
      <c r="H296" s="1092">
        <v>10</v>
      </c>
      <c r="I296" s="1092">
        <v>3</v>
      </c>
      <c r="J296" s="1092">
        <v>2</v>
      </c>
      <c r="K296" s="1092">
        <v>0</v>
      </c>
      <c r="L296" s="1092">
        <v>0</v>
      </c>
      <c r="M296" s="1092">
        <v>0</v>
      </c>
      <c r="N296" s="27">
        <f t="shared" si="42"/>
        <v>25</v>
      </c>
    </row>
    <row r="297" spans="1:14">
      <c r="A297" s="76" t="s">
        <v>212</v>
      </c>
      <c r="B297" s="1092">
        <v>0</v>
      </c>
      <c r="C297" s="1092">
        <v>0</v>
      </c>
      <c r="D297" s="1092">
        <v>1</v>
      </c>
      <c r="E297" s="1092">
        <v>3</v>
      </c>
      <c r="F297" s="1092">
        <v>2</v>
      </c>
      <c r="G297" s="1092">
        <v>0</v>
      </c>
      <c r="H297" s="1092">
        <v>0</v>
      </c>
      <c r="I297" s="1092">
        <v>0</v>
      </c>
      <c r="J297" s="1092">
        <v>4</v>
      </c>
      <c r="K297" s="1092">
        <v>4</v>
      </c>
      <c r="L297" s="1092">
        <v>2</v>
      </c>
      <c r="M297" s="1092">
        <v>0</v>
      </c>
      <c r="N297" s="27">
        <f t="shared" si="42"/>
        <v>16</v>
      </c>
    </row>
    <row r="298" spans="1:14" ht="14" thickBot="1">
      <c r="A298" s="76" t="s">
        <v>267</v>
      </c>
      <c r="B298" s="1092">
        <v>0</v>
      </c>
      <c r="C298" s="1092">
        <v>0</v>
      </c>
      <c r="D298" s="1092">
        <v>0</v>
      </c>
      <c r="E298" s="1092">
        <v>0</v>
      </c>
      <c r="F298" s="1092">
        <v>0</v>
      </c>
      <c r="G298" s="1092">
        <v>0</v>
      </c>
      <c r="H298" s="1092">
        <v>0</v>
      </c>
      <c r="I298" s="1092">
        <v>0</v>
      </c>
      <c r="J298" s="1092">
        <v>0</v>
      </c>
      <c r="K298" s="1092">
        <v>0</v>
      </c>
      <c r="L298" s="1092">
        <v>0</v>
      </c>
      <c r="M298" s="1092">
        <v>0</v>
      </c>
      <c r="N298" s="27">
        <f t="shared" si="42"/>
        <v>0</v>
      </c>
    </row>
    <row r="299" spans="1:14" ht="14" thickBot="1">
      <c r="A299" s="38" t="s">
        <v>190</v>
      </c>
      <c r="B299" s="39"/>
      <c r="C299" s="39"/>
      <c r="D299" s="39"/>
      <c r="E299" s="39"/>
      <c r="F299" s="39"/>
      <c r="G299" s="39"/>
      <c r="H299" s="39"/>
      <c r="I299" s="39"/>
      <c r="J299" s="39"/>
      <c r="K299" s="39"/>
      <c r="L299" s="39"/>
      <c r="M299" s="39"/>
      <c r="N299" s="280"/>
    </row>
    <row r="300" spans="1:14">
      <c r="A300" s="76" t="s">
        <v>165</v>
      </c>
      <c r="B300" s="1092">
        <v>0</v>
      </c>
      <c r="C300" s="1092">
        <v>0</v>
      </c>
      <c r="D300" s="1092">
        <v>0</v>
      </c>
      <c r="E300" s="1092">
        <v>0</v>
      </c>
      <c r="F300" s="1092">
        <v>0</v>
      </c>
      <c r="G300" s="1092">
        <v>0</v>
      </c>
      <c r="H300" s="1092">
        <v>0</v>
      </c>
      <c r="I300" s="1092">
        <v>0</v>
      </c>
      <c r="J300" s="1092">
        <v>0</v>
      </c>
      <c r="K300" s="1092">
        <v>0</v>
      </c>
      <c r="L300" s="1092">
        <v>0</v>
      </c>
      <c r="M300" s="1092">
        <v>108</v>
      </c>
      <c r="N300" s="27">
        <f t="shared" si="42"/>
        <v>108</v>
      </c>
    </row>
    <row r="301" spans="1:14">
      <c r="A301" s="76" t="s">
        <v>166</v>
      </c>
      <c r="B301" s="1092">
        <v>8</v>
      </c>
      <c r="C301" s="1092">
        <v>4</v>
      </c>
      <c r="D301" s="1092">
        <v>4</v>
      </c>
      <c r="E301" s="1092">
        <v>0</v>
      </c>
      <c r="F301" s="1092">
        <v>0</v>
      </c>
      <c r="G301" s="1092">
        <v>5</v>
      </c>
      <c r="H301" s="1092">
        <v>9</v>
      </c>
      <c r="I301" s="1092">
        <v>2</v>
      </c>
      <c r="J301" s="1092">
        <v>2</v>
      </c>
      <c r="K301" s="1092">
        <v>3</v>
      </c>
      <c r="L301" s="1092">
        <v>1</v>
      </c>
      <c r="M301" s="1092">
        <v>0</v>
      </c>
      <c r="N301" s="27">
        <f t="shared" si="42"/>
        <v>38</v>
      </c>
    </row>
    <row r="302" spans="1:14">
      <c r="A302" s="76" t="s">
        <v>193</v>
      </c>
      <c r="B302" s="1092">
        <v>2</v>
      </c>
      <c r="C302" s="1092">
        <v>0</v>
      </c>
      <c r="D302" s="1092">
        <v>1</v>
      </c>
      <c r="E302" s="1092">
        <v>0</v>
      </c>
      <c r="F302" s="1092">
        <v>0</v>
      </c>
      <c r="G302" s="1092">
        <v>0</v>
      </c>
      <c r="H302" s="1092">
        <v>0</v>
      </c>
      <c r="I302" s="1092">
        <v>0</v>
      </c>
      <c r="J302" s="1092">
        <v>0</v>
      </c>
      <c r="K302" s="1092">
        <v>0</v>
      </c>
      <c r="L302" s="1092">
        <v>0</v>
      </c>
      <c r="M302" s="1092">
        <v>0</v>
      </c>
      <c r="N302" s="27">
        <f t="shared" si="42"/>
        <v>3</v>
      </c>
    </row>
    <row r="303" spans="1:14" ht="14" thickBot="1">
      <c r="A303" s="76" t="s">
        <v>266</v>
      </c>
      <c r="B303" s="1092">
        <v>0</v>
      </c>
      <c r="C303" s="1092">
        <v>0</v>
      </c>
      <c r="D303" s="1092">
        <v>0</v>
      </c>
      <c r="E303" s="1092">
        <v>0</v>
      </c>
      <c r="F303" s="1092">
        <v>0</v>
      </c>
      <c r="G303" s="1092">
        <v>0</v>
      </c>
      <c r="H303" s="1092">
        <v>0</v>
      </c>
      <c r="I303" s="1092">
        <v>0</v>
      </c>
      <c r="J303" s="1092">
        <v>0</v>
      </c>
      <c r="K303" s="1092">
        <v>0</v>
      </c>
      <c r="L303" s="1092">
        <v>0</v>
      </c>
      <c r="M303" s="1092">
        <v>0</v>
      </c>
      <c r="N303" s="27">
        <f>SUM(B303:M303)</f>
        <v>0</v>
      </c>
    </row>
    <row r="304" spans="1:14" ht="14" thickBot="1">
      <c r="A304" s="53" t="s">
        <v>60</v>
      </c>
      <c r="B304" s="55">
        <f t="shared" ref="B304:K304" si="43">SUM(B292:B303)</f>
        <v>39</v>
      </c>
      <c r="C304" s="55">
        <f t="shared" si="43"/>
        <v>42</v>
      </c>
      <c r="D304" s="55">
        <f t="shared" si="43"/>
        <v>63</v>
      </c>
      <c r="E304" s="55">
        <f t="shared" si="43"/>
        <v>158</v>
      </c>
      <c r="F304" s="55">
        <f t="shared" si="43"/>
        <v>21</v>
      </c>
      <c r="G304" s="55">
        <f t="shared" si="43"/>
        <v>23</v>
      </c>
      <c r="H304" s="55">
        <f t="shared" si="43"/>
        <v>22</v>
      </c>
      <c r="I304" s="55">
        <f t="shared" si="43"/>
        <v>19</v>
      </c>
      <c r="J304" s="55">
        <f t="shared" si="43"/>
        <v>24</v>
      </c>
      <c r="K304" s="55">
        <f t="shared" si="43"/>
        <v>11</v>
      </c>
      <c r="L304" s="55">
        <f>SUM(L292:L303)</f>
        <v>7</v>
      </c>
      <c r="M304" s="55">
        <f>SUM(M292:M303)</f>
        <v>134</v>
      </c>
      <c r="N304" s="54">
        <f>SUM(N292:N303)</f>
        <v>563</v>
      </c>
    </row>
    <row r="305" spans="1:14" ht="14" thickBot="1">
      <c r="A305" s="53"/>
      <c r="B305" s="55"/>
      <c r="C305" s="55"/>
      <c r="D305" s="55"/>
      <c r="E305" s="55"/>
      <c r="F305" s="55"/>
      <c r="G305" s="55"/>
      <c r="H305" s="55"/>
      <c r="I305" s="55"/>
      <c r="J305" s="55"/>
      <c r="K305" s="55"/>
      <c r="L305" s="55"/>
      <c r="M305" s="55"/>
      <c r="N305" s="54"/>
    </row>
    <row r="306" spans="1:14" ht="14" thickBot="1">
      <c r="A306" s="38" t="s">
        <v>194</v>
      </c>
      <c r="B306" s="39"/>
      <c r="C306" s="39"/>
      <c r="D306" s="39"/>
      <c r="E306" s="39"/>
      <c r="F306" s="39"/>
      <c r="G306" s="39"/>
      <c r="H306" s="39"/>
      <c r="I306" s="39"/>
      <c r="J306" s="39"/>
      <c r="K306" s="39"/>
      <c r="L306" s="39"/>
      <c r="M306" s="39"/>
      <c r="N306" s="40"/>
    </row>
    <row r="307" spans="1:14">
      <c r="A307" s="32" t="s">
        <v>29</v>
      </c>
      <c r="B307" s="1092">
        <v>0</v>
      </c>
      <c r="C307" s="1092">
        <v>0</v>
      </c>
      <c r="D307" s="1092">
        <v>0</v>
      </c>
      <c r="E307" s="1092">
        <v>0</v>
      </c>
      <c r="F307" s="1092">
        <v>0</v>
      </c>
      <c r="G307" s="1092">
        <v>160</v>
      </c>
      <c r="H307" s="1092">
        <v>5</v>
      </c>
      <c r="I307" s="1092">
        <v>0</v>
      </c>
      <c r="J307" s="1092">
        <v>0</v>
      </c>
      <c r="K307" s="1092">
        <f>45+43</f>
        <v>88</v>
      </c>
      <c r="L307" s="1092">
        <v>0</v>
      </c>
      <c r="M307" s="1092">
        <v>0</v>
      </c>
      <c r="N307" s="27">
        <f>SUM(B307:M307)</f>
        <v>253</v>
      </c>
    </row>
    <row r="308" spans="1:14">
      <c r="A308" s="78" t="s">
        <v>264</v>
      </c>
      <c r="B308" s="1092">
        <v>0</v>
      </c>
      <c r="C308" s="1092">
        <v>0</v>
      </c>
      <c r="D308" s="1092">
        <v>0</v>
      </c>
      <c r="E308" s="1092">
        <v>0</v>
      </c>
      <c r="F308" s="1092">
        <v>0</v>
      </c>
      <c r="G308" s="1092">
        <v>0</v>
      </c>
      <c r="H308" s="1092">
        <v>0</v>
      </c>
      <c r="I308" s="1092">
        <v>0</v>
      </c>
      <c r="J308" s="1092">
        <v>0</v>
      </c>
      <c r="K308" s="1092">
        <v>0</v>
      </c>
      <c r="L308" s="1092">
        <v>0</v>
      </c>
      <c r="M308" s="1092">
        <v>0</v>
      </c>
      <c r="N308" s="27">
        <f t="shared" ref="N308:N317" si="44">SUM(B308:M308)</f>
        <v>0</v>
      </c>
    </row>
    <row r="309" spans="1:14">
      <c r="A309" s="34" t="s">
        <v>204</v>
      </c>
      <c r="B309" s="1092">
        <v>0</v>
      </c>
      <c r="C309" s="1092">
        <v>0</v>
      </c>
      <c r="D309" s="1092">
        <v>0</v>
      </c>
      <c r="E309" s="1092">
        <v>0</v>
      </c>
      <c r="F309" s="1092">
        <v>0</v>
      </c>
      <c r="G309" s="1092">
        <v>0</v>
      </c>
      <c r="H309" s="1092">
        <v>0</v>
      </c>
      <c r="I309" s="1092">
        <v>0</v>
      </c>
      <c r="J309" s="1092">
        <v>0</v>
      </c>
      <c r="K309" s="1092">
        <v>0</v>
      </c>
      <c r="L309" s="1092">
        <v>0</v>
      </c>
      <c r="M309" s="1092">
        <v>0</v>
      </c>
      <c r="N309" s="27">
        <f t="shared" si="44"/>
        <v>0</v>
      </c>
    </row>
    <row r="310" spans="1:14">
      <c r="A310" s="76" t="s">
        <v>30</v>
      </c>
      <c r="B310" s="1092">
        <v>0</v>
      </c>
      <c r="C310" s="1092">
        <v>2</v>
      </c>
      <c r="D310" s="1092">
        <v>14</v>
      </c>
      <c r="E310" s="1092">
        <v>1</v>
      </c>
      <c r="F310" s="1092">
        <v>5</v>
      </c>
      <c r="G310" s="1092">
        <v>3</v>
      </c>
      <c r="H310" s="1092">
        <v>0</v>
      </c>
      <c r="I310" s="1092">
        <v>1</v>
      </c>
      <c r="J310" s="1092">
        <v>2</v>
      </c>
      <c r="K310" s="1092">
        <v>0</v>
      </c>
      <c r="L310" s="1092">
        <v>1</v>
      </c>
      <c r="M310" s="1092">
        <v>0</v>
      </c>
      <c r="N310" s="27">
        <f t="shared" si="44"/>
        <v>29</v>
      </c>
    </row>
    <row r="311" spans="1:14">
      <c r="A311" s="32" t="s">
        <v>56</v>
      </c>
      <c r="B311" s="1092">
        <v>0</v>
      </c>
      <c r="C311" s="1092">
        <v>0</v>
      </c>
      <c r="D311" s="1092">
        <v>5350</v>
      </c>
      <c r="E311" s="1092">
        <v>0</v>
      </c>
      <c r="F311" s="1092">
        <v>0</v>
      </c>
      <c r="G311" s="1092">
        <v>0</v>
      </c>
      <c r="H311" s="1092">
        <v>0</v>
      </c>
      <c r="I311" s="1092">
        <v>0</v>
      </c>
      <c r="J311" s="1092">
        <v>0</v>
      </c>
      <c r="K311" s="1092">
        <v>0</v>
      </c>
      <c r="L311" s="1092">
        <v>0</v>
      </c>
      <c r="M311" s="1092">
        <v>0</v>
      </c>
      <c r="N311" s="27">
        <f t="shared" si="44"/>
        <v>5350</v>
      </c>
    </row>
    <row r="312" spans="1:14">
      <c r="A312" s="78" t="s">
        <v>122</v>
      </c>
      <c r="B312" s="1092">
        <v>0</v>
      </c>
      <c r="C312" s="1092">
        <v>0</v>
      </c>
      <c r="D312" s="1092">
        <v>0</v>
      </c>
      <c r="E312" s="1092">
        <v>0</v>
      </c>
      <c r="F312" s="1092">
        <v>0</v>
      </c>
      <c r="G312" s="1092">
        <v>0</v>
      </c>
      <c r="H312" s="1092">
        <v>0</v>
      </c>
      <c r="I312" s="1092">
        <v>0</v>
      </c>
      <c r="J312" s="1092">
        <v>0</v>
      </c>
      <c r="K312" s="1092">
        <v>0</v>
      </c>
      <c r="L312" s="1092">
        <v>0</v>
      </c>
      <c r="M312" s="1092">
        <v>0</v>
      </c>
      <c r="N312" s="27">
        <f t="shared" si="44"/>
        <v>0</v>
      </c>
    </row>
    <row r="313" spans="1:14">
      <c r="A313" s="78" t="s">
        <v>184</v>
      </c>
      <c r="B313" s="1092">
        <v>0</v>
      </c>
      <c r="C313" s="1092">
        <v>0</v>
      </c>
      <c r="D313" s="1092">
        <v>0</v>
      </c>
      <c r="E313" s="1092">
        <v>0</v>
      </c>
      <c r="F313" s="1092">
        <v>0</v>
      </c>
      <c r="G313" s="1092">
        <v>0</v>
      </c>
      <c r="H313" s="1092">
        <v>0</v>
      </c>
      <c r="I313" s="1092">
        <v>0</v>
      </c>
      <c r="J313" s="1092">
        <v>0</v>
      </c>
      <c r="K313" s="1092">
        <v>0</v>
      </c>
      <c r="L313" s="1092">
        <v>0</v>
      </c>
      <c r="M313" s="1092">
        <v>0</v>
      </c>
      <c r="N313" s="27">
        <f t="shared" si="44"/>
        <v>0</v>
      </c>
    </row>
    <row r="314" spans="1:14">
      <c r="A314" s="78" t="s">
        <v>187</v>
      </c>
      <c r="B314" s="1092">
        <v>0</v>
      </c>
      <c r="C314" s="1092">
        <v>0</v>
      </c>
      <c r="D314" s="1092">
        <v>0</v>
      </c>
      <c r="E314" s="1092">
        <v>0</v>
      </c>
      <c r="F314" s="1092">
        <v>0</v>
      </c>
      <c r="G314" s="1092">
        <v>0</v>
      </c>
      <c r="H314" s="1092">
        <v>0</v>
      </c>
      <c r="I314" s="1092">
        <v>0</v>
      </c>
      <c r="J314" s="1092">
        <v>0</v>
      </c>
      <c r="K314" s="1092">
        <v>0</v>
      </c>
      <c r="L314" s="1092">
        <v>0</v>
      </c>
      <c r="M314" s="1092">
        <v>0</v>
      </c>
      <c r="N314" s="27">
        <f t="shared" si="44"/>
        <v>0</v>
      </c>
    </row>
    <row r="315" spans="1:14">
      <c r="A315" s="78" t="s">
        <v>188</v>
      </c>
      <c r="B315" s="1092">
        <v>0</v>
      </c>
      <c r="C315" s="1092">
        <v>0</v>
      </c>
      <c r="D315" s="1092">
        <v>0</v>
      </c>
      <c r="E315" s="1092">
        <v>0</v>
      </c>
      <c r="F315" s="1092">
        <v>0</v>
      </c>
      <c r="G315" s="1092">
        <v>0</v>
      </c>
      <c r="H315" s="1092">
        <v>0</v>
      </c>
      <c r="I315" s="1092">
        <v>0</v>
      </c>
      <c r="J315" s="1092">
        <v>0</v>
      </c>
      <c r="K315" s="1092">
        <v>0</v>
      </c>
      <c r="L315" s="1092">
        <v>0</v>
      </c>
      <c r="M315" s="1092">
        <v>0</v>
      </c>
      <c r="N315" s="27">
        <f t="shared" si="44"/>
        <v>0</v>
      </c>
    </row>
    <row r="316" spans="1:14">
      <c r="A316" s="78" t="s">
        <v>213</v>
      </c>
      <c r="B316" s="1092">
        <v>0</v>
      </c>
      <c r="C316" s="1092">
        <v>1</v>
      </c>
      <c r="D316" s="1092">
        <v>0</v>
      </c>
      <c r="E316" s="1092">
        <v>0</v>
      </c>
      <c r="F316" s="1092">
        <v>0</v>
      </c>
      <c r="G316" s="1092">
        <v>3</v>
      </c>
      <c r="H316" s="1092">
        <v>2</v>
      </c>
      <c r="I316" s="1092">
        <v>0</v>
      </c>
      <c r="J316" s="1092">
        <v>3</v>
      </c>
      <c r="K316" s="1092">
        <v>2</v>
      </c>
      <c r="L316" s="1092">
        <v>0</v>
      </c>
      <c r="M316" s="1092">
        <v>0</v>
      </c>
      <c r="N316" s="27">
        <f t="shared" si="44"/>
        <v>11</v>
      </c>
    </row>
    <row r="317" spans="1:14">
      <c r="A317" s="76" t="s">
        <v>267</v>
      </c>
      <c r="B317" s="1092">
        <v>0</v>
      </c>
      <c r="C317" s="1092">
        <v>0</v>
      </c>
      <c r="D317" s="1092">
        <v>0</v>
      </c>
      <c r="E317" s="1092">
        <v>0</v>
      </c>
      <c r="F317" s="1092">
        <v>0</v>
      </c>
      <c r="G317" s="1092">
        <v>0</v>
      </c>
      <c r="H317" s="1092">
        <v>0</v>
      </c>
      <c r="I317" s="1092">
        <v>0</v>
      </c>
      <c r="J317" s="1092">
        <v>0</v>
      </c>
      <c r="K317" s="1092">
        <v>0</v>
      </c>
      <c r="L317" s="1092">
        <v>0</v>
      </c>
      <c r="M317" s="1092">
        <v>0</v>
      </c>
      <c r="N317" s="27">
        <f t="shared" si="44"/>
        <v>0</v>
      </c>
    </row>
    <row r="318" spans="1:14" ht="14" thickBot="1">
      <c r="A318" s="78" t="s">
        <v>268</v>
      </c>
      <c r="B318" s="1092">
        <v>0</v>
      </c>
      <c r="C318" s="1092">
        <v>0</v>
      </c>
      <c r="D318" s="1092">
        <v>0</v>
      </c>
      <c r="E318" s="1092">
        <v>0</v>
      </c>
      <c r="F318" s="1092">
        <v>0</v>
      </c>
      <c r="G318" s="1092">
        <v>0</v>
      </c>
      <c r="H318" s="1092">
        <v>0</v>
      </c>
      <c r="I318" s="1092">
        <v>0</v>
      </c>
      <c r="J318" s="1092">
        <v>0</v>
      </c>
      <c r="K318" s="1092">
        <v>0</v>
      </c>
      <c r="L318" s="1092">
        <v>2206</v>
      </c>
      <c r="M318" s="1092">
        <v>0</v>
      </c>
      <c r="N318" s="27">
        <f>SUM(B318:M318)</f>
        <v>2206</v>
      </c>
    </row>
    <row r="319" spans="1:14" ht="14" thickBot="1">
      <c r="A319" s="38" t="s">
        <v>192</v>
      </c>
      <c r="B319" s="39"/>
      <c r="C319" s="39"/>
      <c r="D319" s="39"/>
      <c r="E319" s="39"/>
      <c r="F319" s="39"/>
      <c r="G319" s="39"/>
      <c r="H319" s="39"/>
      <c r="I319" s="39"/>
      <c r="J319" s="39"/>
      <c r="K319" s="39"/>
      <c r="L319" s="39"/>
      <c r="M319" s="39"/>
      <c r="N319" s="40"/>
    </row>
    <row r="320" spans="1:14" ht="14" thickBot="1">
      <c r="A320" s="32" t="s">
        <v>165</v>
      </c>
      <c r="B320" s="1092">
        <v>0</v>
      </c>
      <c r="C320" s="1092">
        <v>0</v>
      </c>
      <c r="D320" s="1092">
        <v>0</v>
      </c>
      <c r="E320" s="1092">
        <v>0</v>
      </c>
      <c r="F320" s="1092">
        <v>0</v>
      </c>
      <c r="G320" s="1092">
        <v>0</v>
      </c>
      <c r="H320" s="1092">
        <v>0</v>
      </c>
      <c r="I320" s="1092">
        <v>0</v>
      </c>
      <c r="J320" s="1092">
        <v>0</v>
      </c>
      <c r="K320" s="1092">
        <v>0</v>
      </c>
      <c r="L320" s="1092">
        <v>0</v>
      </c>
      <c r="M320" s="1092">
        <v>0</v>
      </c>
      <c r="N320" s="27">
        <f>SUM(B320:M320)</f>
        <v>0</v>
      </c>
    </row>
    <row r="321" spans="1:15" ht="14" thickBot="1">
      <c r="A321" s="53" t="s">
        <v>60</v>
      </c>
      <c r="B321" s="55">
        <f t="shared" ref="B321:L321" si="45">SUM(B307:B320)</f>
        <v>0</v>
      </c>
      <c r="C321" s="55">
        <f t="shared" si="45"/>
        <v>3</v>
      </c>
      <c r="D321" s="55">
        <f t="shared" si="45"/>
        <v>5364</v>
      </c>
      <c r="E321" s="55">
        <f t="shared" si="45"/>
        <v>1</v>
      </c>
      <c r="F321" s="55">
        <f t="shared" si="45"/>
        <v>5</v>
      </c>
      <c r="G321" s="55">
        <f t="shared" si="45"/>
        <v>166</v>
      </c>
      <c r="H321" s="55">
        <f t="shared" si="45"/>
        <v>7</v>
      </c>
      <c r="I321" s="55">
        <f t="shared" si="45"/>
        <v>1</v>
      </c>
      <c r="J321" s="55">
        <f t="shared" si="45"/>
        <v>5</v>
      </c>
      <c r="K321" s="55">
        <f t="shared" si="45"/>
        <v>90</v>
      </c>
      <c r="L321" s="55">
        <f t="shared" si="45"/>
        <v>2207</v>
      </c>
      <c r="M321" s="55">
        <f>SUM(M307:M320)</f>
        <v>0</v>
      </c>
      <c r="N321" s="54">
        <f>SUM(N307:N320)</f>
        <v>7849</v>
      </c>
    </row>
    <row r="322" spans="1:15">
      <c r="A322" s="2"/>
      <c r="B322" s="3"/>
      <c r="C322" s="3"/>
      <c r="D322" s="3"/>
      <c r="E322" s="3"/>
      <c r="F322" s="3"/>
      <c r="G322" s="3"/>
      <c r="H322" s="3"/>
      <c r="I322" s="3"/>
      <c r="J322" s="3"/>
      <c r="K322" s="3"/>
      <c r="L322" s="3"/>
      <c r="M322" s="3"/>
      <c r="N322" s="3"/>
    </row>
    <row r="323" spans="1:15" ht="14" thickBot="1">
      <c r="B323" s="43" t="s">
        <v>35</v>
      </c>
      <c r="C323" s="43" t="s">
        <v>36</v>
      </c>
      <c r="D323" s="43" t="s">
        <v>37</v>
      </c>
      <c r="E323" s="43" t="s">
        <v>38</v>
      </c>
      <c r="F323" s="43" t="s">
        <v>39</v>
      </c>
      <c r="G323" s="43" t="s">
        <v>40</v>
      </c>
      <c r="H323" s="43" t="s">
        <v>41</v>
      </c>
      <c r="I323" s="43" t="s">
        <v>42</v>
      </c>
      <c r="J323" s="43" t="s">
        <v>43</v>
      </c>
      <c r="K323" s="43" t="s">
        <v>44</v>
      </c>
      <c r="L323" s="43" t="s">
        <v>45</v>
      </c>
      <c r="M323" s="43" t="s">
        <v>46</v>
      </c>
      <c r="N323" s="43" t="s">
        <v>10</v>
      </c>
      <c r="O323" s="3"/>
    </row>
    <row r="324" spans="1:15" ht="17" thickBot="1">
      <c r="A324" s="31" t="s">
        <v>317</v>
      </c>
      <c r="B324" s="24"/>
      <c r="C324" s="24"/>
      <c r="D324" s="22"/>
      <c r="E324" s="22"/>
      <c r="F324" s="25"/>
      <c r="G324" s="25"/>
      <c r="H324" s="22"/>
      <c r="I324" s="22"/>
      <c r="J324" s="22"/>
      <c r="K324" s="22"/>
      <c r="L324" s="24"/>
      <c r="M324" s="24"/>
      <c r="N324" s="26"/>
      <c r="O324" s="3"/>
    </row>
    <row r="325" spans="1:15" ht="14" thickBot="1">
      <c r="A325" s="38" t="s">
        <v>189</v>
      </c>
      <c r="B325" s="39"/>
      <c r="C325" s="39"/>
      <c r="D325" s="39"/>
      <c r="E325" s="39"/>
      <c r="F325" s="39"/>
      <c r="G325" s="39"/>
      <c r="H325" s="39"/>
      <c r="I325" s="39"/>
      <c r="J325" s="39"/>
      <c r="K325" s="39"/>
      <c r="L325" s="39"/>
      <c r="M325" s="39"/>
      <c r="N325" s="40"/>
    </row>
    <row r="326" spans="1:15">
      <c r="A326" s="32" t="s">
        <v>29</v>
      </c>
      <c r="B326" s="1092">
        <v>0</v>
      </c>
      <c r="C326" s="1092">
        <v>0</v>
      </c>
      <c r="D326" s="1092">
        <v>4</v>
      </c>
      <c r="E326" s="1092">
        <v>3</v>
      </c>
      <c r="F326" s="1092">
        <v>27</v>
      </c>
      <c r="G326" s="1092">
        <v>0</v>
      </c>
      <c r="H326" s="1092">
        <v>0</v>
      </c>
      <c r="I326" s="1092">
        <v>0</v>
      </c>
      <c r="J326" s="1092">
        <v>3</v>
      </c>
      <c r="K326" s="1092">
        <v>3</v>
      </c>
      <c r="L326" s="1092">
        <v>0</v>
      </c>
      <c r="M326" s="1092">
        <v>0</v>
      </c>
      <c r="N326" s="27">
        <f t="shared" ref="N326:N333" si="46">SUM(B326:M326)</f>
        <v>40</v>
      </c>
    </row>
    <row r="327" spans="1:15">
      <c r="A327" s="32" t="s">
        <v>33</v>
      </c>
      <c r="B327" s="1092">
        <v>10</v>
      </c>
      <c r="C327" s="1092">
        <v>1</v>
      </c>
      <c r="D327" s="1092">
        <v>10</v>
      </c>
      <c r="E327" s="1092">
        <v>8</v>
      </c>
      <c r="F327" s="1092">
        <v>3</v>
      </c>
      <c r="G327" s="1092">
        <v>2</v>
      </c>
      <c r="H327" s="1092">
        <v>3</v>
      </c>
      <c r="I327" s="1092">
        <v>16</v>
      </c>
      <c r="J327" s="1092">
        <v>10</v>
      </c>
      <c r="K327" s="1092">
        <v>5</v>
      </c>
      <c r="L327" s="1092">
        <v>3</v>
      </c>
      <c r="M327" s="1092">
        <v>6</v>
      </c>
      <c r="N327" s="27">
        <f t="shared" si="46"/>
        <v>77</v>
      </c>
    </row>
    <row r="328" spans="1:15">
      <c r="A328" s="32" t="s">
        <v>56</v>
      </c>
      <c r="B328" s="1092">
        <v>0</v>
      </c>
      <c r="C328" s="1092">
        <v>0</v>
      </c>
      <c r="D328" s="1092">
        <v>0</v>
      </c>
      <c r="E328" s="1092">
        <v>0</v>
      </c>
      <c r="F328" s="1092">
        <v>0</v>
      </c>
      <c r="G328" s="1092">
        <v>0</v>
      </c>
      <c r="H328" s="1092">
        <v>0</v>
      </c>
      <c r="I328" s="1092">
        <v>0</v>
      </c>
      <c r="J328" s="1092">
        <v>0</v>
      </c>
      <c r="K328" s="1092">
        <v>0</v>
      </c>
      <c r="L328" s="1092">
        <v>0</v>
      </c>
      <c r="M328" s="1092">
        <v>0</v>
      </c>
      <c r="N328" s="27">
        <f t="shared" si="46"/>
        <v>0</v>
      </c>
    </row>
    <row r="329" spans="1:15">
      <c r="A329" s="78" t="s">
        <v>30</v>
      </c>
      <c r="B329" s="1092">
        <v>5</v>
      </c>
      <c r="C329" s="1092">
        <v>4</v>
      </c>
      <c r="D329" s="1092">
        <v>2</v>
      </c>
      <c r="E329" s="1092">
        <v>1</v>
      </c>
      <c r="F329" s="1092">
        <v>0</v>
      </c>
      <c r="G329" s="1092">
        <v>1</v>
      </c>
      <c r="H329" s="1092">
        <v>0</v>
      </c>
      <c r="I329" s="1092">
        <v>1</v>
      </c>
      <c r="J329" s="1092">
        <v>2</v>
      </c>
      <c r="K329" s="1092">
        <v>1</v>
      </c>
      <c r="L329" s="1092">
        <v>4</v>
      </c>
      <c r="M329" s="1092">
        <v>1</v>
      </c>
      <c r="N329" s="27">
        <f t="shared" si="46"/>
        <v>22</v>
      </c>
    </row>
    <row r="330" spans="1:15">
      <c r="A330" s="76" t="s">
        <v>213</v>
      </c>
      <c r="B330" s="1092">
        <v>0</v>
      </c>
      <c r="C330" s="1092">
        <v>0</v>
      </c>
      <c r="D330" s="1092">
        <v>0</v>
      </c>
      <c r="E330" s="1092">
        <v>0</v>
      </c>
      <c r="F330" s="1092">
        <v>1</v>
      </c>
      <c r="G330" s="1092">
        <v>0</v>
      </c>
      <c r="H330" s="1092">
        <v>2</v>
      </c>
      <c r="I330" s="1092">
        <v>4</v>
      </c>
      <c r="J330" s="1092">
        <v>5</v>
      </c>
      <c r="K330" s="1092">
        <v>3</v>
      </c>
      <c r="L330" s="1092">
        <v>0</v>
      </c>
      <c r="M330" s="1092">
        <v>0</v>
      </c>
      <c r="N330" s="27">
        <f t="shared" si="46"/>
        <v>15</v>
      </c>
    </row>
    <row r="331" spans="1:15">
      <c r="A331" s="76" t="s">
        <v>212</v>
      </c>
      <c r="B331" s="1092">
        <v>1</v>
      </c>
      <c r="C331" s="1092">
        <v>0</v>
      </c>
      <c r="D331" s="1092">
        <v>0</v>
      </c>
      <c r="E331" s="1092">
        <v>0</v>
      </c>
      <c r="F331" s="1092">
        <v>6</v>
      </c>
      <c r="G331" s="1092">
        <v>0</v>
      </c>
      <c r="H331" s="1092">
        <v>0</v>
      </c>
      <c r="I331" s="1092">
        <v>0</v>
      </c>
      <c r="J331" s="1092">
        <v>0</v>
      </c>
      <c r="K331" s="1092">
        <v>0</v>
      </c>
      <c r="L331" s="1092">
        <v>0</v>
      </c>
      <c r="M331" s="1092">
        <v>0</v>
      </c>
      <c r="N331" s="27">
        <f t="shared" si="46"/>
        <v>7</v>
      </c>
    </row>
    <row r="332" spans="1:15">
      <c r="A332" s="76" t="s">
        <v>331</v>
      </c>
      <c r="B332" s="1092">
        <v>0</v>
      </c>
      <c r="C332" s="1092">
        <v>0</v>
      </c>
      <c r="D332" s="1092">
        <v>0</v>
      </c>
      <c r="E332" s="1092">
        <v>0</v>
      </c>
      <c r="F332" s="1092">
        <v>0</v>
      </c>
      <c r="G332" s="1092">
        <v>0</v>
      </c>
      <c r="H332" s="1092">
        <v>0</v>
      </c>
      <c r="I332" s="1092">
        <v>0</v>
      </c>
      <c r="J332" s="1092">
        <v>0</v>
      </c>
      <c r="K332" s="1092">
        <v>0</v>
      </c>
      <c r="L332" s="1092">
        <v>0</v>
      </c>
      <c r="M332" s="1092">
        <v>0</v>
      </c>
      <c r="N332" s="27">
        <f t="shared" si="46"/>
        <v>0</v>
      </c>
    </row>
    <row r="333" spans="1:15" ht="14" thickBot="1">
      <c r="A333" s="76" t="s">
        <v>267</v>
      </c>
      <c r="B333" s="1092">
        <v>0</v>
      </c>
      <c r="C333" s="1092">
        <v>0</v>
      </c>
      <c r="D333" s="1092">
        <v>0</v>
      </c>
      <c r="E333" s="1092">
        <v>0</v>
      </c>
      <c r="F333" s="1092">
        <v>0</v>
      </c>
      <c r="G333" s="1092">
        <v>0</v>
      </c>
      <c r="H333" s="1092">
        <v>0</v>
      </c>
      <c r="I333" s="1092">
        <v>0</v>
      </c>
      <c r="J333" s="1092">
        <v>0</v>
      </c>
      <c r="K333" s="1092">
        <v>0</v>
      </c>
      <c r="L333" s="1092">
        <v>0</v>
      </c>
      <c r="M333" s="1092">
        <v>0</v>
      </c>
      <c r="N333" s="27">
        <f t="shared" si="46"/>
        <v>0</v>
      </c>
    </row>
    <row r="334" spans="1:15" ht="14" thickBot="1">
      <c r="A334" s="38" t="s">
        <v>190</v>
      </c>
      <c r="B334" s="39"/>
      <c r="C334" s="39"/>
      <c r="D334" s="39"/>
      <c r="E334" s="39"/>
      <c r="F334" s="39"/>
      <c r="G334" s="39"/>
      <c r="H334" s="39"/>
      <c r="I334" s="39"/>
      <c r="J334" s="39"/>
      <c r="K334" s="39"/>
      <c r="L334" s="39"/>
      <c r="M334" s="39"/>
      <c r="N334" s="280"/>
    </row>
    <row r="335" spans="1:15">
      <c r="A335" s="76" t="s">
        <v>165</v>
      </c>
      <c r="B335" s="1092">
        <v>0</v>
      </c>
      <c r="C335" s="1092">
        <v>0</v>
      </c>
      <c r="D335" s="1092">
        <v>25</v>
      </c>
      <c r="E335" s="1092">
        <v>0</v>
      </c>
      <c r="F335" s="1092">
        <v>0</v>
      </c>
      <c r="G335" s="1092">
        <v>0</v>
      </c>
      <c r="H335" s="1092">
        <v>0</v>
      </c>
      <c r="I335" s="1092">
        <v>0</v>
      </c>
      <c r="J335" s="1092">
        <v>0</v>
      </c>
      <c r="K335" s="1092">
        <v>100</v>
      </c>
      <c r="L335" s="1092">
        <v>50</v>
      </c>
      <c r="M335" s="1092">
        <v>25</v>
      </c>
      <c r="N335" s="27">
        <f>SUM(B335:M335)</f>
        <v>200</v>
      </c>
    </row>
    <row r="336" spans="1:15">
      <c r="A336" s="76" t="s">
        <v>166</v>
      </c>
      <c r="B336" s="1092">
        <v>0</v>
      </c>
      <c r="C336" s="1092">
        <v>0</v>
      </c>
      <c r="D336" s="1092">
        <v>0</v>
      </c>
      <c r="E336" s="1092">
        <v>0</v>
      </c>
      <c r="F336" s="1092">
        <v>0</v>
      </c>
      <c r="G336" s="1092">
        <v>0</v>
      </c>
      <c r="H336" s="1092">
        <v>0</v>
      </c>
      <c r="I336" s="1092">
        <v>0</v>
      </c>
      <c r="J336" s="1092">
        <v>0</v>
      </c>
      <c r="K336" s="1092">
        <v>0</v>
      </c>
      <c r="L336" s="1092">
        <v>1</v>
      </c>
      <c r="M336" s="1092">
        <v>0</v>
      </c>
      <c r="N336" s="27">
        <f>SUM(B336:M336)</f>
        <v>1</v>
      </c>
    </row>
    <row r="337" spans="1:14">
      <c r="A337" s="76" t="s">
        <v>336</v>
      </c>
      <c r="B337" s="1092">
        <v>0</v>
      </c>
      <c r="C337" s="1092">
        <v>0</v>
      </c>
      <c r="D337" s="1092">
        <v>0</v>
      </c>
      <c r="E337" s="1092">
        <v>0</v>
      </c>
      <c r="F337" s="1092">
        <v>0</v>
      </c>
      <c r="G337" s="1092">
        <v>0</v>
      </c>
      <c r="H337" s="1092">
        <v>0</v>
      </c>
      <c r="I337" s="1092">
        <v>0</v>
      </c>
      <c r="J337" s="1092">
        <v>0</v>
      </c>
      <c r="K337" s="1092">
        <v>0</v>
      </c>
      <c r="L337" s="1092">
        <v>0</v>
      </c>
      <c r="M337" s="1092">
        <v>0</v>
      </c>
      <c r="N337" s="27">
        <f>SUM(B337:M337)</f>
        <v>0</v>
      </c>
    </row>
    <row r="338" spans="1:14" ht="14" thickBot="1">
      <c r="A338" s="76" t="s">
        <v>266</v>
      </c>
      <c r="B338" s="1092">
        <v>0</v>
      </c>
      <c r="C338" s="1092">
        <v>0</v>
      </c>
      <c r="D338" s="1092">
        <v>0</v>
      </c>
      <c r="E338" s="1092">
        <v>0</v>
      </c>
      <c r="F338" s="1092">
        <v>0</v>
      </c>
      <c r="G338" s="1092">
        <v>0</v>
      </c>
      <c r="H338" s="1092">
        <v>0</v>
      </c>
      <c r="I338" s="1092">
        <v>0</v>
      </c>
      <c r="J338" s="1092">
        <v>0</v>
      </c>
      <c r="K338" s="1092">
        <v>0</v>
      </c>
      <c r="L338" s="1092">
        <v>0</v>
      </c>
      <c r="M338" s="1092">
        <v>0</v>
      </c>
      <c r="N338" s="27">
        <f>SUM(B338:M338)</f>
        <v>0</v>
      </c>
    </row>
    <row r="339" spans="1:14" ht="14" thickBot="1">
      <c r="A339" s="53" t="s">
        <v>60</v>
      </c>
      <c r="B339" s="55">
        <f t="shared" ref="B339:M339" si="47">SUM(B326:B338)</f>
        <v>16</v>
      </c>
      <c r="C339" s="55">
        <f t="shared" si="47"/>
        <v>5</v>
      </c>
      <c r="D339" s="55">
        <f t="shared" si="47"/>
        <v>41</v>
      </c>
      <c r="E339" s="55">
        <f t="shared" si="47"/>
        <v>12</v>
      </c>
      <c r="F339" s="55">
        <f t="shared" si="47"/>
        <v>37</v>
      </c>
      <c r="G339" s="55">
        <f t="shared" si="47"/>
        <v>3</v>
      </c>
      <c r="H339" s="55">
        <f t="shared" si="47"/>
        <v>5</v>
      </c>
      <c r="I339" s="55">
        <f t="shared" si="47"/>
        <v>21</v>
      </c>
      <c r="J339" s="55">
        <f t="shared" si="47"/>
        <v>20</v>
      </c>
      <c r="K339" s="55">
        <f t="shared" si="47"/>
        <v>112</v>
      </c>
      <c r="L339" s="55">
        <f t="shared" si="47"/>
        <v>58</v>
      </c>
      <c r="M339" s="55">
        <f t="shared" si="47"/>
        <v>32</v>
      </c>
      <c r="N339" s="54"/>
    </row>
    <row r="340" spans="1:14" ht="14" thickBot="1">
      <c r="A340" s="38" t="s">
        <v>194</v>
      </c>
      <c r="B340" s="39"/>
      <c r="C340" s="39"/>
      <c r="D340" s="39"/>
      <c r="E340" s="39"/>
      <c r="F340" s="39"/>
      <c r="G340" s="39"/>
      <c r="H340" s="39"/>
      <c r="I340" s="39"/>
      <c r="J340" s="39"/>
      <c r="K340" s="39"/>
      <c r="L340" s="39"/>
      <c r="M340" s="39"/>
      <c r="N340" s="40"/>
    </row>
    <row r="341" spans="1:14">
      <c r="A341" s="32" t="s">
        <v>29</v>
      </c>
      <c r="B341" s="1092">
        <v>0</v>
      </c>
      <c r="C341" s="1092">
        <v>0</v>
      </c>
      <c r="D341" s="1092">
        <v>105</v>
      </c>
      <c r="E341" s="1092">
        <v>0</v>
      </c>
      <c r="F341" s="1092">
        <v>0</v>
      </c>
      <c r="G341" s="1092">
        <v>0</v>
      </c>
      <c r="H341" s="1092">
        <v>0</v>
      </c>
      <c r="I341" s="1092">
        <v>5</v>
      </c>
      <c r="J341" s="1092">
        <v>0</v>
      </c>
      <c r="K341" s="1092">
        <v>0</v>
      </c>
      <c r="L341" s="1092">
        <v>0</v>
      </c>
      <c r="M341" s="1092">
        <v>0</v>
      </c>
      <c r="N341" s="27">
        <f t="shared" ref="N341:N352" si="48">SUM(B341:M341)</f>
        <v>110</v>
      </c>
    </row>
    <row r="342" spans="1:14">
      <c r="A342" s="78" t="s">
        <v>264</v>
      </c>
      <c r="B342" s="1092">
        <v>0</v>
      </c>
      <c r="C342" s="1092">
        <v>0</v>
      </c>
      <c r="D342" s="1092">
        <v>0</v>
      </c>
      <c r="E342" s="1092">
        <v>0</v>
      </c>
      <c r="F342" s="1092">
        <v>0</v>
      </c>
      <c r="G342" s="1092">
        <v>0</v>
      </c>
      <c r="H342" s="1092">
        <v>0</v>
      </c>
      <c r="I342" s="1092">
        <v>0</v>
      </c>
      <c r="J342" s="1092">
        <v>0</v>
      </c>
      <c r="K342" s="1092">
        <v>0</v>
      </c>
      <c r="L342" s="1092">
        <v>0</v>
      </c>
      <c r="M342" s="1092">
        <v>0</v>
      </c>
      <c r="N342" s="27">
        <f t="shared" si="48"/>
        <v>0</v>
      </c>
    </row>
    <row r="343" spans="1:14">
      <c r="A343" s="34" t="s">
        <v>204</v>
      </c>
      <c r="B343" s="1092">
        <v>0</v>
      </c>
      <c r="C343" s="1092">
        <v>0</v>
      </c>
      <c r="D343" s="1092">
        <v>0</v>
      </c>
      <c r="E343" s="1092">
        <v>0</v>
      </c>
      <c r="F343" s="1092">
        <v>0</v>
      </c>
      <c r="G343" s="1092">
        <v>0</v>
      </c>
      <c r="H343" s="1092">
        <v>0</v>
      </c>
      <c r="I343" s="1092">
        <v>0</v>
      </c>
      <c r="J343" s="1092">
        <v>0</v>
      </c>
      <c r="K343" s="1092">
        <v>0</v>
      </c>
      <c r="L343" s="1092">
        <v>0</v>
      </c>
      <c r="M343" s="1092">
        <v>0</v>
      </c>
      <c r="N343" s="27">
        <f t="shared" si="48"/>
        <v>0</v>
      </c>
    </row>
    <row r="344" spans="1:14">
      <c r="A344" s="76" t="s">
        <v>30</v>
      </c>
      <c r="B344" s="1092">
        <v>0</v>
      </c>
      <c r="C344" s="1092">
        <v>0</v>
      </c>
      <c r="D344" s="1092">
        <v>0</v>
      </c>
      <c r="E344" s="1092">
        <v>0</v>
      </c>
      <c r="F344" s="1092">
        <v>0</v>
      </c>
      <c r="G344" s="1092">
        <v>0</v>
      </c>
      <c r="H344" s="1092">
        <v>0</v>
      </c>
      <c r="I344" s="1092">
        <v>0</v>
      </c>
      <c r="J344" s="1092">
        <v>0</v>
      </c>
      <c r="K344" s="1092">
        <v>0</v>
      </c>
      <c r="L344" s="1092">
        <v>0</v>
      </c>
      <c r="M344" s="1092">
        <v>0</v>
      </c>
      <c r="N344" s="27">
        <f t="shared" si="48"/>
        <v>0</v>
      </c>
    </row>
    <row r="345" spans="1:14">
      <c r="A345" s="32" t="s">
        <v>56</v>
      </c>
      <c r="B345" s="1092">
        <v>0</v>
      </c>
      <c r="C345" s="1092">
        <v>0</v>
      </c>
      <c r="D345" s="1092">
        <v>0</v>
      </c>
      <c r="E345" s="1092">
        <v>0</v>
      </c>
      <c r="F345" s="1092">
        <v>0</v>
      </c>
      <c r="G345" s="1092">
        <v>0</v>
      </c>
      <c r="H345" s="1092">
        <v>0</v>
      </c>
      <c r="I345" s="1092">
        <v>0</v>
      </c>
      <c r="J345" s="1092">
        <v>0</v>
      </c>
      <c r="K345" s="1092">
        <v>0</v>
      </c>
      <c r="L345" s="1092">
        <v>0</v>
      </c>
      <c r="M345" s="1092">
        <v>0</v>
      </c>
      <c r="N345" s="27">
        <f t="shared" si="48"/>
        <v>0</v>
      </c>
    </row>
    <row r="346" spans="1:14">
      <c r="A346" s="78" t="s">
        <v>122</v>
      </c>
      <c r="B346" s="1092">
        <v>0</v>
      </c>
      <c r="C346" s="1092">
        <v>0</v>
      </c>
      <c r="D346" s="1092">
        <v>0</v>
      </c>
      <c r="E346" s="1092">
        <v>0</v>
      </c>
      <c r="F346" s="1092">
        <v>0</v>
      </c>
      <c r="G346" s="1092">
        <v>0</v>
      </c>
      <c r="H346" s="1092">
        <v>0</v>
      </c>
      <c r="I346" s="1092">
        <v>0</v>
      </c>
      <c r="J346" s="1092">
        <v>0</v>
      </c>
      <c r="K346" s="1092">
        <v>0</v>
      </c>
      <c r="L346" s="1092">
        <v>0</v>
      </c>
      <c r="M346" s="1092">
        <v>0</v>
      </c>
      <c r="N346" s="27">
        <f t="shared" si="48"/>
        <v>0</v>
      </c>
    </row>
    <row r="347" spans="1:14">
      <c r="A347" s="78" t="s">
        <v>184</v>
      </c>
      <c r="B347" s="1092">
        <v>0</v>
      </c>
      <c r="C347" s="1092">
        <v>0</v>
      </c>
      <c r="D347" s="1092">
        <v>0</v>
      </c>
      <c r="E347" s="1092">
        <v>0</v>
      </c>
      <c r="F347" s="1092">
        <v>0</v>
      </c>
      <c r="G347" s="1092">
        <v>0</v>
      </c>
      <c r="H347" s="1092">
        <v>0</v>
      </c>
      <c r="I347" s="1092">
        <v>0</v>
      </c>
      <c r="J347" s="1092">
        <v>0</v>
      </c>
      <c r="K347" s="1092">
        <v>0</v>
      </c>
      <c r="L347" s="1092">
        <v>0</v>
      </c>
      <c r="M347" s="1092">
        <v>0</v>
      </c>
      <c r="N347" s="27">
        <f t="shared" si="48"/>
        <v>0</v>
      </c>
    </row>
    <row r="348" spans="1:14">
      <c r="A348" s="78" t="s">
        <v>187</v>
      </c>
      <c r="B348" s="1092">
        <v>0</v>
      </c>
      <c r="C348" s="1092">
        <v>0</v>
      </c>
      <c r="D348" s="1092">
        <v>0</v>
      </c>
      <c r="E348" s="1092">
        <v>0</v>
      </c>
      <c r="F348" s="1092">
        <v>0</v>
      </c>
      <c r="G348" s="1092">
        <v>0</v>
      </c>
      <c r="H348" s="1092">
        <v>0</v>
      </c>
      <c r="I348" s="1092">
        <v>0</v>
      </c>
      <c r="J348" s="1092">
        <v>0</v>
      </c>
      <c r="K348" s="1092">
        <v>0</v>
      </c>
      <c r="L348" s="1092">
        <v>0</v>
      </c>
      <c r="M348" s="1092">
        <v>0</v>
      </c>
      <c r="N348" s="27">
        <f t="shared" si="48"/>
        <v>0</v>
      </c>
    </row>
    <row r="349" spans="1:14">
      <c r="A349" s="78" t="s">
        <v>188</v>
      </c>
      <c r="B349" s="1092">
        <v>0</v>
      </c>
      <c r="C349" s="1092">
        <v>0</v>
      </c>
      <c r="D349" s="1092">
        <v>0</v>
      </c>
      <c r="E349" s="1092">
        <v>0</v>
      </c>
      <c r="F349" s="1092">
        <v>0</v>
      </c>
      <c r="G349" s="1092">
        <v>0</v>
      </c>
      <c r="H349" s="1092">
        <v>0</v>
      </c>
      <c r="I349" s="1092">
        <v>0</v>
      </c>
      <c r="J349" s="1092">
        <v>0</v>
      </c>
      <c r="K349" s="1092">
        <v>0</v>
      </c>
      <c r="L349" s="1092">
        <v>0</v>
      </c>
      <c r="M349" s="1092">
        <v>0</v>
      </c>
      <c r="N349" s="27">
        <f t="shared" si="48"/>
        <v>0</v>
      </c>
    </row>
    <row r="350" spans="1:14">
      <c r="A350" s="78" t="s">
        <v>213</v>
      </c>
      <c r="B350" s="1092">
        <v>0</v>
      </c>
      <c r="C350" s="1092">
        <v>0</v>
      </c>
      <c r="D350" s="1092">
        <v>0</v>
      </c>
      <c r="E350" s="1092">
        <v>3</v>
      </c>
      <c r="F350" s="1092">
        <v>1</v>
      </c>
      <c r="G350" s="1092">
        <v>0</v>
      </c>
      <c r="H350" s="1092">
        <v>0</v>
      </c>
      <c r="I350" s="1092">
        <v>0</v>
      </c>
      <c r="J350" s="1092">
        <v>0</v>
      </c>
      <c r="K350" s="1092">
        <v>0</v>
      </c>
      <c r="L350" s="1092">
        <v>0</v>
      </c>
      <c r="M350" s="1092">
        <v>0</v>
      </c>
      <c r="N350" s="27">
        <f t="shared" si="48"/>
        <v>4</v>
      </c>
    </row>
    <row r="351" spans="1:14">
      <c r="A351" s="76" t="s">
        <v>267</v>
      </c>
      <c r="B351" s="1092">
        <v>0</v>
      </c>
      <c r="C351" s="1092">
        <v>0</v>
      </c>
      <c r="D351" s="1092">
        <v>0</v>
      </c>
      <c r="E351" s="1092">
        <v>0</v>
      </c>
      <c r="F351" s="1092">
        <v>0</v>
      </c>
      <c r="G351" s="1092">
        <v>0</v>
      </c>
      <c r="H351" s="1092">
        <v>0</v>
      </c>
      <c r="I351" s="1092">
        <v>0</v>
      </c>
      <c r="J351" s="1092">
        <v>0</v>
      </c>
      <c r="K351" s="1092">
        <v>0</v>
      </c>
      <c r="L351" s="1092">
        <v>0</v>
      </c>
      <c r="M351" s="1092">
        <v>0</v>
      </c>
      <c r="N351" s="27">
        <f t="shared" si="48"/>
        <v>0</v>
      </c>
    </row>
    <row r="352" spans="1:14" ht="14" thickBot="1">
      <c r="A352" s="78" t="s">
        <v>268</v>
      </c>
      <c r="B352" s="1092">
        <v>0</v>
      </c>
      <c r="C352" s="1092">
        <v>0</v>
      </c>
      <c r="D352" s="1092">
        <v>0</v>
      </c>
      <c r="E352" s="1092">
        <v>0</v>
      </c>
      <c r="F352" s="1092">
        <v>0</v>
      </c>
      <c r="G352" s="1092">
        <v>0</v>
      </c>
      <c r="H352" s="1092">
        <v>0</v>
      </c>
      <c r="I352" s="1092">
        <v>0</v>
      </c>
      <c r="J352" s="1092">
        <v>0</v>
      </c>
      <c r="K352" s="1092">
        <v>0</v>
      </c>
      <c r="L352" s="1092">
        <v>0</v>
      </c>
      <c r="M352" s="1092">
        <v>0</v>
      </c>
      <c r="N352" s="27">
        <f t="shared" si="48"/>
        <v>0</v>
      </c>
    </row>
    <row r="353" spans="1:14" ht="14" thickBot="1">
      <c r="A353" s="38" t="s">
        <v>192</v>
      </c>
      <c r="B353" s="39"/>
      <c r="C353" s="39"/>
      <c r="D353" s="39"/>
      <c r="E353" s="39"/>
      <c r="F353" s="39"/>
      <c r="G353" s="39"/>
      <c r="H353" s="39"/>
      <c r="I353" s="39"/>
      <c r="J353" s="39"/>
      <c r="K353" s="39"/>
      <c r="L353" s="39"/>
      <c r="M353" s="39"/>
      <c r="N353" s="40"/>
    </row>
    <row r="354" spans="1:14" ht="14" thickBot="1">
      <c r="A354" s="32" t="s">
        <v>165</v>
      </c>
      <c r="B354" s="1092">
        <v>0</v>
      </c>
      <c r="C354" s="1092">
        <v>0</v>
      </c>
      <c r="D354" s="1092">
        <v>0</v>
      </c>
      <c r="E354" s="1092">
        <v>0</v>
      </c>
      <c r="F354" s="1092">
        <v>0</v>
      </c>
      <c r="G354" s="1092">
        <v>0</v>
      </c>
      <c r="H354" s="1092">
        <v>0</v>
      </c>
      <c r="I354" s="1092">
        <v>0</v>
      </c>
      <c r="J354" s="1092">
        <v>0</v>
      </c>
      <c r="K354" s="1092">
        <v>0</v>
      </c>
      <c r="L354" s="1092">
        <v>0</v>
      </c>
      <c r="M354" s="1092">
        <v>0</v>
      </c>
      <c r="N354" s="27">
        <f>SUM(B354:M354)</f>
        <v>0</v>
      </c>
    </row>
    <row r="355" spans="1:14" ht="14" thickBot="1">
      <c r="A355" s="53" t="s">
        <v>60</v>
      </c>
      <c r="B355" s="55">
        <f t="shared" ref="B355:M355" si="49">SUM(B341:B354)</f>
        <v>0</v>
      </c>
      <c r="C355" s="55">
        <f t="shared" si="49"/>
        <v>0</v>
      </c>
      <c r="D355" s="55">
        <f t="shared" si="49"/>
        <v>105</v>
      </c>
      <c r="E355" s="55">
        <f t="shared" si="49"/>
        <v>3</v>
      </c>
      <c r="F355" s="55">
        <f t="shared" si="49"/>
        <v>1</v>
      </c>
      <c r="G355" s="55">
        <f t="shared" si="49"/>
        <v>0</v>
      </c>
      <c r="H355" s="55">
        <f t="shared" si="49"/>
        <v>0</v>
      </c>
      <c r="I355" s="55">
        <f t="shared" si="49"/>
        <v>5</v>
      </c>
      <c r="J355" s="55">
        <f t="shared" si="49"/>
        <v>0</v>
      </c>
      <c r="K355" s="55">
        <f t="shared" si="49"/>
        <v>0</v>
      </c>
      <c r="L355" s="55">
        <f t="shared" si="49"/>
        <v>0</v>
      </c>
      <c r="M355" s="55">
        <f t="shared" si="49"/>
        <v>0</v>
      </c>
      <c r="N355" s="54"/>
    </row>
    <row r="357" spans="1:14" ht="14" thickBot="1">
      <c r="B357" s="43" t="s">
        <v>35</v>
      </c>
      <c r="C357" s="43" t="s">
        <v>36</v>
      </c>
      <c r="D357" s="43" t="s">
        <v>37</v>
      </c>
      <c r="E357" s="43" t="s">
        <v>38</v>
      </c>
      <c r="F357" s="43" t="s">
        <v>39</v>
      </c>
      <c r="G357" s="43" t="s">
        <v>40</v>
      </c>
      <c r="H357" s="43" t="s">
        <v>41</v>
      </c>
      <c r="I357" s="43" t="s">
        <v>42</v>
      </c>
      <c r="J357" s="43" t="s">
        <v>43</v>
      </c>
      <c r="K357" s="43" t="s">
        <v>44</v>
      </c>
      <c r="L357" s="43" t="s">
        <v>45</v>
      </c>
      <c r="M357" s="43" t="s">
        <v>46</v>
      </c>
      <c r="N357" s="43" t="s">
        <v>10</v>
      </c>
    </row>
    <row r="358" spans="1:14" ht="17" thickBot="1">
      <c r="A358" s="31" t="s">
        <v>350</v>
      </c>
      <c r="B358" s="24"/>
      <c r="C358" s="24"/>
      <c r="D358" s="22"/>
      <c r="E358" s="22"/>
      <c r="F358" s="25"/>
      <c r="G358" s="25"/>
      <c r="H358" s="22"/>
      <c r="I358" s="22"/>
      <c r="J358" s="22"/>
      <c r="K358" s="22"/>
      <c r="L358" s="24"/>
      <c r="M358" s="24"/>
      <c r="N358" s="26"/>
    </row>
    <row r="359" spans="1:14" ht="14" thickBot="1">
      <c r="A359" s="38" t="s">
        <v>189</v>
      </c>
      <c r="B359" s="39"/>
      <c r="C359" s="39"/>
      <c r="D359" s="39"/>
      <c r="E359" s="39"/>
      <c r="F359" s="39"/>
      <c r="G359" s="39"/>
      <c r="H359" s="39"/>
      <c r="I359" s="39"/>
      <c r="J359" s="39"/>
      <c r="K359" s="39"/>
      <c r="L359" s="39"/>
      <c r="M359" s="39"/>
      <c r="N359" s="40"/>
    </row>
    <row r="360" spans="1:14">
      <c r="A360" s="32" t="s">
        <v>29</v>
      </c>
      <c r="B360" s="1092">
        <v>1</v>
      </c>
      <c r="C360" s="1092">
        <v>0</v>
      </c>
      <c r="D360" s="1092">
        <v>0</v>
      </c>
      <c r="E360" s="1092">
        <v>0</v>
      </c>
      <c r="F360" s="1092">
        <v>3</v>
      </c>
      <c r="G360" s="1092">
        <v>2</v>
      </c>
      <c r="H360" s="1092">
        <v>0</v>
      </c>
      <c r="I360" s="1092">
        <v>1</v>
      </c>
      <c r="J360" s="1092">
        <v>0</v>
      </c>
      <c r="K360" s="1092">
        <v>0</v>
      </c>
      <c r="L360" s="1092">
        <v>0</v>
      </c>
      <c r="M360" s="1092">
        <v>0</v>
      </c>
      <c r="N360" s="27">
        <f t="shared" ref="N360:N367" si="50">SUM(B360:M360)</f>
        <v>7</v>
      </c>
    </row>
    <row r="361" spans="1:14">
      <c r="A361" s="32" t="s">
        <v>33</v>
      </c>
      <c r="B361" s="1092">
        <v>10</v>
      </c>
      <c r="C361" s="1092">
        <v>6</v>
      </c>
      <c r="D361" s="1092">
        <v>3</v>
      </c>
      <c r="E361" s="1092">
        <v>5</v>
      </c>
      <c r="F361" s="1092">
        <v>6</v>
      </c>
      <c r="G361" s="1092">
        <v>5</v>
      </c>
      <c r="H361" s="1092">
        <v>5</v>
      </c>
      <c r="I361" s="1092">
        <v>9</v>
      </c>
      <c r="J361" s="1092">
        <v>10</v>
      </c>
      <c r="K361" s="1092">
        <v>0</v>
      </c>
      <c r="L361" s="1092">
        <v>0</v>
      </c>
      <c r="M361" s="1092">
        <v>8</v>
      </c>
      <c r="N361" s="27">
        <f t="shared" si="50"/>
        <v>67</v>
      </c>
    </row>
    <row r="362" spans="1:14">
      <c r="A362" s="32" t="s">
        <v>56</v>
      </c>
      <c r="B362" s="1092">
        <v>30</v>
      </c>
      <c r="C362" s="1092">
        <v>0</v>
      </c>
      <c r="D362" s="1092">
        <v>0</v>
      </c>
      <c r="E362" s="1092">
        <v>0</v>
      </c>
      <c r="F362" s="1092">
        <v>0</v>
      </c>
      <c r="G362" s="1092">
        <v>0</v>
      </c>
      <c r="H362" s="1092">
        <v>0</v>
      </c>
      <c r="I362" s="1092">
        <v>0</v>
      </c>
      <c r="J362" s="1092">
        <v>0</v>
      </c>
      <c r="K362" s="1092">
        <v>0</v>
      </c>
      <c r="L362" s="1092">
        <v>0</v>
      </c>
      <c r="M362" s="1092">
        <v>0</v>
      </c>
      <c r="N362" s="27">
        <f t="shared" si="50"/>
        <v>30</v>
      </c>
    </row>
    <row r="363" spans="1:14">
      <c r="A363" s="78" t="s">
        <v>30</v>
      </c>
      <c r="B363" s="1092">
        <v>7</v>
      </c>
      <c r="C363" s="1092">
        <v>0</v>
      </c>
      <c r="D363" s="1092">
        <v>2</v>
      </c>
      <c r="E363" s="1092">
        <v>0</v>
      </c>
      <c r="F363" s="1092">
        <v>3</v>
      </c>
      <c r="G363" s="1092">
        <v>0</v>
      </c>
      <c r="H363" s="1092">
        <v>1</v>
      </c>
      <c r="I363" s="1092">
        <v>1</v>
      </c>
      <c r="J363" s="1092">
        <v>0</v>
      </c>
      <c r="K363" s="1092">
        <v>0</v>
      </c>
      <c r="L363" s="1092">
        <v>0</v>
      </c>
      <c r="M363" s="1092">
        <v>10</v>
      </c>
      <c r="N363" s="27">
        <f t="shared" si="50"/>
        <v>24</v>
      </c>
    </row>
    <row r="364" spans="1:14">
      <c r="A364" s="76" t="s">
        <v>213</v>
      </c>
      <c r="B364" s="1092">
        <v>0</v>
      </c>
      <c r="C364" s="1092">
        <v>0</v>
      </c>
      <c r="D364" s="1092">
        <v>0</v>
      </c>
      <c r="E364" s="1092">
        <v>0</v>
      </c>
      <c r="F364" s="1092">
        <v>0</v>
      </c>
      <c r="G364" s="1092">
        <v>0</v>
      </c>
      <c r="H364" s="1092">
        <v>0</v>
      </c>
      <c r="I364" s="1092">
        <v>0</v>
      </c>
      <c r="J364" s="1092">
        <v>0</v>
      </c>
      <c r="K364" s="1092">
        <v>0</v>
      </c>
      <c r="L364" s="1092">
        <v>0</v>
      </c>
      <c r="M364" s="1092">
        <v>0</v>
      </c>
      <c r="N364" s="27">
        <f t="shared" si="50"/>
        <v>0</v>
      </c>
    </row>
    <row r="365" spans="1:14">
      <c r="A365" s="76" t="s">
        <v>212</v>
      </c>
      <c r="B365" s="1092">
        <v>2</v>
      </c>
      <c r="C365" s="1092">
        <v>0</v>
      </c>
      <c r="D365" s="1092">
        <v>0</v>
      </c>
      <c r="E365" s="1092">
        <v>0</v>
      </c>
      <c r="F365" s="1092">
        <v>0</v>
      </c>
      <c r="G365" s="1092">
        <v>0</v>
      </c>
      <c r="H365" s="1092">
        <v>0</v>
      </c>
      <c r="I365" s="1092">
        <v>0</v>
      </c>
      <c r="J365" s="1092">
        <v>0</v>
      </c>
      <c r="K365" s="1092">
        <v>0</v>
      </c>
      <c r="L365" s="1092">
        <v>0</v>
      </c>
      <c r="M365" s="1092">
        <v>0</v>
      </c>
      <c r="N365" s="27">
        <f t="shared" si="50"/>
        <v>2</v>
      </c>
    </row>
    <row r="366" spans="1:14">
      <c r="A366" s="76" t="s">
        <v>331</v>
      </c>
      <c r="B366" s="1092">
        <v>0</v>
      </c>
      <c r="C366" s="1092">
        <v>0</v>
      </c>
      <c r="D366" s="1092">
        <v>0</v>
      </c>
      <c r="E366" s="1092">
        <v>0</v>
      </c>
      <c r="F366" s="1092">
        <v>0</v>
      </c>
      <c r="G366" s="1092">
        <v>0</v>
      </c>
      <c r="H366" s="1092">
        <v>0</v>
      </c>
      <c r="I366" s="1092">
        <v>0</v>
      </c>
      <c r="J366" s="1092">
        <v>0</v>
      </c>
      <c r="K366" s="1092">
        <v>0</v>
      </c>
      <c r="L366" s="1092">
        <v>0</v>
      </c>
      <c r="M366" s="1092">
        <v>0</v>
      </c>
      <c r="N366" s="27">
        <f t="shared" si="50"/>
        <v>0</v>
      </c>
    </row>
    <row r="367" spans="1:14" ht="14" thickBot="1">
      <c r="A367" s="76" t="s">
        <v>267</v>
      </c>
      <c r="B367" s="1092">
        <v>0</v>
      </c>
      <c r="C367" s="1092">
        <v>0</v>
      </c>
      <c r="D367" s="1092">
        <v>0</v>
      </c>
      <c r="E367" s="1092">
        <v>0</v>
      </c>
      <c r="F367" s="1092">
        <v>0</v>
      </c>
      <c r="G367" s="1092">
        <v>0</v>
      </c>
      <c r="H367" s="1092">
        <v>0</v>
      </c>
      <c r="I367" s="1092">
        <v>0</v>
      </c>
      <c r="J367" s="1092">
        <v>0</v>
      </c>
      <c r="K367" s="1092">
        <v>0</v>
      </c>
      <c r="L367" s="1092">
        <v>0</v>
      </c>
      <c r="M367" s="1092">
        <v>0</v>
      </c>
      <c r="N367" s="27">
        <f t="shared" si="50"/>
        <v>0</v>
      </c>
    </row>
    <row r="368" spans="1:14" ht="14" thickBot="1">
      <c r="A368" s="38" t="s">
        <v>190</v>
      </c>
      <c r="B368" s="39"/>
      <c r="C368" s="39"/>
      <c r="D368" s="39"/>
      <c r="E368" s="39"/>
      <c r="F368" s="39"/>
      <c r="G368" s="39"/>
      <c r="H368" s="39"/>
      <c r="I368" s="39"/>
      <c r="J368" s="39"/>
      <c r="K368" s="39"/>
      <c r="L368" s="39"/>
      <c r="M368" s="39"/>
      <c r="N368" s="280"/>
    </row>
    <row r="369" spans="1:14">
      <c r="A369" s="76" t="s">
        <v>165</v>
      </c>
      <c r="B369" s="1092">
        <v>0</v>
      </c>
      <c r="C369" s="1092">
        <v>8</v>
      </c>
      <c r="D369" s="1092">
        <v>0</v>
      </c>
      <c r="E369" s="1092">
        <v>50</v>
      </c>
      <c r="F369" s="1092">
        <v>0</v>
      </c>
      <c r="G369" s="1092">
        <v>0</v>
      </c>
      <c r="H369" s="1092">
        <v>0</v>
      </c>
      <c r="I369" s="1092">
        <v>0</v>
      </c>
      <c r="J369" s="1092">
        <v>0</v>
      </c>
      <c r="K369" s="1092">
        <v>43</v>
      </c>
      <c r="L369" s="1092">
        <v>0</v>
      </c>
      <c r="M369" s="1092">
        <v>50</v>
      </c>
      <c r="N369" s="27">
        <f>SUM(B369:M369)</f>
        <v>151</v>
      </c>
    </row>
    <row r="370" spans="1:14">
      <c r="A370" s="76" t="s">
        <v>166</v>
      </c>
      <c r="B370" s="1092">
        <v>0</v>
      </c>
      <c r="C370" s="1092">
        <v>0</v>
      </c>
      <c r="D370" s="1092">
        <v>0</v>
      </c>
      <c r="E370" s="1092">
        <v>0</v>
      </c>
      <c r="F370" s="1092">
        <v>0</v>
      </c>
      <c r="G370" s="1092">
        <v>0</v>
      </c>
      <c r="H370" s="1092">
        <v>0</v>
      </c>
      <c r="I370" s="1092">
        <v>0</v>
      </c>
      <c r="J370" s="1092">
        <v>0</v>
      </c>
      <c r="K370" s="1092">
        <v>0</v>
      </c>
      <c r="L370" s="1092">
        <v>2</v>
      </c>
      <c r="M370" s="1092">
        <v>0</v>
      </c>
      <c r="N370" s="27">
        <f>SUM(B370:M370)</f>
        <v>2</v>
      </c>
    </row>
    <row r="371" spans="1:14">
      <c r="A371" s="76" t="s">
        <v>336</v>
      </c>
      <c r="B371" s="1092">
        <v>2</v>
      </c>
      <c r="C371" s="1092">
        <v>1</v>
      </c>
      <c r="D371" s="1092">
        <v>0</v>
      </c>
      <c r="E371" s="1092">
        <v>0</v>
      </c>
      <c r="F371" s="1092">
        <v>1</v>
      </c>
      <c r="G371" s="1092">
        <v>0</v>
      </c>
      <c r="H371" s="1092">
        <v>0</v>
      </c>
      <c r="I371" s="1092">
        <v>0</v>
      </c>
      <c r="J371" s="1092">
        <v>0</v>
      </c>
      <c r="K371" s="1092">
        <v>0</v>
      </c>
      <c r="L371" s="1092">
        <v>0</v>
      </c>
      <c r="M371" s="1092">
        <v>0</v>
      </c>
      <c r="N371" s="27">
        <f>SUM(B371:M371)</f>
        <v>4</v>
      </c>
    </row>
    <row r="372" spans="1:14" ht="14" thickBot="1">
      <c r="A372" s="76" t="s">
        <v>266</v>
      </c>
      <c r="B372" s="1092">
        <v>0</v>
      </c>
      <c r="C372" s="1092">
        <v>0</v>
      </c>
      <c r="D372" s="1092">
        <v>0</v>
      </c>
      <c r="E372" s="1092">
        <v>0</v>
      </c>
      <c r="F372" s="1092">
        <v>1</v>
      </c>
      <c r="G372" s="1092">
        <v>0</v>
      </c>
      <c r="H372" s="1092">
        <v>0</v>
      </c>
      <c r="I372" s="1092">
        <v>0</v>
      </c>
      <c r="J372" s="1092">
        <v>6</v>
      </c>
      <c r="K372" s="1092">
        <v>0</v>
      </c>
      <c r="L372" s="1092">
        <v>0</v>
      </c>
      <c r="M372" s="1092">
        <v>0</v>
      </c>
      <c r="N372" s="27">
        <f>SUM(B372:M372)</f>
        <v>7</v>
      </c>
    </row>
    <row r="373" spans="1:14" ht="14" thickBot="1">
      <c r="A373" s="53" t="s">
        <v>60</v>
      </c>
      <c r="B373" s="55">
        <f t="shared" ref="B373:M373" si="51">SUM(B360:B372)</f>
        <v>52</v>
      </c>
      <c r="C373" s="55">
        <f t="shared" si="51"/>
        <v>15</v>
      </c>
      <c r="D373" s="55">
        <f t="shared" si="51"/>
        <v>5</v>
      </c>
      <c r="E373" s="55">
        <f t="shared" si="51"/>
        <v>55</v>
      </c>
      <c r="F373" s="55">
        <f t="shared" si="51"/>
        <v>14</v>
      </c>
      <c r="G373" s="55">
        <f t="shared" si="51"/>
        <v>7</v>
      </c>
      <c r="H373" s="55">
        <f t="shared" si="51"/>
        <v>6</v>
      </c>
      <c r="I373" s="55">
        <f t="shared" si="51"/>
        <v>11</v>
      </c>
      <c r="J373" s="55">
        <f t="shared" si="51"/>
        <v>16</v>
      </c>
      <c r="K373" s="55">
        <f t="shared" si="51"/>
        <v>43</v>
      </c>
      <c r="L373" s="55">
        <f t="shared" si="51"/>
        <v>2</v>
      </c>
      <c r="M373" s="55">
        <f t="shared" si="51"/>
        <v>68</v>
      </c>
      <c r="N373" s="54"/>
    </row>
    <row r="374" spans="1:14" ht="14" thickBot="1">
      <c r="A374" s="38" t="s">
        <v>194</v>
      </c>
      <c r="B374" s="39"/>
      <c r="C374" s="39"/>
      <c r="D374" s="39"/>
      <c r="E374" s="39"/>
      <c r="F374" s="39"/>
      <c r="G374" s="39"/>
      <c r="H374" s="39"/>
      <c r="I374" s="39"/>
      <c r="J374" s="39"/>
      <c r="K374" s="39"/>
      <c r="L374" s="39"/>
      <c r="M374" s="39"/>
      <c r="N374" s="40"/>
    </row>
    <row r="375" spans="1:14">
      <c r="A375" s="32" t="s">
        <v>29</v>
      </c>
      <c r="B375" s="1092">
        <v>0</v>
      </c>
      <c r="C375" s="1092">
        <v>0</v>
      </c>
      <c r="D375" s="1092">
        <v>0</v>
      </c>
      <c r="E375" s="1092">
        <v>0</v>
      </c>
      <c r="F375" s="1092">
        <v>0</v>
      </c>
      <c r="G375" s="1092">
        <v>0</v>
      </c>
      <c r="H375" s="1092">
        <v>1</v>
      </c>
      <c r="I375" s="1092">
        <v>0</v>
      </c>
      <c r="J375" s="1092">
        <v>0</v>
      </c>
      <c r="K375" s="1092">
        <v>0</v>
      </c>
      <c r="L375" s="1092">
        <v>0</v>
      </c>
      <c r="M375" s="1092">
        <v>79</v>
      </c>
      <c r="N375" s="27">
        <f t="shared" ref="N375:N386" si="52">SUM(B375:M375)</f>
        <v>80</v>
      </c>
    </row>
    <row r="376" spans="1:14">
      <c r="A376" s="78" t="s">
        <v>264</v>
      </c>
      <c r="B376" s="1092">
        <v>0</v>
      </c>
      <c r="C376" s="1092">
        <v>0</v>
      </c>
      <c r="D376" s="1092">
        <v>0</v>
      </c>
      <c r="E376" s="1092">
        <v>0</v>
      </c>
      <c r="F376" s="1092">
        <v>0</v>
      </c>
      <c r="G376" s="1092">
        <v>0</v>
      </c>
      <c r="H376" s="1092">
        <v>0</v>
      </c>
      <c r="I376" s="1092">
        <v>0</v>
      </c>
      <c r="J376" s="1092">
        <v>0</v>
      </c>
      <c r="K376" s="1092">
        <v>0</v>
      </c>
      <c r="L376" s="1092">
        <v>0</v>
      </c>
      <c r="M376" s="1092">
        <v>0</v>
      </c>
      <c r="N376" s="27">
        <f t="shared" si="52"/>
        <v>0</v>
      </c>
    </row>
    <row r="377" spans="1:14">
      <c r="A377" s="34" t="s">
        <v>204</v>
      </c>
      <c r="B377" s="1092">
        <v>0</v>
      </c>
      <c r="C377" s="1092">
        <v>0</v>
      </c>
      <c r="D377" s="1092">
        <v>0</v>
      </c>
      <c r="E377" s="1092">
        <v>0</v>
      </c>
      <c r="F377" s="1092">
        <v>0</v>
      </c>
      <c r="G377" s="1092">
        <v>0</v>
      </c>
      <c r="H377" s="1092">
        <v>0</v>
      </c>
      <c r="I377" s="1092">
        <v>0</v>
      </c>
      <c r="J377" s="1092">
        <v>0</v>
      </c>
      <c r="K377" s="1092">
        <v>0</v>
      </c>
      <c r="L377" s="1092">
        <v>0</v>
      </c>
      <c r="M377" s="1092">
        <v>0</v>
      </c>
      <c r="N377" s="27">
        <f t="shared" si="52"/>
        <v>0</v>
      </c>
    </row>
    <row r="378" spans="1:14">
      <c r="A378" s="76" t="s">
        <v>30</v>
      </c>
      <c r="B378" s="1092">
        <v>0</v>
      </c>
      <c r="C378" s="1092">
        <v>0</v>
      </c>
      <c r="D378" s="1092">
        <v>0</v>
      </c>
      <c r="E378" s="1092">
        <v>0</v>
      </c>
      <c r="F378" s="1092">
        <v>0</v>
      </c>
      <c r="G378" s="1092">
        <v>0</v>
      </c>
      <c r="H378" s="1092">
        <v>0</v>
      </c>
      <c r="I378" s="1092">
        <v>0</v>
      </c>
      <c r="J378" s="1092">
        <v>0</v>
      </c>
      <c r="K378" s="1092">
        <v>0</v>
      </c>
      <c r="L378" s="1092">
        <v>2</v>
      </c>
      <c r="M378" s="1092">
        <v>0</v>
      </c>
      <c r="N378" s="27">
        <f t="shared" si="52"/>
        <v>2</v>
      </c>
    </row>
    <row r="379" spans="1:14">
      <c r="A379" s="32" t="s">
        <v>56</v>
      </c>
      <c r="B379" s="1092">
        <v>0</v>
      </c>
      <c r="C379" s="1092">
        <v>0</v>
      </c>
      <c r="D379" s="1092">
        <v>0</v>
      </c>
      <c r="E379" s="1092">
        <v>0</v>
      </c>
      <c r="F379" s="1092">
        <v>0</v>
      </c>
      <c r="G379" s="1092">
        <v>0</v>
      </c>
      <c r="H379" s="1092">
        <v>0</v>
      </c>
      <c r="I379" s="1092">
        <v>0</v>
      </c>
      <c r="J379" s="1092">
        <v>0</v>
      </c>
      <c r="K379" s="1092">
        <v>0</v>
      </c>
      <c r="L379" s="1092">
        <v>0</v>
      </c>
      <c r="M379" s="1092">
        <v>0</v>
      </c>
      <c r="N379" s="27">
        <f t="shared" si="52"/>
        <v>0</v>
      </c>
    </row>
    <row r="380" spans="1:14">
      <c r="A380" s="78" t="s">
        <v>122</v>
      </c>
      <c r="B380" s="1092">
        <v>0</v>
      </c>
      <c r="C380" s="1092">
        <v>0</v>
      </c>
      <c r="D380" s="1092">
        <v>0</v>
      </c>
      <c r="E380" s="1092">
        <v>0</v>
      </c>
      <c r="F380" s="1092">
        <v>0</v>
      </c>
      <c r="G380" s="1092">
        <v>0</v>
      </c>
      <c r="H380" s="1092">
        <v>0</v>
      </c>
      <c r="I380" s="1092">
        <v>0</v>
      </c>
      <c r="J380" s="1092">
        <v>0</v>
      </c>
      <c r="K380" s="1092">
        <v>0</v>
      </c>
      <c r="L380" s="1092">
        <v>0</v>
      </c>
      <c r="M380" s="1092">
        <v>0</v>
      </c>
      <c r="N380" s="27">
        <f t="shared" si="52"/>
        <v>0</v>
      </c>
    </row>
    <row r="381" spans="1:14">
      <c r="A381" s="78" t="s">
        <v>184</v>
      </c>
      <c r="B381" s="1092">
        <v>0</v>
      </c>
      <c r="C381" s="1092">
        <v>0</v>
      </c>
      <c r="D381" s="1092">
        <v>0</v>
      </c>
      <c r="E381" s="1092">
        <v>0</v>
      </c>
      <c r="F381" s="1092">
        <v>0</v>
      </c>
      <c r="G381" s="1092">
        <v>0</v>
      </c>
      <c r="H381" s="1092">
        <v>0</v>
      </c>
      <c r="I381" s="1092">
        <v>0</v>
      </c>
      <c r="J381" s="1092">
        <v>0</v>
      </c>
      <c r="K381" s="1092">
        <v>0</v>
      </c>
      <c r="L381" s="1092">
        <v>0</v>
      </c>
      <c r="M381" s="1092">
        <v>0</v>
      </c>
      <c r="N381" s="27">
        <f t="shared" si="52"/>
        <v>0</v>
      </c>
    </row>
    <row r="382" spans="1:14">
      <c r="A382" s="78" t="s">
        <v>187</v>
      </c>
      <c r="B382" s="1092">
        <v>0</v>
      </c>
      <c r="C382" s="1092">
        <v>0</v>
      </c>
      <c r="D382" s="1092">
        <v>0</v>
      </c>
      <c r="E382" s="1092">
        <v>0</v>
      </c>
      <c r="F382" s="1092">
        <v>0</v>
      </c>
      <c r="G382" s="1092">
        <v>0</v>
      </c>
      <c r="H382" s="1092">
        <v>0</v>
      </c>
      <c r="I382" s="1092">
        <v>0</v>
      </c>
      <c r="J382" s="1092">
        <v>0</v>
      </c>
      <c r="K382" s="1092">
        <v>0</v>
      </c>
      <c r="L382" s="1092">
        <v>0</v>
      </c>
      <c r="M382" s="1092">
        <v>0</v>
      </c>
      <c r="N382" s="27">
        <f t="shared" si="52"/>
        <v>0</v>
      </c>
    </row>
    <row r="383" spans="1:14">
      <c r="A383" s="78" t="s">
        <v>188</v>
      </c>
      <c r="B383" s="1092">
        <v>0</v>
      </c>
      <c r="C383" s="1092">
        <v>0</v>
      </c>
      <c r="D383" s="1092">
        <v>0</v>
      </c>
      <c r="E383" s="1092">
        <v>0</v>
      </c>
      <c r="F383" s="1092">
        <v>0</v>
      </c>
      <c r="G383" s="1092">
        <v>0</v>
      </c>
      <c r="H383" s="1092">
        <v>0</v>
      </c>
      <c r="I383" s="1092">
        <v>0</v>
      </c>
      <c r="J383" s="1092">
        <v>0</v>
      </c>
      <c r="K383" s="1092">
        <v>0</v>
      </c>
      <c r="L383" s="1092">
        <v>0</v>
      </c>
      <c r="M383" s="1092">
        <v>0</v>
      </c>
      <c r="N383" s="27">
        <f t="shared" si="52"/>
        <v>0</v>
      </c>
    </row>
    <row r="384" spans="1:14">
      <c r="A384" s="78" t="s">
        <v>213</v>
      </c>
      <c r="B384" s="1092">
        <v>0</v>
      </c>
      <c r="C384" s="1092">
        <v>0</v>
      </c>
      <c r="D384" s="1092">
        <v>0</v>
      </c>
      <c r="E384" s="1092">
        <v>0</v>
      </c>
      <c r="F384" s="1092">
        <v>0</v>
      </c>
      <c r="G384" s="1092">
        <v>0</v>
      </c>
      <c r="H384" s="1092">
        <v>0</v>
      </c>
      <c r="I384" s="1092">
        <v>0</v>
      </c>
      <c r="J384" s="1092">
        <v>0</v>
      </c>
      <c r="K384" s="1092">
        <v>0</v>
      </c>
      <c r="L384" s="1092">
        <v>0</v>
      </c>
      <c r="M384" s="1092">
        <v>0</v>
      </c>
      <c r="N384" s="27">
        <f t="shared" si="52"/>
        <v>0</v>
      </c>
    </row>
    <row r="385" spans="1:14">
      <c r="A385" s="76" t="s">
        <v>267</v>
      </c>
      <c r="B385" s="1092">
        <v>0</v>
      </c>
      <c r="C385" s="1092">
        <v>0</v>
      </c>
      <c r="D385" s="1092">
        <v>0</v>
      </c>
      <c r="E385" s="1092">
        <v>0</v>
      </c>
      <c r="F385" s="1092">
        <v>0</v>
      </c>
      <c r="G385" s="1092">
        <v>0</v>
      </c>
      <c r="H385" s="1092">
        <v>0</v>
      </c>
      <c r="I385" s="1092">
        <v>0</v>
      </c>
      <c r="J385" s="1092">
        <v>0</v>
      </c>
      <c r="K385" s="1092">
        <v>0</v>
      </c>
      <c r="L385" s="1092">
        <v>0</v>
      </c>
      <c r="M385" s="1092">
        <v>0</v>
      </c>
      <c r="N385" s="27">
        <f t="shared" si="52"/>
        <v>0</v>
      </c>
    </row>
    <row r="386" spans="1:14" ht="14" thickBot="1">
      <c r="A386" s="78" t="s">
        <v>268</v>
      </c>
      <c r="B386" s="1092">
        <v>0</v>
      </c>
      <c r="C386" s="1092">
        <v>0</v>
      </c>
      <c r="D386" s="1092">
        <v>0</v>
      </c>
      <c r="E386" s="1092">
        <v>0</v>
      </c>
      <c r="F386" s="1092">
        <v>0</v>
      </c>
      <c r="G386" s="1092">
        <v>0</v>
      </c>
      <c r="H386" s="1092">
        <v>0</v>
      </c>
      <c r="I386" s="1092">
        <v>0</v>
      </c>
      <c r="J386" s="1092">
        <v>0</v>
      </c>
      <c r="K386" s="1092">
        <v>0</v>
      </c>
      <c r="L386" s="1092">
        <v>0</v>
      </c>
      <c r="M386" s="1092">
        <v>0</v>
      </c>
      <c r="N386" s="27">
        <f t="shared" si="52"/>
        <v>0</v>
      </c>
    </row>
    <row r="387" spans="1:14" ht="14" thickBot="1">
      <c r="A387" s="38" t="s">
        <v>192</v>
      </c>
      <c r="B387" s="39"/>
      <c r="C387" s="39"/>
      <c r="D387" s="39"/>
      <c r="E387" s="39"/>
      <c r="F387" s="39"/>
      <c r="G387" s="39"/>
      <c r="H387" s="39"/>
      <c r="I387" s="39"/>
      <c r="J387" s="39"/>
      <c r="K387" s="39"/>
      <c r="L387" s="39"/>
      <c r="M387" s="39"/>
      <c r="N387" s="40"/>
    </row>
    <row r="388" spans="1:14" ht="14" thickBot="1">
      <c r="A388" s="32" t="s">
        <v>165</v>
      </c>
      <c r="B388" s="1092">
        <v>0</v>
      </c>
      <c r="C388" s="1092">
        <v>0</v>
      </c>
      <c r="D388" s="1092">
        <v>0</v>
      </c>
      <c r="E388" s="1092">
        <v>0</v>
      </c>
      <c r="F388" s="1092">
        <v>0</v>
      </c>
      <c r="G388" s="1092">
        <v>0</v>
      </c>
      <c r="H388" s="1092">
        <v>0</v>
      </c>
      <c r="I388" s="1092">
        <v>0</v>
      </c>
      <c r="J388" s="1092">
        <v>0</v>
      </c>
      <c r="K388" s="1092">
        <v>0</v>
      </c>
      <c r="L388" s="1092">
        <v>0</v>
      </c>
      <c r="M388" s="1092">
        <v>0</v>
      </c>
      <c r="N388" s="27">
        <f>SUM(B388:M388)</f>
        <v>0</v>
      </c>
    </row>
    <row r="389" spans="1:14" ht="14" thickBot="1">
      <c r="A389" s="53" t="s">
        <v>60</v>
      </c>
      <c r="B389" s="55">
        <f t="shared" ref="B389:M389" si="53">SUM(B375:B388)</f>
        <v>0</v>
      </c>
      <c r="C389" s="55">
        <f t="shared" si="53"/>
        <v>0</v>
      </c>
      <c r="D389" s="55">
        <f t="shared" si="53"/>
        <v>0</v>
      </c>
      <c r="E389" s="55">
        <f t="shared" si="53"/>
        <v>0</v>
      </c>
      <c r="F389" s="55">
        <f t="shared" si="53"/>
        <v>0</v>
      </c>
      <c r="G389" s="55">
        <f t="shared" si="53"/>
        <v>0</v>
      </c>
      <c r="H389" s="55">
        <f t="shared" si="53"/>
        <v>1</v>
      </c>
      <c r="I389" s="55">
        <f t="shared" si="53"/>
        <v>0</v>
      </c>
      <c r="J389" s="55">
        <f t="shared" si="53"/>
        <v>0</v>
      </c>
      <c r="K389" s="55">
        <f t="shared" si="53"/>
        <v>0</v>
      </c>
      <c r="L389" s="55">
        <f t="shared" si="53"/>
        <v>2</v>
      </c>
      <c r="M389" s="55">
        <f t="shared" si="53"/>
        <v>79</v>
      </c>
      <c r="N389" s="54"/>
    </row>
    <row r="391" spans="1:14" ht="14" thickBot="1">
      <c r="B391" s="43" t="s">
        <v>35</v>
      </c>
      <c r="C391" s="43" t="s">
        <v>36</v>
      </c>
      <c r="D391" s="43" t="s">
        <v>37</v>
      </c>
      <c r="E391" s="43" t="s">
        <v>38</v>
      </c>
      <c r="F391" s="43" t="s">
        <v>39</v>
      </c>
      <c r="G391" s="43" t="s">
        <v>40</v>
      </c>
      <c r="H391" s="43" t="s">
        <v>41</v>
      </c>
      <c r="I391" s="43" t="s">
        <v>42</v>
      </c>
      <c r="J391" s="43" t="s">
        <v>43</v>
      </c>
      <c r="K391" s="43" t="s">
        <v>44</v>
      </c>
      <c r="L391" s="43" t="s">
        <v>45</v>
      </c>
      <c r="M391" s="43" t="s">
        <v>46</v>
      </c>
      <c r="N391" s="43" t="s">
        <v>10</v>
      </c>
    </row>
    <row r="392" spans="1:14" ht="17" thickBot="1">
      <c r="A392" s="31" t="s">
        <v>392</v>
      </c>
      <c r="B392" s="24"/>
      <c r="C392" s="24"/>
      <c r="D392" s="22"/>
      <c r="E392" s="22"/>
      <c r="F392" s="25"/>
      <c r="G392" s="25"/>
      <c r="H392" s="22"/>
      <c r="I392" s="22"/>
      <c r="J392" s="22"/>
      <c r="K392" s="22"/>
      <c r="L392" s="24"/>
      <c r="M392" s="24"/>
      <c r="N392" s="26"/>
    </row>
    <row r="393" spans="1:14" ht="14" thickBot="1">
      <c r="A393" s="38" t="s">
        <v>189</v>
      </c>
      <c r="B393" s="39"/>
      <c r="C393" s="39"/>
      <c r="D393" s="39"/>
      <c r="E393" s="39"/>
      <c r="F393" s="39"/>
      <c r="G393" s="39"/>
      <c r="H393" s="39"/>
      <c r="I393" s="39"/>
      <c r="J393" s="39"/>
      <c r="K393" s="39"/>
      <c r="L393" s="39"/>
      <c r="M393" s="39"/>
      <c r="N393" s="40"/>
    </row>
    <row r="394" spans="1:14">
      <c r="A394" s="32" t="s">
        <v>29</v>
      </c>
      <c r="B394" s="1092">
        <v>0</v>
      </c>
      <c r="C394" s="1092">
        <v>0</v>
      </c>
      <c r="D394" s="1092">
        <v>1</v>
      </c>
      <c r="E394" s="1092">
        <v>2</v>
      </c>
      <c r="F394" s="1092">
        <v>5</v>
      </c>
      <c r="G394" s="1092">
        <v>0</v>
      </c>
      <c r="H394" s="1092">
        <v>0</v>
      </c>
      <c r="I394" s="1092">
        <v>2</v>
      </c>
      <c r="J394" s="1092">
        <v>0</v>
      </c>
      <c r="K394" s="1092">
        <v>1</v>
      </c>
      <c r="L394" s="1092">
        <v>0</v>
      </c>
      <c r="M394" s="1092">
        <v>9</v>
      </c>
      <c r="N394" s="27">
        <f t="shared" ref="N394:N401" si="54">SUM(B394:M394)</f>
        <v>20</v>
      </c>
    </row>
    <row r="395" spans="1:14">
      <c r="A395" s="32" t="s">
        <v>33</v>
      </c>
      <c r="B395" s="1092">
        <v>4</v>
      </c>
      <c r="C395" s="1092">
        <v>5</v>
      </c>
      <c r="D395" s="1092">
        <v>13</v>
      </c>
      <c r="E395" s="1092">
        <v>0</v>
      </c>
      <c r="F395" s="1092">
        <v>7</v>
      </c>
      <c r="G395" s="1092">
        <v>2</v>
      </c>
      <c r="H395" s="1092">
        <v>4</v>
      </c>
      <c r="I395" s="1092">
        <v>4</v>
      </c>
      <c r="J395" s="1092">
        <v>4</v>
      </c>
      <c r="K395" s="1092">
        <v>2</v>
      </c>
      <c r="L395" s="1092">
        <v>8</v>
      </c>
      <c r="M395" s="1092">
        <v>10</v>
      </c>
      <c r="N395" s="27">
        <f t="shared" si="54"/>
        <v>63</v>
      </c>
    </row>
    <row r="396" spans="1:14">
      <c r="A396" s="32" t="s">
        <v>56</v>
      </c>
      <c r="B396" s="1092">
        <v>0</v>
      </c>
      <c r="C396" s="1092">
        <v>0</v>
      </c>
      <c r="D396" s="1092">
        <v>0</v>
      </c>
      <c r="E396" s="1092">
        <v>0</v>
      </c>
      <c r="F396" s="1092">
        <v>0</v>
      </c>
      <c r="G396" s="1092">
        <v>0</v>
      </c>
      <c r="H396" s="1092">
        <v>0</v>
      </c>
      <c r="I396" s="1092">
        <v>0</v>
      </c>
      <c r="J396" s="1092">
        <v>0</v>
      </c>
      <c r="K396" s="1092">
        <v>0</v>
      </c>
      <c r="L396" s="1092">
        <v>0</v>
      </c>
      <c r="M396" s="1092">
        <v>0</v>
      </c>
      <c r="N396" s="27">
        <f t="shared" si="54"/>
        <v>0</v>
      </c>
    </row>
    <row r="397" spans="1:14">
      <c r="A397" s="78" t="s">
        <v>30</v>
      </c>
      <c r="B397" s="1092">
        <v>3</v>
      </c>
      <c r="C397" s="1092">
        <v>3</v>
      </c>
      <c r="D397" s="1092">
        <v>0</v>
      </c>
      <c r="E397" s="1092">
        <v>3</v>
      </c>
      <c r="F397" s="1092">
        <v>0</v>
      </c>
      <c r="G397" s="1092">
        <v>3</v>
      </c>
      <c r="H397" s="1092">
        <v>4</v>
      </c>
      <c r="I397" s="1092">
        <v>1</v>
      </c>
      <c r="J397" s="1092">
        <v>1</v>
      </c>
      <c r="K397" s="1092">
        <v>2</v>
      </c>
      <c r="L397" s="1092">
        <v>2</v>
      </c>
      <c r="M397" s="1092">
        <v>4</v>
      </c>
      <c r="N397" s="27">
        <f t="shared" si="54"/>
        <v>26</v>
      </c>
    </row>
    <row r="398" spans="1:14">
      <c r="A398" s="76" t="s">
        <v>213</v>
      </c>
      <c r="B398" s="1092">
        <v>0</v>
      </c>
      <c r="C398" s="1092">
        <v>0</v>
      </c>
      <c r="D398" s="1092">
        <v>0</v>
      </c>
      <c r="E398" s="1092">
        <v>0</v>
      </c>
      <c r="F398" s="1092">
        <v>0</v>
      </c>
      <c r="G398" s="1092">
        <v>0</v>
      </c>
      <c r="H398" s="1092">
        <v>0</v>
      </c>
      <c r="I398" s="1092">
        <v>0</v>
      </c>
      <c r="J398" s="1092">
        <v>1</v>
      </c>
      <c r="K398" s="1092">
        <v>1</v>
      </c>
      <c r="L398" s="1092">
        <v>0</v>
      </c>
      <c r="M398" s="1092">
        <v>1</v>
      </c>
      <c r="N398" s="27">
        <f t="shared" si="54"/>
        <v>3</v>
      </c>
    </row>
    <row r="399" spans="1:14">
      <c r="A399" s="76" t="s">
        <v>212</v>
      </c>
      <c r="B399" s="1092">
        <v>0</v>
      </c>
      <c r="C399" s="1092">
        <v>0</v>
      </c>
      <c r="D399" s="1092">
        <v>0</v>
      </c>
      <c r="E399" s="1092">
        <v>0</v>
      </c>
      <c r="F399" s="1092">
        <v>0</v>
      </c>
      <c r="G399" s="1092">
        <v>0</v>
      </c>
      <c r="H399" s="1092">
        <v>0</v>
      </c>
      <c r="I399" s="1092">
        <v>1</v>
      </c>
      <c r="J399" s="1092">
        <v>0</v>
      </c>
      <c r="K399" s="1092">
        <v>0</v>
      </c>
      <c r="L399" s="1092">
        <v>0</v>
      </c>
      <c r="M399" s="1092">
        <v>0</v>
      </c>
      <c r="N399" s="27">
        <f t="shared" si="54"/>
        <v>1</v>
      </c>
    </row>
    <row r="400" spans="1:14">
      <c r="A400" s="76" t="s">
        <v>331</v>
      </c>
      <c r="B400" s="1092">
        <v>0</v>
      </c>
      <c r="C400" s="1092">
        <v>0</v>
      </c>
      <c r="D400" s="1092">
        <v>0</v>
      </c>
      <c r="E400" s="1092">
        <v>0</v>
      </c>
      <c r="F400" s="1092">
        <v>0</v>
      </c>
      <c r="G400" s="1092">
        <v>0</v>
      </c>
      <c r="H400" s="1092">
        <v>0</v>
      </c>
      <c r="I400" s="1092">
        <v>0</v>
      </c>
      <c r="J400" s="1092">
        <v>0</v>
      </c>
      <c r="K400" s="1092">
        <v>0</v>
      </c>
      <c r="L400" s="1092">
        <v>0</v>
      </c>
      <c r="M400" s="1092">
        <v>0</v>
      </c>
      <c r="N400" s="27">
        <f t="shared" si="54"/>
        <v>0</v>
      </c>
    </row>
    <row r="401" spans="1:14" ht="14" thickBot="1">
      <c r="A401" s="76" t="s">
        <v>267</v>
      </c>
      <c r="B401" s="1092">
        <v>0</v>
      </c>
      <c r="C401" s="1092">
        <v>0</v>
      </c>
      <c r="D401" s="1092">
        <v>0</v>
      </c>
      <c r="E401" s="1092">
        <v>0</v>
      </c>
      <c r="F401" s="1092">
        <v>0</v>
      </c>
      <c r="G401" s="1092">
        <v>0</v>
      </c>
      <c r="H401" s="1092">
        <v>0</v>
      </c>
      <c r="I401" s="1092">
        <v>0</v>
      </c>
      <c r="J401" s="1092">
        <v>0</v>
      </c>
      <c r="K401" s="1092">
        <v>0</v>
      </c>
      <c r="L401" s="1092">
        <v>0</v>
      </c>
      <c r="M401" s="1092">
        <v>0</v>
      </c>
      <c r="N401" s="27">
        <f t="shared" si="54"/>
        <v>0</v>
      </c>
    </row>
    <row r="402" spans="1:14" ht="14" thickBot="1">
      <c r="A402" s="38" t="s">
        <v>190</v>
      </c>
      <c r="B402" s="39"/>
      <c r="C402" s="39"/>
      <c r="D402" s="39"/>
      <c r="E402" s="39"/>
      <c r="F402" s="39"/>
      <c r="G402" s="39"/>
      <c r="H402" s="39"/>
      <c r="I402" s="39"/>
      <c r="J402" s="39"/>
      <c r="K402" s="39"/>
      <c r="L402" s="39"/>
      <c r="M402" s="39"/>
      <c r="N402" s="280"/>
    </row>
    <row r="403" spans="1:14">
      <c r="A403" s="76" t="s">
        <v>393</v>
      </c>
      <c r="B403" s="1092">
        <v>0</v>
      </c>
      <c r="C403" s="1092">
        <v>0</v>
      </c>
      <c r="D403" s="1092">
        <v>0</v>
      </c>
      <c r="E403" s="1092">
        <v>0</v>
      </c>
      <c r="F403" s="1092">
        <v>0</v>
      </c>
      <c r="G403" s="1092">
        <v>0</v>
      </c>
      <c r="H403" s="1092">
        <v>0</v>
      </c>
      <c r="I403" s="1092">
        <v>0</v>
      </c>
      <c r="J403" s="1092">
        <v>0</v>
      </c>
      <c r="K403" s="1092">
        <v>1</v>
      </c>
      <c r="L403" s="1092">
        <v>0</v>
      </c>
      <c r="M403" s="1092">
        <v>0</v>
      </c>
      <c r="N403" s="27">
        <f>SUM(B403:M403)</f>
        <v>1</v>
      </c>
    </row>
    <row r="404" spans="1:14">
      <c r="A404" s="76" t="s">
        <v>166</v>
      </c>
      <c r="B404" s="1092">
        <v>0</v>
      </c>
      <c r="C404" s="1140">
        <v>0</v>
      </c>
      <c r="D404" s="1092">
        <v>0</v>
      </c>
      <c r="E404" s="1092">
        <v>0</v>
      </c>
      <c r="F404" s="1092">
        <v>0</v>
      </c>
      <c r="G404" s="1092">
        <v>0</v>
      </c>
      <c r="H404" s="1092">
        <v>0</v>
      </c>
      <c r="I404" s="1092">
        <v>0</v>
      </c>
      <c r="J404" s="1092">
        <v>0</v>
      </c>
      <c r="K404" s="1092">
        <v>0</v>
      </c>
      <c r="L404" s="1092">
        <v>0</v>
      </c>
      <c r="M404" s="1092">
        <v>0</v>
      </c>
      <c r="N404" s="27">
        <f>SUM(B404:M404)</f>
        <v>0</v>
      </c>
    </row>
    <row r="405" spans="1:14">
      <c r="A405" s="76" t="s">
        <v>336</v>
      </c>
      <c r="B405" s="1092">
        <v>0</v>
      </c>
      <c r="C405" s="1092">
        <v>0</v>
      </c>
      <c r="D405" s="1092">
        <v>1</v>
      </c>
      <c r="E405" s="1092">
        <v>0</v>
      </c>
      <c r="F405" s="1092">
        <v>0</v>
      </c>
      <c r="G405" s="1092">
        <v>0</v>
      </c>
      <c r="H405" s="1092">
        <v>0</v>
      </c>
      <c r="I405" s="1092">
        <v>0</v>
      </c>
      <c r="J405" s="1092">
        <v>0</v>
      </c>
      <c r="K405" s="1092">
        <v>1</v>
      </c>
      <c r="L405" s="1092">
        <v>0</v>
      </c>
      <c r="M405" s="1092">
        <v>0</v>
      </c>
      <c r="N405" s="27">
        <f>SUM(B405:M405)</f>
        <v>2</v>
      </c>
    </row>
    <row r="406" spans="1:14" ht="14" thickBot="1">
      <c r="A406" s="76" t="s">
        <v>266</v>
      </c>
      <c r="B406" s="1092">
        <v>0</v>
      </c>
      <c r="C406" s="1092">
        <v>0</v>
      </c>
      <c r="D406" s="1092">
        <v>0</v>
      </c>
      <c r="E406" s="1092">
        <v>0</v>
      </c>
      <c r="F406" s="1092">
        <v>0</v>
      </c>
      <c r="G406" s="1092">
        <v>0</v>
      </c>
      <c r="H406" s="1092">
        <v>0</v>
      </c>
      <c r="I406" s="1092">
        <v>0</v>
      </c>
      <c r="J406" s="1092">
        <v>0</v>
      </c>
      <c r="K406" s="1092">
        <v>0</v>
      </c>
      <c r="L406" s="1092">
        <v>0</v>
      </c>
      <c r="M406" s="1092">
        <v>0</v>
      </c>
      <c r="N406" s="27">
        <f>SUM(B406:M406)</f>
        <v>0</v>
      </c>
    </row>
    <row r="407" spans="1:14" ht="14" thickBot="1">
      <c r="A407" s="53" t="s">
        <v>60</v>
      </c>
      <c r="B407" s="55">
        <f t="shared" ref="B407:M407" si="55">SUM(B394:B406)</f>
        <v>7</v>
      </c>
      <c r="C407" s="55">
        <f>SUM(C394:C406)</f>
        <v>8</v>
      </c>
      <c r="D407" s="55">
        <f t="shared" si="55"/>
        <v>15</v>
      </c>
      <c r="E407" s="55">
        <f t="shared" si="55"/>
        <v>5</v>
      </c>
      <c r="F407" s="55">
        <f t="shared" si="55"/>
        <v>12</v>
      </c>
      <c r="G407" s="55">
        <f t="shared" si="55"/>
        <v>5</v>
      </c>
      <c r="H407" s="55">
        <f t="shared" si="55"/>
        <v>8</v>
      </c>
      <c r="I407" s="55">
        <f t="shared" si="55"/>
        <v>8</v>
      </c>
      <c r="J407" s="55">
        <f t="shared" si="55"/>
        <v>6</v>
      </c>
      <c r="K407" s="55">
        <f t="shared" si="55"/>
        <v>8</v>
      </c>
      <c r="L407" s="55">
        <f t="shared" si="55"/>
        <v>10</v>
      </c>
      <c r="M407" s="55">
        <f t="shared" si="55"/>
        <v>24</v>
      </c>
      <c r="N407" s="54"/>
    </row>
    <row r="408" spans="1:14" ht="14" thickBot="1">
      <c r="A408" s="38" t="s">
        <v>194</v>
      </c>
      <c r="B408" s="39"/>
      <c r="C408" s="39"/>
      <c r="D408" s="39"/>
      <c r="E408" s="39"/>
      <c r="F408" s="39"/>
      <c r="G408" s="39"/>
      <c r="H408" s="39"/>
      <c r="I408" s="39"/>
      <c r="J408" s="39"/>
      <c r="K408" s="39"/>
      <c r="L408" s="39"/>
      <c r="M408" s="39"/>
      <c r="N408" s="40"/>
    </row>
    <row r="409" spans="1:14">
      <c r="A409" s="32" t="s">
        <v>29</v>
      </c>
      <c r="B409" s="1092">
        <v>0</v>
      </c>
      <c r="C409" s="1092">
        <v>0</v>
      </c>
      <c r="D409" s="1092">
        <v>0</v>
      </c>
      <c r="E409" s="1092">
        <v>0</v>
      </c>
      <c r="F409" s="1092">
        <v>0</v>
      </c>
      <c r="G409" s="1092">
        <v>0</v>
      </c>
      <c r="H409" s="1092">
        <v>0</v>
      </c>
      <c r="I409" s="1092">
        <v>0</v>
      </c>
      <c r="J409" s="1092">
        <v>0</v>
      </c>
      <c r="K409" s="1092">
        <v>0</v>
      </c>
      <c r="L409" s="1092">
        <v>0</v>
      </c>
      <c r="M409" s="1092">
        <v>0</v>
      </c>
      <c r="N409" s="27">
        <f t="shared" ref="N409:N420" si="56">SUM(B409:M409)</f>
        <v>0</v>
      </c>
    </row>
    <row r="410" spans="1:14">
      <c r="A410" s="78" t="s">
        <v>264</v>
      </c>
      <c r="B410" s="1092">
        <v>0</v>
      </c>
      <c r="C410" s="1092">
        <v>0</v>
      </c>
      <c r="D410" s="1092">
        <v>0</v>
      </c>
      <c r="E410" s="1092">
        <v>0</v>
      </c>
      <c r="F410" s="1092">
        <v>0</v>
      </c>
      <c r="G410" s="1092">
        <v>0</v>
      </c>
      <c r="H410" s="1092">
        <v>0</v>
      </c>
      <c r="I410" s="1092">
        <v>0</v>
      </c>
      <c r="J410" s="1092">
        <v>0</v>
      </c>
      <c r="K410" s="1092">
        <v>0</v>
      </c>
      <c r="L410" s="1092">
        <v>0</v>
      </c>
      <c r="M410" s="1092">
        <v>0</v>
      </c>
      <c r="N410" s="27">
        <f t="shared" si="56"/>
        <v>0</v>
      </c>
    </row>
    <row r="411" spans="1:14">
      <c r="A411" s="34" t="s">
        <v>204</v>
      </c>
      <c r="B411" s="1092">
        <v>0</v>
      </c>
      <c r="C411" s="1092">
        <v>0</v>
      </c>
      <c r="D411" s="1092">
        <v>0</v>
      </c>
      <c r="E411" s="1092">
        <v>0</v>
      </c>
      <c r="F411" s="1092">
        <v>0</v>
      </c>
      <c r="G411" s="1092">
        <v>0</v>
      </c>
      <c r="H411" s="1092">
        <v>0</v>
      </c>
      <c r="I411" s="1092">
        <v>0</v>
      </c>
      <c r="J411" s="1092">
        <v>0</v>
      </c>
      <c r="K411" s="1092">
        <v>0</v>
      </c>
      <c r="L411" s="1092">
        <v>0</v>
      </c>
      <c r="M411" s="1092">
        <v>0</v>
      </c>
      <c r="N411" s="27">
        <f t="shared" si="56"/>
        <v>0</v>
      </c>
    </row>
    <row r="412" spans="1:14">
      <c r="A412" s="76" t="s">
        <v>30</v>
      </c>
      <c r="B412" s="1092">
        <v>0</v>
      </c>
      <c r="C412" s="1092">
        <v>0</v>
      </c>
      <c r="D412" s="1092">
        <v>0</v>
      </c>
      <c r="E412" s="1092">
        <v>0</v>
      </c>
      <c r="F412" s="1092">
        <v>0</v>
      </c>
      <c r="G412" s="1092">
        <v>0</v>
      </c>
      <c r="H412" s="1092">
        <v>3</v>
      </c>
      <c r="I412" s="1092">
        <v>0</v>
      </c>
      <c r="J412" s="1092">
        <v>1</v>
      </c>
      <c r="K412" s="1092">
        <v>0</v>
      </c>
      <c r="L412" s="1092">
        <v>0</v>
      </c>
      <c r="M412" s="1092">
        <v>0</v>
      </c>
      <c r="N412" s="27">
        <f t="shared" si="56"/>
        <v>4</v>
      </c>
    </row>
    <row r="413" spans="1:14">
      <c r="A413" s="32" t="s">
        <v>56</v>
      </c>
      <c r="B413" s="1092">
        <v>0</v>
      </c>
      <c r="C413" s="1092">
        <v>0</v>
      </c>
      <c r="D413" s="1092">
        <v>0</v>
      </c>
      <c r="E413" s="1092">
        <v>0</v>
      </c>
      <c r="F413" s="1092">
        <v>0</v>
      </c>
      <c r="G413" s="1092">
        <v>0</v>
      </c>
      <c r="H413" s="1092">
        <v>0</v>
      </c>
      <c r="I413" s="1092">
        <v>0</v>
      </c>
      <c r="J413" s="1092">
        <v>0</v>
      </c>
      <c r="K413" s="1092">
        <v>0</v>
      </c>
      <c r="L413" s="1092">
        <v>0</v>
      </c>
      <c r="M413" s="1092">
        <v>0</v>
      </c>
      <c r="N413" s="27">
        <f t="shared" si="56"/>
        <v>0</v>
      </c>
    </row>
    <row r="414" spans="1:14">
      <c r="A414" s="78" t="s">
        <v>122</v>
      </c>
      <c r="B414" s="1092">
        <v>0</v>
      </c>
      <c r="C414" s="1092">
        <v>0</v>
      </c>
      <c r="D414" s="1092">
        <v>0</v>
      </c>
      <c r="E414" s="1092">
        <v>0</v>
      </c>
      <c r="F414" s="1092">
        <v>0</v>
      </c>
      <c r="G414" s="1092">
        <v>0</v>
      </c>
      <c r="H414" s="1092">
        <v>0</v>
      </c>
      <c r="I414" s="1092">
        <v>0</v>
      </c>
      <c r="J414" s="1092">
        <v>0</v>
      </c>
      <c r="K414" s="1092">
        <v>0</v>
      </c>
      <c r="L414" s="1092">
        <v>0</v>
      </c>
      <c r="M414" s="1092">
        <v>0</v>
      </c>
      <c r="N414" s="27">
        <f t="shared" si="56"/>
        <v>0</v>
      </c>
    </row>
    <row r="415" spans="1:14">
      <c r="A415" s="78" t="s">
        <v>184</v>
      </c>
      <c r="B415" s="1092">
        <v>0</v>
      </c>
      <c r="C415" s="1092">
        <v>0</v>
      </c>
      <c r="D415" s="1092">
        <v>0</v>
      </c>
      <c r="E415" s="1092">
        <v>0</v>
      </c>
      <c r="F415" s="1092">
        <v>0</v>
      </c>
      <c r="G415" s="1092">
        <v>0</v>
      </c>
      <c r="H415" s="1092">
        <v>0</v>
      </c>
      <c r="I415" s="1092">
        <v>0</v>
      </c>
      <c r="J415" s="1092">
        <v>0</v>
      </c>
      <c r="K415" s="1092">
        <v>0</v>
      </c>
      <c r="L415" s="1092">
        <v>0</v>
      </c>
      <c r="M415" s="1092">
        <v>0</v>
      </c>
      <c r="N415" s="27">
        <f t="shared" si="56"/>
        <v>0</v>
      </c>
    </row>
    <row r="416" spans="1:14">
      <c r="A416" s="78" t="s">
        <v>187</v>
      </c>
      <c r="B416" s="1092">
        <v>0</v>
      </c>
      <c r="C416" s="1092">
        <v>0</v>
      </c>
      <c r="D416" s="1092">
        <v>0</v>
      </c>
      <c r="E416" s="1092">
        <v>0</v>
      </c>
      <c r="F416" s="1092">
        <v>0</v>
      </c>
      <c r="G416" s="1092">
        <v>0</v>
      </c>
      <c r="H416" s="1092">
        <v>0</v>
      </c>
      <c r="I416" s="1092">
        <v>0</v>
      </c>
      <c r="J416" s="1092">
        <v>0</v>
      </c>
      <c r="K416" s="1092">
        <v>0</v>
      </c>
      <c r="L416" s="1092">
        <v>0</v>
      </c>
      <c r="M416" s="1092">
        <v>0</v>
      </c>
      <c r="N416" s="27">
        <f t="shared" si="56"/>
        <v>0</v>
      </c>
    </row>
    <row r="417" spans="1:14">
      <c r="A417" s="78" t="s">
        <v>188</v>
      </c>
      <c r="B417" s="1092">
        <v>0</v>
      </c>
      <c r="C417" s="1092">
        <v>0</v>
      </c>
      <c r="D417" s="1092">
        <v>0</v>
      </c>
      <c r="E417" s="1092">
        <v>0</v>
      </c>
      <c r="F417" s="1092">
        <v>0</v>
      </c>
      <c r="G417" s="1092">
        <v>0</v>
      </c>
      <c r="H417" s="1092">
        <v>0</v>
      </c>
      <c r="I417" s="1092">
        <v>0</v>
      </c>
      <c r="J417" s="1092">
        <v>0</v>
      </c>
      <c r="K417" s="1092">
        <v>0</v>
      </c>
      <c r="L417" s="1092">
        <v>0</v>
      </c>
      <c r="M417" s="1092">
        <v>0</v>
      </c>
      <c r="N417" s="27">
        <f t="shared" si="56"/>
        <v>0</v>
      </c>
    </row>
    <row r="418" spans="1:14">
      <c r="A418" s="78" t="s">
        <v>213</v>
      </c>
      <c r="B418" s="1092">
        <v>0</v>
      </c>
      <c r="C418" s="1092">
        <v>0</v>
      </c>
      <c r="D418" s="1092">
        <v>0</v>
      </c>
      <c r="E418" s="1092">
        <v>0</v>
      </c>
      <c r="F418" s="1092">
        <v>0</v>
      </c>
      <c r="G418" s="1092">
        <v>0</v>
      </c>
      <c r="H418" s="1092">
        <v>0</v>
      </c>
      <c r="I418" s="1092">
        <v>0</v>
      </c>
      <c r="J418" s="1092">
        <v>0</v>
      </c>
      <c r="K418" s="1092">
        <v>0</v>
      </c>
      <c r="L418" s="1092">
        <v>0</v>
      </c>
      <c r="M418" s="1092">
        <v>0</v>
      </c>
      <c r="N418" s="27">
        <f t="shared" si="56"/>
        <v>0</v>
      </c>
    </row>
    <row r="419" spans="1:14">
      <c r="A419" s="76" t="s">
        <v>267</v>
      </c>
      <c r="B419" s="1092">
        <v>0</v>
      </c>
      <c r="C419" s="1092">
        <v>0</v>
      </c>
      <c r="D419" s="1092">
        <v>0</v>
      </c>
      <c r="E419" s="1092">
        <v>0</v>
      </c>
      <c r="F419" s="1092">
        <v>0</v>
      </c>
      <c r="G419" s="1092">
        <v>0</v>
      </c>
      <c r="H419" s="1092">
        <v>0</v>
      </c>
      <c r="I419" s="1092">
        <v>0</v>
      </c>
      <c r="J419" s="1092">
        <v>0</v>
      </c>
      <c r="K419" s="1092">
        <v>0</v>
      </c>
      <c r="L419" s="1092">
        <v>0</v>
      </c>
      <c r="M419" s="1092">
        <v>0</v>
      </c>
      <c r="N419" s="27">
        <f t="shared" si="56"/>
        <v>0</v>
      </c>
    </row>
    <row r="420" spans="1:14" ht="14" thickBot="1">
      <c r="A420" s="78" t="s">
        <v>268</v>
      </c>
      <c r="B420" s="1092">
        <v>0</v>
      </c>
      <c r="C420" s="1092">
        <v>0</v>
      </c>
      <c r="D420" s="1092">
        <v>0</v>
      </c>
      <c r="E420" s="1092">
        <v>0</v>
      </c>
      <c r="F420" s="1092">
        <v>0</v>
      </c>
      <c r="G420" s="1092">
        <v>0</v>
      </c>
      <c r="H420" s="1092">
        <v>0</v>
      </c>
      <c r="I420" s="1092">
        <v>0</v>
      </c>
      <c r="J420" s="1092">
        <v>0</v>
      </c>
      <c r="K420" s="1092">
        <v>0</v>
      </c>
      <c r="L420" s="1092">
        <v>0</v>
      </c>
      <c r="M420" s="1092">
        <v>0</v>
      </c>
      <c r="N420" s="27">
        <f t="shared" si="56"/>
        <v>0</v>
      </c>
    </row>
    <row r="421" spans="1:14" ht="14" hidden="1" thickBot="1">
      <c r="A421" s="38" t="s">
        <v>192</v>
      </c>
      <c r="B421" s="39"/>
      <c r="C421" s="39"/>
      <c r="D421" s="39"/>
      <c r="E421" s="39"/>
      <c r="F421" s="39"/>
      <c r="G421" s="39"/>
      <c r="H421" s="39"/>
      <c r="I421" s="39"/>
      <c r="J421" s="39"/>
      <c r="K421" s="39"/>
      <c r="L421" s="39"/>
      <c r="M421" s="39"/>
      <c r="N421" s="40"/>
    </row>
    <row r="422" spans="1:14" ht="14" hidden="1" thickBot="1">
      <c r="A422" s="76"/>
      <c r="B422" s="1092"/>
      <c r="C422" s="1092"/>
      <c r="D422" s="1092"/>
      <c r="E422" s="1092"/>
      <c r="F422" s="1092"/>
      <c r="G422" s="1092"/>
      <c r="H422" s="1092"/>
      <c r="I422" s="1092"/>
      <c r="J422" s="1092"/>
      <c r="K422" s="1092"/>
      <c r="L422" s="1092"/>
      <c r="M422" s="1092"/>
      <c r="N422" s="27">
        <f>SUM(B422:M422)</f>
        <v>0</v>
      </c>
    </row>
    <row r="423" spans="1:14" ht="14" thickBot="1">
      <c r="A423" s="53" t="s">
        <v>60</v>
      </c>
      <c r="B423" s="55">
        <f t="shared" ref="B423:M423" si="57">SUM(B409:B422)</f>
        <v>0</v>
      </c>
      <c r="C423" s="55">
        <f t="shared" si="57"/>
        <v>0</v>
      </c>
      <c r="D423" s="55">
        <f t="shared" si="57"/>
        <v>0</v>
      </c>
      <c r="E423" s="55">
        <f t="shared" si="57"/>
        <v>0</v>
      </c>
      <c r="F423" s="55">
        <f t="shared" si="57"/>
        <v>0</v>
      </c>
      <c r="G423" s="55">
        <f t="shared" si="57"/>
        <v>0</v>
      </c>
      <c r="H423" s="55">
        <f t="shared" si="57"/>
        <v>3</v>
      </c>
      <c r="I423" s="55">
        <f t="shared" si="57"/>
        <v>0</v>
      </c>
      <c r="J423" s="55">
        <f t="shared" si="57"/>
        <v>1</v>
      </c>
      <c r="K423" s="55">
        <f t="shared" si="57"/>
        <v>0</v>
      </c>
      <c r="L423" s="55">
        <f t="shared" si="57"/>
        <v>0</v>
      </c>
      <c r="M423" s="55">
        <f t="shared" si="57"/>
        <v>0</v>
      </c>
      <c r="N423" s="54"/>
    </row>
    <row r="425" spans="1:14" ht="14" thickBot="1">
      <c r="B425" s="43" t="s">
        <v>35</v>
      </c>
      <c r="C425" s="43" t="s">
        <v>36</v>
      </c>
      <c r="D425" s="43" t="s">
        <v>37</v>
      </c>
      <c r="E425" s="43" t="s">
        <v>38</v>
      </c>
      <c r="F425" s="43" t="s">
        <v>39</v>
      </c>
      <c r="G425" s="43" t="s">
        <v>40</v>
      </c>
      <c r="H425" s="43" t="s">
        <v>41</v>
      </c>
      <c r="I425" s="43" t="s">
        <v>42</v>
      </c>
      <c r="J425" s="43" t="s">
        <v>43</v>
      </c>
      <c r="K425" s="43" t="s">
        <v>44</v>
      </c>
      <c r="L425" s="43" t="s">
        <v>45</v>
      </c>
      <c r="M425" s="43" t="s">
        <v>46</v>
      </c>
      <c r="N425" s="43" t="s">
        <v>10</v>
      </c>
    </row>
    <row r="426" spans="1:14" ht="17" thickBot="1">
      <c r="A426" s="31" t="s">
        <v>434</v>
      </c>
      <c r="B426" s="24"/>
      <c r="C426" s="24"/>
      <c r="D426" s="22"/>
      <c r="E426" s="22"/>
      <c r="F426" s="25"/>
      <c r="G426" s="25"/>
      <c r="H426" s="22"/>
      <c r="I426" s="22"/>
      <c r="J426" s="22"/>
      <c r="K426" s="22"/>
      <c r="L426" s="24"/>
      <c r="M426" s="24"/>
      <c r="N426" s="26"/>
    </row>
    <row r="427" spans="1:14" ht="14" thickBot="1">
      <c r="A427" s="38" t="s">
        <v>189</v>
      </c>
      <c r="B427" s="39"/>
      <c r="C427" s="39"/>
      <c r="D427" s="39"/>
      <c r="E427" s="39"/>
      <c r="F427" s="39"/>
      <c r="G427" s="39"/>
      <c r="H427" s="39"/>
      <c r="I427" s="39"/>
      <c r="J427" s="39"/>
      <c r="K427" s="39"/>
      <c r="L427" s="39"/>
      <c r="M427" s="39"/>
      <c r="N427" s="40"/>
    </row>
    <row r="428" spans="1:14">
      <c r="A428" s="32" t="s">
        <v>29</v>
      </c>
      <c r="B428" s="1092"/>
      <c r="C428" s="1092">
        <v>2</v>
      </c>
      <c r="D428" s="1092">
        <v>5</v>
      </c>
      <c r="E428" s="1092"/>
      <c r="F428" s="1092"/>
      <c r="G428" s="1092"/>
      <c r="H428" s="1092"/>
      <c r="I428" s="1092"/>
      <c r="J428" s="1092"/>
      <c r="K428" s="1092"/>
      <c r="L428" s="1092"/>
      <c r="M428" s="1092"/>
      <c r="N428" s="27">
        <f t="shared" ref="N428:N435" si="58">SUM(B428:M428)</f>
        <v>7</v>
      </c>
    </row>
    <row r="429" spans="1:14">
      <c r="A429" s="32" t="s">
        <v>33</v>
      </c>
      <c r="B429" s="1092">
        <v>2</v>
      </c>
      <c r="C429" s="1092">
        <v>4</v>
      </c>
      <c r="D429" s="1092">
        <v>4</v>
      </c>
      <c r="E429" s="1092">
        <v>1</v>
      </c>
      <c r="F429" s="1092">
        <v>5</v>
      </c>
      <c r="G429" s="1092">
        <v>3</v>
      </c>
      <c r="H429" s="1092">
        <v>4</v>
      </c>
      <c r="I429" s="1092">
        <v>8</v>
      </c>
      <c r="J429" s="1092">
        <v>9</v>
      </c>
      <c r="K429" s="1092">
        <v>3</v>
      </c>
      <c r="L429" s="1092">
        <v>7</v>
      </c>
      <c r="M429" s="1092">
        <v>2</v>
      </c>
      <c r="N429" s="27">
        <f t="shared" si="58"/>
        <v>52</v>
      </c>
    </row>
    <row r="430" spans="1:14">
      <c r="A430" s="32" t="s">
        <v>56</v>
      </c>
      <c r="B430" s="1092"/>
      <c r="C430" s="1092"/>
      <c r="D430" s="1092"/>
      <c r="E430" s="1092"/>
      <c r="F430" s="1092"/>
      <c r="G430" s="1092"/>
      <c r="H430" s="1092"/>
      <c r="I430" s="1092"/>
      <c r="J430" s="1092"/>
      <c r="K430" s="1092"/>
      <c r="L430" s="1092"/>
      <c r="M430" s="1092"/>
      <c r="N430" s="27">
        <f t="shared" si="58"/>
        <v>0</v>
      </c>
    </row>
    <row r="431" spans="1:14">
      <c r="A431" s="78" t="s">
        <v>30</v>
      </c>
      <c r="B431" s="1092">
        <v>3</v>
      </c>
      <c r="C431" s="1092">
        <v>11</v>
      </c>
      <c r="D431" s="1092">
        <v>4</v>
      </c>
      <c r="E431" s="1092">
        <v>3</v>
      </c>
      <c r="F431" s="1092"/>
      <c r="G431" s="1092">
        <v>3</v>
      </c>
      <c r="H431" s="1092">
        <v>4</v>
      </c>
      <c r="I431" s="1092">
        <v>4</v>
      </c>
      <c r="J431" s="1092">
        <v>1</v>
      </c>
      <c r="K431" s="1092">
        <v>1</v>
      </c>
      <c r="L431" s="1092">
        <v>3</v>
      </c>
      <c r="M431" s="1092">
        <v>3</v>
      </c>
      <c r="N431" s="27">
        <f t="shared" si="58"/>
        <v>40</v>
      </c>
    </row>
    <row r="432" spans="1:14">
      <c r="A432" s="76" t="s">
        <v>213</v>
      </c>
      <c r="B432" s="1092"/>
      <c r="C432" s="1092"/>
      <c r="D432" s="1092"/>
      <c r="E432" s="1092">
        <v>1</v>
      </c>
      <c r="F432" s="1092">
        <v>2</v>
      </c>
      <c r="G432" s="1092"/>
      <c r="H432" s="1092">
        <v>2</v>
      </c>
      <c r="I432" s="1092"/>
      <c r="J432" s="1092"/>
      <c r="K432" s="1092"/>
      <c r="L432" s="1092"/>
      <c r="M432" s="1092"/>
      <c r="N432" s="27">
        <f t="shared" si="58"/>
        <v>5</v>
      </c>
    </row>
    <row r="433" spans="1:14">
      <c r="A433" s="76" t="s">
        <v>212</v>
      </c>
      <c r="B433" s="1092"/>
      <c r="C433" s="1092"/>
      <c r="D433" s="1092"/>
      <c r="E433" s="1092"/>
      <c r="F433" s="1092"/>
      <c r="G433" s="1092"/>
      <c r="H433" s="1092"/>
      <c r="I433" s="1092"/>
      <c r="J433" s="1092"/>
      <c r="K433" s="1092"/>
      <c r="L433" s="1092"/>
      <c r="M433" s="1092"/>
      <c r="N433" s="27">
        <f t="shared" si="58"/>
        <v>0</v>
      </c>
    </row>
    <row r="434" spans="1:14">
      <c r="A434" s="76" t="s">
        <v>331</v>
      </c>
      <c r="B434" s="1092"/>
      <c r="C434" s="1092"/>
      <c r="D434" s="1092"/>
      <c r="E434" s="1092"/>
      <c r="F434" s="1092"/>
      <c r="G434" s="1092"/>
      <c r="H434" s="1092"/>
      <c r="I434" s="1092"/>
      <c r="J434" s="1092"/>
      <c r="K434" s="1092"/>
      <c r="L434" s="1092"/>
      <c r="M434" s="1092"/>
      <c r="N434" s="27">
        <f t="shared" si="58"/>
        <v>0</v>
      </c>
    </row>
    <row r="435" spans="1:14" ht="14" thickBot="1">
      <c r="A435" s="76" t="s">
        <v>267</v>
      </c>
      <c r="B435" s="1092"/>
      <c r="C435" s="1092"/>
      <c r="D435" s="1092"/>
      <c r="E435" s="1092"/>
      <c r="F435" s="1092"/>
      <c r="G435" s="1092"/>
      <c r="H435" s="1092"/>
      <c r="I435" s="1092"/>
      <c r="J435" s="1092"/>
      <c r="K435" s="1092"/>
      <c r="L435" s="1092"/>
      <c r="M435" s="1092"/>
      <c r="N435" s="27">
        <f t="shared" si="58"/>
        <v>0</v>
      </c>
    </row>
    <row r="436" spans="1:14" ht="14" thickBot="1">
      <c r="A436" s="38" t="s">
        <v>190</v>
      </c>
      <c r="B436" s="39"/>
      <c r="C436" s="39"/>
      <c r="D436" s="39"/>
      <c r="E436" s="39"/>
      <c r="F436" s="39"/>
      <c r="G436" s="39"/>
      <c r="H436" s="39"/>
      <c r="I436" s="39"/>
      <c r="J436" s="39"/>
      <c r="K436" s="39"/>
      <c r="L436" s="39"/>
      <c r="M436" s="39"/>
      <c r="N436" s="280"/>
    </row>
    <row r="437" spans="1:14">
      <c r="A437" s="76" t="s">
        <v>393</v>
      </c>
      <c r="B437" s="1092">
        <v>0</v>
      </c>
      <c r="C437" s="1092">
        <v>1</v>
      </c>
      <c r="D437" s="1092"/>
      <c r="E437" s="1092"/>
      <c r="F437" s="1092"/>
      <c r="G437" s="1092"/>
      <c r="H437" s="1092"/>
      <c r="I437" s="1092"/>
      <c r="J437" s="1092">
        <v>1</v>
      </c>
      <c r="K437" s="1092"/>
      <c r="L437" s="1092">
        <v>0</v>
      </c>
      <c r="M437" s="1092">
        <v>3</v>
      </c>
      <c r="N437" s="27">
        <f>SUM(B437:M437)</f>
        <v>5</v>
      </c>
    </row>
    <row r="438" spans="1:14">
      <c r="A438" s="76" t="s">
        <v>166</v>
      </c>
      <c r="B438" s="1092">
        <v>0</v>
      </c>
      <c r="C438" s="1140">
        <v>0</v>
      </c>
      <c r="D438" s="1092">
        <v>0</v>
      </c>
      <c r="E438" s="1092">
        <v>0</v>
      </c>
      <c r="F438" s="1092">
        <v>0</v>
      </c>
      <c r="G438" s="1092">
        <v>0</v>
      </c>
      <c r="H438" s="1092">
        <v>0</v>
      </c>
      <c r="I438" s="1092">
        <v>0</v>
      </c>
      <c r="J438" s="1092">
        <v>0</v>
      </c>
      <c r="K438" s="1092">
        <v>0</v>
      </c>
      <c r="L438" s="1092">
        <v>0</v>
      </c>
      <c r="M438" s="1092">
        <v>1</v>
      </c>
      <c r="N438" s="27">
        <f>SUM(B438:M438)</f>
        <v>1</v>
      </c>
    </row>
    <row r="439" spans="1:14">
      <c r="A439" s="76" t="s">
        <v>336</v>
      </c>
      <c r="B439" s="1092">
        <v>0</v>
      </c>
      <c r="C439" s="1092">
        <v>1</v>
      </c>
      <c r="D439" s="1092">
        <v>0</v>
      </c>
      <c r="E439" s="1092">
        <v>0</v>
      </c>
      <c r="F439" s="1092">
        <v>0</v>
      </c>
      <c r="G439" s="1092">
        <v>0</v>
      </c>
      <c r="H439" s="1092">
        <v>0</v>
      </c>
      <c r="I439" s="1092">
        <v>2</v>
      </c>
      <c r="J439" s="1092">
        <v>0</v>
      </c>
      <c r="K439" s="1092">
        <v>0</v>
      </c>
      <c r="L439" s="1092">
        <v>0</v>
      </c>
      <c r="M439" s="1092">
        <v>1</v>
      </c>
      <c r="N439" s="27">
        <f>SUM(B439:M439)</f>
        <v>4</v>
      </c>
    </row>
    <row r="440" spans="1:14">
      <c r="A440" s="76" t="s">
        <v>266</v>
      </c>
      <c r="B440" s="1092">
        <v>0</v>
      </c>
      <c r="C440" s="1092">
        <v>0</v>
      </c>
      <c r="D440" s="1092">
        <v>0</v>
      </c>
      <c r="E440" s="1092">
        <v>0</v>
      </c>
      <c r="F440" s="1092">
        <v>1</v>
      </c>
      <c r="G440" s="1092">
        <v>1</v>
      </c>
      <c r="H440" s="1092">
        <v>0</v>
      </c>
      <c r="I440" s="1092">
        <v>0</v>
      </c>
      <c r="J440" s="1092">
        <v>0</v>
      </c>
      <c r="K440" s="1092">
        <v>0</v>
      </c>
      <c r="L440" s="1092">
        <v>0</v>
      </c>
      <c r="M440" s="1092">
        <v>0</v>
      </c>
      <c r="N440" s="27">
        <f>SUM(B440:M440)</f>
        <v>2</v>
      </c>
    </row>
    <row r="441" spans="1:14" ht="14" thickBot="1">
      <c r="A441" s="76" t="s">
        <v>467</v>
      </c>
      <c r="B441" s="1092"/>
      <c r="C441" s="1092"/>
      <c r="D441" s="1092"/>
      <c r="E441" s="1092"/>
      <c r="F441" s="1092"/>
      <c r="G441" s="1092"/>
      <c r="H441" s="1092"/>
      <c r="I441" s="1092"/>
      <c r="J441" s="1092"/>
      <c r="K441" s="1092"/>
      <c r="L441" s="1092"/>
      <c r="M441" s="1092"/>
      <c r="N441" s="27">
        <f>SUM(B441:M441)</f>
        <v>0</v>
      </c>
    </row>
    <row r="442" spans="1:14" ht="14" thickBot="1">
      <c r="A442" s="53" t="s">
        <v>60</v>
      </c>
      <c r="B442" s="55">
        <f>SUM(B428:B441)</f>
        <v>5</v>
      </c>
      <c r="C442" s="55">
        <f t="shared" ref="C442:M442" si="59">SUM(C428:C441)</f>
        <v>19</v>
      </c>
      <c r="D442" s="55">
        <f t="shared" si="59"/>
        <v>13</v>
      </c>
      <c r="E442" s="55">
        <f t="shared" si="59"/>
        <v>5</v>
      </c>
      <c r="F442" s="55">
        <f t="shared" si="59"/>
        <v>8</v>
      </c>
      <c r="G442" s="55">
        <f t="shared" si="59"/>
        <v>7</v>
      </c>
      <c r="H442" s="55">
        <f t="shared" si="59"/>
        <v>10</v>
      </c>
      <c r="I442" s="55">
        <f t="shared" si="59"/>
        <v>14</v>
      </c>
      <c r="J442" s="55">
        <f>SUM(J428:J441)</f>
        <v>11</v>
      </c>
      <c r="K442" s="55">
        <f t="shared" si="59"/>
        <v>4</v>
      </c>
      <c r="L442" s="55">
        <f t="shared" si="59"/>
        <v>10</v>
      </c>
      <c r="M442" s="55">
        <f t="shared" si="59"/>
        <v>10</v>
      </c>
      <c r="N442" s="54"/>
    </row>
    <row r="443" spans="1:14" ht="14" thickBot="1">
      <c r="A443" s="38" t="s">
        <v>194</v>
      </c>
      <c r="B443" s="39"/>
      <c r="C443" s="39"/>
      <c r="D443" s="39"/>
      <c r="E443" s="39"/>
      <c r="F443" s="39"/>
      <c r="G443" s="39"/>
      <c r="H443" s="39"/>
      <c r="I443" s="39"/>
      <c r="J443" s="39"/>
      <c r="K443" s="39"/>
      <c r="L443" s="39"/>
      <c r="M443" s="39"/>
      <c r="N443" s="40"/>
    </row>
    <row r="444" spans="1:14">
      <c r="A444" s="32" t="s">
        <v>29</v>
      </c>
      <c r="B444" s="1092"/>
      <c r="C444" s="1092"/>
      <c r="D444" s="1092"/>
      <c r="E444" s="1092"/>
      <c r="F444" s="1092"/>
      <c r="G444" s="1092"/>
      <c r="H444" s="1092"/>
      <c r="I444" s="1092"/>
      <c r="J444" s="1092"/>
      <c r="K444" s="1092"/>
      <c r="L444" s="1092"/>
      <c r="M444" s="1092"/>
      <c r="N444" s="27">
        <f t="shared" ref="N444:N455" si="60">SUM(B444:M444)</f>
        <v>0</v>
      </c>
    </row>
    <row r="445" spans="1:14">
      <c r="A445" s="78" t="s">
        <v>264</v>
      </c>
      <c r="B445" s="1092"/>
      <c r="C445" s="1092"/>
      <c r="D445" s="1092"/>
      <c r="E445" s="1092"/>
      <c r="F445" s="1092"/>
      <c r="G445" s="1092"/>
      <c r="H445" s="1092"/>
      <c r="I445" s="1092"/>
      <c r="J445" s="1092"/>
      <c r="K445" s="1092"/>
      <c r="L445" s="1092"/>
      <c r="M445" s="1092"/>
      <c r="N445" s="27">
        <f t="shared" si="60"/>
        <v>0</v>
      </c>
    </row>
    <row r="446" spans="1:14">
      <c r="A446" s="34" t="s">
        <v>204</v>
      </c>
      <c r="B446" s="1092"/>
      <c r="C446" s="1092"/>
      <c r="D446" s="1092"/>
      <c r="E446" s="1092"/>
      <c r="F446" s="1092"/>
      <c r="G446" s="1092"/>
      <c r="H446" s="1092"/>
      <c r="I446" s="1092"/>
      <c r="J446" s="1092"/>
      <c r="K446" s="1092"/>
      <c r="L446" s="1092"/>
      <c r="M446" s="1092"/>
      <c r="N446" s="27">
        <f t="shared" si="60"/>
        <v>0</v>
      </c>
    </row>
    <row r="447" spans="1:14">
      <c r="A447" s="76" t="s">
        <v>30</v>
      </c>
      <c r="B447" s="1092"/>
      <c r="C447" s="1092"/>
      <c r="D447" s="1092"/>
      <c r="E447" s="1092"/>
      <c r="F447" s="1092"/>
      <c r="G447" s="1092"/>
      <c r="H447" s="1092"/>
      <c r="I447" s="1092">
        <v>51</v>
      </c>
      <c r="J447" s="1092"/>
      <c r="K447" s="1092"/>
      <c r="L447" s="1092">
        <v>8</v>
      </c>
      <c r="M447" s="1092"/>
      <c r="N447" s="27">
        <f t="shared" si="60"/>
        <v>59</v>
      </c>
    </row>
    <row r="448" spans="1:14">
      <c r="A448" s="32" t="s">
        <v>56</v>
      </c>
      <c r="B448" s="1092"/>
      <c r="C448" s="1092"/>
      <c r="D448" s="1092"/>
      <c r="E448" s="1092"/>
      <c r="F448" s="1092"/>
      <c r="G448" s="1092"/>
      <c r="H448" s="1092"/>
      <c r="I448" s="1092"/>
      <c r="J448" s="1092"/>
      <c r="K448" s="1092"/>
      <c r="L448" s="1092"/>
      <c r="M448" s="1092"/>
      <c r="N448" s="27">
        <f t="shared" si="60"/>
        <v>0</v>
      </c>
    </row>
    <row r="449" spans="1:14">
      <c r="A449" s="78" t="s">
        <v>122</v>
      </c>
      <c r="B449" s="1092"/>
      <c r="C449" s="1092"/>
      <c r="D449" s="1092"/>
      <c r="E449" s="1092"/>
      <c r="F449" s="1092"/>
      <c r="G449" s="1092"/>
      <c r="H449" s="1092"/>
      <c r="I449" s="1092"/>
      <c r="J449" s="1092"/>
      <c r="K449" s="1092"/>
      <c r="L449" s="1092"/>
      <c r="M449" s="1092"/>
      <c r="N449" s="27">
        <f t="shared" si="60"/>
        <v>0</v>
      </c>
    </row>
    <row r="450" spans="1:14">
      <c r="A450" s="78" t="s">
        <v>184</v>
      </c>
      <c r="B450" s="1092"/>
      <c r="C450" s="1092"/>
      <c r="D450" s="1092"/>
      <c r="E450" s="1092"/>
      <c r="F450" s="1092"/>
      <c r="G450" s="1092"/>
      <c r="H450" s="1092"/>
      <c r="I450" s="1092"/>
      <c r="J450" s="1092"/>
      <c r="K450" s="1092"/>
      <c r="L450" s="1092"/>
      <c r="M450" s="1092"/>
      <c r="N450" s="27">
        <f t="shared" si="60"/>
        <v>0</v>
      </c>
    </row>
    <row r="451" spans="1:14">
      <c r="A451" s="78" t="s">
        <v>187</v>
      </c>
      <c r="B451" s="1092"/>
      <c r="C451" s="1092"/>
      <c r="D451" s="1092"/>
      <c r="E451" s="1092"/>
      <c r="F451" s="1092"/>
      <c r="G451" s="1092"/>
      <c r="H451" s="1092"/>
      <c r="I451" s="1092"/>
      <c r="J451" s="1092"/>
      <c r="K451" s="1092"/>
      <c r="L451" s="1092"/>
      <c r="M451" s="1092"/>
      <c r="N451" s="27">
        <f t="shared" si="60"/>
        <v>0</v>
      </c>
    </row>
    <row r="452" spans="1:14">
      <c r="A452" s="78" t="s">
        <v>188</v>
      </c>
      <c r="B452" s="1092"/>
      <c r="C452" s="1092"/>
      <c r="D452" s="1092"/>
      <c r="E452" s="1092"/>
      <c r="F452" s="1092"/>
      <c r="G452" s="1092"/>
      <c r="H452" s="1092"/>
      <c r="I452" s="1092"/>
      <c r="J452" s="1092"/>
      <c r="K452" s="1092"/>
      <c r="L452" s="1092"/>
      <c r="M452" s="1092"/>
      <c r="N452" s="27">
        <f t="shared" si="60"/>
        <v>0</v>
      </c>
    </row>
    <row r="453" spans="1:14">
      <c r="A453" s="78" t="s">
        <v>213</v>
      </c>
      <c r="B453" s="1092"/>
      <c r="C453" s="1092"/>
      <c r="D453" s="1092"/>
      <c r="E453" s="1092"/>
      <c r="F453" s="1092"/>
      <c r="G453" s="1092"/>
      <c r="H453" s="1092"/>
      <c r="I453" s="1092"/>
      <c r="J453" s="1092"/>
      <c r="K453" s="1092"/>
      <c r="L453" s="1092"/>
      <c r="M453" s="1092"/>
      <c r="N453" s="27">
        <f t="shared" si="60"/>
        <v>0</v>
      </c>
    </row>
    <row r="454" spans="1:14">
      <c r="A454" s="76" t="s">
        <v>267</v>
      </c>
      <c r="B454" s="1092"/>
      <c r="C454" s="1092"/>
      <c r="D454" s="1092"/>
      <c r="E454" s="1092"/>
      <c r="F454" s="1092"/>
      <c r="G454" s="1092"/>
      <c r="H454" s="1092"/>
      <c r="I454" s="1092"/>
      <c r="J454" s="1092"/>
      <c r="K454" s="1092"/>
      <c r="L454" s="1092"/>
      <c r="M454" s="1092"/>
      <c r="N454" s="27">
        <f t="shared" si="60"/>
        <v>0</v>
      </c>
    </row>
    <row r="455" spans="1:14" ht="14" thickBot="1">
      <c r="A455" s="78" t="s">
        <v>268</v>
      </c>
      <c r="B455" s="1092"/>
      <c r="C455" s="1092"/>
      <c r="D455" s="1092"/>
      <c r="E455" s="1092"/>
      <c r="F455" s="1092"/>
      <c r="G455" s="1092"/>
      <c r="H455" s="1092"/>
      <c r="I455" s="1092"/>
      <c r="J455" s="1092"/>
      <c r="K455" s="1092"/>
      <c r="L455" s="1092"/>
      <c r="M455" s="1092"/>
      <c r="N455" s="27">
        <f t="shared" si="60"/>
        <v>0</v>
      </c>
    </row>
    <row r="456" spans="1:14" ht="14" thickBot="1">
      <c r="A456" s="38" t="s">
        <v>192</v>
      </c>
      <c r="B456" s="39"/>
      <c r="C456" s="39"/>
      <c r="D456" s="39"/>
      <c r="E456" s="39"/>
      <c r="F456" s="39"/>
      <c r="G456" s="39"/>
      <c r="H456" s="39"/>
      <c r="I456" s="39"/>
      <c r="J456" s="39"/>
      <c r="K456" s="39"/>
      <c r="L456" s="39"/>
      <c r="M456" s="39"/>
      <c r="N456" s="40"/>
    </row>
    <row r="457" spans="1:14" ht="14" thickBot="1">
      <c r="A457" s="76" t="s">
        <v>193</v>
      </c>
      <c r="B457" s="1092"/>
      <c r="C457" s="1092"/>
      <c r="D457" s="1092"/>
      <c r="E457" s="1092"/>
      <c r="F457" s="1092"/>
      <c r="G457" s="1092"/>
      <c r="H457" s="1092"/>
      <c r="I457" s="1092"/>
      <c r="J457" s="1092"/>
      <c r="K457" s="1092"/>
      <c r="L457" s="1092"/>
      <c r="M457" s="1092"/>
      <c r="N457" s="27">
        <f>SUM(B457:M457)</f>
        <v>0</v>
      </c>
    </row>
    <row r="458" spans="1:14" ht="14" thickBot="1">
      <c r="A458" s="53" t="s">
        <v>60</v>
      </c>
      <c r="B458" s="55">
        <f t="shared" ref="B458:M458" si="61">SUM(B444:B457)</f>
        <v>0</v>
      </c>
      <c r="C458" s="55">
        <f t="shared" si="61"/>
        <v>0</v>
      </c>
      <c r="D458" s="55">
        <f t="shared" si="61"/>
        <v>0</v>
      </c>
      <c r="E458" s="55">
        <f t="shared" si="61"/>
        <v>0</v>
      </c>
      <c r="F458" s="55">
        <f t="shared" si="61"/>
        <v>0</v>
      </c>
      <c r="G458" s="55">
        <f t="shared" si="61"/>
        <v>0</v>
      </c>
      <c r="H458" s="55">
        <f t="shared" si="61"/>
        <v>0</v>
      </c>
      <c r="I458" s="55">
        <f t="shared" si="61"/>
        <v>51</v>
      </c>
      <c r="J458" s="55">
        <f t="shared" si="61"/>
        <v>0</v>
      </c>
      <c r="K458" s="55">
        <f t="shared" si="61"/>
        <v>0</v>
      </c>
      <c r="L458" s="55">
        <f t="shared" si="61"/>
        <v>8</v>
      </c>
      <c r="M458" s="55">
        <f t="shared" si="61"/>
        <v>0</v>
      </c>
      <c r="N458" s="54"/>
    </row>
  </sheetData>
  <printOptions gridLines="1"/>
  <pageMargins left="0.75" right="0.75" top="1" bottom="1" header="0.5" footer="0.5"/>
  <pageSetup scale="7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rgb="FFFF0000"/>
    <pageSetUpPr fitToPage="1"/>
  </sheetPr>
  <dimension ref="A1:NO650"/>
  <sheetViews>
    <sheetView view="pageBreakPreview" topLeftCell="A7" zoomScale="75" zoomScaleNormal="90" zoomScaleSheetLayoutView="75" workbookViewId="0">
      <selection activeCell="M2" sqref="M2:N3"/>
    </sheetView>
  </sheetViews>
  <sheetFormatPr baseColWidth="10" defaultColWidth="8.83203125" defaultRowHeight="13"/>
  <cols>
    <col min="1" max="1" width="57.33203125" customWidth="1"/>
    <col min="2" max="5" width="8.83203125" customWidth="1"/>
    <col min="6" max="7" width="8.83203125" style="424" customWidth="1"/>
    <col min="8" max="8" width="17.1640625" style="424" customWidth="1"/>
    <col min="9" max="12" width="17.1640625" customWidth="1"/>
    <col min="13" max="14" width="8.83203125" customWidth="1"/>
    <col min="15" max="21" width="9.1640625" style="121"/>
  </cols>
  <sheetData>
    <row r="1" spans="1:21" s="363" customFormat="1" ht="16">
      <c r="A1" s="98"/>
      <c r="B1" s="99"/>
      <c r="C1" s="99"/>
      <c r="D1" s="99"/>
      <c r="E1" s="99"/>
      <c r="F1" s="421"/>
      <c r="G1" s="421"/>
      <c r="H1" s="421"/>
      <c r="I1" s="1468" t="s">
        <v>0</v>
      </c>
      <c r="J1" s="1468"/>
      <c r="K1" s="1468"/>
      <c r="L1" s="1468"/>
      <c r="M1" s="99"/>
      <c r="N1" s="101"/>
      <c r="O1" s="1398"/>
      <c r="P1" s="1398"/>
      <c r="Q1" s="1398"/>
      <c r="R1" s="1398"/>
      <c r="S1" s="1398"/>
      <c r="T1" s="1398"/>
      <c r="U1" s="1398"/>
    </row>
    <row r="2" spans="1:21" ht="16">
      <c r="A2" s="97"/>
      <c r="B2" s="1469" t="s">
        <v>1</v>
      </c>
      <c r="C2" s="1469"/>
      <c r="D2" s="1469" t="s">
        <v>2</v>
      </c>
      <c r="E2" s="1469"/>
      <c r="F2" s="1470" t="s">
        <v>3</v>
      </c>
      <c r="G2" s="1470"/>
      <c r="H2" s="1314" t="s">
        <v>3</v>
      </c>
      <c r="I2" s="127" t="s">
        <v>195</v>
      </c>
      <c r="J2" s="102"/>
      <c r="K2" s="102"/>
      <c r="L2" s="128"/>
      <c r="M2" s="1471" t="s">
        <v>469</v>
      </c>
      <c r="N2" s="1472"/>
    </row>
    <row r="3" spans="1:21" ht="19" thickBot="1">
      <c r="A3" s="103" t="s">
        <v>5</v>
      </c>
      <c r="B3" s="1473" t="s">
        <v>6</v>
      </c>
      <c r="C3" s="1473"/>
      <c r="D3" s="1473" t="s">
        <v>7</v>
      </c>
      <c r="E3" s="1473"/>
      <c r="F3" s="1474" t="s">
        <v>7</v>
      </c>
      <c r="G3" s="1474"/>
      <c r="H3" s="1317" t="s">
        <v>58</v>
      </c>
      <c r="I3" s="1318" t="s">
        <v>196</v>
      </c>
      <c r="J3" s="1316" t="s">
        <v>8</v>
      </c>
      <c r="K3" s="1316" t="s">
        <v>9</v>
      </c>
      <c r="L3" s="401" t="s">
        <v>10</v>
      </c>
      <c r="M3" s="1473" t="s">
        <v>470</v>
      </c>
      <c r="N3" s="1475"/>
    </row>
    <row r="4" spans="1:21" ht="24" thickBot="1">
      <c r="A4" s="88" t="s">
        <v>435</v>
      </c>
      <c r="B4" s="1476"/>
      <c r="C4" s="1477"/>
      <c r="D4" s="1478"/>
      <c r="E4" s="1479"/>
      <c r="F4" s="1480"/>
      <c r="G4" s="1481"/>
      <c r="H4" s="1324"/>
      <c r="I4" s="213"/>
      <c r="J4" s="213"/>
      <c r="K4" s="213"/>
      <c r="L4" s="214"/>
      <c r="M4" s="1482"/>
      <c r="N4" s="1483"/>
    </row>
    <row r="5" spans="1:21" s="1161" customFormat="1" ht="17" thickBot="1">
      <c r="A5" s="110" t="s">
        <v>189</v>
      </c>
      <c r="B5" s="1456"/>
      <c r="C5" s="1457"/>
      <c r="D5" s="1457"/>
      <c r="E5" s="1457"/>
      <c r="F5" s="1484"/>
      <c r="G5" s="1484"/>
      <c r="H5" s="1320"/>
      <c r="I5" s="1319"/>
      <c r="J5" s="1319"/>
      <c r="K5" s="1319"/>
      <c r="L5" s="1319"/>
      <c r="M5" s="1485"/>
      <c r="N5" s="1486"/>
      <c r="O5" s="274"/>
      <c r="P5" s="274"/>
      <c r="Q5" s="274"/>
      <c r="R5" s="274"/>
      <c r="S5" s="274"/>
      <c r="T5" s="274"/>
      <c r="U5" s="274"/>
    </row>
    <row r="6" spans="1:21" s="121" customFormat="1">
      <c r="A6" s="69" t="s">
        <v>29</v>
      </c>
      <c r="B6" s="1465">
        <f>Chino!N428</f>
        <v>7</v>
      </c>
      <c r="C6" s="1466"/>
      <c r="D6" s="1432">
        <f>F6*325900</f>
        <v>56119.979999999996</v>
      </c>
      <c r="E6" s="1433"/>
      <c r="F6" s="1467">
        <f>0.0246*B6</f>
        <v>0.17219999999999999</v>
      </c>
      <c r="G6" s="1433"/>
      <c r="H6" s="1325">
        <f>F6*20</f>
        <v>3.444</v>
      </c>
      <c r="I6" s="173">
        <v>0</v>
      </c>
      <c r="J6" s="173">
        <f>B6*60</f>
        <v>420</v>
      </c>
      <c r="K6" s="173">
        <f>B6*40</f>
        <v>280</v>
      </c>
      <c r="L6" s="174">
        <f>K6+J6+I6</f>
        <v>700</v>
      </c>
      <c r="M6" s="1427">
        <f>J6/(F6*830)</f>
        <v>2.9385836027034973</v>
      </c>
      <c r="N6" s="1428"/>
    </row>
    <row r="7" spans="1:21" s="121" customFormat="1">
      <c r="A7" s="69" t="s">
        <v>33</v>
      </c>
      <c r="B7" s="1435">
        <f>Chino!N429</f>
        <v>52</v>
      </c>
      <c r="C7" s="1433"/>
      <c r="D7" s="1432">
        <f t="shared" ref="D7" si="0">F7*325900</f>
        <v>584664.6</v>
      </c>
      <c r="E7" s="1433"/>
      <c r="F7" s="1467">
        <f>0.0345*B7</f>
        <v>1.794</v>
      </c>
      <c r="G7" s="1433"/>
      <c r="H7" s="1325">
        <f>F7*14</f>
        <v>25.116</v>
      </c>
      <c r="I7" s="173">
        <f>0*B7</f>
        <v>0</v>
      </c>
      <c r="J7" s="173">
        <f>B7*75</f>
        <v>3900</v>
      </c>
      <c r="K7" s="173">
        <f>B7*85</f>
        <v>4420</v>
      </c>
      <c r="L7" s="174">
        <f t="shared" ref="L7" si="1">K7+J7+I7</f>
        <v>8320</v>
      </c>
      <c r="M7" s="1427">
        <f t="shared" ref="M7:M10" si="2">J7/(F7*830)</f>
        <v>2.6191723415400734</v>
      </c>
      <c r="N7" s="1428"/>
    </row>
    <row r="8" spans="1:21" s="121" customFormat="1">
      <c r="A8" s="254" t="s">
        <v>363</v>
      </c>
      <c r="B8" s="1435">
        <f>Chino!N430</f>
        <v>0</v>
      </c>
      <c r="C8" s="1433"/>
      <c r="D8" s="1432">
        <f>F8*325900</f>
        <v>0</v>
      </c>
      <c r="E8" s="1433"/>
      <c r="F8" s="1460">
        <f>0.0044*0</f>
        <v>0</v>
      </c>
      <c r="G8" s="1461"/>
      <c r="H8" s="1325">
        <f>F8*5</f>
        <v>0</v>
      </c>
      <c r="I8" s="173">
        <f>0*0</f>
        <v>0</v>
      </c>
      <c r="J8" s="173">
        <f>3*0</f>
        <v>0</v>
      </c>
      <c r="K8" s="173">
        <f>2*0</f>
        <v>0</v>
      </c>
      <c r="L8" s="174">
        <f>K8+J8+I8</f>
        <v>0</v>
      </c>
      <c r="M8" s="1427">
        <v>0</v>
      </c>
      <c r="N8" s="1428"/>
    </row>
    <row r="9" spans="1:21" s="121" customFormat="1">
      <c r="A9" s="69" t="s">
        <v>52</v>
      </c>
      <c r="B9" s="1435">
        <f>Chino!N431</f>
        <v>40</v>
      </c>
      <c r="C9" s="1433"/>
      <c r="D9" s="1432">
        <f>F9*325900</f>
        <v>539690.4</v>
      </c>
      <c r="E9" s="1433"/>
      <c r="F9" s="1467">
        <f>0.0414*B9</f>
        <v>1.6559999999999999</v>
      </c>
      <c r="G9" s="1433"/>
      <c r="H9" s="1325">
        <f>F9*10</f>
        <v>16.559999999999999</v>
      </c>
      <c r="I9" s="173">
        <v>0</v>
      </c>
      <c r="J9" s="173">
        <f>B9*80</f>
        <v>3200</v>
      </c>
      <c r="K9" s="173">
        <f>B9*80</f>
        <v>3200</v>
      </c>
      <c r="L9" s="174">
        <f>K9+J9+I9</f>
        <v>6400</v>
      </c>
      <c r="M9" s="1427">
        <f t="shared" si="2"/>
        <v>2.3281531924800651</v>
      </c>
      <c r="N9" s="1428"/>
    </row>
    <row r="10" spans="1:21" s="121" customFormat="1">
      <c r="A10" s="254" t="s">
        <v>438</v>
      </c>
      <c r="B10" s="1435">
        <f>Chino!N432</f>
        <v>5</v>
      </c>
      <c r="C10" s="1433"/>
      <c r="D10" s="1451">
        <f>F10*325900</f>
        <v>294077</v>
      </c>
      <c r="E10" s="1448"/>
      <c r="F10" s="1447">
        <f>6839*43/325900</f>
        <v>0.90235348266339366</v>
      </c>
      <c r="G10" s="1448"/>
      <c r="H10" s="1321">
        <f>F10*10</f>
        <v>9.0235348266339361</v>
      </c>
      <c r="I10" s="173">
        <v>0</v>
      </c>
      <c r="J10" s="173">
        <v>6320</v>
      </c>
      <c r="K10" s="173">
        <v>13678</v>
      </c>
      <c r="L10" s="174">
        <f t="shared" ref="L10:L13" si="3">K10+J10+I10</f>
        <v>19998</v>
      </c>
      <c r="M10" s="1427">
        <f t="shared" si="2"/>
        <v>8.4384423373093309</v>
      </c>
      <c r="N10" s="1428"/>
    </row>
    <row r="11" spans="1:21" s="121" customFormat="1">
      <c r="A11" s="254" t="s">
        <v>214</v>
      </c>
      <c r="B11" s="1435">
        <f>Chino!N433</f>
        <v>0</v>
      </c>
      <c r="C11" s="1433"/>
      <c r="D11" s="1432">
        <f t="shared" ref="D11" si="4">F11*325900</f>
        <v>0</v>
      </c>
      <c r="E11" s="1433"/>
      <c r="F11" s="1460">
        <f>0.0019*B11</f>
        <v>0</v>
      </c>
      <c r="G11" s="1461"/>
      <c r="H11" s="1325">
        <f>F11*5</f>
        <v>0</v>
      </c>
      <c r="I11" s="173">
        <v>0</v>
      </c>
      <c r="J11" s="173">
        <f>B11*0</f>
        <v>0</v>
      </c>
      <c r="K11" s="173">
        <f>B11*35</f>
        <v>0</v>
      </c>
      <c r="L11" s="174">
        <f t="shared" si="3"/>
        <v>0</v>
      </c>
      <c r="M11" s="1427">
        <v>0</v>
      </c>
      <c r="N11" s="1428"/>
    </row>
    <row r="12" spans="1:21" s="121" customFormat="1">
      <c r="A12" s="254" t="s">
        <v>331</v>
      </c>
      <c r="B12" s="1435">
        <f>Chino!N434</f>
        <v>0</v>
      </c>
      <c r="C12" s="1433"/>
      <c r="D12" s="1432">
        <f>F12*325900</f>
        <v>0</v>
      </c>
      <c r="E12" s="1433"/>
      <c r="F12" s="1460">
        <v>0</v>
      </c>
      <c r="G12" s="1461"/>
      <c r="H12" s="1325">
        <v>0</v>
      </c>
      <c r="I12" s="173">
        <v>0</v>
      </c>
      <c r="J12" s="173">
        <f>B12*0</f>
        <v>0</v>
      </c>
      <c r="K12" s="173">
        <f>B12*300</f>
        <v>0</v>
      </c>
      <c r="L12" s="174">
        <f t="shared" si="3"/>
        <v>0</v>
      </c>
      <c r="M12" s="1427">
        <v>0</v>
      </c>
      <c r="N12" s="1428"/>
    </row>
    <row r="13" spans="1:21" s="121" customFormat="1" ht="14" thickBot="1">
      <c r="A13" s="254" t="s">
        <v>269</v>
      </c>
      <c r="B13" s="1462">
        <f>Chino!N435</f>
        <v>0</v>
      </c>
      <c r="C13" s="1437"/>
      <c r="D13" s="1432">
        <f t="shared" ref="D13" si="5">F13*325900</f>
        <v>0</v>
      </c>
      <c r="E13" s="1433"/>
      <c r="F13" s="1460">
        <f>0.0414*B13</f>
        <v>0</v>
      </c>
      <c r="G13" s="1461"/>
      <c r="H13" s="1325">
        <f>F13*10</f>
        <v>0</v>
      </c>
      <c r="I13" s="173">
        <v>0</v>
      </c>
      <c r="J13" s="173">
        <f t="shared" ref="J13" si="6">B13*65</f>
        <v>0</v>
      </c>
      <c r="K13" s="173">
        <f t="shared" ref="K13" si="7">B13*40</f>
        <v>0</v>
      </c>
      <c r="L13" s="174">
        <f t="shared" si="3"/>
        <v>0</v>
      </c>
      <c r="M13" s="1427">
        <v>0</v>
      </c>
      <c r="N13" s="1428"/>
    </row>
    <row r="14" spans="1:21" s="1161" customFormat="1" ht="17" thickBot="1">
      <c r="A14" s="110" t="s">
        <v>190</v>
      </c>
      <c r="B14" s="1456"/>
      <c r="C14" s="1457"/>
      <c r="D14" s="1457"/>
      <c r="E14" s="1457"/>
      <c r="F14" s="1457"/>
      <c r="G14" s="1457"/>
      <c r="H14" s="1319"/>
      <c r="I14" s="195"/>
      <c r="J14" s="195"/>
      <c r="K14" s="195"/>
      <c r="L14" s="195"/>
      <c r="M14" s="195"/>
      <c r="N14" s="1190"/>
      <c r="O14" s="274"/>
      <c r="P14" s="274"/>
      <c r="Q14" s="274"/>
      <c r="R14" s="274"/>
      <c r="S14" s="274"/>
      <c r="T14" s="274"/>
      <c r="U14" s="274"/>
    </row>
    <row r="15" spans="1:21" s="121" customFormat="1">
      <c r="A15" s="76" t="s">
        <v>393</v>
      </c>
      <c r="B15" s="1435">
        <f>Chino!N437</f>
        <v>5</v>
      </c>
      <c r="C15" s="1433"/>
      <c r="D15" s="1432">
        <f>F15*325900</f>
        <v>378044.00000000006</v>
      </c>
      <c r="E15" s="1433"/>
      <c r="F15" s="1463">
        <f>B15*0.232</f>
        <v>1.1600000000000001</v>
      </c>
      <c r="G15" s="1464"/>
      <c r="H15" s="1413">
        <f>F15*2</f>
        <v>2.3200000000000003</v>
      </c>
      <c r="I15" s="173">
        <v>0</v>
      </c>
      <c r="J15" s="173">
        <f>L15-K15</f>
        <v>864.70095151789769</v>
      </c>
      <c r="K15" s="173">
        <v>625</v>
      </c>
      <c r="L15" s="174">
        <v>1489.7009515178977</v>
      </c>
      <c r="M15" s="1427">
        <f t="shared" ref="M15:M18" si="8">J15/(F15*830)</f>
        <v>0.89811066838169673</v>
      </c>
      <c r="N15" s="1428"/>
    </row>
    <row r="16" spans="1:21" s="120" customFormat="1">
      <c r="A16" s="254" t="s">
        <v>454</v>
      </c>
      <c r="B16" s="1435">
        <f>Chino!N438</f>
        <v>1</v>
      </c>
      <c r="C16" s="1433"/>
      <c r="D16" s="1451">
        <f>F16*325900</f>
        <v>13492.26</v>
      </c>
      <c r="E16" s="1448"/>
      <c r="F16" s="1447">
        <f>(0.0414*1)+(0.0044*0)</f>
        <v>4.1399999999999999E-2</v>
      </c>
      <c r="G16" s="1448"/>
      <c r="H16" s="1404">
        <f>((0.0414*1)*10)+((0.0044*0)*5)</f>
        <v>0.41399999999999998</v>
      </c>
      <c r="I16" s="173">
        <v>0</v>
      </c>
      <c r="J16" s="173">
        <f>L16-K16</f>
        <v>605.21530984933645</v>
      </c>
      <c r="K16" s="173">
        <v>0</v>
      </c>
      <c r="L16" s="174">
        <v>605.21530984933645</v>
      </c>
      <c r="M16" s="1427">
        <f t="shared" si="8"/>
        <v>17.612924447044307</v>
      </c>
      <c r="N16" s="1428"/>
      <c r="O16" s="121"/>
      <c r="P16" s="121"/>
      <c r="Q16" s="121"/>
      <c r="R16" s="121"/>
      <c r="S16" s="121"/>
      <c r="T16" s="121"/>
      <c r="U16" s="121"/>
    </row>
    <row r="17" spans="1:21" s="121" customFormat="1">
      <c r="A17" s="254" t="s">
        <v>449</v>
      </c>
      <c r="B17" s="1435">
        <f>Chino!N439</f>
        <v>4</v>
      </c>
      <c r="C17" s="1433"/>
      <c r="D17" s="1451">
        <f>F17*325900</f>
        <v>67461.3</v>
      </c>
      <c r="E17" s="1448"/>
      <c r="F17" s="1447">
        <f>0.0414*5</f>
        <v>0.20699999999999999</v>
      </c>
      <c r="G17" s="1448"/>
      <c r="H17" s="1321">
        <f>F17*10</f>
        <v>2.0699999999999998</v>
      </c>
      <c r="I17" s="173">
        <v>0</v>
      </c>
      <c r="J17" s="173">
        <f>L17-K17</f>
        <v>1639.0344416890784</v>
      </c>
      <c r="K17" s="173">
        <v>1151</v>
      </c>
      <c r="L17" s="174">
        <v>2790.0344416890784</v>
      </c>
      <c r="M17" s="1427">
        <f t="shared" si="8"/>
        <v>9.5398081700080226</v>
      </c>
      <c r="N17" s="1428"/>
    </row>
    <row r="18" spans="1:21" s="121" customFormat="1">
      <c r="A18" s="254" t="s">
        <v>266</v>
      </c>
      <c r="B18" s="1435">
        <f>Chino!N440</f>
        <v>2</v>
      </c>
      <c r="C18" s="1433"/>
      <c r="D18" s="1447">
        <f>F18*325900</f>
        <v>8994.84</v>
      </c>
      <c r="E18" s="1448"/>
      <c r="F18" s="1447">
        <f>B18*0.0138</f>
        <v>2.76E-2</v>
      </c>
      <c r="G18" s="1448"/>
      <c r="H18" s="1321">
        <f>F18*10</f>
        <v>0.27600000000000002</v>
      </c>
      <c r="I18" s="173">
        <v>0</v>
      </c>
      <c r="J18" s="286">
        <f>L18-K18</f>
        <v>351.20000000000005</v>
      </c>
      <c r="K18" s="286">
        <v>73.16</v>
      </c>
      <c r="L18" s="174">
        <v>424.36</v>
      </c>
      <c r="M18" s="1427">
        <f t="shared" si="8"/>
        <v>15.330888772481231</v>
      </c>
      <c r="N18" s="1428"/>
    </row>
    <row r="19" spans="1:21" s="121" customFormat="1" ht="14" thickBot="1">
      <c r="A19" s="76" t="s">
        <v>467</v>
      </c>
      <c r="B19" s="1435">
        <f>Chino!N441</f>
        <v>0</v>
      </c>
      <c r="C19" s="1433"/>
      <c r="D19" s="1458">
        <f>F19*325900</f>
        <v>0</v>
      </c>
      <c r="E19" s="1459"/>
      <c r="F19" s="1458">
        <f>B19*0.075</f>
        <v>0</v>
      </c>
      <c r="G19" s="1459"/>
      <c r="H19" s="1410">
        <f>F19*10</f>
        <v>0</v>
      </c>
      <c r="I19" s="286">
        <v>0</v>
      </c>
      <c r="J19" s="286">
        <v>0</v>
      </c>
      <c r="K19" s="286">
        <v>0</v>
      </c>
      <c r="L19" s="174">
        <f>SUM(I19:K19)</f>
        <v>0</v>
      </c>
      <c r="M19" s="1427">
        <v>0</v>
      </c>
      <c r="N19" s="1428"/>
    </row>
    <row r="20" spans="1:21" ht="14" thickBot="1">
      <c r="A20" s="53" t="s">
        <v>60</v>
      </c>
      <c r="B20" s="1452">
        <f>SUM(B6:C19)</f>
        <v>116</v>
      </c>
      <c r="C20" s="1453"/>
      <c r="D20" s="1452">
        <f>SUM(D6:E19)</f>
        <v>1942544.3800000001</v>
      </c>
      <c r="E20" s="1453"/>
      <c r="F20" s="1452">
        <f t="shared" ref="F20" si="9">SUM(F6:G19)</f>
        <v>5.9605534826633937</v>
      </c>
      <c r="G20" s="1453"/>
      <c r="H20" s="1322">
        <f>SUM(H6:H19)</f>
        <v>59.223534826633937</v>
      </c>
      <c r="I20" s="1408">
        <f>SUM(I6:I19)</f>
        <v>0</v>
      </c>
      <c r="J20" s="1408">
        <f t="shared" ref="J20" si="10">SUM(J6:J19)</f>
        <v>17300.150703056312</v>
      </c>
      <c r="K20" s="1408">
        <f>SUM(K6:K19)</f>
        <v>23427.16</v>
      </c>
      <c r="L20" s="1408">
        <f>SUM(L6:L19)</f>
        <v>40727.310703056311</v>
      </c>
      <c r="M20" s="1454"/>
      <c r="N20" s="1455"/>
    </row>
    <row r="21" spans="1:21" s="1161" customFormat="1" ht="17" thickBot="1">
      <c r="A21" s="110" t="s">
        <v>194</v>
      </c>
      <c r="B21" s="1456"/>
      <c r="C21" s="1457"/>
      <c r="D21" s="1457"/>
      <c r="E21" s="1457"/>
      <c r="F21" s="1457"/>
      <c r="G21" s="1457"/>
      <c r="H21" s="1319"/>
      <c r="I21" s="1334"/>
      <c r="J21" s="1334"/>
      <c r="K21" s="1334"/>
      <c r="L21" s="1334"/>
      <c r="M21" s="1334"/>
      <c r="N21" s="1335"/>
      <c r="O21" s="274"/>
      <c r="P21" s="274"/>
      <c r="Q21" s="274"/>
      <c r="R21" s="274"/>
      <c r="S21" s="274"/>
      <c r="T21" s="274"/>
      <c r="U21" s="274"/>
    </row>
    <row r="22" spans="1:21">
      <c r="A22" s="68" t="s">
        <v>29</v>
      </c>
      <c r="B22" s="1421">
        <f>Chino!N444</f>
        <v>0</v>
      </c>
      <c r="C22" s="1422"/>
      <c r="D22" s="1431">
        <f>F22*325900</f>
        <v>0</v>
      </c>
      <c r="E22" s="1422"/>
      <c r="F22" s="1444">
        <f>0.0246*B22</f>
        <v>0</v>
      </c>
      <c r="G22" s="1422"/>
      <c r="H22" s="1326">
        <f>F22*20</f>
        <v>0</v>
      </c>
      <c r="I22" s="151">
        <v>0</v>
      </c>
      <c r="J22" s="150">
        <f>B22*60</f>
        <v>0</v>
      </c>
      <c r="K22" s="150">
        <f>B22*40</f>
        <v>0</v>
      </c>
      <c r="L22" s="174">
        <f t="shared" ref="L22:L25" si="11">K22+J22+I22</f>
        <v>0</v>
      </c>
      <c r="M22" s="1427">
        <v>0</v>
      </c>
      <c r="N22" s="1428"/>
      <c r="U22" s="1222"/>
    </row>
    <row r="23" spans="1:21">
      <c r="A23" s="68" t="s">
        <v>51</v>
      </c>
      <c r="B23" s="1421">
        <f>Chino!N445</f>
        <v>0</v>
      </c>
      <c r="C23" s="1422"/>
      <c r="D23" s="1431">
        <f>F23*325900</f>
        <v>0</v>
      </c>
      <c r="E23" s="1422"/>
      <c r="F23" s="1444">
        <f>0.1227*B23</f>
        <v>0</v>
      </c>
      <c r="G23" s="1422"/>
      <c r="H23" s="1326">
        <f>F23*20</f>
        <v>0</v>
      </c>
      <c r="I23" s="151">
        <v>0</v>
      </c>
      <c r="J23" s="150">
        <f>B23*200</f>
        <v>0</v>
      </c>
      <c r="K23" s="150">
        <f>B23*200</f>
        <v>0</v>
      </c>
      <c r="L23" s="174">
        <f t="shared" si="11"/>
        <v>0</v>
      </c>
      <c r="M23" s="1427">
        <v>0</v>
      </c>
      <c r="N23" s="1428"/>
    </row>
    <row r="24" spans="1:21">
      <c r="A24" s="2" t="s">
        <v>204</v>
      </c>
      <c r="B24" s="1421">
        <f>Chino!N446</f>
        <v>0</v>
      </c>
      <c r="C24" s="1422"/>
      <c r="D24" s="1431">
        <f>F24*325900</f>
        <v>0</v>
      </c>
      <c r="E24" s="1422"/>
      <c r="F24" s="1444">
        <f>0.644*B24</f>
        <v>0</v>
      </c>
      <c r="G24" s="1422"/>
      <c r="H24" s="1326">
        <f>F24*5</f>
        <v>0</v>
      </c>
      <c r="I24" s="151">
        <v>0</v>
      </c>
      <c r="J24" s="150">
        <f>B24*375</f>
        <v>0</v>
      </c>
      <c r="K24" s="150">
        <f>B24*625</f>
        <v>0</v>
      </c>
      <c r="L24" s="174">
        <f t="shared" si="11"/>
        <v>0</v>
      </c>
      <c r="M24" s="1427">
        <v>0</v>
      </c>
      <c r="N24" s="1428"/>
    </row>
    <row r="25" spans="1:21">
      <c r="A25" s="254" t="s">
        <v>30</v>
      </c>
      <c r="B25" s="1421">
        <f>Chino!N447</f>
        <v>59</v>
      </c>
      <c r="C25" s="1422"/>
      <c r="D25" s="1431">
        <f t="shared" ref="D25:D33" si="12">F25*325900</f>
        <v>248042.49</v>
      </c>
      <c r="E25" s="1422"/>
      <c r="F25" s="1449">
        <f>0.0129*B25</f>
        <v>0.7611</v>
      </c>
      <c r="G25" s="1450"/>
      <c r="H25" s="1326">
        <f>F25*10</f>
        <v>7.6109999999999998</v>
      </c>
      <c r="I25" s="151">
        <v>0</v>
      </c>
      <c r="J25" s="150">
        <f>B25*15</f>
        <v>885</v>
      </c>
      <c r="K25" s="150">
        <f>B25*35</f>
        <v>2065</v>
      </c>
      <c r="L25" s="174">
        <f t="shared" si="11"/>
        <v>2950</v>
      </c>
      <c r="M25" s="1427">
        <f t="shared" ref="M25" si="13">J25/(F25*830)</f>
        <v>1.4009526478005043</v>
      </c>
      <c r="N25" s="1428"/>
    </row>
    <row r="26" spans="1:21">
      <c r="A26" s="254" t="s">
        <v>436</v>
      </c>
      <c r="B26" s="1421">
        <f>Chino!N448</f>
        <v>0</v>
      </c>
      <c r="C26" s="1422"/>
      <c r="D26" s="1431">
        <f t="shared" si="12"/>
        <v>0</v>
      </c>
      <c r="E26" s="1422"/>
      <c r="F26" s="1425">
        <f>0.0044*0</f>
        <v>0</v>
      </c>
      <c r="G26" s="1426"/>
      <c r="H26" s="1326">
        <f>F26*5</f>
        <v>0</v>
      </c>
      <c r="I26" s="151">
        <v>0</v>
      </c>
      <c r="J26" s="150">
        <f>B26*3</f>
        <v>0</v>
      </c>
      <c r="K26" s="150">
        <f>B26*3</f>
        <v>0</v>
      </c>
      <c r="L26" s="174">
        <f>K26+J26+I26</f>
        <v>0</v>
      </c>
      <c r="M26" s="1427">
        <v>0</v>
      </c>
      <c r="N26" s="1428"/>
    </row>
    <row r="27" spans="1:21">
      <c r="A27" s="254" t="s">
        <v>122</v>
      </c>
      <c r="B27" s="1421">
        <f>Chino!N449</f>
        <v>0</v>
      </c>
      <c r="C27" s="1422"/>
      <c r="D27" s="1431">
        <f t="shared" si="12"/>
        <v>0</v>
      </c>
      <c r="E27" s="1422"/>
      <c r="F27" s="1444">
        <f>0.018*B27</f>
        <v>0</v>
      </c>
      <c r="G27" s="1422"/>
      <c r="H27" s="1326">
        <f>F27*10</f>
        <v>0</v>
      </c>
      <c r="I27" s="151">
        <v>0</v>
      </c>
      <c r="J27" s="150">
        <f>B27*5</f>
        <v>0</v>
      </c>
      <c r="K27" s="150">
        <f>B27*13</f>
        <v>0</v>
      </c>
      <c r="L27" s="174">
        <f t="shared" ref="L27:L33" si="14">K27+J27+I27</f>
        <v>0</v>
      </c>
      <c r="M27" s="1427">
        <v>0</v>
      </c>
      <c r="N27" s="1428"/>
    </row>
    <row r="28" spans="1:21">
      <c r="A28" s="257" t="s">
        <v>184</v>
      </c>
      <c r="B28" s="1421">
        <f>Chino!N450</f>
        <v>0</v>
      </c>
      <c r="C28" s="1422"/>
      <c r="D28" s="1431">
        <f t="shared" si="12"/>
        <v>0</v>
      </c>
      <c r="E28" s="1422"/>
      <c r="F28" s="1444">
        <f>0.0129*B28</f>
        <v>0</v>
      </c>
      <c r="G28" s="1422"/>
      <c r="H28" s="1326">
        <f>F28*10</f>
        <v>0</v>
      </c>
      <c r="I28" s="151">
        <v>0</v>
      </c>
      <c r="J28" s="150">
        <f>B28*15</f>
        <v>0</v>
      </c>
      <c r="K28" s="150">
        <f>B28*35</f>
        <v>0</v>
      </c>
      <c r="L28" s="174">
        <f t="shared" si="14"/>
        <v>0</v>
      </c>
      <c r="M28" s="1427">
        <v>0</v>
      </c>
      <c r="N28" s="1428"/>
    </row>
    <row r="29" spans="1:21" s="57" customFormat="1">
      <c r="A29" s="258" t="s">
        <v>187</v>
      </c>
      <c r="B29" s="1421">
        <f>Chino!N451</f>
        <v>0</v>
      </c>
      <c r="C29" s="1422"/>
      <c r="D29" s="1431">
        <f t="shared" si="12"/>
        <v>0</v>
      </c>
      <c r="E29" s="1422"/>
      <c r="F29" s="1444">
        <f>0.023*B29</f>
        <v>0</v>
      </c>
      <c r="G29" s="1422"/>
      <c r="H29" s="1326">
        <f>F29*5</f>
        <v>0</v>
      </c>
      <c r="I29" s="151">
        <v>0</v>
      </c>
      <c r="J29" s="150">
        <f>B29*10</f>
        <v>0</v>
      </c>
      <c r="K29" s="150">
        <f>B29*10</f>
        <v>0</v>
      </c>
      <c r="L29" s="174">
        <f t="shared" si="14"/>
        <v>0</v>
      </c>
      <c r="M29" s="1427">
        <v>0</v>
      </c>
      <c r="N29" s="1428"/>
      <c r="O29" s="121"/>
      <c r="P29" s="121"/>
      <c r="Q29" s="121"/>
      <c r="R29" s="121"/>
      <c r="S29" s="121"/>
      <c r="T29" s="121"/>
      <c r="U29" s="121"/>
    </row>
    <row r="30" spans="1:21" s="57" customFormat="1">
      <c r="A30" s="258" t="s">
        <v>188</v>
      </c>
      <c r="B30" s="1421">
        <f>Chino!N452</f>
        <v>0</v>
      </c>
      <c r="C30" s="1422"/>
      <c r="D30" s="1431">
        <f t="shared" si="12"/>
        <v>0</v>
      </c>
      <c r="E30" s="1422"/>
      <c r="F30" s="1445">
        <f>B30*0.154</f>
        <v>0</v>
      </c>
      <c r="G30" s="1446"/>
      <c r="H30" s="1329">
        <f>F30*10</f>
        <v>0</v>
      </c>
      <c r="I30" s="151">
        <v>0</v>
      </c>
      <c r="J30" s="150">
        <f>B30*1000</f>
        <v>0</v>
      </c>
      <c r="K30" s="150">
        <f>B30*1000</f>
        <v>0</v>
      </c>
      <c r="L30" s="174">
        <f t="shared" si="14"/>
        <v>0</v>
      </c>
      <c r="M30" s="1427">
        <v>0</v>
      </c>
      <c r="N30" s="1428"/>
      <c r="O30" s="121"/>
      <c r="P30" s="121"/>
      <c r="Q30" s="121"/>
      <c r="R30" s="121"/>
      <c r="S30" s="121"/>
      <c r="T30" s="121"/>
      <c r="U30" s="121"/>
    </row>
    <row r="31" spans="1:21" s="57" customFormat="1">
      <c r="A31" s="258" t="s">
        <v>323</v>
      </c>
      <c r="B31" s="1421">
        <f>Chino!N453</f>
        <v>0</v>
      </c>
      <c r="C31" s="1422"/>
      <c r="D31" s="1423">
        <f t="shared" si="12"/>
        <v>0</v>
      </c>
      <c r="E31" s="1424"/>
      <c r="F31" s="1447">
        <f>0*43/325900</f>
        <v>0</v>
      </c>
      <c r="G31" s="1448"/>
      <c r="H31" s="1321">
        <f>F31*10</f>
        <v>0</v>
      </c>
      <c r="I31" s="151">
        <v>0</v>
      </c>
      <c r="J31" s="150">
        <v>0</v>
      </c>
      <c r="K31" s="150">
        <v>0</v>
      </c>
      <c r="L31" s="174">
        <f t="shared" si="14"/>
        <v>0</v>
      </c>
      <c r="M31" s="1427">
        <v>0</v>
      </c>
      <c r="N31" s="1428"/>
      <c r="O31" s="121"/>
      <c r="P31" s="121"/>
      <c r="Q31" s="121"/>
      <c r="R31" s="121"/>
      <c r="S31" s="121"/>
      <c r="T31" s="121"/>
      <c r="U31" s="121"/>
    </row>
    <row r="32" spans="1:21" s="57" customFormat="1">
      <c r="A32" s="258" t="s">
        <v>269</v>
      </c>
      <c r="B32" s="1421">
        <f>Chino!N454</f>
        <v>0</v>
      </c>
      <c r="C32" s="1422"/>
      <c r="D32" s="1423">
        <f t="shared" si="12"/>
        <v>0</v>
      </c>
      <c r="E32" s="1424"/>
      <c r="F32" s="1425">
        <f t="shared" ref="F32" si="15">0.0129*B32</f>
        <v>0</v>
      </c>
      <c r="G32" s="1426"/>
      <c r="H32" s="1323">
        <f>F32*10</f>
        <v>0</v>
      </c>
      <c r="I32" s="151">
        <v>0</v>
      </c>
      <c r="J32" s="150">
        <f>B32*15</f>
        <v>0</v>
      </c>
      <c r="K32" s="150">
        <f>B32*35</f>
        <v>0</v>
      </c>
      <c r="L32" s="174">
        <f t="shared" si="14"/>
        <v>0</v>
      </c>
      <c r="M32" s="1427">
        <v>0</v>
      </c>
      <c r="N32" s="1428"/>
      <c r="O32" s="121"/>
      <c r="P32" s="121"/>
      <c r="Q32" s="121"/>
      <c r="R32" s="121"/>
      <c r="S32" s="121"/>
      <c r="T32" s="121"/>
      <c r="U32" s="121"/>
    </row>
    <row r="33" spans="1:21" s="57" customFormat="1" ht="14" thickBot="1">
      <c r="A33" s="258" t="s">
        <v>268</v>
      </c>
      <c r="B33" s="1421">
        <f>Chino!N455</f>
        <v>0</v>
      </c>
      <c r="C33" s="1422"/>
      <c r="D33" s="1431">
        <f t="shared" si="12"/>
        <v>0</v>
      </c>
      <c r="E33" s="1422"/>
      <c r="F33" s="1432">
        <f>(B33*0.0084)/2</f>
        <v>0</v>
      </c>
      <c r="G33" s="1433"/>
      <c r="H33" s="1325">
        <f>F33*10</f>
        <v>0</v>
      </c>
      <c r="I33" s="151">
        <v>0</v>
      </c>
      <c r="J33" s="150">
        <f>B33*5</f>
        <v>0</v>
      </c>
      <c r="K33" s="150">
        <f>B33*5</f>
        <v>0</v>
      </c>
      <c r="L33" s="174">
        <f t="shared" si="14"/>
        <v>0</v>
      </c>
      <c r="M33" s="1427">
        <v>0</v>
      </c>
      <c r="N33" s="1428"/>
      <c r="O33" s="121"/>
      <c r="P33" s="121"/>
      <c r="Q33" s="121"/>
      <c r="R33" s="121"/>
      <c r="S33" s="121"/>
      <c r="T33" s="121"/>
      <c r="U33" s="121"/>
    </row>
    <row r="34" spans="1:21" s="91" customFormat="1" ht="16.5" hidden="1" customHeight="1" thickBot="1">
      <c r="A34" s="1046" t="s">
        <v>192</v>
      </c>
      <c r="B34" s="1434"/>
      <c r="C34" s="1434"/>
      <c r="D34" s="1434"/>
      <c r="E34" s="1434"/>
      <c r="F34" s="1425">
        <f t="shared" ref="F34:F35" si="16">0.0129*B34</f>
        <v>0</v>
      </c>
      <c r="G34" s="1426"/>
      <c r="H34" s="1327"/>
      <c r="I34" s="1133"/>
      <c r="J34" s="1133"/>
      <c r="K34" s="1133"/>
      <c r="L34" s="1133"/>
      <c r="M34" s="1133"/>
      <c r="N34" s="1134"/>
      <c r="O34" s="274"/>
      <c r="P34" s="274"/>
      <c r="Q34" s="274"/>
      <c r="R34" s="274"/>
      <c r="S34" s="274"/>
      <c r="T34" s="274"/>
      <c r="U34" s="274"/>
    </row>
    <row r="35" spans="1:21" s="121" customFormat="1" ht="13.5" hidden="1" customHeight="1" thickBot="1">
      <c r="A35" s="76" t="s">
        <v>193</v>
      </c>
      <c r="B35" s="1435">
        <v>0</v>
      </c>
      <c r="C35" s="1433"/>
      <c r="D35" s="1436">
        <f>F35*325900</f>
        <v>0</v>
      </c>
      <c r="E35" s="1437"/>
      <c r="F35" s="1425">
        <f t="shared" si="16"/>
        <v>0</v>
      </c>
      <c r="G35" s="1426"/>
      <c r="H35" s="1325">
        <f>F35*5</f>
        <v>0</v>
      </c>
      <c r="I35" s="216">
        <v>0</v>
      </c>
      <c r="J35" s="216">
        <f>L35-K35</f>
        <v>0</v>
      </c>
      <c r="K35" s="216">
        <f>B35*2</f>
        <v>0</v>
      </c>
      <c r="L35" s="174">
        <v>0</v>
      </c>
      <c r="M35" s="1427">
        <f>IF(ISERROR(L35/(F35*771)),0,L35/(F35*771))</f>
        <v>0</v>
      </c>
      <c r="N35" s="1428"/>
    </row>
    <row r="36" spans="1:21" ht="14" thickBot="1">
      <c r="A36" s="53" t="s">
        <v>60</v>
      </c>
      <c r="B36" s="1438">
        <f>SUM(B22:C35)</f>
        <v>59</v>
      </c>
      <c r="C36" s="1439"/>
      <c r="D36" s="1440">
        <f>SUM(D22:E35)</f>
        <v>248042.49</v>
      </c>
      <c r="E36" s="1439"/>
      <c r="F36" s="1441">
        <f>SUM(F22:G35)</f>
        <v>0.7611</v>
      </c>
      <c r="G36" s="1439"/>
      <c r="H36" s="1313">
        <f>SUM(H22:H35)</f>
        <v>7.6109999999999998</v>
      </c>
      <c r="I36" s="1336">
        <f>SUM(I22:I35)</f>
        <v>0</v>
      </c>
      <c r="J36" s="1336">
        <f>SUM(J22:J35)</f>
        <v>885</v>
      </c>
      <c r="K36" s="1336">
        <f>SUM(K22:K35)</f>
        <v>2065</v>
      </c>
      <c r="L36" s="1336">
        <f>SUM(L22:L35)</f>
        <v>2950</v>
      </c>
      <c r="M36" s="1442"/>
      <c r="N36" s="1443"/>
    </row>
    <row r="37" spans="1:21" s="1161" customFormat="1" ht="17" thickBot="1">
      <c r="A37" s="1163" t="s">
        <v>17</v>
      </c>
      <c r="B37" s="1414">
        <f>SUM(,B20,B36)</f>
        <v>175</v>
      </c>
      <c r="C37" s="1415"/>
      <c r="D37" s="1416">
        <f>SUM(,D20,D36)</f>
        <v>2190586.87</v>
      </c>
      <c r="E37" s="1415"/>
      <c r="F37" s="1416">
        <f>SUM(,F20,F36)</f>
        <v>6.7216534826633936</v>
      </c>
      <c r="G37" s="1415"/>
      <c r="H37" s="1312">
        <f>SUM(H20,H36)</f>
        <v>66.834534826633941</v>
      </c>
      <c r="I37" s="1165">
        <f>SUM(,I20,I36)</f>
        <v>0</v>
      </c>
      <c r="J37" s="1165">
        <f>SUM(,J20,J36)</f>
        <v>18185.150703056312</v>
      </c>
      <c r="K37" s="1165">
        <f>SUM(,K20,K36)</f>
        <v>25492.16</v>
      </c>
      <c r="L37" s="1165">
        <f>SUM(,L20,L36)</f>
        <v>43677.310703056311</v>
      </c>
      <c r="M37" s="1417"/>
      <c r="N37" s="1418"/>
      <c r="O37" s="274"/>
      <c r="P37" s="274"/>
      <c r="Q37" s="274"/>
      <c r="R37" s="274"/>
      <c r="S37" s="274"/>
      <c r="T37" s="274"/>
      <c r="U37" s="274"/>
    </row>
    <row r="38" spans="1:21">
      <c r="A38" s="50"/>
      <c r="B38" s="1332"/>
      <c r="C38" s="1332"/>
      <c r="D38" s="1332"/>
      <c r="E38" s="1332"/>
      <c r="F38" s="1331"/>
      <c r="G38" s="1331"/>
      <c r="H38" s="1331"/>
      <c r="I38" s="21"/>
      <c r="J38" s="21"/>
      <c r="K38" s="21"/>
      <c r="L38" s="21"/>
      <c r="M38" s="1328"/>
      <c r="N38" s="1328"/>
    </row>
    <row r="39" spans="1:21" ht="15">
      <c r="A39" s="9" t="s">
        <v>18</v>
      </c>
      <c r="B39" s="1419" t="s">
        <v>59</v>
      </c>
      <c r="C39" s="1419"/>
      <c r="D39" s="1419"/>
      <c r="E39" s="1419"/>
      <c r="F39" s="1331"/>
      <c r="G39" s="1331"/>
      <c r="H39" s="1331"/>
      <c r="I39" s="21"/>
      <c r="J39" s="21"/>
      <c r="K39" s="21"/>
      <c r="L39" s="21"/>
      <c r="M39" s="1328"/>
      <c r="N39" s="1328"/>
    </row>
    <row r="40" spans="1:21" ht="14" thickBot="1">
      <c r="B40" s="1420" t="s">
        <v>19</v>
      </c>
      <c r="C40" s="1420"/>
      <c r="D40" s="1420"/>
      <c r="E40" s="1420"/>
      <c r="F40" s="1331"/>
      <c r="G40" s="1331"/>
      <c r="H40" s="1331"/>
      <c r="I40" s="21"/>
      <c r="J40" s="21"/>
      <c r="K40" s="21"/>
      <c r="L40" s="21"/>
      <c r="N40" s="1328"/>
    </row>
    <row r="41" spans="1:21" s="363" customFormat="1" ht="16">
      <c r="A41" s="98"/>
      <c r="B41" s="99"/>
      <c r="C41" s="99"/>
      <c r="D41" s="99"/>
      <c r="E41" s="99"/>
      <c r="F41" s="421"/>
      <c r="G41" s="421"/>
      <c r="H41" s="421"/>
      <c r="I41" s="1468" t="s">
        <v>0</v>
      </c>
      <c r="J41" s="1468"/>
      <c r="K41" s="1468"/>
      <c r="L41" s="1468"/>
      <c r="M41" s="99"/>
      <c r="N41" s="101"/>
      <c r="O41" s="1398"/>
      <c r="P41" s="1398"/>
      <c r="Q41" s="1398"/>
      <c r="R41" s="1398"/>
      <c r="S41" s="1398"/>
      <c r="T41" s="1398"/>
      <c r="U41" s="1398"/>
    </row>
    <row r="42" spans="1:21" ht="16">
      <c r="A42" s="97"/>
      <c r="B42" s="1469" t="s">
        <v>1</v>
      </c>
      <c r="C42" s="1469"/>
      <c r="D42" s="1469" t="s">
        <v>2</v>
      </c>
      <c r="E42" s="1469"/>
      <c r="F42" s="1470" t="s">
        <v>3</v>
      </c>
      <c r="G42" s="1470"/>
      <c r="H42" s="1116" t="s">
        <v>3</v>
      </c>
      <c r="I42" s="127" t="s">
        <v>195</v>
      </c>
      <c r="J42" s="102"/>
      <c r="K42" s="102"/>
      <c r="L42" s="128"/>
      <c r="M42" s="1525" t="s">
        <v>4</v>
      </c>
      <c r="N42" s="1526"/>
    </row>
    <row r="43" spans="1:21" ht="19" thickBot="1">
      <c r="A43" s="103" t="s">
        <v>5</v>
      </c>
      <c r="B43" s="1473" t="s">
        <v>6</v>
      </c>
      <c r="C43" s="1473"/>
      <c r="D43" s="1473" t="s">
        <v>7</v>
      </c>
      <c r="E43" s="1473"/>
      <c r="F43" s="1474" t="s">
        <v>7</v>
      </c>
      <c r="G43" s="1474"/>
      <c r="H43" s="1118" t="s">
        <v>58</v>
      </c>
      <c r="I43" s="1121" t="s">
        <v>196</v>
      </c>
      <c r="J43" s="1117" t="s">
        <v>8</v>
      </c>
      <c r="K43" s="1117" t="s">
        <v>9</v>
      </c>
      <c r="L43" s="401" t="s">
        <v>10</v>
      </c>
      <c r="M43" s="1527" t="s">
        <v>145</v>
      </c>
      <c r="N43" s="1475"/>
    </row>
    <row r="44" spans="1:21" ht="24" thickBot="1">
      <c r="A44" s="88" t="s">
        <v>391</v>
      </c>
      <c r="B44" s="1476"/>
      <c r="C44" s="1477"/>
      <c r="D44" s="1478"/>
      <c r="E44" s="1479"/>
      <c r="F44" s="1480"/>
      <c r="G44" s="1481"/>
      <c r="H44" s="1126"/>
      <c r="I44" s="213"/>
      <c r="J44" s="213"/>
      <c r="K44" s="213"/>
      <c r="L44" s="214"/>
      <c r="M44" s="1482"/>
      <c r="N44" s="1483"/>
    </row>
    <row r="45" spans="1:21" s="1161" customFormat="1" ht="17" thickBot="1">
      <c r="A45" s="110" t="s">
        <v>189</v>
      </c>
      <c r="B45" s="1456"/>
      <c r="C45" s="1457"/>
      <c r="D45" s="1457"/>
      <c r="E45" s="1457"/>
      <c r="F45" s="1484"/>
      <c r="G45" s="1484"/>
      <c r="H45" s="1158"/>
      <c r="I45" s="1141"/>
      <c r="J45" s="1141"/>
      <c r="K45" s="1141"/>
      <c r="L45" s="1141"/>
      <c r="M45" s="1485"/>
      <c r="N45" s="1486"/>
      <c r="O45" s="274"/>
      <c r="P45" s="274"/>
      <c r="Q45" s="274"/>
      <c r="R45" s="274"/>
      <c r="S45" s="274"/>
      <c r="T45" s="274"/>
      <c r="U45" s="274"/>
    </row>
    <row r="46" spans="1:21" s="121" customFormat="1">
      <c r="A46" s="69" t="s">
        <v>29</v>
      </c>
      <c r="B46" s="1435">
        <f>Chino!N394</f>
        <v>20</v>
      </c>
      <c r="C46" s="1433"/>
      <c r="D46" s="1432">
        <f t="shared" ref="D46:D47" si="17">F46*325900</f>
        <v>160342.79999999999</v>
      </c>
      <c r="E46" s="1433"/>
      <c r="F46" s="1460">
        <f>0.0246*B46</f>
        <v>0.49199999999999999</v>
      </c>
      <c r="G46" s="1461"/>
      <c r="H46" s="1124">
        <f>F46*20</f>
        <v>9.84</v>
      </c>
      <c r="I46" s="173">
        <v>0</v>
      </c>
      <c r="J46" s="173">
        <f>B46*60</f>
        <v>1200</v>
      </c>
      <c r="K46" s="173">
        <f>B46*40</f>
        <v>800</v>
      </c>
      <c r="L46" s="174">
        <f>K46+J46+I46</f>
        <v>2000</v>
      </c>
      <c r="M46" s="1427">
        <f t="shared" ref="M46:M53" si="18">IF(ISERROR(L46/(F46*771)),0,L46/(F46*799))</f>
        <v>5.087660388493747</v>
      </c>
      <c r="N46" s="1428"/>
    </row>
    <row r="47" spans="1:21" s="121" customFormat="1">
      <c r="A47" s="69" t="s">
        <v>33</v>
      </c>
      <c r="B47" s="1435">
        <f>Chino!N395</f>
        <v>63</v>
      </c>
      <c r="C47" s="1433"/>
      <c r="D47" s="1432">
        <f t="shared" si="17"/>
        <v>708343.65</v>
      </c>
      <c r="E47" s="1433"/>
      <c r="F47" s="1460">
        <f>0.0345*B47</f>
        <v>2.1735000000000002</v>
      </c>
      <c r="G47" s="1461"/>
      <c r="H47" s="1124">
        <f>F47*14</f>
        <v>30.429000000000002</v>
      </c>
      <c r="I47" s="173">
        <f>0*B47</f>
        <v>0</v>
      </c>
      <c r="J47" s="173">
        <f>B47*75</f>
        <v>4725</v>
      </c>
      <c r="K47" s="173">
        <f>B47*85</f>
        <v>5355</v>
      </c>
      <c r="L47" s="174">
        <f t="shared" ref="L47:L53" si="19">K47+J47+I47</f>
        <v>10080</v>
      </c>
      <c r="M47" s="1427">
        <f t="shared" si="18"/>
        <v>5.804356895394605</v>
      </c>
      <c r="N47" s="1428"/>
    </row>
    <row r="48" spans="1:21" s="121" customFormat="1">
      <c r="A48" s="254" t="s">
        <v>363</v>
      </c>
      <c r="B48" s="1435">
        <f>Chino!N396</f>
        <v>0</v>
      </c>
      <c r="C48" s="1433"/>
      <c r="D48" s="1432">
        <f>F48*325900</f>
        <v>0</v>
      </c>
      <c r="E48" s="1433"/>
      <c r="F48" s="1460">
        <f>0.0044*0</f>
        <v>0</v>
      </c>
      <c r="G48" s="1461"/>
      <c r="H48" s="1124">
        <f>F48*5</f>
        <v>0</v>
      </c>
      <c r="I48" s="173">
        <f>0*0</f>
        <v>0</v>
      </c>
      <c r="J48" s="173">
        <f t="shared" ref="J48:K48" si="20">0*0</f>
        <v>0</v>
      </c>
      <c r="K48" s="173">
        <f t="shared" si="20"/>
        <v>0</v>
      </c>
      <c r="L48" s="174">
        <f t="shared" si="19"/>
        <v>0</v>
      </c>
      <c r="M48" s="1427">
        <f t="shared" si="18"/>
        <v>0</v>
      </c>
      <c r="N48" s="1428"/>
    </row>
    <row r="49" spans="1:21" s="121" customFormat="1">
      <c r="A49" s="69" t="s">
        <v>52</v>
      </c>
      <c r="B49" s="1435">
        <f>Chino!N397</f>
        <v>26</v>
      </c>
      <c r="C49" s="1433"/>
      <c r="D49" s="1432">
        <f t="shared" ref="D49" si="21">F49*325900</f>
        <v>350798.76</v>
      </c>
      <c r="E49" s="1433"/>
      <c r="F49" s="1460">
        <f>0.0414*B49</f>
        <v>1.0764</v>
      </c>
      <c r="G49" s="1461"/>
      <c r="H49" s="1124">
        <f>F49*10</f>
        <v>10.763999999999999</v>
      </c>
      <c r="I49" s="173">
        <v>0</v>
      </c>
      <c r="J49" s="173">
        <f>B49*80</f>
        <v>2080</v>
      </c>
      <c r="K49" s="173">
        <f>B49*80</f>
        <v>2080</v>
      </c>
      <c r="L49" s="174">
        <f t="shared" si="19"/>
        <v>4160</v>
      </c>
      <c r="M49" s="1427">
        <f t="shared" si="18"/>
        <v>4.8369640794955044</v>
      </c>
      <c r="N49" s="1428"/>
    </row>
    <row r="50" spans="1:21" s="121" customFormat="1">
      <c r="A50" s="254" t="s">
        <v>402</v>
      </c>
      <c r="B50" s="1435">
        <f>Chino!N398</f>
        <v>3</v>
      </c>
      <c r="C50" s="1433"/>
      <c r="D50" s="1451">
        <f>F50*325900</f>
        <v>214398.00144200001</v>
      </c>
      <c r="E50" s="1448"/>
      <c r="F50" s="1447">
        <v>0.65786438000000003</v>
      </c>
      <c r="G50" s="1448"/>
      <c r="H50" s="1115">
        <f>F50*10</f>
        <v>6.5786438</v>
      </c>
      <c r="I50" s="173">
        <v>0</v>
      </c>
      <c r="J50" s="173">
        <v>3852</v>
      </c>
      <c r="K50" s="173">
        <v>9972</v>
      </c>
      <c r="L50" s="174">
        <f t="shared" si="19"/>
        <v>13824</v>
      </c>
      <c r="M50" s="1427">
        <f t="shared" si="18"/>
        <v>26.29968662202419</v>
      </c>
      <c r="N50" s="1428"/>
    </row>
    <row r="51" spans="1:21" s="121" customFormat="1">
      <c r="A51" s="254" t="s">
        <v>214</v>
      </c>
      <c r="B51" s="1435">
        <f>Chino!N399</f>
        <v>1</v>
      </c>
      <c r="C51" s="1433"/>
      <c r="D51" s="1432">
        <f t="shared" ref="D51:D53" si="22">F51*325900</f>
        <v>619.21</v>
      </c>
      <c r="E51" s="1433"/>
      <c r="F51" s="1460">
        <f>0.0019*B51</f>
        <v>1.9E-3</v>
      </c>
      <c r="G51" s="1461"/>
      <c r="H51" s="1124">
        <f>F51*5</f>
        <v>9.4999999999999998E-3</v>
      </c>
      <c r="I51" s="173">
        <v>0</v>
      </c>
      <c r="J51" s="173">
        <f>B51*0</f>
        <v>0</v>
      </c>
      <c r="K51" s="173">
        <f>B51*35</f>
        <v>35</v>
      </c>
      <c r="L51" s="174">
        <f t="shared" si="19"/>
        <v>35</v>
      </c>
      <c r="M51" s="1427">
        <f t="shared" si="18"/>
        <v>23.055134707858507</v>
      </c>
      <c r="N51" s="1428"/>
    </row>
    <row r="52" spans="1:21" s="121" customFormat="1">
      <c r="A52" s="254" t="s">
        <v>331</v>
      </c>
      <c r="B52" s="1435">
        <f>Chino!N400</f>
        <v>0</v>
      </c>
      <c r="C52" s="1433"/>
      <c r="D52" s="1432">
        <f t="shared" si="22"/>
        <v>0</v>
      </c>
      <c r="E52" s="1433"/>
      <c r="F52" s="1460">
        <v>0</v>
      </c>
      <c r="G52" s="1461"/>
      <c r="H52" s="1124">
        <v>0</v>
      </c>
      <c r="I52" s="173">
        <v>0</v>
      </c>
      <c r="J52" s="173">
        <f>B52*0</f>
        <v>0</v>
      </c>
      <c r="K52" s="173">
        <f>B52*300</f>
        <v>0</v>
      </c>
      <c r="L52" s="174">
        <f t="shared" si="19"/>
        <v>0</v>
      </c>
      <c r="M52" s="1427">
        <f t="shared" si="18"/>
        <v>0</v>
      </c>
      <c r="N52" s="1428"/>
    </row>
    <row r="53" spans="1:21" s="121" customFormat="1" ht="14" thickBot="1">
      <c r="A53" s="254" t="s">
        <v>269</v>
      </c>
      <c r="B53" s="1435">
        <f>Chino!N401</f>
        <v>0</v>
      </c>
      <c r="C53" s="1433"/>
      <c r="D53" s="1432">
        <f t="shared" si="22"/>
        <v>0</v>
      </c>
      <c r="E53" s="1433"/>
      <c r="F53" s="1460">
        <f>0.0019*B53</f>
        <v>0</v>
      </c>
      <c r="G53" s="1461"/>
      <c r="H53" s="1124">
        <f>F53*10</f>
        <v>0</v>
      </c>
      <c r="I53" s="173">
        <v>0</v>
      </c>
      <c r="J53" s="173">
        <f t="shared" ref="J53" si="23">B53*65</f>
        <v>0</v>
      </c>
      <c r="K53" s="173">
        <f t="shared" ref="K53" si="24">B53*40</f>
        <v>0</v>
      </c>
      <c r="L53" s="174">
        <f t="shared" si="19"/>
        <v>0</v>
      </c>
      <c r="M53" s="1427">
        <f t="shared" si="18"/>
        <v>0</v>
      </c>
      <c r="N53" s="1428"/>
    </row>
    <row r="54" spans="1:21" s="1161" customFormat="1" ht="17" thickBot="1">
      <c r="A54" s="110" t="s">
        <v>190</v>
      </c>
      <c r="B54" s="1456"/>
      <c r="C54" s="1457"/>
      <c r="D54" s="1457"/>
      <c r="E54" s="1457"/>
      <c r="F54" s="1457"/>
      <c r="G54" s="1457"/>
      <c r="H54" s="1141"/>
      <c r="I54" s="195"/>
      <c r="J54" s="195"/>
      <c r="K54" s="195"/>
      <c r="L54" s="195"/>
      <c r="M54" s="195"/>
      <c r="N54" s="1190"/>
      <c r="O54" s="274"/>
      <c r="P54" s="274"/>
      <c r="Q54" s="274"/>
      <c r="R54" s="274"/>
      <c r="S54" s="274"/>
      <c r="T54" s="274"/>
      <c r="U54" s="274"/>
    </row>
    <row r="55" spans="1:21" s="121" customFormat="1">
      <c r="A55" s="76" t="s">
        <v>423</v>
      </c>
      <c r="B55" s="1435">
        <f>Chino!N403</f>
        <v>1</v>
      </c>
      <c r="C55" s="1433"/>
      <c r="D55" s="1432">
        <f>F55*325900</f>
        <v>13655.21</v>
      </c>
      <c r="E55" s="1433"/>
      <c r="F55" s="1467">
        <v>4.19E-2</v>
      </c>
      <c r="G55" s="1433"/>
      <c r="H55" s="1124">
        <f>F55*5</f>
        <v>0.20949999999999999</v>
      </c>
      <c r="I55" s="173">
        <f>B55*541.27</f>
        <v>541.27</v>
      </c>
      <c r="J55" s="173">
        <v>0</v>
      </c>
      <c r="K55" s="173">
        <v>0</v>
      </c>
      <c r="L55" s="174">
        <f>I55+J55+K55</f>
        <v>541.27</v>
      </c>
      <c r="M55" s="1427">
        <f>IF(ISERROR(L55/(F55*771)),0,L55/(F55*799))</f>
        <v>16.167882884632043</v>
      </c>
      <c r="N55" s="1428"/>
    </row>
    <row r="56" spans="1:21" s="121" customFormat="1">
      <c r="A56" s="254" t="s">
        <v>353</v>
      </c>
      <c r="B56" s="1435">
        <f>Chino!N404</f>
        <v>0</v>
      </c>
      <c r="C56" s="1433"/>
      <c r="D56" s="1451">
        <f>F56*325900</f>
        <v>0</v>
      </c>
      <c r="E56" s="1448"/>
      <c r="F56" s="1447">
        <v>0</v>
      </c>
      <c r="G56" s="1448"/>
      <c r="H56" s="1115">
        <v>0</v>
      </c>
      <c r="I56" s="173">
        <f>(B56*922.51)*0.49</f>
        <v>0</v>
      </c>
      <c r="J56" s="173">
        <f>(B56*922.5)*0</f>
        <v>0</v>
      </c>
      <c r="K56" s="173">
        <f>(B56*922.51)*0.51</f>
        <v>0</v>
      </c>
      <c r="L56" s="174">
        <f t="shared" ref="L56:L58" si="25">K56+J56+I56</f>
        <v>0</v>
      </c>
      <c r="M56" s="1427">
        <f>IF(ISERROR(L56/(F56*771)),0,L56/(F56*799))</f>
        <v>0</v>
      </c>
      <c r="N56" s="1428"/>
    </row>
    <row r="57" spans="1:21" s="121" customFormat="1">
      <c r="A57" s="254" t="s">
        <v>411</v>
      </c>
      <c r="B57" s="1435">
        <f>Chino!N405</f>
        <v>2</v>
      </c>
      <c r="C57" s="1433"/>
      <c r="D57" s="1451">
        <f>F57*325900</f>
        <v>26984.52</v>
      </c>
      <c r="E57" s="1448"/>
      <c r="F57" s="1447">
        <f>0.0414*2</f>
        <v>8.2799999999999999E-2</v>
      </c>
      <c r="G57" s="1448"/>
      <c r="H57" s="1115">
        <f>F57*10</f>
        <v>0.82799999999999996</v>
      </c>
      <c r="I57" s="173">
        <v>0</v>
      </c>
      <c r="J57" s="173">
        <f>(B57*674.7)*0.62</f>
        <v>836.62800000000004</v>
      </c>
      <c r="K57" s="173">
        <f>(B57*674.7)*0.38</f>
        <v>512.77200000000005</v>
      </c>
      <c r="L57" s="174">
        <f>K57+J57+I57</f>
        <v>1349.4</v>
      </c>
      <c r="M57" s="1427">
        <f>IF(ISERROR(L57/(F57*771)),0,L57/(F57*799))</f>
        <v>20.396872902722606</v>
      </c>
      <c r="N57" s="1428"/>
    </row>
    <row r="58" spans="1:21" s="121" customFormat="1" ht="14" thickBot="1">
      <c r="A58" s="254" t="s">
        <v>266</v>
      </c>
      <c r="B58" s="1435">
        <f>Chino!N406</f>
        <v>0</v>
      </c>
      <c r="C58" s="1433"/>
      <c r="D58" s="1458">
        <f>F58*325900</f>
        <v>0</v>
      </c>
      <c r="E58" s="1459"/>
      <c r="F58" s="1693">
        <f>B58*0.118</f>
        <v>0</v>
      </c>
      <c r="G58" s="1459"/>
      <c r="H58" s="1115">
        <f>F58*10</f>
        <v>0</v>
      </c>
      <c r="I58" s="173">
        <v>0</v>
      </c>
      <c r="J58" s="286">
        <f>(B58*520.03)*0.51</f>
        <v>0</v>
      </c>
      <c r="K58" s="286">
        <f>(B58*520.03)*0.49</f>
        <v>0</v>
      </c>
      <c r="L58" s="174">
        <f t="shared" si="25"/>
        <v>0</v>
      </c>
      <c r="M58" s="1427">
        <f>IF(ISERROR(L58/(F58*771)),0,L58/(F58*799))</f>
        <v>0</v>
      </c>
      <c r="N58" s="1428"/>
    </row>
    <row r="59" spans="1:21" ht="14" thickBot="1">
      <c r="A59" s="53" t="s">
        <v>60</v>
      </c>
      <c r="B59" s="1452">
        <f>SUM(B46:C58)</f>
        <v>116</v>
      </c>
      <c r="C59" s="1453"/>
      <c r="D59" s="1694">
        <f>SUM(D46:E58)</f>
        <v>1475142.1514419999</v>
      </c>
      <c r="E59" s="1453"/>
      <c r="F59" s="1452">
        <v>8.309800000000001</v>
      </c>
      <c r="G59" s="1453"/>
      <c r="H59" s="1122">
        <f>SUM(H46:H58)</f>
        <v>58.658643800000007</v>
      </c>
      <c r="I59" s="1132">
        <f>SUM(I46:I58)</f>
        <v>541.27</v>
      </c>
      <c r="J59" s="1132">
        <f>SUM(J46:J58)</f>
        <v>12693.628000000001</v>
      </c>
      <c r="K59" s="1132">
        <f t="shared" ref="K59:L59" si="26">SUM(K46:K58)</f>
        <v>18754.772000000001</v>
      </c>
      <c r="L59" s="1132">
        <f t="shared" si="26"/>
        <v>31989.670000000002</v>
      </c>
      <c r="M59" s="1454">
        <f t="shared" ref="M59" si="27">IF(ISERROR(L59/(F59*744)),0,L59/(F59*744))</f>
        <v>5.1742362366807733</v>
      </c>
      <c r="N59" s="1455"/>
    </row>
    <row r="60" spans="1:21" s="1161" customFormat="1" ht="17" thickBot="1">
      <c r="A60" s="110" t="s">
        <v>194</v>
      </c>
      <c r="B60" s="1456"/>
      <c r="C60" s="1457"/>
      <c r="D60" s="1457"/>
      <c r="E60" s="1457"/>
      <c r="F60" s="1457"/>
      <c r="G60" s="1457"/>
      <c r="H60" s="1141"/>
      <c r="I60" s="997"/>
      <c r="J60" s="997"/>
      <c r="K60" s="997"/>
      <c r="L60" s="997"/>
      <c r="M60" s="997"/>
      <c r="N60" s="998"/>
      <c r="O60" s="274"/>
      <c r="P60" s="274"/>
      <c r="Q60" s="274"/>
      <c r="R60" s="274"/>
      <c r="S60" s="274"/>
      <c r="T60" s="274"/>
      <c r="U60" s="274"/>
    </row>
    <row r="61" spans="1:21">
      <c r="A61" s="68" t="s">
        <v>29</v>
      </c>
      <c r="B61" s="1421">
        <f>Chino!N409</f>
        <v>0</v>
      </c>
      <c r="C61" s="1422"/>
      <c r="D61" s="1431">
        <f>F61*325900</f>
        <v>0</v>
      </c>
      <c r="E61" s="1422"/>
      <c r="F61" s="1425">
        <f>0.0246*B61</f>
        <v>0</v>
      </c>
      <c r="G61" s="1426"/>
      <c r="H61" s="1123">
        <f>F61*20</f>
        <v>0</v>
      </c>
      <c r="I61" s="151">
        <v>0</v>
      </c>
      <c r="J61" s="150">
        <f>B61*60</f>
        <v>0</v>
      </c>
      <c r="K61" s="150">
        <f>B61*40</f>
        <v>0</v>
      </c>
      <c r="L61" s="174">
        <f t="shared" ref="L61:L70" si="28">K61+J61+I61</f>
        <v>0</v>
      </c>
      <c r="M61" s="1427">
        <f t="shared" ref="M61:M72" si="29">IF(ISERROR(L61/(F61*771)),0,L61/(F61*799))</f>
        <v>0</v>
      </c>
      <c r="N61" s="1428"/>
      <c r="U61" s="1222"/>
    </row>
    <row r="62" spans="1:21">
      <c r="A62" s="68" t="s">
        <v>51</v>
      </c>
      <c r="B62" s="1421">
        <f>Chino!N410</f>
        <v>0</v>
      </c>
      <c r="C62" s="1422"/>
      <c r="D62" s="1431">
        <f>F62*325900</f>
        <v>0</v>
      </c>
      <c r="E62" s="1422"/>
      <c r="F62" s="1425">
        <f>0.1227*B62</f>
        <v>0</v>
      </c>
      <c r="G62" s="1426"/>
      <c r="H62" s="1123">
        <f>F62*20</f>
        <v>0</v>
      </c>
      <c r="I62" s="151">
        <v>0</v>
      </c>
      <c r="J62" s="150">
        <f>B62*200</f>
        <v>0</v>
      </c>
      <c r="K62" s="150">
        <f>B62*200</f>
        <v>0</v>
      </c>
      <c r="L62" s="174">
        <f t="shared" si="28"/>
        <v>0</v>
      </c>
      <c r="M62" s="1427">
        <f t="shared" si="29"/>
        <v>0</v>
      </c>
      <c r="N62" s="1428"/>
    </row>
    <row r="63" spans="1:21">
      <c r="A63" s="2" t="s">
        <v>204</v>
      </c>
      <c r="B63" s="1421">
        <f>Chino!N411</f>
        <v>0</v>
      </c>
      <c r="C63" s="1422"/>
      <c r="D63" s="1431">
        <f>F63*325900</f>
        <v>0</v>
      </c>
      <c r="E63" s="1422"/>
      <c r="F63" s="1425">
        <f>B63*0.644</f>
        <v>0</v>
      </c>
      <c r="G63" s="1426"/>
      <c r="H63" s="1123">
        <f>F63*5</f>
        <v>0</v>
      </c>
      <c r="I63" s="151">
        <v>0</v>
      </c>
      <c r="J63" s="150">
        <f>B63*375</f>
        <v>0</v>
      </c>
      <c r="K63" s="150">
        <f>B63*625</f>
        <v>0</v>
      </c>
      <c r="L63" s="174">
        <f t="shared" si="28"/>
        <v>0</v>
      </c>
      <c r="M63" s="1427">
        <f t="shared" si="29"/>
        <v>0</v>
      </c>
      <c r="N63" s="1428"/>
    </row>
    <row r="64" spans="1:21">
      <c r="A64" s="254" t="s">
        <v>30</v>
      </c>
      <c r="B64" s="1421">
        <f>Chino!N412</f>
        <v>4</v>
      </c>
      <c r="C64" s="1422"/>
      <c r="D64" s="1431">
        <f t="shared" ref="D64:D72" si="30">F64*325900</f>
        <v>16816.439999999999</v>
      </c>
      <c r="E64" s="1422"/>
      <c r="F64" s="1513">
        <f>0.0129*B64</f>
        <v>5.16E-2</v>
      </c>
      <c r="G64" s="1514"/>
      <c r="H64" s="1123">
        <f>F64*10</f>
        <v>0.51600000000000001</v>
      </c>
      <c r="I64" s="151">
        <v>0</v>
      </c>
      <c r="J64" s="150">
        <f>B64*15</f>
        <v>60</v>
      </c>
      <c r="K64" s="150">
        <f>B64*35</f>
        <v>140</v>
      </c>
      <c r="L64" s="174">
        <f t="shared" si="28"/>
        <v>200</v>
      </c>
      <c r="M64" s="1427">
        <f t="shared" si="29"/>
        <v>4.8510250215870609</v>
      </c>
      <c r="N64" s="1428"/>
    </row>
    <row r="65" spans="1:21">
      <c r="A65" s="254" t="s">
        <v>363</v>
      </c>
      <c r="B65" s="1421">
        <f>Chino!N413</f>
        <v>0</v>
      </c>
      <c r="C65" s="1422"/>
      <c r="D65" s="1431">
        <f t="shared" si="30"/>
        <v>0</v>
      </c>
      <c r="E65" s="1422"/>
      <c r="F65" s="1425">
        <f>0.0044*0</f>
        <v>0</v>
      </c>
      <c r="G65" s="1426"/>
      <c r="H65" s="1123">
        <f>F65*5</f>
        <v>0</v>
      </c>
      <c r="I65" s="151">
        <v>0</v>
      </c>
      <c r="J65" s="150">
        <f>0*3</f>
        <v>0</v>
      </c>
      <c r="K65" s="150">
        <f>0*2</f>
        <v>0</v>
      </c>
      <c r="L65" s="174">
        <f t="shared" si="28"/>
        <v>0</v>
      </c>
      <c r="M65" s="1427">
        <f t="shared" si="29"/>
        <v>0</v>
      </c>
      <c r="N65" s="1428"/>
    </row>
    <row r="66" spans="1:21">
      <c r="A66" s="254" t="s">
        <v>122</v>
      </c>
      <c r="B66" s="1421">
        <f>Chino!N414</f>
        <v>0</v>
      </c>
      <c r="C66" s="1422"/>
      <c r="D66" s="1431">
        <f t="shared" si="30"/>
        <v>0</v>
      </c>
      <c r="E66" s="1422"/>
      <c r="F66" s="1425">
        <f>0.018*B66</f>
        <v>0</v>
      </c>
      <c r="G66" s="1426"/>
      <c r="H66" s="1123">
        <f>F66*10</f>
        <v>0</v>
      </c>
      <c r="I66" s="151">
        <v>0</v>
      </c>
      <c r="J66" s="150">
        <f>B66*5</f>
        <v>0</v>
      </c>
      <c r="K66" s="150">
        <f>B66*13</f>
        <v>0</v>
      </c>
      <c r="L66" s="174">
        <f t="shared" si="28"/>
        <v>0</v>
      </c>
      <c r="M66" s="1427">
        <f t="shared" si="29"/>
        <v>0</v>
      </c>
      <c r="N66" s="1428"/>
    </row>
    <row r="67" spans="1:21">
      <c r="A67" s="257" t="s">
        <v>184</v>
      </c>
      <c r="B67" s="1421">
        <f>Chino!N415</f>
        <v>0</v>
      </c>
      <c r="C67" s="1422"/>
      <c r="D67" s="1431">
        <f t="shared" si="30"/>
        <v>0</v>
      </c>
      <c r="E67" s="1422"/>
      <c r="F67" s="1425">
        <f>0.0129*B67</f>
        <v>0</v>
      </c>
      <c r="G67" s="1426"/>
      <c r="H67" s="1123">
        <f>F67*10</f>
        <v>0</v>
      </c>
      <c r="I67" s="151">
        <v>0</v>
      </c>
      <c r="J67" s="150">
        <f>B67*15</f>
        <v>0</v>
      </c>
      <c r="K67" s="150">
        <f>B67*35</f>
        <v>0</v>
      </c>
      <c r="L67" s="174">
        <f t="shared" si="28"/>
        <v>0</v>
      </c>
      <c r="M67" s="1427">
        <f t="shared" si="29"/>
        <v>0</v>
      </c>
      <c r="N67" s="1428"/>
    </row>
    <row r="68" spans="1:21" s="57" customFormat="1">
      <c r="A68" s="258" t="s">
        <v>187</v>
      </c>
      <c r="B68" s="1421">
        <f>Chino!N416</f>
        <v>0</v>
      </c>
      <c r="C68" s="1422"/>
      <c r="D68" s="1431">
        <f t="shared" si="30"/>
        <v>0</v>
      </c>
      <c r="E68" s="1422"/>
      <c r="F68" s="1425">
        <f t="shared" ref="F68:F72" si="31">0.0129*B68</f>
        <v>0</v>
      </c>
      <c r="G68" s="1426"/>
      <c r="H68" s="1123">
        <f>F68*5</f>
        <v>0</v>
      </c>
      <c r="I68" s="151">
        <v>0</v>
      </c>
      <c r="J68" s="150">
        <f>B68*10</f>
        <v>0</v>
      </c>
      <c r="K68" s="150">
        <f>B68*10</f>
        <v>0</v>
      </c>
      <c r="L68" s="174">
        <f t="shared" si="28"/>
        <v>0</v>
      </c>
      <c r="M68" s="1427">
        <f t="shared" si="29"/>
        <v>0</v>
      </c>
      <c r="N68" s="1428"/>
      <c r="O68" s="121"/>
      <c r="P68" s="121"/>
      <c r="Q68" s="121"/>
      <c r="R68" s="121"/>
      <c r="S68" s="121"/>
      <c r="T68" s="121"/>
      <c r="U68" s="121"/>
    </row>
    <row r="69" spans="1:21" s="57" customFormat="1">
      <c r="A69" s="258" t="s">
        <v>188</v>
      </c>
      <c r="B69" s="1421">
        <f>Chino!N417</f>
        <v>0</v>
      </c>
      <c r="C69" s="1422"/>
      <c r="D69" s="1431">
        <f t="shared" si="30"/>
        <v>0</v>
      </c>
      <c r="E69" s="1422"/>
      <c r="F69" s="1425">
        <f t="shared" si="31"/>
        <v>0</v>
      </c>
      <c r="G69" s="1426"/>
      <c r="H69" s="1130">
        <f>F69*10</f>
        <v>0</v>
      </c>
      <c r="I69" s="151">
        <v>0</v>
      </c>
      <c r="J69" s="150">
        <f>B69*1000</f>
        <v>0</v>
      </c>
      <c r="K69" s="150">
        <f>B69*1000</f>
        <v>0</v>
      </c>
      <c r="L69" s="174">
        <f t="shared" si="28"/>
        <v>0</v>
      </c>
      <c r="M69" s="1427">
        <f t="shared" si="29"/>
        <v>0</v>
      </c>
      <c r="N69" s="1428"/>
      <c r="O69" s="121"/>
      <c r="P69" s="121"/>
      <c r="Q69" s="121"/>
      <c r="R69" s="121"/>
      <c r="S69" s="121"/>
      <c r="T69" s="121"/>
      <c r="U69" s="121"/>
    </row>
    <row r="70" spans="1:21" s="57" customFormat="1">
      <c r="A70" s="258" t="s">
        <v>323</v>
      </c>
      <c r="B70" s="1421">
        <f>Chino!N418</f>
        <v>0</v>
      </c>
      <c r="C70" s="1422"/>
      <c r="D70" s="1423">
        <f t="shared" si="30"/>
        <v>0</v>
      </c>
      <c r="E70" s="1424"/>
      <c r="F70" s="1425">
        <v>0</v>
      </c>
      <c r="G70" s="1426"/>
      <c r="H70" s="1115">
        <f>F70*10</f>
        <v>0</v>
      </c>
      <c r="I70" s="151">
        <v>0</v>
      </c>
      <c r="J70" s="150">
        <v>0</v>
      </c>
      <c r="K70" s="150">
        <v>0</v>
      </c>
      <c r="L70" s="174">
        <f t="shared" si="28"/>
        <v>0</v>
      </c>
      <c r="M70" s="1427">
        <f t="shared" si="29"/>
        <v>0</v>
      </c>
      <c r="N70" s="1428"/>
      <c r="O70" s="121"/>
      <c r="P70" s="121"/>
      <c r="Q70" s="121"/>
      <c r="R70" s="121"/>
      <c r="S70" s="121"/>
      <c r="T70" s="121"/>
      <c r="U70" s="121"/>
    </row>
    <row r="71" spans="1:21" s="57" customFormat="1">
      <c r="A71" s="258" t="s">
        <v>269</v>
      </c>
      <c r="B71" s="1421">
        <f>Chino!N419</f>
        <v>0</v>
      </c>
      <c r="C71" s="1422"/>
      <c r="D71" s="1423">
        <f t="shared" si="30"/>
        <v>0</v>
      </c>
      <c r="E71" s="1424"/>
      <c r="F71" s="1425">
        <f t="shared" si="31"/>
        <v>0</v>
      </c>
      <c r="G71" s="1426"/>
      <c r="H71" s="1113">
        <f>F71*10</f>
        <v>0</v>
      </c>
      <c r="I71" s="151">
        <v>0</v>
      </c>
      <c r="J71" s="150">
        <f>B71*15</f>
        <v>0</v>
      </c>
      <c r="K71" s="150">
        <f>B71*35</f>
        <v>0</v>
      </c>
      <c r="L71" s="174">
        <f t="shared" ref="L71:L72" si="32">K71+J71+I71</f>
        <v>0</v>
      </c>
      <c r="M71" s="1427">
        <f t="shared" si="29"/>
        <v>0</v>
      </c>
      <c r="N71" s="1428"/>
      <c r="O71" s="121"/>
      <c r="P71" s="121"/>
      <c r="Q71" s="121"/>
      <c r="R71" s="121"/>
      <c r="S71" s="121"/>
      <c r="T71" s="121"/>
      <c r="U71" s="121"/>
    </row>
    <row r="72" spans="1:21" s="57" customFormat="1" ht="14" thickBot="1">
      <c r="A72" s="258" t="s">
        <v>268</v>
      </c>
      <c r="B72" s="1421">
        <f>Chino!N420</f>
        <v>0</v>
      </c>
      <c r="C72" s="1422"/>
      <c r="D72" s="1431">
        <f t="shared" si="30"/>
        <v>0</v>
      </c>
      <c r="E72" s="1422"/>
      <c r="F72" s="1425">
        <f t="shared" si="31"/>
        <v>0</v>
      </c>
      <c r="G72" s="1426"/>
      <c r="H72" s="1124">
        <f>F72*10</f>
        <v>0</v>
      </c>
      <c r="I72" s="151">
        <v>0</v>
      </c>
      <c r="J72" s="150">
        <f>B72*5</f>
        <v>0</v>
      </c>
      <c r="K72" s="150">
        <f>B72*5</f>
        <v>0</v>
      </c>
      <c r="L72" s="174">
        <f t="shared" si="32"/>
        <v>0</v>
      </c>
      <c r="M72" s="1427">
        <f t="shared" si="29"/>
        <v>0</v>
      </c>
      <c r="N72" s="1428"/>
      <c r="O72" s="121"/>
      <c r="P72" s="121"/>
      <c r="Q72" s="121"/>
      <c r="R72" s="121"/>
      <c r="S72" s="121"/>
      <c r="T72" s="121"/>
      <c r="U72" s="121"/>
    </row>
    <row r="73" spans="1:21" s="91" customFormat="1" ht="17" hidden="1" thickBot="1">
      <c r="A73" s="1046" t="s">
        <v>192</v>
      </c>
      <c r="B73" s="1434"/>
      <c r="C73" s="1434"/>
      <c r="D73" s="1434"/>
      <c r="E73" s="1434"/>
      <c r="F73" s="1434"/>
      <c r="G73" s="1434"/>
      <c r="H73" s="1114"/>
      <c r="I73" s="1133"/>
      <c r="J73" s="1133"/>
      <c r="K73" s="1133"/>
      <c r="L73" s="1133"/>
      <c r="M73" s="1133"/>
      <c r="N73" s="1134"/>
      <c r="O73" s="274"/>
      <c r="P73" s="274"/>
      <c r="Q73" s="274"/>
      <c r="R73" s="274"/>
      <c r="S73" s="274"/>
      <c r="T73" s="274"/>
      <c r="U73" s="274"/>
    </row>
    <row r="74" spans="1:21" s="121" customFormat="1" ht="14" hidden="1" thickBot="1">
      <c r="A74" s="76" t="s">
        <v>193</v>
      </c>
      <c r="B74" s="1435">
        <f>Chino!N422</f>
        <v>0</v>
      </c>
      <c r="C74" s="1433"/>
      <c r="D74" s="1436">
        <f>F74*325900</f>
        <v>0</v>
      </c>
      <c r="E74" s="1437"/>
      <c r="F74" s="1744">
        <f>0.004*B74</f>
        <v>0</v>
      </c>
      <c r="G74" s="1437"/>
      <c r="H74" s="1124">
        <f>F74*5</f>
        <v>0</v>
      </c>
      <c r="I74" s="216">
        <v>0</v>
      </c>
      <c r="J74" s="216">
        <f>L74-K74</f>
        <v>0</v>
      </c>
      <c r="K74" s="216">
        <f>B74*2</f>
        <v>0</v>
      </c>
      <c r="L74" s="174">
        <v>0</v>
      </c>
      <c r="M74" s="1427">
        <f>IF(ISERROR(L74/(F74*771)),0,L74/(F74*771))</f>
        <v>0</v>
      </c>
      <c r="N74" s="1428"/>
    </row>
    <row r="75" spans="1:21" ht="14" thickBot="1">
      <c r="A75" s="53" t="s">
        <v>60</v>
      </c>
      <c r="B75" s="1438">
        <f>SUM(B61:B74)</f>
        <v>4</v>
      </c>
      <c r="C75" s="1439"/>
      <c r="D75" s="1440">
        <f>SUM(D61:E74)</f>
        <v>16816.439999999999</v>
      </c>
      <c r="E75" s="1439"/>
      <c r="F75" s="1441">
        <f>SUM(F61:G74)</f>
        <v>5.16E-2</v>
      </c>
      <c r="G75" s="1439"/>
      <c r="H75" s="1119">
        <f>SUM(H61:H74)</f>
        <v>0.51600000000000001</v>
      </c>
      <c r="I75" s="146">
        <f>SUM(I61:I74)</f>
        <v>0</v>
      </c>
      <c r="J75" s="146">
        <f>SUM(J61:J74)</f>
        <v>60</v>
      </c>
      <c r="K75" s="146">
        <f>SUM(K61:K74)</f>
        <v>140</v>
      </c>
      <c r="L75" s="146">
        <f>SUM(L61:L74)</f>
        <v>200</v>
      </c>
      <c r="M75" s="1442"/>
      <c r="N75" s="1443"/>
    </row>
    <row r="76" spans="1:21" s="1161" customFormat="1" ht="17" thickBot="1">
      <c r="A76" s="1163" t="s">
        <v>17</v>
      </c>
      <c r="B76" s="1414">
        <f>SUM(,B59,B75)</f>
        <v>120</v>
      </c>
      <c r="C76" s="1415"/>
      <c r="D76" s="1416">
        <f>SUM(,D59,D75)</f>
        <v>1491958.5914419999</v>
      </c>
      <c r="E76" s="1415"/>
      <c r="F76" s="1416">
        <f>SUM(,F59,F75)</f>
        <v>8.3614000000000015</v>
      </c>
      <c r="G76" s="1415"/>
      <c r="H76" s="1164">
        <f>SUM(H59,H75)</f>
        <v>59.174643800000005</v>
      </c>
      <c r="I76" s="1165">
        <f>SUM(,I59,I75)</f>
        <v>541.27</v>
      </c>
      <c r="J76" s="1165">
        <f>SUM(,J59,J75)</f>
        <v>12753.628000000001</v>
      </c>
      <c r="K76" s="1165">
        <f>SUM(,K59,K75)</f>
        <v>18894.772000000001</v>
      </c>
      <c r="L76" s="1165">
        <f>SUM(,L59,L75)</f>
        <v>32189.670000000002</v>
      </c>
      <c r="M76" s="1417"/>
      <c r="N76" s="1418"/>
      <c r="O76" s="274"/>
      <c r="P76" s="274"/>
      <c r="Q76" s="274"/>
      <c r="R76" s="274"/>
      <c r="S76" s="274"/>
      <c r="T76" s="274"/>
      <c r="U76" s="274"/>
    </row>
    <row r="77" spans="1:21">
      <c r="A77" s="50"/>
      <c r="B77" s="1127"/>
      <c r="C77" s="1127"/>
      <c r="D77" s="1127"/>
      <c r="E77" s="1127"/>
      <c r="F77" s="1128"/>
      <c r="G77" s="1128"/>
      <c r="H77" s="1128"/>
      <c r="I77" s="21"/>
      <c r="J77" s="21"/>
      <c r="K77" s="21"/>
      <c r="L77" s="21"/>
      <c r="M77" s="1125"/>
      <c r="N77" s="1125"/>
    </row>
    <row r="78" spans="1:21" ht="15">
      <c r="A78" s="9" t="s">
        <v>18</v>
      </c>
      <c r="B78" s="1419" t="s">
        <v>59</v>
      </c>
      <c r="C78" s="1419"/>
      <c r="D78" s="1419"/>
      <c r="E78" s="1419"/>
      <c r="F78" s="1128"/>
      <c r="G78" s="1128"/>
      <c r="H78" s="1128"/>
      <c r="I78" s="21"/>
      <c r="J78" s="21"/>
      <c r="K78" s="21"/>
      <c r="L78" s="21"/>
      <c r="M78" s="1125"/>
      <c r="N78" s="1125"/>
    </row>
    <row r="79" spans="1:21">
      <c r="B79" s="1420" t="s">
        <v>19</v>
      </c>
      <c r="C79" s="1420"/>
      <c r="D79" s="1420"/>
      <c r="E79" s="1420"/>
      <c r="F79" s="1128"/>
      <c r="G79" s="1128"/>
      <c r="H79" s="1128"/>
      <c r="I79" s="21"/>
      <c r="J79" s="21"/>
      <c r="K79" s="21"/>
      <c r="L79" s="21"/>
      <c r="N79" s="1125"/>
    </row>
    <row r="80" spans="1:21" ht="14" thickBot="1">
      <c r="B80" s="1125"/>
      <c r="C80" s="1125"/>
      <c r="D80" s="1125"/>
      <c r="E80" s="1125"/>
      <c r="F80" s="1128"/>
      <c r="G80" s="1128"/>
      <c r="H80" s="1128"/>
      <c r="I80" s="21"/>
      <c r="J80" s="21"/>
      <c r="K80" s="21"/>
      <c r="L80" s="21"/>
      <c r="N80" s="1125"/>
    </row>
    <row r="81" spans="1:21" ht="16">
      <c r="A81" s="98"/>
      <c r="B81" s="99"/>
      <c r="C81" s="99"/>
      <c r="D81" s="99"/>
      <c r="E81" s="99"/>
      <c r="F81" s="421"/>
      <c r="G81" s="421"/>
      <c r="H81" s="421"/>
      <c r="I81" s="1468" t="s">
        <v>0</v>
      </c>
      <c r="J81" s="1468"/>
      <c r="K81" s="1468"/>
      <c r="L81" s="1468"/>
      <c r="M81" s="99"/>
      <c r="N81" s="101"/>
    </row>
    <row r="82" spans="1:21" ht="16">
      <c r="A82" s="97"/>
      <c r="B82" s="1469" t="s">
        <v>1</v>
      </c>
      <c r="C82" s="1469"/>
      <c r="D82" s="1469" t="s">
        <v>2</v>
      </c>
      <c r="E82" s="1469"/>
      <c r="F82" s="1470" t="s">
        <v>3</v>
      </c>
      <c r="G82" s="1470"/>
      <c r="H82" s="1003" t="s">
        <v>3</v>
      </c>
      <c r="I82" s="127" t="s">
        <v>195</v>
      </c>
      <c r="J82" s="102"/>
      <c r="K82" s="102"/>
      <c r="L82" s="128"/>
      <c r="M82" s="1525" t="s">
        <v>4</v>
      </c>
      <c r="N82" s="1526"/>
    </row>
    <row r="83" spans="1:21" ht="19" thickBot="1">
      <c r="A83" s="103" t="s">
        <v>5</v>
      </c>
      <c r="B83" s="1473" t="s">
        <v>6</v>
      </c>
      <c r="C83" s="1473"/>
      <c r="D83" s="1473" t="s">
        <v>7</v>
      </c>
      <c r="E83" s="1473"/>
      <c r="F83" s="1474" t="s">
        <v>7</v>
      </c>
      <c r="G83" s="1474"/>
      <c r="H83" s="1006" t="s">
        <v>58</v>
      </c>
      <c r="I83" s="1007" t="s">
        <v>196</v>
      </c>
      <c r="J83" s="1005" t="s">
        <v>8</v>
      </c>
      <c r="K83" s="1005" t="s">
        <v>9</v>
      </c>
      <c r="L83" s="401" t="s">
        <v>10</v>
      </c>
      <c r="M83" s="1527" t="s">
        <v>145</v>
      </c>
      <c r="N83" s="1475"/>
    </row>
    <row r="84" spans="1:21" ht="24" thickBot="1">
      <c r="A84" s="88" t="s">
        <v>351</v>
      </c>
      <c r="B84" s="1702"/>
      <c r="C84" s="1703"/>
      <c r="D84" s="1704"/>
      <c r="E84" s="1705"/>
      <c r="F84" s="1706"/>
      <c r="G84" s="1707"/>
      <c r="H84" s="1015"/>
      <c r="I84" s="304"/>
      <c r="J84" s="304"/>
      <c r="K84" s="304"/>
      <c r="L84" s="305"/>
      <c r="M84" s="1708"/>
      <c r="N84" s="1709"/>
    </row>
    <row r="85" spans="1:21" s="1161" customFormat="1" ht="17" thickBot="1">
      <c r="A85" s="110" t="s">
        <v>189</v>
      </c>
      <c r="B85" s="1456"/>
      <c r="C85" s="1457"/>
      <c r="D85" s="1457"/>
      <c r="E85" s="1457"/>
      <c r="F85" s="1484"/>
      <c r="G85" s="1484"/>
      <c r="H85" s="1158"/>
      <c r="I85" s="1141"/>
      <c r="J85" s="1141"/>
      <c r="K85" s="1141"/>
      <c r="L85" s="1141"/>
      <c r="M85" s="1485"/>
      <c r="N85" s="1486"/>
      <c r="O85" s="274"/>
      <c r="P85" s="274"/>
      <c r="Q85" s="274"/>
      <c r="R85" s="274"/>
      <c r="S85" s="274"/>
      <c r="T85" s="274"/>
      <c r="U85" s="274"/>
    </row>
    <row r="86" spans="1:21" s="1087" customFormat="1">
      <c r="A86" s="1057" t="s">
        <v>29</v>
      </c>
      <c r="B86" s="1503">
        <f>Chino!N360</f>
        <v>7</v>
      </c>
      <c r="C86" s="1461"/>
      <c r="D86" s="1501">
        <f>F86*325900</f>
        <v>56119.979999999996</v>
      </c>
      <c r="E86" s="1461"/>
      <c r="F86" s="1460">
        <f>0.0246*B86</f>
        <v>0.17219999999999999</v>
      </c>
      <c r="G86" s="1461"/>
      <c r="H86" s="1073">
        <f>F86*20</f>
        <v>3.444</v>
      </c>
      <c r="I86" s="1052">
        <v>0</v>
      </c>
      <c r="J86" s="1052">
        <f>B86*60</f>
        <v>420</v>
      </c>
      <c r="K86" s="1052">
        <f>B86*40</f>
        <v>280</v>
      </c>
      <c r="L86" s="1054">
        <f>K86+J86+I86</f>
        <v>700</v>
      </c>
      <c r="M86" s="1507">
        <f t="shared" ref="M86:M93" si="33">IF(ISERROR(L86/(F86*771)),0,L86/(F86*771))</f>
        <v>5.2724262651186828</v>
      </c>
      <c r="N86" s="1508"/>
    </row>
    <row r="87" spans="1:21" s="1087" customFormat="1">
      <c r="A87" s="1057" t="s">
        <v>33</v>
      </c>
      <c r="B87" s="1503">
        <f>Chino!N361</f>
        <v>67</v>
      </c>
      <c r="C87" s="1461"/>
      <c r="D87" s="1501">
        <f>F87*325900</f>
        <v>753317.85000000009</v>
      </c>
      <c r="E87" s="1461"/>
      <c r="F87" s="1460">
        <f>0.0345*B87</f>
        <v>2.3115000000000001</v>
      </c>
      <c r="G87" s="1461"/>
      <c r="H87" s="1073">
        <f>F87*14</f>
        <v>32.361000000000004</v>
      </c>
      <c r="I87" s="1052">
        <f>0*B87</f>
        <v>0</v>
      </c>
      <c r="J87" s="1052">
        <f>B87*65</f>
        <v>4355</v>
      </c>
      <c r="K87" s="1052">
        <f>B87*85</f>
        <v>5695</v>
      </c>
      <c r="L87" s="1054">
        <f>K87+J87+I87</f>
        <v>10050</v>
      </c>
      <c r="M87" s="1507">
        <f t="shared" si="33"/>
        <v>5.6392037444312866</v>
      </c>
      <c r="N87" s="1508"/>
    </row>
    <row r="88" spans="1:21" s="1087" customFormat="1">
      <c r="A88" s="1057" t="s">
        <v>362</v>
      </c>
      <c r="B88" s="1503">
        <f>Chino!N362</f>
        <v>30</v>
      </c>
      <c r="C88" s="1461"/>
      <c r="D88" s="1501">
        <f>F88*325851</f>
        <v>43012.332000000002</v>
      </c>
      <c r="E88" s="1461"/>
      <c r="F88" s="1460">
        <f>0.0044*B88</f>
        <v>0.13200000000000001</v>
      </c>
      <c r="G88" s="1461"/>
      <c r="H88" s="1073">
        <f>F88*5</f>
        <v>0.66</v>
      </c>
      <c r="I88" s="1052">
        <f>0*B88</f>
        <v>0</v>
      </c>
      <c r="J88" s="1052">
        <f>B88*3</f>
        <v>90</v>
      </c>
      <c r="K88" s="1052">
        <f>B88*2</f>
        <v>60</v>
      </c>
      <c r="L88" s="1054">
        <f t="shared" ref="L88:L93" si="34">K88+J88+I88</f>
        <v>150</v>
      </c>
      <c r="M88" s="1507">
        <f t="shared" si="33"/>
        <v>1.4738827968399952</v>
      </c>
      <c r="N88" s="1508"/>
    </row>
    <row r="89" spans="1:21" s="1087" customFormat="1">
      <c r="A89" s="1057" t="s">
        <v>52</v>
      </c>
      <c r="B89" s="1503">
        <f>Chino!N363</f>
        <v>24</v>
      </c>
      <c r="C89" s="1461"/>
      <c r="D89" s="1501">
        <f>F89*325900</f>
        <v>323814.24</v>
      </c>
      <c r="E89" s="1461"/>
      <c r="F89" s="1460">
        <f>0.0414*B89</f>
        <v>0.99360000000000004</v>
      </c>
      <c r="G89" s="1461"/>
      <c r="H89" s="1073">
        <f>F89*10</f>
        <v>9.9359999999999999</v>
      </c>
      <c r="I89" s="1052">
        <v>0</v>
      </c>
      <c r="J89" s="1052">
        <f>B89*70</f>
        <v>1680</v>
      </c>
      <c r="K89" s="1052">
        <f>B89*80</f>
        <v>1920</v>
      </c>
      <c r="L89" s="1054">
        <f t="shared" si="34"/>
        <v>3600</v>
      </c>
      <c r="M89" s="1507">
        <f t="shared" si="33"/>
        <v>4.6993364536927382</v>
      </c>
      <c r="N89" s="1508"/>
    </row>
    <row r="90" spans="1:21" s="1087" customFormat="1">
      <c r="A90" s="1057" t="s">
        <v>323</v>
      </c>
      <c r="B90" s="1503">
        <f>Chino!N364</f>
        <v>0</v>
      </c>
      <c r="C90" s="1461"/>
      <c r="D90" s="1494">
        <f>F90*325900</f>
        <v>0</v>
      </c>
      <c r="E90" s="1495"/>
      <c r="F90" s="1515">
        <v>0</v>
      </c>
      <c r="G90" s="1495"/>
      <c r="H90" s="1074">
        <f>F90*10</f>
        <v>0</v>
      </c>
      <c r="I90" s="1052">
        <v>0</v>
      </c>
      <c r="J90" s="1052">
        <f t="shared" ref="J90:J93" si="35">B90*65</f>
        <v>0</v>
      </c>
      <c r="K90" s="1052">
        <f t="shared" ref="K90:K93" si="36">B90*40</f>
        <v>0</v>
      </c>
      <c r="L90" s="1054">
        <f t="shared" si="34"/>
        <v>0</v>
      </c>
      <c r="M90" s="1507">
        <f t="shared" si="33"/>
        <v>0</v>
      </c>
      <c r="N90" s="1508"/>
    </row>
    <row r="91" spans="1:21" s="1087" customFormat="1">
      <c r="A91" s="1057" t="s">
        <v>214</v>
      </c>
      <c r="B91" s="1503">
        <f>Chino!N365</f>
        <v>2</v>
      </c>
      <c r="C91" s="1461"/>
      <c r="D91" s="1501">
        <f>F91*325900</f>
        <v>1238.42</v>
      </c>
      <c r="E91" s="1461"/>
      <c r="F91" s="1460">
        <f>0.0019*B91</f>
        <v>3.8E-3</v>
      </c>
      <c r="G91" s="1461"/>
      <c r="H91" s="1073">
        <f>F91*5</f>
        <v>1.9E-2</v>
      </c>
      <c r="I91" s="1052">
        <v>0</v>
      </c>
      <c r="J91" s="1052">
        <f>B91*0</f>
        <v>0</v>
      </c>
      <c r="K91" s="1052">
        <f>B91*35</f>
        <v>70</v>
      </c>
      <c r="L91" s="1054">
        <f t="shared" si="34"/>
        <v>70</v>
      </c>
      <c r="M91" s="1507">
        <f t="shared" si="33"/>
        <v>23.892415864564132</v>
      </c>
      <c r="N91" s="1508"/>
    </row>
    <row r="92" spans="1:21" s="1087" customFormat="1">
      <c r="A92" s="1057" t="s">
        <v>331</v>
      </c>
      <c r="B92" s="1503">
        <f>Chino!N366</f>
        <v>0</v>
      </c>
      <c r="C92" s="1461"/>
      <c r="D92" s="1501">
        <f>F92*325900</f>
        <v>0</v>
      </c>
      <c r="E92" s="1461"/>
      <c r="F92" s="1460">
        <v>0</v>
      </c>
      <c r="G92" s="1461"/>
      <c r="H92" s="1073">
        <v>0</v>
      </c>
      <c r="I92" s="1052">
        <v>0</v>
      </c>
      <c r="J92" s="1052">
        <f>B92*0</f>
        <v>0</v>
      </c>
      <c r="K92" s="1052">
        <f>B92*300</f>
        <v>0</v>
      </c>
      <c r="L92" s="1054">
        <f t="shared" si="34"/>
        <v>0</v>
      </c>
      <c r="M92" s="1507">
        <f t="shared" si="33"/>
        <v>0</v>
      </c>
      <c r="N92" s="1508"/>
    </row>
    <row r="93" spans="1:21" s="1087" customFormat="1" ht="14" thickBot="1">
      <c r="A93" s="1057" t="s">
        <v>269</v>
      </c>
      <c r="B93" s="1503">
        <f>Chino!N367</f>
        <v>0</v>
      </c>
      <c r="C93" s="1461"/>
      <c r="D93" s="1501">
        <f>F93*0.0095</f>
        <v>0</v>
      </c>
      <c r="E93" s="1461"/>
      <c r="F93" s="1460">
        <f>0.0019*B93</f>
        <v>0</v>
      </c>
      <c r="G93" s="1461"/>
      <c r="H93" s="1073">
        <f>F93*10</f>
        <v>0</v>
      </c>
      <c r="I93" s="1052">
        <v>0</v>
      </c>
      <c r="J93" s="1052">
        <f t="shared" si="35"/>
        <v>0</v>
      </c>
      <c r="K93" s="1052">
        <f t="shared" si="36"/>
        <v>0</v>
      </c>
      <c r="L93" s="1054">
        <f t="shared" si="34"/>
        <v>0</v>
      </c>
      <c r="M93" s="1507">
        <f t="shared" si="33"/>
        <v>0</v>
      </c>
      <c r="N93" s="1508"/>
    </row>
    <row r="94" spans="1:21" s="1228" customFormat="1" ht="17" thickBot="1">
      <c r="A94" s="1224" t="s">
        <v>190</v>
      </c>
      <c r="B94" s="1524"/>
      <c r="C94" s="1502"/>
      <c r="D94" s="1502"/>
      <c r="E94" s="1502"/>
      <c r="F94" s="1502"/>
      <c r="G94" s="1502"/>
      <c r="H94" s="1225"/>
      <c r="I94" s="1226"/>
      <c r="J94" s="1226"/>
      <c r="K94" s="1226"/>
      <c r="L94" s="1226"/>
      <c r="M94" s="1226"/>
      <c r="N94" s="1227"/>
      <c r="O94" s="1399"/>
      <c r="P94" s="1399"/>
      <c r="Q94" s="1399"/>
      <c r="R94" s="1399"/>
      <c r="S94" s="1399"/>
      <c r="T94" s="1399"/>
      <c r="U94" s="1399"/>
    </row>
    <row r="95" spans="1:21" s="1087" customFormat="1">
      <c r="A95" s="1057" t="s">
        <v>380</v>
      </c>
      <c r="B95" s="1503">
        <f>Chino!N369</f>
        <v>151</v>
      </c>
      <c r="C95" s="1461"/>
      <c r="D95" s="1501">
        <f>F95*325900</f>
        <v>216527.96</v>
      </c>
      <c r="E95" s="1461"/>
      <c r="F95" s="1460">
        <f>B95*0.0044</f>
        <v>0.66439999999999999</v>
      </c>
      <c r="G95" s="1461"/>
      <c r="H95" s="1073">
        <f>F95*5</f>
        <v>3.3220000000000001</v>
      </c>
      <c r="I95" s="1052">
        <v>0</v>
      </c>
      <c r="J95" s="1052">
        <f>L95-K95</f>
        <v>226.5</v>
      </c>
      <c r="K95" s="1052">
        <f>B95*2</f>
        <v>302</v>
      </c>
      <c r="L95" s="1054">
        <v>528.5</v>
      </c>
      <c r="M95" s="1507">
        <f>IF(ISERROR(L95/(F95*771)),0,L95/(F95*771))</f>
        <v>1.0317179577879967</v>
      </c>
      <c r="N95" s="1508"/>
    </row>
    <row r="96" spans="1:21" s="1087" customFormat="1">
      <c r="A96" s="1057" t="s">
        <v>353</v>
      </c>
      <c r="B96" s="1503">
        <f>Chino!N370</f>
        <v>2</v>
      </c>
      <c r="C96" s="1461"/>
      <c r="D96" s="1494">
        <f>F96*325900</f>
        <v>0</v>
      </c>
      <c r="E96" s="1495"/>
      <c r="F96" s="1515">
        <v>0</v>
      </c>
      <c r="G96" s="1495"/>
      <c r="H96" s="1074">
        <v>0</v>
      </c>
      <c r="I96" s="1052">
        <f>(B96*958)*0.5</f>
        <v>958</v>
      </c>
      <c r="J96" s="1052">
        <f>(B96*958)*0.02</f>
        <v>38.32</v>
      </c>
      <c r="K96" s="1052">
        <f>(B96*958)*0.48</f>
        <v>919.68</v>
      </c>
      <c r="L96" s="1054">
        <f t="shared" ref="L96:L98" si="37">K96+J96+I96</f>
        <v>1916</v>
      </c>
      <c r="M96" s="1507">
        <f>IF(ISERROR(L96/(F96*771)),0,L96/(F96*771))</f>
        <v>0</v>
      </c>
      <c r="N96" s="1508"/>
    </row>
    <row r="97" spans="1:21" s="1087" customFormat="1">
      <c r="A97" s="1057" t="s">
        <v>371</v>
      </c>
      <c r="B97" s="1503">
        <f>Chino!N371</f>
        <v>4</v>
      </c>
      <c r="C97" s="1461"/>
      <c r="D97" s="1494">
        <f>F97*325900</f>
        <v>67461.3</v>
      </c>
      <c r="E97" s="1495"/>
      <c r="F97" s="1515">
        <f>0.0414*5</f>
        <v>0.20699999999999999</v>
      </c>
      <c r="G97" s="1495"/>
      <c r="H97" s="1074">
        <f>F97*10</f>
        <v>2.0699999999999998</v>
      </c>
      <c r="I97" s="1052">
        <v>0</v>
      </c>
      <c r="J97" s="1052">
        <f>(B97*705)*0.84</f>
        <v>2368.7999999999997</v>
      </c>
      <c r="K97" s="1052">
        <f>(B97*705)*0.16</f>
        <v>451.2</v>
      </c>
      <c r="L97" s="1054">
        <f t="shared" si="37"/>
        <v>2819.9999999999995</v>
      </c>
      <c r="M97" s="1507">
        <f>IF(ISERROR(L97/(F97*771)),0,L97/(F97*771))</f>
        <v>17.669505065884696</v>
      </c>
      <c r="N97" s="1508"/>
    </row>
    <row r="98" spans="1:21" s="1087" customFormat="1" ht="14" thickBot="1">
      <c r="A98" s="1057" t="s">
        <v>266</v>
      </c>
      <c r="B98" s="1503">
        <f>Chino!N372</f>
        <v>7</v>
      </c>
      <c r="C98" s="1461"/>
      <c r="D98" s="1516">
        <f>F98*325900</f>
        <v>269193.39999999997</v>
      </c>
      <c r="E98" s="1517"/>
      <c r="F98" s="1518">
        <f>B98*0.118</f>
        <v>0.82599999999999996</v>
      </c>
      <c r="G98" s="1517"/>
      <c r="H98" s="1074">
        <f>F98*10</f>
        <v>8.26</v>
      </c>
      <c r="I98" s="1052">
        <v>0</v>
      </c>
      <c r="J98" s="1088">
        <f>(B98*461)*0.53</f>
        <v>1710.3100000000002</v>
      </c>
      <c r="K98" s="1088">
        <f>(B98*461)*0.47</f>
        <v>1516.6899999999998</v>
      </c>
      <c r="L98" s="1054">
        <f t="shared" si="37"/>
        <v>3227</v>
      </c>
      <c r="M98" s="1507">
        <f>IF(ISERROR(L98/(F98*771)),0,L98/(F98*771))</f>
        <v>5.0671590934071977</v>
      </c>
      <c r="N98" s="1508"/>
    </row>
    <row r="99" spans="1:21" s="1087" customFormat="1" ht="14" thickBot="1">
      <c r="A99" s="1060" t="s">
        <v>60</v>
      </c>
      <c r="B99" s="1697">
        <f>SUM(B86:C98)</f>
        <v>294</v>
      </c>
      <c r="C99" s="1698"/>
      <c r="D99" s="1699">
        <f>SUM(D86:E98)</f>
        <v>1730685.4820000001</v>
      </c>
      <c r="E99" s="1698"/>
      <c r="F99" s="1697">
        <f>SUM(F86:G98)</f>
        <v>5.3104999999999993</v>
      </c>
      <c r="G99" s="1698"/>
      <c r="H99" s="1090">
        <f>SUM(H86:H98)</f>
        <v>60.072000000000003</v>
      </c>
      <c r="I99" s="1091">
        <f>SUM(I86:I98)</f>
        <v>958</v>
      </c>
      <c r="J99" s="1091">
        <f t="shared" ref="J99:L99" si="38">SUM(J86:J98)</f>
        <v>10888.929999999998</v>
      </c>
      <c r="K99" s="1091">
        <f t="shared" si="38"/>
        <v>11214.570000000002</v>
      </c>
      <c r="L99" s="1091">
        <f t="shared" si="38"/>
        <v>23061.5</v>
      </c>
      <c r="M99" s="1700"/>
      <c r="N99" s="1701"/>
    </row>
    <row r="100" spans="1:21" s="1228" customFormat="1" ht="17" thickBot="1">
      <c r="A100" s="1224" t="s">
        <v>194</v>
      </c>
      <c r="B100" s="1524"/>
      <c r="C100" s="1502"/>
      <c r="D100" s="1502"/>
      <c r="E100" s="1502"/>
      <c r="F100" s="1502"/>
      <c r="G100" s="1502"/>
      <c r="H100" s="1225"/>
      <c r="I100" s="1229"/>
      <c r="J100" s="1229"/>
      <c r="K100" s="1229"/>
      <c r="L100" s="1229"/>
      <c r="M100" s="1229"/>
      <c r="N100" s="1230"/>
      <c r="O100" s="1399"/>
      <c r="P100" s="1399"/>
      <c r="Q100" s="1399"/>
      <c r="R100" s="1399"/>
      <c r="S100" s="1399"/>
      <c r="T100" s="1399"/>
      <c r="U100" s="1399"/>
    </row>
    <row r="101" spans="1:21" s="1055" customFormat="1">
      <c r="A101" s="1049" t="s">
        <v>29</v>
      </c>
      <c r="B101" s="1491">
        <f>Chino!N375</f>
        <v>80</v>
      </c>
      <c r="C101" s="1426"/>
      <c r="D101" s="1500">
        <f>F101*325900</f>
        <v>641371.19999999995</v>
      </c>
      <c r="E101" s="1426"/>
      <c r="F101" s="1425">
        <f>0.0246*B101</f>
        <v>1.968</v>
      </c>
      <c r="G101" s="1426"/>
      <c r="H101" s="1050">
        <f>F101*20</f>
        <v>39.36</v>
      </c>
      <c r="I101" s="1051">
        <v>0</v>
      </c>
      <c r="J101" s="1053">
        <f>B101*60</f>
        <v>4800</v>
      </c>
      <c r="K101" s="1053">
        <f>B101*40</f>
        <v>3200</v>
      </c>
      <c r="L101" s="1054">
        <f t="shared" ref="L101:L109" si="39">K101+J101+I101</f>
        <v>8000</v>
      </c>
      <c r="M101" s="1496">
        <f t="shared" ref="M101:M112" si="40">IF(ISERROR(L101/(F101*771)),0,L101/(F101*771))</f>
        <v>5.2724262651186828</v>
      </c>
      <c r="N101" s="1497"/>
      <c r="O101" s="1087"/>
      <c r="P101" s="1087"/>
      <c r="Q101" s="1087"/>
      <c r="R101" s="1087"/>
      <c r="S101" s="1087"/>
      <c r="T101" s="1087"/>
      <c r="U101" s="1400"/>
    </row>
    <row r="102" spans="1:21" s="1055" customFormat="1">
      <c r="A102" s="1049" t="s">
        <v>51</v>
      </c>
      <c r="B102" s="1491">
        <f>Chino!N376</f>
        <v>0</v>
      </c>
      <c r="C102" s="1426"/>
      <c r="D102" s="1500">
        <f>F102*325900</f>
        <v>0</v>
      </c>
      <c r="E102" s="1426"/>
      <c r="F102" s="1425">
        <f>0.1227*B102</f>
        <v>0</v>
      </c>
      <c r="G102" s="1426"/>
      <c r="H102" s="1050">
        <f>F102*20</f>
        <v>0</v>
      </c>
      <c r="I102" s="1051">
        <v>0</v>
      </c>
      <c r="J102" s="1053">
        <f>B102*200</f>
        <v>0</v>
      </c>
      <c r="K102" s="1053">
        <f>B102*200</f>
        <v>0</v>
      </c>
      <c r="L102" s="1054">
        <f t="shared" si="39"/>
        <v>0</v>
      </c>
      <c r="M102" s="1496">
        <f t="shared" si="40"/>
        <v>0</v>
      </c>
      <c r="N102" s="1497"/>
      <c r="O102" s="1087"/>
      <c r="P102" s="1087"/>
      <c r="Q102" s="1087"/>
      <c r="R102" s="1087"/>
      <c r="S102" s="1087"/>
      <c r="T102" s="1087"/>
      <c r="U102" s="1087"/>
    </row>
    <row r="103" spans="1:21" s="1055" customFormat="1">
      <c r="A103" s="1064" t="s">
        <v>204</v>
      </c>
      <c r="B103" s="1491">
        <f>Chino!N377</f>
        <v>0</v>
      </c>
      <c r="C103" s="1426"/>
      <c r="D103" s="1500">
        <f>F103*325851</f>
        <v>0</v>
      </c>
      <c r="E103" s="1426"/>
      <c r="F103" s="1425">
        <f>B103*0.644</f>
        <v>0</v>
      </c>
      <c r="G103" s="1426"/>
      <c r="H103" s="1050">
        <f>F103*5</f>
        <v>0</v>
      </c>
      <c r="I103" s="1051">
        <v>0</v>
      </c>
      <c r="J103" s="1053">
        <f>B103*0</f>
        <v>0</v>
      </c>
      <c r="K103" s="1053">
        <f>B103*0</f>
        <v>0</v>
      </c>
      <c r="L103" s="1054">
        <f t="shared" si="39"/>
        <v>0</v>
      </c>
      <c r="M103" s="1496">
        <f t="shared" si="40"/>
        <v>0</v>
      </c>
      <c r="N103" s="1497"/>
      <c r="O103" s="1087"/>
      <c r="P103" s="1087"/>
      <c r="Q103" s="1087"/>
      <c r="R103" s="1087"/>
      <c r="S103" s="1087"/>
      <c r="T103" s="1087"/>
      <c r="U103" s="1087"/>
    </row>
    <row r="104" spans="1:21" s="1055" customFormat="1">
      <c r="A104" s="1057" t="s">
        <v>30</v>
      </c>
      <c r="B104" s="1491">
        <f>Chino!N378</f>
        <v>2</v>
      </c>
      <c r="C104" s="1426"/>
      <c r="D104" s="1500">
        <f t="shared" ref="D104:D112" si="41">F104*325900</f>
        <v>8408.2199999999993</v>
      </c>
      <c r="E104" s="1426"/>
      <c r="F104" s="1513">
        <f>0.0129*B104</f>
        <v>2.58E-2</v>
      </c>
      <c r="G104" s="1514"/>
      <c r="H104" s="1050">
        <f>F104*10</f>
        <v>0.25800000000000001</v>
      </c>
      <c r="I104" s="1051">
        <v>0</v>
      </c>
      <c r="J104" s="1053">
        <f>B104*0</f>
        <v>0</v>
      </c>
      <c r="K104" s="1053">
        <f>B104*0</f>
        <v>0</v>
      </c>
      <c r="L104" s="1054">
        <f t="shared" si="39"/>
        <v>0</v>
      </c>
      <c r="M104" s="1496">
        <f t="shared" si="40"/>
        <v>0</v>
      </c>
      <c r="N104" s="1497"/>
      <c r="O104" s="1087"/>
      <c r="P104" s="1087"/>
      <c r="Q104" s="1087"/>
      <c r="R104" s="1087"/>
      <c r="S104" s="1087"/>
      <c r="T104" s="1087"/>
      <c r="U104" s="1087"/>
    </row>
    <row r="105" spans="1:21" s="1055" customFormat="1">
      <c r="A105" s="1057" t="s">
        <v>363</v>
      </c>
      <c r="B105" s="1491">
        <f>Chino!N379</f>
        <v>0</v>
      </c>
      <c r="C105" s="1426"/>
      <c r="D105" s="1500">
        <f t="shared" si="41"/>
        <v>0</v>
      </c>
      <c r="E105" s="1426"/>
      <c r="F105" s="1425">
        <f>0.0044*B105</f>
        <v>0</v>
      </c>
      <c r="G105" s="1426"/>
      <c r="H105" s="1050">
        <f>F105*5</f>
        <v>0</v>
      </c>
      <c r="I105" s="1051">
        <v>0</v>
      </c>
      <c r="J105" s="1053">
        <f>B105*2</f>
        <v>0</v>
      </c>
      <c r="K105" s="1053">
        <f>B105*2</f>
        <v>0</v>
      </c>
      <c r="L105" s="1054">
        <f t="shared" si="39"/>
        <v>0</v>
      </c>
      <c r="M105" s="1496">
        <f t="shared" si="40"/>
        <v>0</v>
      </c>
      <c r="N105" s="1497"/>
      <c r="O105" s="1087"/>
      <c r="P105" s="1087"/>
      <c r="Q105" s="1087"/>
      <c r="R105" s="1087"/>
      <c r="S105" s="1087"/>
      <c r="T105" s="1087"/>
      <c r="U105" s="1087"/>
    </row>
    <row r="106" spans="1:21" s="1055" customFormat="1">
      <c r="A106" s="1057" t="s">
        <v>122</v>
      </c>
      <c r="B106" s="1491">
        <f>Chino!N380</f>
        <v>0</v>
      </c>
      <c r="C106" s="1426"/>
      <c r="D106" s="1500">
        <f t="shared" si="41"/>
        <v>0</v>
      </c>
      <c r="E106" s="1426"/>
      <c r="F106" s="1425">
        <f>0.018*B106</f>
        <v>0</v>
      </c>
      <c r="G106" s="1426"/>
      <c r="H106" s="1050">
        <f>F106*10</f>
        <v>0</v>
      </c>
      <c r="I106" s="1051">
        <v>0</v>
      </c>
      <c r="J106" s="1053">
        <f>B106*2</f>
        <v>0</v>
      </c>
      <c r="K106" s="1053">
        <f>B106*13</f>
        <v>0</v>
      </c>
      <c r="L106" s="1054">
        <f t="shared" si="39"/>
        <v>0</v>
      </c>
      <c r="M106" s="1496">
        <f t="shared" si="40"/>
        <v>0</v>
      </c>
      <c r="N106" s="1497"/>
      <c r="O106" s="1087"/>
      <c r="P106" s="1087"/>
      <c r="Q106" s="1087"/>
      <c r="R106" s="1087"/>
      <c r="S106" s="1087"/>
      <c r="T106" s="1087"/>
      <c r="U106" s="1087"/>
    </row>
    <row r="107" spans="1:21" s="1055" customFormat="1">
      <c r="A107" s="1049" t="s">
        <v>184</v>
      </c>
      <c r="B107" s="1491">
        <f>Chino!N381</f>
        <v>0</v>
      </c>
      <c r="C107" s="1426"/>
      <c r="D107" s="1500">
        <f t="shared" si="41"/>
        <v>0</v>
      </c>
      <c r="E107" s="1426"/>
      <c r="F107" s="1425">
        <f>0.0129*B107</f>
        <v>0</v>
      </c>
      <c r="G107" s="1426"/>
      <c r="H107" s="1050">
        <f>F107*10</f>
        <v>0</v>
      </c>
      <c r="I107" s="1051">
        <v>0</v>
      </c>
      <c r="J107" s="1053">
        <f>B107*0</f>
        <v>0</v>
      </c>
      <c r="K107" s="1053">
        <f>B107*0</f>
        <v>0</v>
      </c>
      <c r="L107" s="1054">
        <f t="shared" si="39"/>
        <v>0</v>
      </c>
      <c r="M107" s="1496">
        <f t="shared" si="40"/>
        <v>0</v>
      </c>
      <c r="N107" s="1497"/>
      <c r="O107" s="1087"/>
      <c r="P107" s="1087"/>
      <c r="Q107" s="1087"/>
      <c r="R107" s="1087"/>
      <c r="S107" s="1087"/>
      <c r="T107" s="1087"/>
      <c r="U107" s="1087"/>
    </row>
    <row r="108" spans="1:21" s="1065" customFormat="1">
      <c r="A108" s="1059" t="s">
        <v>187</v>
      </c>
      <c r="B108" s="1491">
        <f>Chino!N382</f>
        <v>0</v>
      </c>
      <c r="C108" s="1426"/>
      <c r="D108" s="1500">
        <f t="shared" si="41"/>
        <v>0</v>
      </c>
      <c r="E108" s="1426"/>
      <c r="F108" s="1425">
        <f>B108*0.023</f>
        <v>0</v>
      </c>
      <c r="G108" s="1426"/>
      <c r="H108" s="1050">
        <f>F108*5</f>
        <v>0</v>
      </c>
      <c r="I108" s="1051">
        <v>0</v>
      </c>
      <c r="J108" s="1053">
        <f>B108*10</f>
        <v>0</v>
      </c>
      <c r="K108" s="1053">
        <f>B108*10</f>
        <v>0</v>
      </c>
      <c r="L108" s="1054">
        <f t="shared" si="39"/>
        <v>0</v>
      </c>
      <c r="M108" s="1496">
        <f t="shared" si="40"/>
        <v>0</v>
      </c>
      <c r="N108" s="1497"/>
      <c r="O108" s="1087"/>
      <c r="P108" s="1087"/>
      <c r="Q108" s="1087"/>
      <c r="R108" s="1087"/>
      <c r="S108" s="1087"/>
      <c r="T108" s="1087"/>
      <c r="U108" s="1087"/>
    </row>
    <row r="109" spans="1:21" s="1065" customFormat="1">
      <c r="A109" s="1059" t="s">
        <v>188</v>
      </c>
      <c r="B109" s="1491">
        <f>Chino!N383</f>
        <v>0</v>
      </c>
      <c r="C109" s="1426"/>
      <c r="D109" s="1500">
        <f t="shared" si="41"/>
        <v>0</v>
      </c>
      <c r="E109" s="1426"/>
      <c r="F109" s="1509">
        <f>0.154*B109</f>
        <v>0</v>
      </c>
      <c r="G109" s="1510"/>
      <c r="H109" s="1066">
        <f>F109*10</f>
        <v>0</v>
      </c>
      <c r="I109" s="1051">
        <v>0</v>
      </c>
      <c r="J109" s="1053">
        <f>B109*1000</f>
        <v>0</v>
      </c>
      <c r="K109" s="1053">
        <f>B109*1000</f>
        <v>0</v>
      </c>
      <c r="L109" s="1054">
        <f t="shared" si="39"/>
        <v>0</v>
      </c>
      <c r="M109" s="1496">
        <f t="shared" si="40"/>
        <v>0</v>
      </c>
      <c r="N109" s="1497"/>
      <c r="O109" s="1087"/>
      <c r="P109" s="1087"/>
      <c r="Q109" s="1087"/>
      <c r="R109" s="1087"/>
      <c r="S109" s="1087"/>
      <c r="T109" s="1087"/>
      <c r="U109" s="1087"/>
    </row>
    <row r="110" spans="1:21" s="1065" customFormat="1">
      <c r="A110" s="1059" t="s">
        <v>323</v>
      </c>
      <c r="B110" s="1491">
        <f>Chino!N384</f>
        <v>0</v>
      </c>
      <c r="C110" s="1426"/>
      <c r="D110" s="1492">
        <f t="shared" si="41"/>
        <v>0</v>
      </c>
      <c r="E110" s="1493"/>
      <c r="F110" s="1494">
        <v>0</v>
      </c>
      <c r="G110" s="1495"/>
      <c r="H110" s="1058">
        <f>F110*10</f>
        <v>0</v>
      </c>
      <c r="I110" s="1051">
        <v>0</v>
      </c>
      <c r="J110" s="1053">
        <f>B110*0</f>
        <v>0</v>
      </c>
      <c r="K110" s="1053">
        <f>B110*0</f>
        <v>0</v>
      </c>
      <c r="L110" s="1054">
        <f>K110+J110+I110</f>
        <v>0</v>
      </c>
      <c r="M110" s="1496">
        <f t="shared" si="40"/>
        <v>0</v>
      </c>
      <c r="N110" s="1497"/>
      <c r="O110" s="1087"/>
      <c r="P110" s="1087"/>
      <c r="Q110" s="1087"/>
      <c r="R110" s="1087"/>
      <c r="S110" s="1087"/>
      <c r="T110" s="1087"/>
      <c r="U110" s="1087"/>
    </row>
    <row r="111" spans="1:21" s="1065" customFormat="1">
      <c r="A111" s="1059" t="s">
        <v>269</v>
      </c>
      <c r="B111" s="1491">
        <f>Chino!N385</f>
        <v>0</v>
      </c>
      <c r="C111" s="1426"/>
      <c r="D111" s="1492">
        <f t="shared" si="41"/>
        <v>0</v>
      </c>
      <c r="E111" s="1493"/>
      <c r="F111" s="1498">
        <f>B111*0.0129</f>
        <v>0</v>
      </c>
      <c r="G111" s="1499"/>
      <c r="H111" s="1067">
        <v>0</v>
      </c>
      <c r="I111" s="1051">
        <v>0</v>
      </c>
      <c r="J111" s="1053">
        <f>B111*0</f>
        <v>0</v>
      </c>
      <c r="K111" s="1053">
        <f>B111*0</f>
        <v>0</v>
      </c>
      <c r="L111" s="1054">
        <f t="shared" ref="L111:L112" si="42">K111+J111+I111</f>
        <v>0</v>
      </c>
      <c r="M111" s="1496">
        <f t="shared" si="40"/>
        <v>0</v>
      </c>
      <c r="N111" s="1497"/>
      <c r="O111" s="1087"/>
      <c r="P111" s="1087"/>
      <c r="Q111" s="1087"/>
      <c r="R111" s="1087"/>
      <c r="S111" s="1087"/>
      <c r="T111" s="1087"/>
      <c r="U111" s="1087"/>
    </row>
    <row r="112" spans="1:21" s="1065" customFormat="1" ht="14" thickBot="1">
      <c r="A112" s="1059" t="s">
        <v>268</v>
      </c>
      <c r="B112" s="1491">
        <f>Chino!N386</f>
        <v>0</v>
      </c>
      <c r="C112" s="1426"/>
      <c r="D112" s="1500">
        <f t="shared" si="41"/>
        <v>0</v>
      </c>
      <c r="E112" s="1426"/>
      <c r="F112" s="1501">
        <f>(B112*0.0084)/2</f>
        <v>0</v>
      </c>
      <c r="G112" s="1461"/>
      <c r="H112" s="1056">
        <f>F112*10</f>
        <v>0</v>
      </c>
      <c r="I112" s="1051">
        <v>0</v>
      </c>
      <c r="J112" s="1053">
        <f>B112*10</f>
        <v>0</v>
      </c>
      <c r="K112" s="1053">
        <f>B112*5</f>
        <v>0</v>
      </c>
      <c r="L112" s="1054">
        <f t="shared" si="42"/>
        <v>0</v>
      </c>
      <c r="M112" s="1496">
        <f t="shared" si="40"/>
        <v>0</v>
      </c>
      <c r="N112" s="1497"/>
      <c r="O112" s="1087"/>
      <c r="P112" s="1087"/>
      <c r="Q112" s="1087"/>
      <c r="R112" s="1087"/>
      <c r="S112" s="1087"/>
      <c r="T112" s="1087"/>
      <c r="U112" s="1087"/>
    </row>
    <row r="113" spans="1:21" s="1228" customFormat="1" ht="17" thickBot="1">
      <c r="A113" s="1224" t="s">
        <v>192</v>
      </c>
      <c r="B113" s="1502"/>
      <c r="C113" s="1502"/>
      <c r="D113" s="1502"/>
      <c r="E113" s="1502"/>
      <c r="F113" s="1502"/>
      <c r="G113" s="1502"/>
      <c r="H113" s="1225"/>
      <c r="I113" s="1229"/>
      <c r="J113" s="1229"/>
      <c r="K113" s="1229"/>
      <c r="L113" s="1229"/>
      <c r="M113" s="1229"/>
      <c r="N113" s="1230"/>
      <c r="O113" s="1399"/>
      <c r="P113" s="1399"/>
      <c r="Q113" s="1399"/>
      <c r="R113" s="1399"/>
      <c r="S113" s="1399"/>
      <c r="T113" s="1399"/>
      <c r="U113" s="1399"/>
    </row>
    <row r="114" spans="1:21" s="1087" customFormat="1" ht="14" thickBot="1">
      <c r="A114" s="1068" t="s">
        <v>381</v>
      </c>
      <c r="B114" s="1503">
        <f>Chino!N388</f>
        <v>0</v>
      </c>
      <c r="C114" s="1461"/>
      <c r="D114" s="1504">
        <f>F114*325900</f>
        <v>0</v>
      </c>
      <c r="E114" s="1505"/>
      <c r="F114" s="1506">
        <f>0.004*B114</f>
        <v>0</v>
      </c>
      <c r="G114" s="1505"/>
      <c r="H114" s="1073">
        <f>F114*5</f>
        <v>0</v>
      </c>
      <c r="I114" s="1089">
        <v>0</v>
      </c>
      <c r="J114" s="1089">
        <f>L114-K114</f>
        <v>0</v>
      </c>
      <c r="K114" s="1089">
        <f>B114*2</f>
        <v>0</v>
      </c>
      <c r="L114" s="1054">
        <v>0</v>
      </c>
      <c r="M114" s="1507">
        <f>IF(ISERROR(L114/(F114*771)),0,L114/(F114*771))</f>
        <v>0</v>
      </c>
      <c r="N114" s="1508"/>
    </row>
    <row r="115" spans="1:21" s="1055" customFormat="1" ht="14" thickBot="1">
      <c r="A115" s="1049" t="s">
        <v>60</v>
      </c>
      <c r="B115" s="1491">
        <f>SUM(B101:B114)</f>
        <v>82</v>
      </c>
      <c r="C115" s="1426"/>
      <c r="D115" s="1425">
        <f>SUM(D101:E114)</f>
        <v>649779.41999999993</v>
      </c>
      <c r="E115" s="1426"/>
      <c r="F115" s="1500">
        <f>SUM(F101:G114)</f>
        <v>1.9938</v>
      </c>
      <c r="G115" s="1426"/>
      <c r="H115" s="1050">
        <f>SUM(H101:H114)</f>
        <v>39.618000000000002</v>
      </c>
      <c r="I115" s="1051">
        <f>SUM(I101:I114)</f>
        <v>0</v>
      </c>
      <c r="J115" s="1052">
        <f>SUM(J101:J114)</f>
        <v>4800</v>
      </c>
      <c r="K115" s="1053">
        <f>SUM(K101:K114)</f>
        <v>3200</v>
      </c>
      <c r="L115" s="1054">
        <f>SUM(L101:L114)</f>
        <v>8000</v>
      </c>
      <c r="M115" s="1496"/>
      <c r="N115" s="1497"/>
      <c r="O115" s="1087"/>
      <c r="P115" s="1087"/>
      <c r="Q115" s="1087"/>
      <c r="R115" s="1087"/>
      <c r="S115" s="1087"/>
      <c r="T115" s="1087"/>
      <c r="U115" s="1087"/>
    </row>
    <row r="116" spans="1:21" s="1161" customFormat="1" ht="17" thickBot="1">
      <c r="A116" s="1163" t="s">
        <v>17</v>
      </c>
      <c r="B116" s="1414">
        <f>SUM(,B99,B115)</f>
        <v>376</v>
      </c>
      <c r="C116" s="1415"/>
      <c r="D116" s="1416">
        <f>SUM(,D99,D115)</f>
        <v>2380464.9019999998</v>
      </c>
      <c r="E116" s="1415"/>
      <c r="F116" s="1487">
        <f>SUM(,F99,F115)</f>
        <v>7.3042999999999996</v>
      </c>
      <c r="G116" s="1488"/>
      <c r="H116" s="1164">
        <f>(H115+H99)</f>
        <v>99.69</v>
      </c>
      <c r="I116" s="1165">
        <f>SUM(,I99,I115)</f>
        <v>958</v>
      </c>
      <c r="J116" s="1165">
        <f>SUM(,J99,J115)</f>
        <v>15688.929999999998</v>
      </c>
      <c r="K116" s="1165">
        <f>SUM(,K99,K115)</f>
        <v>14414.570000000002</v>
      </c>
      <c r="L116" s="1165">
        <f>SUM(,L99,L115)</f>
        <v>31061.5</v>
      </c>
      <c r="M116" s="1417"/>
      <c r="N116" s="1418"/>
      <c r="O116" s="274"/>
      <c r="P116" s="274"/>
      <c r="Q116" s="274"/>
      <c r="R116" s="274"/>
      <c r="S116" s="274"/>
      <c r="T116" s="274"/>
      <c r="U116" s="274"/>
    </row>
    <row r="117" spans="1:21">
      <c r="A117" s="50"/>
      <c r="B117" s="1027"/>
      <c r="C117" s="1027"/>
      <c r="D117" s="1027"/>
      <c r="E117" s="1027"/>
      <c r="F117" s="1026"/>
      <c r="G117" s="1026"/>
      <c r="H117" s="1026"/>
      <c r="I117" s="21"/>
      <c r="J117" s="21"/>
      <c r="K117" s="21"/>
      <c r="L117" s="21"/>
      <c r="M117" s="1012"/>
      <c r="N117" s="1012"/>
    </row>
    <row r="118" spans="1:21" ht="15">
      <c r="A118" s="9" t="s">
        <v>18</v>
      </c>
      <c r="B118" s="1695" t="s">
        <v>59</v>
      </c>
      <c r="C118" s="1695"/>
      <c r="D118" s="1695"/>
      <c r="E118" s="1695"/>
      <c r="F118" s="1026"/>
      <c r="G118" s="1026"/>
      <c r="H118" s="1026"/>
      <c r="I118" s="21"/>
      <c r="J118" s="21"/>
      <c r="K118" s="21"/>
      <c r="L118" s="21"/>
      <c r="M118" s="1012"/>
      <c r="N118" s="1012"/>
    </row>
    <row r="119" spans="1:21">
      <c r="A119" s="3"/>
      <c r="B119" s="1696" t="s">
        <v>19</v>
      </c>
      <c r="C119" s="1696"/>
      <c r="D119" s="1696"/>
      <c r="E119" s="1696"/>
      <c r="F119" s="1026"/>
      <c r="G119" s="1026"/>
      <c r="H119" s="1026"/>
      <c r="I119" s="21"/>
      <c r="J119" s="21"/>
      <c r="K119" s="21"/>
      <c r="L119" s="21"/>
      <c r="M119" s="1012"/>
      <c r="N119" s="1012"/>
    </row>
    <row r="120" spans="1:21" ht="14" thickBot="1">
      <c r="A120" s="3"/>
      <c r="B120" s="1012"/>
      <c r="C120" s="1012"/>
      <c r="D120" s="1012"/>
      <c r="E120" s="1012"/>
      <c r="F120" s="1026"/>
      <c r="G120" s="1026"/>
      <c r="H120" s="1026"/>
      <c r="I120" s="21"/>
      <c r="J120" s="21"/>
      <c r="K120" s="21"/>
      <c r="L120" s="21"/>
      <c r="M120" s="1012"/>
      <c r="N120" s="1012"/>
    </row>
    <row r="121" spans="1:21" ht="16">
      <c r="A121" s="98"/>
      <c r="B121" s="99"/>
      <c r="C121" s="99"/>
      <c r="D121" s="99"/>
      <c r="E121" s="99"/>
      <c r="F121" s="421"/>
      <c r="G121" s="421"/>
      <c r="H121" s="421"/>
      <c r="I121" s="1468" t="s">
        <v>0</v>
      </c>
      <c r="J121" s="1468"/>
      <c r="K121" s="1468"/>
      <c r="L121" s="1468"/>
      <c r="M121" s="99"/>
      <c r="N121" s="101"/>
    </row>
    <row r="122" spans="1:21" ht="16">
      <c r="A122" s="97"/>
      <c r="B122" s="1469" t="s">
        <v>1</v>
      </c>
      <c r="C122" s="1469"/>
      <c r="D122" s="1469" t="s">
        <v>2</v>
      </c>
      <c r="E122" s="1469"/>
      <c r="F122" s="1470" t="s">
        <v>3</v>
      </c>
      <c r="G122" s="1470"/>
      <c r="H122" s="755" t="s">
        <v>3</v>
      </c>
      <c r="I122" s="127" t="s">
        <v>195</v>
      </c>
      <c r="J122" s="102"/>
      <c r="K122" s="102"/>
      <c r="L122" s="128"/>
      <c r="M122" s="1525" t="s">
        <v>4</v>
      </c>
      <c r="N122" s="1526"/>
    </row>
    <row r="123" spans="1:21" ht="19" thickBot="1">
      <c r="A123" s="103" t="s">
        <v>5</v>
      </c>
      <c r="B123" s="1473" t="s">
        <v>6</v>
      </c>
      <c r="C123" s="1473"/>
      <c r="D123" s="1473" t="s">
        <v>7</v>
      </c>
      <c r="E123" s="1473"/>
      <c r="F123" s="1474" t="s">
        <v>7</v>
      </c>
      <c r="G123" s="1474"/>
      <c r="H123" s="757" t="s">
        <v>58</v>
      </c>
      <c r="I123" s="758" t="s">
        <v>196</v>
      </c>
      <c r="J123" s="756" t="s">
        <v>8</v>
      </c>
      <c r="K123" s="756" t="s">
        <v>9</v>
      </c>
      <c r="L123" s="401" t="s">
        <v>10</v>
      </c>
      <c r="M123" s="1527" t="s">
        <v>145</v>
      </c>
      <c r="N123" s="1475"/>
    </row>
    <row r="124" spans="1:21" ht="24" thickBot="1">
      <c r="A124" s="88" t="s">
        <v>318</v>
      </c>
      <c r="B124" s="1702"/>
      <c r="C124" s="1703"/>
      <c r="D124" s="1704"/>
      <c r="E124" s="1705"/>
      <c r="F124" s="1706"/>
      <c r="G124" s="1707"/>
      <c r="H124" s="766"/>
      <c r="I124" s="304"/>
      <c r="J124" s="304"/>
      <c r="K124" s="304"/>
      <c r="L124" s="305"/>
      <c r="M124" s="1708"/>
      <c r="N124" s="1709"/>
    </row>
    <row r="125" spans="1:21" s="1161" customFormat="1" ht="17" thickBot="1">
      <c r="A125" s="110" t="s">
        <v>189</v>
      </c>
      <c r="B125" s="1456"/>
      <c r="C125" s="1457"/>
      <c r="D125" s="1457"/>
      <c r="E125" s="1457"/>
      <c r="F125" s="1484"/>
      <c r="G125" s="1484"/>
      <c r="H125" s="1158"/>
      <c r="I125" s="1141"/>
      <c r="J125" s="1141"/>
      <c r="K125" s="1141"/>
      <c r="L125" s="1141"/>
      <c r="M125" s="1485"/>
      <c r="N125" s="1486"/>
      <c r="O125" s="274"/>
      <c r="P125" s="274"/>
      <c r="Q125" s="274"/>
      <c r="R125" s="274"/>
      <c r="S125" s="274"/>
      <c r="T125" s="274"/>
      <c r="U125" s="274"/>
    </row>
    <row r="126" spans="1:21">
      <c r="A126" s="122" t="s">
        <v>29</v>
      </c>
      <c r="B126" s="1444">
        <f>Chino!N326</f>
        <v>40</v>
      </c>
      <c r="C126" s="1422"/>
      <c r="D126" s="1444">
        <f>F126*325900</f>
        <v>320685.59999999998</v>
      </c>
      <c r="E126" s="1422"/>
      <c r="F126" s="1720">
        <f>0.0246*B126</f>
        <v>0.98399999999999999</v>
      </c>
      <c r="G126" s="1721"/>
      <c r="H126" s="763">
        <f>F126*20</f>
        <v>19.68</v>
      </c>
      <c r="I126" s="173">
        <v>0</v>
      </c>
      <c r="J126" s="150">
        <v>3080</v>
      </c>
      <c r="K126" s="150">
        <v>1480</v>
      </c>
      <c r="L126" s="150">
        <f>K126+J126+I126</f>
        <v>4560</v>
      </c>
      <c r="M126" s="1539">
        <f t="shared" ref="M126" si="43">IF(ISERROR(L126/(F126*744)),0,L126/(F126*744))</f>
        <v>6.2286913191712561</v>
      </c>
      <c r="N126" s="1540"/>
    </row>
    <row r="127" spans="1:21">
      <c r="A127" s="32" t="s">
        <v>33</v>
      </c>
      <c r="B127" s="1444">
        <f>Chino!N327</f>
        <v>77</v>
      </c>
      <c r="C127" s="1422"/>
      <c r="D127" s="1444">
        <f>F127*325900</f>
        <v>865753.35000000009</v>
      </c>
      <c r="E127" s="1422"/>
      <c r="F127" s="1720">
        <f>0.0345*B127</f>
        <v>2.6565000000000003</v>
      </c>
      <c r="G127" s="1721"/>
      <c r="H127" s="763">
        <f>F127*14</f>
        <v>37.191000000000003</v>
      </c>
      <c r="I127" s="173">
        <f>0*B127</f>
        <v>0</v>
      </c>
      <c r="J127" s="150">
        <v>1690</v>
      </c>
      <c r="K127" s="150">
        <v>6545</v>
      </c>
      <c r="L127" s="150">
        <f>K127+J127+I127</f>
        <v>8235</v>
      </c>
      <c r="M127" s="1539">
        <f t="shared" ref="M127:M133" si="44">IF(ISERROR(L127/(F127*744)),0,L127/(F127*744))</f>
        <v>4.1665907724813751</v>
      </c>
      <c r="N127" s="1540"/>
    </row>
    <row r="128" spans="1:21">
      <c r="A128" s="32" t="s">
        <v>56</v>
      </c>
      <c r="B128" s="1444">
        <f>Chino!N328</f>
        <v>0</v>
      </c>
      <c r="C128" s="1422"/>
      <c r="D128" s="1444">
        <f>F128*325851</f>
        <v>0</v>
      </c>
      <c r="E128" s="1422"/>
      <c r="F128" s="1720">
        <f>0.0044*B128</f>
        <v>0</v>
      </c>
      <c r="G128" s="1721"/>
      <c r="H128" s="763">
        <f>F128*5</f>
        <v>0</v>
      </c>
      <c r="I128" s="173">
        <f>0*B128</f>
        <v>0</v>
      </c>
      <c r="J128" s="150">
        <v>0</v>
      </c>
      <c r="K128" s="150">
        <v>0</v>
      </c>
      <c r="L128" s="150">
        <f t="shared" ref="L128:L154" si="45">K128+J128+I128</f>
        <v>0</v>
      </c>
      <c r="M128" s="1539">
        <f t="shared" si="44"/>
        <v>0</v>
      </c>
      <c r="N128" s="1540"/>
    </row>
    <row r="129" spans="1:21">
      <c r="A129" s="32" t="s">
        <v>52</v>
      </c>
      <c r="B129" s="1444">
        <f>Chino!N329</f>
        <v>22</v>
      </c>
      <c r="C129" s="1422"/>
      <c r="D129" s="1444">
        <f>F129*325900</f>
        <v>296829.71999999997</v>
      </c>
      <c r="E129" s="1422"/>
      <c r="F129" s="1710">
        <f>0.0414*B129</f>
        <v>0.91079999999999994</v>
      </c>
      <c r="G129" s="1711"/>
      <c r="H129" s="762">
        <f>F129*10</f>
        <v>9.1079999999999988</v>
      </c>
      <c r="I129" s="173">
        <v>0</v>
      </c>
      <c r="J129" s="173">
        <v>376</v>
      </c>
      <c r="K129" s="173">
        <v>1753.99</v>
      </c>
      <c r="L129" s="150">
        <f t="shared" si="45"/>
        <v>2129.9899999999998</v>
      </c>
      <c r="M129" s="1539">
        <f t="shared" si="44"/>
        <v>3.1432694169370188</v>
      </c>
      <c r="N129" s="1540"/>
    </row>
    <row r="130" spans="1:21">
      <c r="A130" s="76" t="s">
        <v>321</v>
      </c>
      <c r="B130" s="1536">
        <f>Chino!N330</f>
        <v>15</v>
      </c>
      <c r="C130" s="1424"/>
      <c r="D130" s="1451">
        <f>F130*325900</f>
        <v>941564.2080000001</v>
      </c>
      <c r="E130" s="1448"/>
      <c r="F130" s="1537">
        <v>2.8891200000000001</v>
      </c>
      <c r="G130" s="1538"/>
      <c r="H130" s="906">
        <f>F130*10</f>
        <v>28.891200000000001</v>
      </c>
      <c r="I130" s="173">
        <v>0</v>
      </c>
      <c r="J130" s="173">
        <v>0</v>
      </c>
      <c r="K130" s="173">
        <v>44448</v>
      </c>
      <c r="L130" s="150">
        <f t="shared" si="45"/>
        <v>44448</v>
      </c>
      <c r="M130" s="1539">
        <f t="shared" si="44"/>
        <v>20.678246484698093</v>
      </c>
      <c r="N130" s="1540"/>
    </row>
    <row r="131" spans="1:21">
      <c r="A131" s="76" t="s">
        <v>214</v>
      </c>
      <c r="B131" s="1444">
        <f>Chino!N331</f>
        <v>7</v>
      </c>
      <c r="C131" s="1422"/>
      <c r="D131" s="1444">
        <f>F131*325900</f>
        <v>4334.4699999999993</v>
      </c>
      <c r="E131" s="1422"/>
      <c r="F131" s="1718">
        <f>0.0019*B131</f>
        <v>1.3299999999999999E-2</v>
      </c>
      <c r="G131" s="1719"/>
      <c r="H131" s="764">
        <f>F131*5</f>
        <v>6.6500000000000004E-2</v>
      </c>
      <c r="I131" s="173">
        <v>0</v>
      </c>
      <c r="J131" s="173">
        <v>0</v>
      </c>
      <c r="K131" s="173">
        <v>525</v>
      </c>
      <c r="L131" s="150">
        <f t="shared" si="45"/>
        <v>525</v>
      </c>
      <c r="M131" s="1539">
        <f t="shared" si="44"/>
        <v>53.056027164685915</v>
      </c>
      <c r="N131" s="1540"/>
    </row>
    <row r="132" spans="1:21">
      <c r="A132" s="76" t="s">
        <v>331</v>
      </c>
      <c r="B132" s="1444">
        <f>Chino!N332</f>
        <v>0</v>
      </c>
      <c r="C132" s="1422"/>
      <c r="D132" s="1444">
        <f>F132*325900</f>
        <v>0</v>
      </c>
      <c r="E132" s="1422"/>
      <c r="F132" s="1710">
        <v>0</v>
      </c>
      <c r="G132" s="1711"/>
      <c r="H132" s="902">
        <v>0</v>
      </c>
      <c r="I132" s="173">
        <v>0</v>
      </c>
      <c r="J132" s="173">
        <v>0</v>
      </c>
      <c r="K132" s="173">
        <v>0</v>
      </c>
      <c r="L132" s="150">
        <f t="shared" si="45"/>
        <v>0</v>
      </c>
      <c r="M132" s="1539">
        <f t="shared" si="44"/>
        <v>0</v>
      </c>
      <c r="N132" s="1540"/>
    </row>
    <row r="133" spans="1:21" ht="14" thickBot="1">
      <c r="A133" s="493" t="s">
        <v>269</v>
      </c>
      <c r="B133" s="1444">
        <f>Chino!N333</f>
        <v>0</v>
      </c>
      <c r="C133" s="1422"/>
      <c r="D133" s="1444">
        <f>F133*0.0095</f>
        <v>0</v>
      </c>
      <c r="E133" s="1422"/>
      <c r="F133" s="1710">
        <f>0.0019*B133</f>
        <v>0</v>
      </c>
      <c r="G133" s="1711"/>
      <c r="H133" s="762">
        <f>F133*10</f>
        <v>0</v>
      </c>
      <c r="I133" s="173">
        <v>0</v>
      </c>
      <c r="J133" s="173">
        <v>0</v>
      </c>
      <c r="K133" s="173">
        <v>0</v>
      </c>
      <c r="L133" s="150">
        <f t="shared" si="45"/>
        <v>0</v>
      </c>
      <c r="M133" s="1539">
        <f t="shared" si="44"/>
        <v>0</v>
      </c>
      <c r="N133" s="1540"/>
    </row>
    <row r="134" spans="1:21" s="1161" customFormat="1" ht="17" thickBot="1">
      <c r="A134" s="110" t="s">
        <v>190</v>
      </c>
      <c r="B134" s="1456"/>
      <c r="C134" s="1457"/>
      <c r="D134" s="1457"/>
      <c r="E134" s="1457"/>
      <c r="F134" s="1484"/>
      <c r="G134" s="1484"/>
      <c r="H134" s="1158"/>
      <c r="I134" s="195"/>
      <c r="J134" s="195"/>
      <c r="K134" s="195"/>
      <c r="L134" s="195"/>
      <c r="M134" s="1541"/>
      <c r="N134" s="1542"/>
      <c r="O134" s="274"/>
      <c r="P134" s="274"/>
      <c r="Q134" s="274"/>
      <c r="R134" s="274"/>
      <c r="S134" s="274"/>
      <c r="T134" s="274"/>
      <c r="U134" s="274"/>
    </row>
    <row r="135" spans="1:21">
      <c r="A135" s="76" t="s">
        <v>205</v>
      </c>
      <c r="B135" s="1435">
        <f>Chino!N335</f>
        <v>200</v>
      </c>
      <c r="C135" s="1433"/>
      <c r="D135" s="1432">
        <f>F135*325900</f>
        <v>286792</v>
      </c>
      <c r="E135" s="1433"/>
      <c r="F135" s="1710">
        <f>B135*0.0044</f>
        <v>0.88</v>
      </c>
      <c r="G135" s="1711"/>
      <c r="H135" s="887">
        <f>F135*5</f>
        <v>4.4000000000000004</v>
      </c>
      <c r="I135" s="173">
        <v>0</v>
      </c>
      <c r="J135" s="173">
        <v>320</v>
      </c>
      <c r="K135" s="173">
        <v>400</v>
      </c>
      <c r="L135" s="150">
        <f t="shared" si="45"/>
        <v>720</v>
      </c>
      <c r="M135" s="1539">
        <f t="shared" ref="M135" si="46">IF(ISERROR(L135/(F135*744)),0,L135/(F135*744))</f>
        <v>1.0997067448680351</v>
      </c>
      <c r="N135" s="1540"/>
    </row>
    <row r="136" spans="1:21">
      <c r="A136" s="76" t="s">
        <v>332</v>
      </c>
      <c r="B136" s="1644">
        <f>Chino!N336</f>
        <v>1</v>
      </c>
      <c r="C136" s="1448"/>
      <c r="D136" s="1451">
        <f>F136*325900</f>
        <v>26984.52</v>
      </c>
      <c r="E136" s="1448"/>
      <c r="F136" s="1557">
        <v>8.2799999999999999E-2</v>
      </c>
      <c r="G136" s="1558"/>
      <c r="H136" s="906">
        <v>0.82799999999999996</v>
      </c>
      <c r="I136" s="173">
        <v>510.39</v>
      </c>
      <c r="J136" s="173">
        <v>0</v>
      </c>
      <c r="K136" s="173">
        <v>510.39</v>
      </c>
      <c r="L136" s="150">
        <f t="shared" si="45"/>
        <v>1020.78</v>
      </c>
      <c r="M136" s="1539">
        <f t="shared" ref="M136:M138" si="47">IF(ISERROR(L136/(F136*744)),0,L136/(F136*744))</f>
        <v>16.570243104254324</v>
      </c>
      <c r="N136" s="1540"/>
    </row>
    <row r="137" spans="1:21">
      <c r="A137" s="76" t="s">
        <v>349</v>
      </c>
      <c r="B137" s="1435">
        <f>Chino!N337</f>
        <v>0</v>
      </c>
      <c r="C137" s="1433"/>
      <c r="D137" s="1432">
        <f>F137*325900</f>
        <v>0</v>
      </c>
      <c r="E137" s="1433"/>
      <c r="F137" s="1537">
        <v>0</v>
      </c>
      <c r="G137" s="1538"/>
      <c r="H137" s="886">
        <v>0</v>
      </c>
      <c r="I137" s="173">
        <v>0</v>
      </c>
      <c r="J137" s="173">
        <v>0</v>
      </c>
      <c r="K137" s="173">
        <v>0</v>
      </c>
      <c r="L137" s="150">
        <f t="shared" si="45"/>
        <v>0</v>
      </c>
      <c r="M137" s="1539">
        <f t="shared" si="47"/>
        <v>0</v>
      </c>
      <c r="N137" s="1540"/>
    </row>
    <row r="138" spans="1:21" ht="14" thickBot="1">
      <c r="A138" s="76" t="s">
        <v>266</v>
      </c>
      <c r="B138" s="1432">
        <f>Chino!N338</f>
        <v>0</v>
      </c>
      <c r="C138" s="1433"/>
      <c r="D138" s="1447">
        <v>0</v>
      </c>
      <c r="E138" s="1448"/>
      <c r="F138" s="1713">
        <v>0</v>
      </c>
      <c r="G138" s="1538"/>
      <c r="H138" s="886">
        <v>0</v>
      </c>
      <c r="I138" s="173">
        <v>0</v>
      </c>
      <c r="J138" s="286">
        <v>0</v>
      </c>
      <c r="K138" s="286">
        <v>0</v>
      </c>
      <c r="L138" s="150">
        <f t="shared" si="45"/>
        <v>0</v>
      </c>
      <c r="M138" s="1539">
        <f t="shared" si="47"/>
        <v>0</v>
      </c>
      <c r="N138" s="1540"/>
    </row>
    <row r="139" spans="1:21" s="533" customFormat="1" ht="14" thickBot="1">
      <c r="A139" s="693" t="s">
        <v>60</v>
      </c>
      <c r="B139" s="1714">
        <f>SUM(B126:C138)</f>
        <v>362</v>
      </c>
      <c r="C139" s="1715"/>
      <c r="D139" s="1714">
        <f>SUM(D126:E138)</f>
        <v>2742943.8680000007</v>
      </c>
      <c r="E139" s="1715"/>
      <c r="F139" s="1716">
        <f>SUM(F126:G138)</f>
        <v>8.416520000000002</v>
      </c>
      <c r="G139" s="1717"/>
      <c r="H139" s="888">
        <f>SUM(H126:H138)</f>
        <v>100.16470000000001</v>
      </c>
      <c r="I139" s="889">
        <f>SUM(I126:I138)</f>
        <v>510.39</v>
      </c>
      <c r="J139" s="988">
        <f t="shared" ref="J139:L139" si="48">SUM(J126:J138)</f>
        <v>5466</v>
      </c>
      <c r="K139" s="988">
        <f t="shared" si="48"/>
        <v>55662.38</v>
      </c>
      <c r="L139" s="988">
        <f t="shared" si="48"/>
        <v>61638.77</v>
      </c>
      <c r="M139" s="1452"/>
      <c r="N139" s="1603"/>
      <c r="O139" s="534"/>
      <c r="P139" s="534"/>
      <c r="Q139" s="534"/>
      <c r="R139" s="534"/>
      <c r="S139" s="534"/>
      <c r="T139" s="534"/>
      <c r="U139" s="534"/>
    </row>
    <row r="140" spans="1:21" s="1161" customFormat="1" ht="17" thickBot="1">
      <c r="A140" s="110" t="s">
        <v>194</v>
      </c>
      <c r="B140" s="1456"/>
      <c r="C140" s="1457"/>
      <c r="D140" s="1457"/>
      <c r="E140" s="1457"/>
      <c r="F140" s="1484"/>
      <c r="G140" s="1484"/>
      <c r="H140" s="1158"/>
      <c r="I140" s="997"/>
      <c r="J140" s="997"/>
      <c r="K140" s="997"/>
      <c r="L140" s="997"/>
      <c r="M140" s="1541"/>
      <c r="N140" s="1542"/>
      <c r="O140" s="274"/>
      <c r="P140" s="274"/>
      <c r="Q140" s="274"/>
      <c r="R140" s="274"/>
      <c r="S140" s="274"/>
      <c r="T140" s="274"/>
      <c r="U140" s="274"/>
    </row>
    <row r="141" spans="1:21">
      <c r="A141" s="691" t="s">
        <v>29</v>
      </c>
      <c r="B141" s="1432">
        <f>Chino!N341</f>
        <v>110</v>
      </c>
      <c r="C141" s="1433"/>
      <c r="D141" s="1467">
        <f>F141*325900</f>
        <v>881885.4</v>
      </c>
      <c r="E141" s="1433"/>
      <c r="F141" s="1710">
        <f>0.0246*B141</f>
        <v>2.706</v>
      </c>
      <c r="G141" s="1711"/>
      <c r="H141" s="445">
        <f>F141*20</f>
        <v>54.12</v>
      </c>
      <c r="I141" s="174">
        <v>0</v>
      </c>
      <c r="J141" s="173">
        <v>300</v>
      </c>
      <c r="K141" s="286">
        <v>15425</v>
      </c>
      <c r="L141" s="150">
        <f t="shared" si="45"/>
        <v>15725</v>
      </c>
      <c r="M141" s="1539">
        <f t="shared" ref="M141" si="49">IF(ISERROR(L141/(F141*744)),0,L141/(F141*744))</f>
        <v>7.8106994413052639</v>
      </c>
      <c r="N141" s="1540"/>
      <c r="Q141" s="1222"/>
    </row>
    <row r="142" spans="1:21">
      <c r="A142" s="33" t="s">
        <v>51</v>
      </c>
      <c r="B142" s="1432">
        <f>Chino!N342</f>
        <v>0</v>
      </c>
      <c r="C142" s="1433"/>
      <c r="D142" s="1467">
        <f>F142*325900</f>
        <v>0</v>
      </c>
      <c r="E142" s="1433"/>
      <c r="F142" s="1712">
        <f>0.1227*B142</f>
        <v>0</v>
      </c>
      <c r="G142" s="1711"/>
      <c r="H142" s="445">
        <f>F142*20</f>
        <v>0</v>
      </c>
      <c r="I142" s="174">
        <v>0</v>
      </c>
      <c r="J142" s="173">
        <v>0</v>
      </c>
      <c r="K142" s="286">
        <v>0</v>
      </c>
      <c r="L142" s="150">
        <f t="shared" si="45"/>
        <v>0</v>
      </c>
      <c r="M142" s="1539">
        <f t="shared" ref="M142:M152" si="50">IF(ISERROR(L142/(F142*744)),0,L142/(F142*744))</f>
        <v>0</v>
      </c>
      <c r="N142" s="1540"/>
    </row>
    <row r="143" spans="1:21">
      <c r="A143" s="35" t="s">
        <v>204</v>
      </c>
      <c r="B143" s="1432">
        <f>Chino!N343</f>
        <v>0</v>
      </c>
      <c r="C143" s="1433"/>
      <c r="D143" s="1467">
        <f>F143*325851</f>
        <v>0</v>
      </c>
      <c r="E143" s="1433"/>
      <c r="F143" s="1712">
        <f>B143*0.644</f>
        <v>0</v>
      </c>
      <c r="G143" s="1711"/>
      <c r="H143" s="445">
        <f>F143*5</f>
        <v>0</v>
      </c>
      <c r="I143" s="286">
        <v>0</v>
      </c>
      <c r="J143" s="173">
        <v>0</v>
      </c>
      <c r="K143" s="173">
        <v>0</v>
      </c>
      <c r="L143" s="150">
        <f t="shared" si="45"/>
        <v>0</v>
      </c>
      <c r="M143" s="1539">
        <f t="shared" si="50"/>
        <v>0</v>
      </c>
      <c r="N143" s="1540"/>
    </row>
    <row r="144" spans="1:21">
      <c r="A144" s="76" t="s">
        <v>30</v>
      </c>
      <c r="B144" s="1432">
        <f>Chino!N344</f>
        <v>0</v>
      </c>
      <c r="C144" s="1433"/>
      <c r="D144" s="1467">
        <f t="shared" ref="D144:D152" si="51">F144*325900</f>
        <v>0</v>
      </c>
      <c r="E144" s="1433"/>
      <c r="F144" s="1712">
        <f>0.0129*B144</f>
        <v>0</v>
      </c>
      <c r="G144" s="1711"/>
      <c r="H144" s="887">
        <f>F144*10</f>
        <v>0</v>
      </c>
      <c r="I144" s="173">
        <v>0</v>
      </c>
      <c r="J144" s="173">
        <v>0</v>
      </c>
      <c r="K144" s="173">
        <v>0</v>
      </c>
      <c r="L144" s="150">
        <f t="shared" si="45"/>
        <v>0</v>
      </c>
      <c r="M144" s="1539">
        <f t="shared" si="50"/>
        <v>0</v>
      </c>
      <c r="N144" s="1540"/>
    </row>
    <row r="145" spans="1:21">
      <c r="A145" s="33" t="s">
        <v>56</v>
      </c>
      <c r="B145" s="1432">
        <f>Chino!N345</f>
        <v>0</v>
      </c>
      <c r="C145" s="1433"/>
      <c r="D145" s="1467">
        <f t="shared" si="51"/>
        <v>0</v>
      </c>
      <c r="E145" s="1433"/>
      <c r="F145" s="1712">
        <f>0.0044*B145</f>
        <v>0</v>
      </c>
      <c r="G145" s="1711"/>
      <c r="H145" s="887">
        <f>F145*5</f>
        <v>0</v>
      </c>
      <c r="I145" s="173">
        <v>0</v>
      </c>
      <c r="J145" s="173">
        <v>0</v>
      </c>
      <c r="K145" s="173">
        <v>0</v>
      </c>
      <c r="L145" s="150">
        <f t="shared" si="45"/>
        <v>0</v>
      </c>
      <c r="M145" s="1539">
        <f t="shared" si="50"/>
        <v>0</v>
      </c>
      <c r="N145" s="1540"/>
      <c r="S145" s="1222"/>
    </row>
    <row r="146" spans="1:21">
      <c r="A146" s="76" t="s">
        <v>122</v>
      </c>
      <c r="B146" s="1432">
        <f>Chino!N346</f>
        <v>0</v>
      </c>
      <c r="C146" s="1433"/>
      <c r="D146" s="1467">
        <f t="shared" si="51"/>
        <v>0</v>
      </c>
      <c r="E146" s="1432"/>
      <c r="F146" s="1710">
        <f>0.018*B146</f>
        <v>0</v>
      </c>
      <c r="G146" s="1711"/>
      <c r="H146" s="887">
        <f>F146*10</f>
        <v>0</v>
      </c>
      <c r="I146" s="173">
        <v>0</v>
      </c>
      <c r="J146" s="173">
        <v>0</v>
      </c>
      <c r="K146" s="173">
        <v>0</v>
      </c>
      <c r="L146" s="150">
        <f t="shared" si="45"/>
        <v>0</v>
      </c>
      <c r="M146" s="1539">
        <f t="shared" si="50"/>
        <v>0</v>
      </c>
      <c r="N146" s="1540"/>
    </row>
    <row r="147" spans="1:21">
      <c r="A147" s="76" t="s">
        <v>184</v>
      </c>
      <c r="B147" s="1432">
        <f>Chino!N347</f>
        <v>0</v>
      </c>
      <c r="C147" s="1433"/>
      <c r="D147" s="1432">
        <f t="shared" si="51"/>
        <v>0</v>
      </c>
      <c r="E147" s="1433"/>
      <c r="F147" s="1710">
        <f>0.0129*B147</f>
        <v>0</v>
      </c>
      <c r="G147" s="1711"/>
      <c r="H147" s="887">
        <f>F147*10</f>
        <v>0</v>
      </c>
      <c r="I147" s="173">
        <v>0</v>
      </c>
      <c r="J147" s="173">
        <v>0</v>
      </c>
      <c r="K147" s="173">
        <v>0</v>
      </c>
      <c r="L147" s="150">
        <f t="shared" si="45"/>
        <v>0</v>
      </c>
      <c r="M147" s="1539">
        <f t="shared" si="50"/>
        <v>0</v>
      </c>
      <c r="N147" s="1540"/>
      <c r="U147" s="1222"/>
    </row>
    <row r="148" spans="1:21" s="57" customFormat="1">
      <c r="A148" s="76" t="s">
        <v>187</v>
      </c>
      <c r="B148" s="1432">
        <f>Chino!N348</f>
        <v>0</v>
      </c>
      <c r="C148" s="1433"/>
      <c r="D148" s="1432">
        <f t="shared" si="51"/>
        <v>0</v>
      </c>
      <c r="E148" s="1433"/>
      <c r="F148" s="1710">
        <f>B148*0.023</f>
        <v>0</v>
      </c>
      <c r="G148" s="1711"/>
      <c r="H148" s="887">
        <f>F148*5</f>
        <v>0</v>
      </c>
      <c r="I148" s="173">
        <v>0</v>
      </c>
      <c r="J148" s="173">
        <v>0</v>
      </c>
      <c r="K148" s="173">
        <v>0</v>
      </c>
      <c r="L148" s="150">
        <f t="shared" si="45"/>
        <v>0</v>
      </c>
      <c r="M148" s="1539">
        <f t="shared" si="50"/>
        <v>0</v>
      </c>
      <c r="N148" s="1540"/>
      <c r="O148" s="121"/>
      <c r="P148" s="121"/>
      <c r="Q148" s="121"/>
      <c r="R148" s="121"/>
      <c r="S148" s="121"/>
      <c r="T148" s="121"/>
      <c r="U148" s="121"/>
    </row>
    <row r="149" spans="1:21" s="57" customFormat="1">
      <c r="A149" s="76" t="s">
        <v>188</v>
      </c>
      <c r="B149" s="1451">
        <f>Chino!N349</f>
        <v>0</v>
      </c>
      <c r="C149" s="1448"/>
      <c r="D149" s="1451">
        <f t="shared" si="51"/>
        <v>0</v>
      </c>
      <c r="E149" s="1448"/>
      <c r="F149" s="1537">
        <f>0.154*B149</f>
        <v>0</v>
      </c>
      <c r="G149" s="1538"/>
      <c r="H149" s="906">
        <f>F149*10</f>
        <v>0</v>
      </c>
      <c r="I149" s="173">
        <v>0</v>
      </c>
      <c r="J149" s="173">
        <v>0</v>
      </c>
      <c r="K149" s="173">
        <v>0</v>
      </c>
      <c r="L149" s="150">
        <f t="shared" si="45"/>
        <v>0</v>
      </c>
      <c r="M149" s="1539">
        <f t="shared" si="50"/>
        <v>0</v>
      </c>
      <c r="N149" s="1540"/>
      <c r="O149" s="121"/>
      <c r="P149" s="121"/>
      <c r="Q149" s="1222"/>
      <c r="R149" s="121"/>
      <c r="S149" s="121"/>
      <c r="T149" s="121"/>
      <c r="U149" s="121"/>
    </row>
    <row r="150" spans="1:21" s="57" customFormat="1">
      <c r="A150" s="76" t="s">
        <v>320</v>
      </c>
      <c r="B150" s="1451">
        <f>Chino!N350</f>
        <v>4</v>
      </c>
      <c r="C150" s="1448"/>
      <c r="D150" s="1451">
        <f t="shared" si="51"/>
        <v>5142294.625</v>
      </c>
      <c r="E150" s="1448"/>
      <c r="F150" s="1537">
        <v>15.77875</v>
      </c>
      <c r="G150" s="1538"/>
      <c r="H150" s="906">
        <f>F150*10</f>
        <v>157.78749999999999</v>
      </c>
      <c r="I150" s="173">
        <v>0</v>
      </c>
      <c r="J150" s="173">
        <v>4963</v>
      </c>
      <c r="K150" s="173">
        <v>140023.38</v>
      </c>
      <c r="L150" s="150">
        <f>K150+J150+I150</f>
        <v>144986.38</v>
      </c>
      <c r="M150" s="1539">
        <f t="shared" si="50"/>
        <v>12.350418548152842</v>
      </c>
      <c r="N150" s="1540"/>
      <c r="O150" s="121"/>
      <c r="P150" s="121"/>
      <c r="Q150" s="1222"/>
      <c r="R150" s="121"/>
      <c r="S150" s="121"/>
      <c r="T150" s="121"/>
      <c r="U150" s="121"/>
    </row>
    <row r="151" spans="1:21" s="57" customFormat="1">
      <c r="A151" s="76" t="s">
        <v>269</v>
      </c>
      <c r="B151" s="1432">
        <f>Chino!N351</f>
        <v>0</v>
      </c>
      <c r="C151" s="1433"/>
      <c r="D151" s="1432">
        <f t="shared" si="51"/>
        <v>0</v>
      </c>
      <c r="E151" s="1433"/>
      <c r="F151" s="1710">
        <f>B151*0.0129</f>
        <v>0</v>
      </c>
      <c r="G151" s="1711"/>
      <c r="H151" s="887">
        <v>0</v>
      </c>
      <c r="I151" s="173">
        <v>0</v>
      </c>
      <c r="J151" s="173">
        <v>0</v>
      </c>
      <c r="K151" s="173">
        <v>0</v>
      </c>
      <c r="L151" s="150">
        <f t="shared" si="45"/>
        <v>0</v>
      </c>
      <c r="M151" s="1539">
        <f t="shared" si="50"/>
        <v>0</v>
      </c>
      <c r="N151" s="1540"/>
      <c r="O151" s="121"/>
      <c r="P151" s="121"/>
      <c r="Q151" s="1222"/>
      <c r="R151" s="121"/>
      <c r="S151" s="121"/>
      <c r="T151" s="121"/>
      <c r="U151" s="121"/>
    </row>
    <row r="152" spans="1:21" s="57" customFormat="1" ht="14" thickBot="1">
      <c r="A152" s="104" t="s">
        <v>268</v>
      </c>
      <c r="B152" s="1432">
        <f>Chino!N352</f>
        <v>0</v>
      </c>
      <c r="C152" s="1433"/>
      <c r="D152" s="1432">
        <f t="shared" si="51"/>
        <v>0</v>
      </c>
      <c r="E152" s="1433"/>
      <c r="F152" s="1710">
        <f>(B152*0.0084)/2</f>
        <v>0</v>
      </c>
      <c r="G152" s="1711"/>
      <c r="H152" s="887">
        <f>F152*10</f>
        <v>0</v>
      </c>
      <c r="I152" s="173">
        <v>0</v>
      </c>
      <c r="J152" s="173">
        <v>0</v>
      </c>
      <c r="K152" s="173">
        <v>0</v>
      </c>
      <c r="L152" s="150">
        <f t="shared" si="45"/>
        <v>0</v>
      </c>
      <c r="M152" s="1539">
        <f t="shared" si="50"/>
        <v>0</v>
      </c>
      <c r="N152" s="1540"/>
      <c r="O152" s="121"/>
      <c r="P152" s="121"/>
      <c r="Q152" s="1222"/>
      <c r="R152" s="121"/>
      <c r="S152" s="121"/>
      <c r="T152" s="121"/>
      <c r="U152" s="121"/>
    </row>
    <row r="153" spans="1:21" s="1161" customFormat="1" ht="17" thickBot="1">
      <c r="A153" s="110" t="s">
        <v>192</v>
      </c>
      <c r="B153" s="1456"/>
      <c r="C153" s="1457"/>
      <c r="D153" s="1457"/>
      <c r="E153" s="1457"/>
      <c r="F153" s="1484"/>
      <c r="G153" s="1484"/>
      <c r="H153" s="1158"/>
      <c r="I153" s="997"/>
      <c r="J153" s="997"/>
      <c r="K153" s="997"/>
      <c r="L153" s="997"/>
      <c r="M153" s="1541"/>
      <c r="N153" s="1542"/>
      <c r="O153" s="274"/>
      <c r="P153" s="274"/>
      <c r="Q153" s="274"/>
      <c r="R153" s="1371"/>
      <c r="S153" s="274"/>
      <c r="T153" s="274"/>
      <c r="U153" s="274"/>
    </row>
    <row r="154" spans="1:21" ht="14" thickBot="1">
      <c r="A154" s="76" t="s">
        <v>165</v>
      </c>
      <c r="B154" s="1432">
        <f>Chino!N354</f>
        <v>0</v>
      </c>
      <c r="C154" s="1433"/>
      <c r="D154" s="1570">
        <f>F154*325900</f>
        <v>0</v>
      </c>
      <c r="E154" s="1544"/>
      <c r="F154" s="1545">
        <f>0.004*B154</f>
        <v>0</v>
      </c>
      <c r="G154" s="1546"/>
      <c r="H154" s="751">
        <f>F154*5</f>
        <v>0</v>
      </c>
      <c r="I154" s="215">
        <v>0</v>
      </c>
      <c r="J154" s="140">
        <f>0*B154</f>
        <v>0</v>
      </c>
      <c r="K154" s="140">
        <f>B154*3.25</f>
        <v>0</v>
      </c>
      <c r="L154" s="150">
        <f t="shared" si="45"/>
        <v>0</v>
      </c>
      <c r="M154" s="1539">
        <f t="shared" ref="M154" si="52">IF(ISERROR(L154/(F154*744)),0,L154/(F154*744))</f>
        <v>0</v>
      </c>
      <c r="N154" s="1540"/>
    </row>
    <row r="155" spans="1:21" s="533" customFormat="1" ht="14" thickBot="1">
      <c r="A155" s="53" t="s">
        <v>60</v>
      </c>
      <c r="B155" s="1438">
        <f>SUM(B141:B154)</f>
        <v>114</v>
      </c>
      <c r="C155" s="1439"/>
      <c r="D155" s="1440">
        <f>SUM(D141:E154)</f>
        <v>6024180.0250000004</v>
      </c>
      <c r="E155" s="1439"/>
      <c r="F155" s="1511">
        <f>SUM(F141:G154)</f>
        <v>18.484750000000002</v>
      </c>
      <c r="G155" s="1512"/>
      <c r="H155" s="56">
        <f>SUM(H141:H154)</f>
        <v>211.9075</v>
      </c>
      <c r="I155" s="146">
        <f>SUM(I141:I154)</f>
        <v>0</v>
      </c>
      <c r="J155" s="146">
        <f>SUM(J141:J154)</f>
        <v>5263</v>
      </c>
      <c r="K155" s="146">
        <f>SUM(K141:K154)</f>
        <v>155448.38</v>
      </c>
      <c r="L155" s="146">
        <f>SUM(L141:L154)</f>
        <v>160711.38</v>
      </c>
      <c r="M155" s="1442"/>
      <c r="N155" s="1443"/>
      <c r="O155" s="534"/>
      <c r="P155" s="534"/>
      <c r="Q155" s="534"/>
      <c r="R155" s="534"/>
      <c r="S155" s="534"/>
      <c r="T155" s="534"/>
      <c r="U155" s="534"/>
    </row>
    <row r="156" spans="1:21" s="1161" customFormat="1" ht="17" thickBot="1">
      <c r="A156" s="1163" t="s">
        <v>17</v>
      </c>
      <c r="B156" s="1414">
        <f>SUM(,B139,B155)</f>
        <v>476</v>
      </c>
      <c r="C156" s="1415"/>
      <c r="D156" s="1416">
        <f>SUM(,D139,D155)</f>
        <v>8767123.8930000011</v>
      </c>
      <c r="E156" s="1415"/>
      <c r="F156" s="1487">
        <f>SUM(,F139,F155)</f>
        <v>26.901270000000004</v>
      </c>
      <c r="G156" s="1488"/>
      <c r="H156" s="1164">
        <f>(H155+H139)</f>
        <v>312.07220000000001</v>
      </c>
      <c r="I156" s="1165">
        <f>SUM(,I139,I155)</f>
        <v>510.39</v>
      </c>
      <c r="J156" s="1165">
        <f>SUM(,J139,J155)</f>
        <v>10729</v>
      </c>
      <c r="K156" s="1165">
        <f>SUM(,K139,K155)</f>
        <v>211110.76</v>
      </c>
      <c r="L156" s="1165">
        <f>SUM(,L139,L155)</f>
        <v>222350.15</v>
      </c>
      <c r="M156" s="1417"/>
      <c r="N156" s="1418"/>
      <c r="O156" s="274"/>
      <c r="P156" s="274"/>
      <c r="Q156" s="274"/>
      <c r="R156" s="274"/>
      <c r="S156" s="274"/>
      <c r="T156" s="274"/>
      <c r="U156" s="274"/>
    </row>
    <row r="157" spans="1:21">
      <c r="A157" s="50"/>
      <c r="B157" s="770"/>
      <c r="C157" s="770"/>
      <c r="D157" s="770"/>
      <c r="E157" s="770"/>
      <c r="F157" s="769"/>
      <c r="G157" s="769"/>
      <c r="H157" s="769"/>
      <c r="I157" s="21"/>
      <c r="J157" s="21"/>
      <c r="K157" s="21"/>
      <c r="L157" s="21"/>
      <c r="M157" s="767"/>
      <c r="N157" s="767"/>
    </row>
    <row r="158" spans="1:21" ht="15">
      <c r="A158" s="9" t="s">
        <v>18</v>
      </c>
      <c r="B158" s="1695" t="s">
        <v>59</v>
      </c>
      <c r="C158" s="1695"/>
      <c r="D158" s="1695"/>
      <c r="E158" s="1695"/>
      <c r="F158" s="769"/>
      <c r="G158" s="769"/>
      <c r="H158" s="769"/>
      <c r="I158" s="21"/>
      <c r="J158" s="21"/>
      <c r="K158" s="21"/>
      <c r="L158" s="21"/>
      <c r="M158" s="767"/>
      <c r="N158" s="767"/>
    </row>
    <row r="159" spans="1:21">
      <c r="A159" s="3"/>
      <c r="B159" s="1696" t="s">
        <v>19</v>
      </c>
      <c r="C159" s="1696"/>
      <c r="D159" s="1696"/>
      <c r="E159" s="1696"/>
      <c r="F159" s="779"/>
      <c r="G159" s="779"/>
      <c r="H159" s="779"/>
      <c r="I159" s="21"/>
      <c r="J159" s="21"/>
      <c r="K159" s="21"/>
      <c r="L159" s="21"/>
      <c r="M159" s="778"/>
      <c r="N159" s="778"/>
    </row>
    <row r="160" spans="1:21" ht="14" thickBot="1">
      <c r="A160" s="850"/>
      <c r="B160" s="851"/>
      <c r="C160" s="851"/>
      <c r="D160" s="851"/>
      <c r="E160" s="851"/>
      <c r="F160" s="852"/>
      <c r="G160" s="852"/>
      <c r="H160" s="852"/>
      <c r="I160" s="853"/>
      <c r="J160" s="853"/>
      <c r="K160" s="853"/>
      <c r="L160" s="853"/>
      <c r="M160" s="851"/>
      <c r="N160" s="851"/>
    </row>
    <row r="161" spans="1:21" ht="17" thickTop="1">
      <c r="A161" s="97"/>
      <c r="B161" s="102"/>
      <c r="C161" s="102"/>
      <c r="D161" s="102"/>
      <c r="E161" s="102"/>
      <c r="F161" s="488"/>
      <c r="G161" s="488"/>
      <c r="H161" s="488"/>
      <c r="I161" s="1565" t="s">
        <v>0</v>
      </c>
      <c r="J161" s="1565"/>
      <c r="K161" s="1565"/>
      <c r="L161" s="1565"/>
      <c r="M161" s="102"/>
      <c r="N161" s="490"/>
    </row>
    <row r="162" spans="1:21" ht="16">
      <c r="A162" s="97"/>
      <c r="B162" s="1469" t="s">
        <v>1</v>
      </c>
      <c r="C162" s="1469"/>
      <c r="D162" s="1469" t="s">
        <v>2</v>
      </c>
      <c r="E162" s="1469"/>
      <c r="F162" s="1470" t="s">
        <v>3</v>
      </c>
      <c r="G162" s="1470"/>
      <c r="H162" s="438" t="s">
        <v>3</v>
      </c>
      <c r="I162" s="127" t="s">
        <v>195</v>
      </c>
      <c r="J162" s="102"/>
      <c r="K162" s="102"/>
      <c r="L162" s="128"/>
      <c r="M162" s="1525" t="s">
        <v>4</v>
      </c>
      <c r="N162" s="1526"/>
    </row>
    <row r="163" spans="1:21" ht="19" thickBot="1">
      <c r="A163" s="103" t="s">
        <v>5</v>
      </c>
      <c r="B163" s="1473" t="s">
        <v>6</v>
      </c>
      <c r="C163" s="1473"/>
      <c r="D163" s="1473" t="s">
        <v>7</v>
      </c>
      <c r="E163" s="1473"/>
      <c r="F163" s="1474" t="s">
        <v>7</v>
      </c>
      <c r="G163" s="1474"/>
      <c r="H163" s="439" t="s">
        <v>58</v>
      </c>
      <c r="I163" s="398" t="s">
        <v>196</v>
      </c>
      <c r="J163" s="397" t="s">
        <v>8</v>
      </c>
      <c r="K163" s="397" t="s">
        <v>9</v>
      </c>
      <c r="L163" s="401" t="s">
        <v>10</v>
      </c>
      <c r="M163" s="1527" t="s">
        <v>145</v>
      </c>
      <c r="N163" s="1475"/>
    </row>
    <row r="164" spans="1:21" ht="24" thickBot="1">
      <c r="A164" s="88" t="s">
        <v>265</v>
      </c>
      <c r="B164" s="1702"/>
      <c r="C164" s="1703"/>
      <c r="D164" s="1704"/>
      <c r="E164" s="1705"/>
      <c r="F164" s="1706"/>
      <c r="G164" s="1707"/>
      <c r="H164" s="443"/>
      <c r="I164" s="304"/>
      <c r="J164" s="304"/>
      <c r="K164" s="304"/>
      <c r="L164" s="305"/>
      <c r="M164" s="1708"/>
      <c r="N164" s="1709"/>
    </row>
    <row r="165" spans="1:21" s="1161" customFormat="1" ht="17" thickBot="1">
      <c r="A165" s="110" t="s">
        <v>189</v>
      </c>
      <c r="B165" s="1456"/>
      <c r="C165" s="1457"/>
      <c r="D165" s="1567"/>
      <c r="E165" s="1586"/>
      <c r="F165" s="1587"/>
      <c r="G165" s="1484"/>
      <c r="H165" s="1144"/>
      <c r="I165" s="1148"/>
      <c r="J165" s="109"/>
      <c r="K165" s="109"/>
      <c r="L165" s="109"/>
      <c r="M165" s="1485"/>
      <c r="N165" s="1486"/>
      <c r="O165" s="274"/>
      <c r="P165" s="274"/>
      <c r="Q165" s="274"/>
      <c r="R165" s="274"/>
      <c r="S165" s="274"/>
      <c r="T165" s="274"/>
      <c r="U165" s="274"/>
    </row>
    <row r="166" spans="1:21">
      <c r="A166" s="68" t="s">
        <v>29</v>
      </c>
      <c r="B166" s="1731">
        <f>Chino!N292</f>
        <v>183</v>
      </c>
      <c r="C166" s="1732"/>
      <c r="D166" s="1444">
        <f>F166*325900</f>
        <v>2534687.2500000005</v>
      </c>
      <c r="E166" s="1422"/>
      <c r="F166" s="1720">
        <f>0.0425*B166</f>
        <v>7.7775000000000007</v>
      </c>
      <c r="G166" s="1721"/>
      <c r="H166" s="404">
        <f>F166*20</f>
        <v>155.55000000000001</v>
      </c>
      <c r="I166" s="151">
        <v>0</v>
      </c>
      <c r="J166" s="150">
        <v>4883.6499999999996</v>
      </c>
      <c r="K166" s="150">
        <v>17915.22</v>
      </c>
      <c r="L166" s="150">
        <f t="shared" ref="L166:L172" si="53">I166+J166+K166</f>
        <v>22798.870000000003</v>
      </c>
      <c r="M166" s="1634">
        <f>IF(ISERROR(L166/(F166*721)),0,L166/(F166*721))</f>
        <v>4.0657253510985809</v>
      </c>
      <c r="N166" s="1540"/>
    </row>
    <row r="167" spans="1:21">
      <c r="A167" s="68" t="s">
        <v>33</v>
      </c>
      <c r="B167" s="1421">
        <f>Chino!N293</f>
        <v>76</v>
      </c>
      <c r="C167" s="1422"/>
      <c r="D167" s="1444">
        <f>F167*325900</f>
        <v>854509.80000000016</v>
      </c>
      <c r="E167" s="1422"/>
      <c r="F167" s="1720">
        <f>0.0345*B167</f>
        <v>2.6220000000000003</v>
      </c>
      <c r="G167" s="1721"/>
      <c r="H167" s="404">
        <f>F167*15</f>
        <v>39.330000000000005</v>
      </c>
      <c r="I167" s="150">
        <f>0*B167</f>
        <v>0</v>
      </c>
      <c r="J167" s="150">
        <v>1430</v>
      </c>
      <c r="K167" s="150">
        <f>B167*85</f>
        <v>6460</v>
      </c>
      <c r="L167" s="150">
        <f t="shared" si="53"/>
        <v>7890</v>
      </c>
      <c r="M167" s="1634">
        <f t="shared" ref="M167:M172" si="54">IF(ISERROR(L167/(F167*721)),0,L167/(F167*721))</f>
        <v>4.1735829654338454</v>
      </c>
      <c r="N167" s="1540"/>
    </row>
    <row r="168" spans="1:21">
      <c r="A168" s="68" t="s">
        <v>56</v>
      </c>
      <c r="B168" s="1421">
        <f>Chino!N294</f>
        <v>102</v>
      </c>
      <c r="C168" s="1422"/>
      <c r="D168" s="1444">
        <f>F168*325851</f>
        <v>146241.92880000002</v>
      </c>
      <c r="E168" s="1422"/>
      <c r="F168" s="1720">
        <f>0.0044*B168</f>
        <v>0.44880000000000003</v>
      </c>
      <c r="G168" s="1721"/>
      <c r="H168" s="404">
        <f>F168*5</f>
        <v>2.2440000000000002</v>
      </c>
      <c r="I168" s="150">
        <f>0*B168</f>
        <v>0</v>
      </c>
      <c r="J168" s="150">
        <v>0</v>
      </c>
      <c r="K168" s="150">
        <v>385.43</v>
      </c>
      <c r="L168" s="150">
        <f t="shared" si="53"/>
        <v>385.43</v>
      </c>
      <c r="M168" s="1634">
        <f t="shared" si="54"/>
        <v>1.1911251702799388</v>
      </c>
      <c r="N168" s="1540"/>
    </row>
    <row r="169" spans="1:21">
      <c r="A169" s="68" t="s">
        <v>52</v>
      </c>
      <c r="B169" s="1421">
        <f>Chino!N295</f>
        <v>12</v>
      </c>
      <c r="C169" s="1422"/>
      <c r="D169" s="1444">
        <f>F169*325900</f>
        <v>1271010</v>
      </c>
      <c r="E169" s="1422"/>
      <c r="F169" s="1710">
        <f>0.325*B169</f>
        <v>3.9000000000000004</v>
      </c>
      <c r="G169" s="1711"/>
      <c r="H169" s="417">
        <f>F169*10</f>
        <v>39</v>
      </c>
      <c r="I169" s="151">
        <v>0</v>
      </c>
      <c r="J169" s="173">
        <v>177.98</v>
      </c>
      <c r="K169" s="173">
        <v>939.6</v>
      </c>
      <c r="L169" s="173">
        <f t="shared" si="53"/>
        <v>1117.58</v>
      </c>
      <c r="M169" s="1634">
        <f t="shared" si="54"/>
        <v>0.39744656637860515</v>
      </c>
      <c r="N169" s="1540"/>
    </row>
    <row r="170" spans="1:21">
      <c r="A170" s="254" t="s">
        <v>295</v>
      </c>
      <c r="B170" s="1421">
        <f>Chino!N296</f>
        <v>25</v>
      </c>
      <c r="C170" s="1422"/>
      <c r="D170" s="1444">
        <f>F170*325900</f>
        <v>1902786.7039999997</v>
      </c>
      <c r="E170" s="1422"/>
      <c r="F170" s="1710">
        <f>(44912*0.00013)</f>
        <v>5.8385599999999993</v>
      </c>
      <c r="G170" s="1711"/>
      <c r="H170" s="417">
        <f>F170*10</f>
        <v>58.385599999999997</v>
      </c>
      <c r="I170" s="151">
        <v>0</v>
      </c>
      <c r="J170" s="173">
        <v>0</v>
      </c>
      <c r="K170" s="173">
        <v>86424</v>
      </c>
      <c r="L170" s="173">
        <f t="shared" si="53"/>
        <v>86424</v>
      </c>
      <c r="M170" s="1634">
        <f t="shared" si="54"/>
        <v>20.530208064147143</v>
      </c>
      <c r="N170" s="1540"/>
    </row>
    <row r="171" spans="1:21">
      <c r="A171" s="254" t="s">
        <v>214</v>
      </c>
      <c r="B171" s="1421">
        <f>Chino!N297</f>
        <v>16</v>
      </c>
      <c r="C171" s="1422"/>
      <c r="D171" s="1444">
        <f>F171*325900</f>
        <v>9907.36</v>
      </c>
      <c r="E171" s="1422"/>
      <c r="F171" s="1718">
        <f>0.0019*B171</f>
        <v>3.04E-2</v>
      </c>
      <c r="G171" s="1719"/>
      <c r="H171" s="713">
        <f>F171*5</f>
        <v>0.152</v>
      </c>
      <c r="I171" s="151">
        <v>0</v>
      </c>
      <c r="J171" s="173">
        <f>0*B171</f>
        <v>0</v>
      </c>
      <c r="K171" s="173">
        <f>B171*75</f>
        <v>1200</v>
      </c>
      <c r="L171" s="173">
        <f t="shared" si="53"/>
        <v>1200</v>
      </c>
      <c r="M171" s="1634">
        <f t="shared" si="54"/>
        <v>54.748521789911678</v>
      </c>
      <c r="N171" s="1540"/>
    </row>
    <row r="172" spans="1:21" ht="14" thickBot="1">
      <c r="A172" s="258" t="s">
        <v>269</v>
      </c>
      <c r="B172" s="1429">
        <f>Chino!N298</f>
        <v>0</v>
      </c>
      <c r="C172" s="1430"/>
      <c r="D172" s="1444">
        <f>F172*0.0095</f>
        <v>0</v>
      </c>
      <c r="E172" s="1422"/>
      <c r="F172" s="1710">
        <f>0.0019*B172</f>
        <v>0</v>
      </c>
      <c r="G172" s="1711"/>
      <c r="H172" s="417">
        <f>F172*10</f>
        <v>0</v>
      </c>
      <c r="I172" s="151">
        <v>0</v>
      </c>
      <c r="J172" s="173">
        <f>0*B172</f>
        <v>0</v>
      </c>
      <c r="K172" s="173">
        <f>B172*75</f>
        <v>0</v>
      </c>
      <c r="L172" s="173">
        <f t="shared" si="53"/>
        <v>0</v>
      </c>
      <c r="M172" s="1634">
        <f t="shared" si="54"/>
        <v>0</v>
      </c>
      <c r="N172" s="1540"/>
    </row>
    <row r="173" spans="1:21" s="1161" customFormat="1" ht="17" thickBot="1">
      <c r="A173" s="110" t="s">
        <v>190</v>
      </c>
      <c r="B173" s="1456"/>
      <c r="C173" s="1586"/>
      <c r="D173" s="1457"/>
      <c r="E173" s="1457"/>
      <c r="F173" s="1587"/>
      <c r="G173" s="1484"/>
      <c r="H173" s="1144"/>
      <c r="I173" s="194"/>
      <c r="J173" s="195"/>
      <c r="K173" s="194"/>
      <c r="L173" s="195"/>
      <c r="M173" s="1593"/>
      <c r="N173" s="1542"/>
      <c r="O173" s="274"/>
      <c r="P173" s="274"/>
      <c r="Q173" s="274"/>
      <c r="R173" s="274"/>
      <c r="S173" s="274"/>
      <c r="T173" s="274"/>
      <c r="U173" s="274"/>
    </row>
    <row r="174" spans="1:21">
      <c r="A174" s="254" t="s">
        <v>205</v>
      </c>
      <c r="B174" s="1731">
        <f>Chino!N300</f>
        <v>108</v>
      </c>
      <c r="C174" s="1732"/>
      <c r="D174" s="1444">
        <f>F174*325900</f>
        <v>154867.68</v>
      </c>
      <c r="E174" s="1422"/>
      <c r="F174" s="1710">
        <f>B174*0.0044</f>
        <v>0.47520000000000001</v>
      </c>
      <c r="G174" s="1711"/>
      <c r="H174" s="417">
        <f>F174*5</f>
        <v>2.3759999999999999</v>
      </c>
      <c r="I174" s="151">
        <v>0</v>
      </c>
      <c r="J174" s="173">
        <f>(B174*1.6)</f>
        <v>172.8</v>
      </c>
      <c r="K174" s="173">
        <f>(B174*2)</f>
        <v>216</v>
      </c>
      <c r="L174" s="174">
        <f>I174+J174+K174</f>
        <v>388.8</v>
      </c>
      <c r="M174" s="1539">
        <f>IF(ISERROR(L174/(F174*752)),0,L174/(F174*752))</f>
        <v>1.0880077369439072</v>
      </c>
      <c r="N174" s="1540"/>
    </row>
    <row r="175" spans="1:21">
      <c r="A175" s="254" t="s">
        <v>313</v>
      </c>
      <c r="B175" s="1435">
        <f>Chino!N301</f>
        <v>38</v>
      </c>
      <c r="C175" s="1433"/>
      <c r="D175" s="1432">
        <f>F175*325900</f>
        <v>6504312.1999999993</v>
      </c>
      <c r="E175" s="1433"/>
      <c r="F175" s="1537">
        <v>19.957999999999998</v>
      </c>
      <c r="G175" s="1538"/>
      <c r="H175" s="433">
        <v>193.89</v>
      </c>
      <c r="I175" s="173">
        <v>17044.32</v>
      </c>
      <c r="J175" s="173">
        <v>0</v>
      </c>
      <c r="K175" s="173">
        <v>17044.32</v>
      </c>
      <c r="L175" s="174">
        <f>I175+J175+K175</f>
        <v>34088.639999999999</v>
      </c>
      <c r="M175" s="1539">
        <f>IF(ISERROR(L175/(F175*752)),0,L175/(F175*752))</f>
        <v>2.2713016483551631</v>
      </c>
      <c r="N175" s="1540"/>
    </row>
    <row r="176" spans="1:21">
      <c r="A176" s="254" t="s">
        <v>296</v>
      </c>
      <c r="B176" s="1421">
        <f>Chino!N302</f>
        <v>3</v>
      </c>
      <c r="C176" s="1422"/>
      <c r="D176" s="1432">
        <f>F176*325900</f>
        <v>109502.39999999999</v>
      </c>
      <c r="E176" s="1433"/>
      <c r="F176" s="1718">
        <f>(0.00014*2400)</f>
        <v>0.33599999999999997</v>
      </c>
      <c r="G176" s="1719"/>
      <c r="H176" s="417">
        <f>F176*10</f>
        <v>3.3599999999999994</v>
      </c>
      <c r="I176" s="173">
        <v>720</v>
      </c>
      <c r="J176" s="173">
        <v>7554</v>
      </c>
      <c r="K176" s="173">
        <v>0</v>
      </c>
      <c r="L176" s="174">
        <f>I176+J176+K176</f>
        <v>8274</v>
      </c>
      <c r="M176" s="1539">
        <f>IF(ISERROR(L176/(F176*752)),0,L176/(F176*752))</f>
        <v>32.746010638297875</v>
      </c>
      <c r="N176" s="1540"/>
    </row>
    <row r="177" spans="1:21" ht="14" thickBot="1">
      <c r="A177" s="254" t="s">
        <v>266</v>
      </c>
      <c r="B177" s="1563">
        <f>Chino!N303</f>
        <v>0</v>
      </c>
      <c r="C177" s="1424"/>
      <c r="D177" s="1423">
        <v>0</v>
      </c>
      <c r="E177" s="1424"/>
      <c r="F177" s="1861">
        <v>0</v>
      </c>
      <c r="G177" s="1862"/>
      <c r="H177" s="413">
        <v>0</v>
      </c>
      <c r="I177" s="151">
        <v>0</v>
      </c>
      <c r="J177" s="286">
        <v>0</v>
      </c>
      <c r="K177" s="220">
        <v>0</v>
      </c>
      <c r="L177" s="170">
        <f>J177+K177</f>
        <v>0</v>
      </c>
      <c r="M177" s="1539">
        <f>IF(ISERROR(L177/(F177*752)),0,L177/(F177*752))</f>
        <v>0</v>
      </c>
      <c r="N177" s="1540"/>
    </row>
    <row r="178" spans="1:21" s="533" customFormat="1" ht="14" thickBot="1">
      <c r="A178" s="309" t="s">
        <v>60</v>
      </c>
      <c r="B178" s="1438">
        <f>SUM(B166:B177)</f>
        <v>563</v>
      </c>
      <c r="C178" s="1439"/>
      <c r="D178" s="1441">
        <f>SUM(D166:E177)</f>
        <v>13487825.322800001</v>
      </c>
      <c r="E178" s="1439"/>
      <c r="F178" s="1512">
        <f>SUM(F166:G177)</f>
        <v>41.38646</v>
      </c>
      <c r="G178" s="1575"/>
      <c r="H178" s="471">
        <f>SUM(H166:H177)</f>
        <v>494.2876</v>
      </c>
      <c r="I178" s="312">
        <f>SUM(I166:I177)</f>
        <v>17764.32</v>
      </c>
      <c r="J178" s="160">
        <f>SUM(J166:J177)</f>
        <v>14218.43</v>
      </c>
      <c r="K178" s="146">
        <f>SUM(K166:K177)</f>
        <v>130584.57</v>
      </c>
      <c r="L178" s="146">
        <f>SUM(L166:L177)</f>
        <v>162567.32</v>
      </c>
      <c r="M178" s="1440"/>
      <c r="N178" s="1730"/>
      <c r="O178" s="534"/>
      <c r="P178" s="534"/>
      <c r="Q178" s="534"/>
      <c r="R178" s="534"/>
      <c r="S178" s="534"/>
      <c r="T178" s="534"/>
      <c r="U178" s="534"/>
    </row>
    <row r="179" spans="1:21" s="1161" customFormat="1" ht="17" thickBot="1">
      <c r="A179" s="110" t="s">
        <v>194</v>
      </c>
      <c r="B179" s="1456"/>
      <c r="C179" s="1586"/>
      <c r="D179" s="1567"/>
      <c r="E179" s="1586"/>
      <c r="F179" s="1587"/>
      <c r="G179" s="1588"/>
      <c r="H179" s="447"/>
      <c r="I179" s="997"/>
      <c r="J179" s="184"/>
      <c r="K179" s="184"/>
      <c r="L179" s="1213"/>
      <c r="M179" s="1541"/>
      <c r="N179" s="1542"/>
      <c r="O179" s="274"/>
      <c r="P179" s="274"/>
      <c r="Q179" s="274"/>
      <c r="R179" s="274"/>
      <c r="S179" s="274"/>
      <c r="T179" s="274"/>
      <c r="U179" s="274"/>
    </row>
    <row r="180" spans="1:21">
      <c r="A180" s="68" t="s">
        <v>29</v>
      </c>
      <c r="B180" s="1421">
        <f>Chino!N307</f>
        <v>253</v>
      </c>
      <c r="C180" s="1422"/>
      <c r="D180" s="1431">
        <f>F180*325900</f>
        <v>3504239.7500000005</v>
      </c>
      <c r="E180" s="1422"/>
      <c r="F180" s="1720">
        <f>0.0425*B180</f>
        <v>10.752500000000001</v>
      </c>
      <c r="G180" s="1721"/>
      <c r="H180" s="444">
        <f>F180*20</f>
        <v>215.05</v>
      </c>
      <c r="I180" s="170">
        <v>0</v>
      </c>
      <c r="J180" s="150">
        <v>11550</v>
      </c>
      <c r="K180" s="221">
        <v>30450</v>
      </c>
      <c r="L180" s="172">
        <f t="shared" ref="L180:L186" si="55">SUM(I180:K180)</f>
        <v>42000</v>
      </c>
      <c r="M180" s="1539">
        <f>IF(ISERROR(L180/(F180*752)),0,L180/(F180*752))</f>
        <v>5.1942398353673314</v>
      </c>
      <c r="N180" s="1540"/>
      <c r="Q180" s="1222"/>
    </row>
    <row r="181" spans="1:21">
      <c r="A181" s="68" t="s">
        <v>51</v>
      </c>
      <c r="B181" s="1421">
        <f>Chino!N308</f>
        <v>0</v>
      </c>
      <c r="C181" s="1422"/>
      <c r="D181" s="1431">
        <f>F181*325900</f>
        <v>0</v>
      </c>
      <c r="E181" s="1422"/>
      <c r="F181" s="1727">
        <f>0.1227*B181</f>
        <v>0</v>
      </c>
      <c r="G181" s="1721"/>
      <c r="H181" s="444">
        <f>F181*20</f>
        <v>0</v>
      </c>
      <c r="I181" s="170">
        <v>0</v>
      </c>
      <c r="J181" s="150">
        <v>0</v>
      </c>
      <c r="K181" s="221">
        <v>0</v>
      </c>
      <c r="L181" s="172">
        <f t="shared" si="55"/>
        <v>0</v>
      </c>
      <c r="M181" s="1539">
        <f t="shared" ref="M181:M189" si="56">IF(ISERROR(L181/(F181*752)),0,L181/(F181*752))</f>
        <v>0</v>
      </c>
      <c r="N181" s="1540"/>
    </row>
    <row r="182" spans="1:21">
      <c r="A182" s="2" t="s">
        <v>204</v>
      </c>
      <c r="B182" s="1421">
        <f>Chino!N309</f>
        <v>0</v>
      </c>
      <c r="C182" s="1422"/>
      <c r="D182" s="1431">
        <f>F182*325851</f>
        <v>0</v>
      </c>
      <c r="E182" s="1422"/>
      <c r="F182" s="1727">
        <f>B182*0.644</f>
        <v>0</v>
      </c>
      <c r="G182" s="1721"/>
      <c r="H182" s="444">
        <f>F182*5</f>
        <v>0</v>
      </c>
      <c r="I182" s="220">
        <v>0</v>
      </c>
      <c r="J182" s="150">
        <v>0</v>
      </c>
      <c r="K182" s="150">
        <v>0</v>
      </c>
      <c r="L182" s="172">
        <f t="shared" si="55"/>
        <v>0</v>
      </c>
      <c r="M182" s="1539">
        <f t="shared" si="56"/>
        <v>0</v>
      </c>
      <c r="N182" s="1540"/>
    </row>
    <row r="183" spans="1:21">
      <c r="A183" s="254" t="s">
        <v>30</v>
      </c>
      <c r="B183" s="1421">
        <f>Chino!N310</f>
        <v>29</v>
      </c>
      <c r="C183" s="1422"/>
      <c r="D183" s="1431">
        <f t="shared" ref="D183:D191" si="57">F183*325900</f>
        <v>3071607.5</v>
      </c>
      <c r="E183" s="1422"/>
      <c r="F183" s="1727">
        <f>0.325*B183</f>
        <v>9.4250000000000007</v>
      </c>
      <c r="G183" s="1721"/>
      <c r="H183" s="404">
        <f>F183*10</f>
        <v>94.25</v>
      </c>
      <c r="I183" s="151">
        <v>0</v>
      </c>
      <c r="J183" s="151">
        <v>2340</v>
      </c>
      <c r="K183" s="151">
        <v>37239.17</v>
      </c>
      <c r="L183" s="172">
        <f t="shared" si="55"/>
        <v>39579.17</v>
      </c>
      <c r="M183" s="1539">
        <f t="shared" si="56"/>
        <v>5.5842838196286468</v>
      </c>
      <c r="N183" s="1540"/>
    </row>
    <row r="184" spans="1:21">
      <c r="A184" s="69" t="s">
        <v>56</v>
      </c>
      <c r="B184" s="1421">
        <f>Chino!N311</f>
        <v>5350</v>
      </c>
      <c r="C184" s="1422"/>
      <c r="D184" s="1431">
        <f t="shared" si="57"/>
        <v>7671686.0000000009</v>
      </c>
      <c r="E184" s="1422"/>
      <c r="F184" s="1727">
        <f>0.0044*B184</f>
        <v>23.540000000000003</v>
      </c>
      <c r="G184" s="1721"/>
      <c r="H184" s="404">
        <f>F184*5</f>
        <v>117.70000000000002</v>
      </c>
      <c r="I184" s="151">
        <v>0</v>
      </c>
      <c r="J184" s="150">
        <v>0</v>
      </c>
      <c r="K184" s="150">
        <v>21400</v>
      </c>
      <c r="L184" s="172">
        <f t="shared" si="55"/>
        <v>21400</v>
      </c>
      <c r="M184" s="1539">
        <f t="shared" si="56"/>
        <v>1.20889748549323</v>
      </c>
      <c r="N184" s="1540"/>
      <c r="S184" s="1222"/>
    </row>
    <row r="185" spans="1:21">
      <c r="A185" s="254" t="s">
        <v>122</v>
      </c>
      <c r="B185" s="1421">
        <f>Chino!N312</f>
        <v>0</v>
      </c>
      <c r="C185" s="1422"/>
      <c r="D185" s="1431">
        <f t="shared" si="57"/>
        <v>0</v>
      </c>
      <c r="E185" s="1444"/>
      <c r="F185" s="1720">
        <f>0.018*B185</f>
        <v>0</v>
      </c>
      <c r="G185" s="1721"/>
      <c r="H185" s="404">
        <f>F185*10</f>
        <v>0</v>
      </c>
      <c r="I185" s="151">
        <v>0</v>
      </c>
      <c r="J185" s="150">
        <v>0</v>
      </c>
      <c r="K185" s="150">
        <v>0</v>
      </c>
      <c r="L185" s="172">
        <f t="shared" si="55"/>
        <v>0</v>
      </c>
      <c r="M185" s="1539">
        <f t="shared" si="56"/>
        <v>0</v>
      </c>
      <c r="N185" s="1540"/>
    </row>
    <row r="186" spans="1:21">
      <c r="A186" s="257" t="s">
        <v>184</v>
      </c>
      <c r="B186" s="1421">
        <f>Chino!N313</f>
        <v>0</v>
      </c>
      <c r="C186" s="1422"/>
      <c r="D186" s="1444">
        <f t="shared" si="57"/>
        <v>0</v>
      </c>
      <c r="E186" s="1422"/>
      <c r="F186" s="1720">
        <f>0.0129*B186</f>
        <v>0</v>
      </c>
      <c r="G186" s="1721"/>
      <c r="H186" s="404">
        <f>F186*10</f>
        <v>0</v>
      </c>
      <c r="I186" s="151">
        <v>0</v>
      </c>
      <c r="J186" s="150">
        <v>0</v>
      </c>
      <c r="K186" s="150">
        <v>0</v>
      </c>
      <c r="L186" s="172">
        <f t="shared" si="55"/>
        <v>0</v>
      </c>
      <c r="M186" s="1539">
        <f t="shared" si="56"/>
        <v>0</v>
      </c>
      <c r="N186" s="1540"/>
      <c r="U186" s="1222"/>
    </row>
    <row r="187" spans="1:21" s="57" customFormat="1">
      <c r="A187" s="258" t="s">
        <v>187</v>
      </c>
      <c r="B187" s="1421">
        <f>Chino!N314</f>
        <v>0</v>
      </c>
      <c r="C187" s="1422"/>
      <c r="D187" s="1445">
        <f t="shared" si="57"/>
        <v>0</v>
      </c>
      <c r="E187" s="1446"/>
      <c r="F187" s="1723">
        <f>B187*0.023</f>
        <v>0</v>
      </c>
      <c r="G187" s="1724"/>
      <c r="H187" s="409">
        <f>F187*5</f>
        <v>0</v>
      </c>
      <c r="I187" s="151">
        <v>0</v>
      </c>
      <c r="J187" s="151">
        <v>0</v>
      </c>
      <c r="K187" s="151">
        <v>0</v>
      </c>
      <c r="L187" s="170">
        <f>SUM(I187:K187)</f>
        <v>0</v>
      </c>
      <c r="M187" s="1539">
        <f t="shared" si="56"/>
        <v>0</v>
      </c>
      <c r="N187" s="1540"/>
      <c r="O187" s="121"/>
      <c r="P187" s="121"/>
      <c r="Q187" s="121"/>
      <c r="R187" s="121"/>
      <c r="S187" s="121"/>
      <c r="T187" s="121"/>
      <c r="U187" s="121"/>
    </row>
    <row r="188" spans="1:21" s="57" customFormat="1">
      <c r="A188" s="258" t="s">
        <v>188</v>
      </c>
      <c r="B188" s="1421">
        <f>Chino!N315</f>
        <v>0</v>
      </c>
      <c r="C188" s="1422"/>
      <c r="D188" s="1445">
        <f t="shared" si="57"/>
        <v>0</v>
      </c>
      <c r="E188" s="1446"/>
      <c r="F188" s="1723">
        <f>0.154*B188</f>
        <v>0</v>
      </c>
      <c r="G188" s="1724"/>
      <c r="H188" s="409">
        <f>F188*10</f>
        <v>0</v>
      </c>
      <c r="I188" s="151">
        <v>0</v>
      </c>
      <c r="J188" s="151">
        <v>0</v>
      </c>
      <c r="K188" s="151">
        <v>0</v>
      </c>
      <c r="L188" s="170">
        <f>SUM(I188:K188)</f>
        <v>0</v>
      </c>
      <c r="M188" s="1539">
        <f t="shared" si="56"/>
        <v>0</v>
      </c>
      <c r="N188" s="1540"/>
      <c r="O188" s="121"/>
      <c r="P188" s="121"/>
      <c r="Q188" s="1222"/>
      <c r="R188" s="121"/>
      <c r="S188" s="121"/>
      <c r="T188" s="121"/>
      <c r="U188" s="121"/>
    </row>
    <row r="189" spans="1:21" s="57" customFormat="1">
      <c r="A189" s="258" t="s">
        <v>282</v>
      </c>
      <c r="B189" s="1421">
        <f>Chino!N316</f>
        <v>11</v>
      </c>
      <c r="C189" s="1422"/>
      <c r="D189" s="1445">
        <f t="shared" si="57"/>
        <v>17328357.202</v>
      </c>
      <c r="E189" s="1446"/>
      <c r="F189" s="1710">
        <f>(409006*0.00013)</f>
        <v>53.170779999999993</v>
      </c>
      <c r="G189" s="1711"/>
      <c r="H189" s="417">
        <f>F189*10</f>
        <v>531.70779999999991</v>
      </c>
      <c r="I189" s="151">
        <v>0</v>
      </c>
      <c r="J189" s="173">
        <v>97945.32</v>
      </c>
      <c r="K189" s="173">
        <v>578136.25</v>
      </c>
      <c r="L189" s="170">
        <f>SUM(I189:K189)</f>
        <v>676081.57000000007</v>
      </c>
      <c r="M189" s="1539">
        <f t="shared" si="56"/>
        <v>16.908622385405049</v>
      </c>
      <c r="N189" s="1540"/>
      <c r="O189" s="121"/>
      <c r="P189" s="121"/>
      <c r="Q189" s="1222"/>
      <c r="R189" s="121"/>
      <c r="S189" s="121"/>
      <c r="T189" s="121"/>
      <c r="U189" s="121"/>
    </row>
    <row r="190" spans="1:21" s="57" customFormat="1">
      <c r="A190" s="258" t="s">
        <v>269</v>
      </c>
      <c r="B190" s="1421">
        <f>Chino!N317</f>
        <v>0</v>
      </c>
      <c r="C190" s="1422"/>
      <c r="D190" s="1445">
        <f t="shared" si="57"/>
        <v>0</v>
      </c>
      <c r="E190" s="1446"/>
      <c r="F190" s="1723">
        <f>B190*0.0129</f>
        <v>0</v>
      </c>
      <c r="G190" s="1724"/>
      <c r="H190" s="409">
        <v>0</v>
      </c>
      <c r="I190" s="151">
        <v>0</v>
      </c>
      <c r="J190" s="151">
        <v>0</v>
      </c>
      <c r="K190" s="151">
        <v>0</v>
      </c>
      <c r="L190" s="170">
        <f>SUM(I190:K190)</f>
        <v>0</v>
      </c>
      <c r="M190" s="1539">
        <f>IF(ISERROR(L190/(F190*752)),0,L190/(F190*752))</f>
        <v>0</v>
      </c>
      <c r="N190" s="1540"/>
      <c r="O190" s="121"/>
      <c r="P190" s="121"/>
      <c r="Q190" s="1222"/>
      <c r="R190" s="121"/>
      <c r="S190" s="121"/>
      <c r="T190" s="121"/>
      <c r="U190" s="121"/>
    </row>
    <row r="191" spans="1:21" s="57" customFormat="1" ht="14" thickBot="1">
      <c r="A191" s="258" t="s">
        <v>268</v>
      </c>
      <c r="B191" s="1429">
        <f>Chino!N318</f>
        <v>2206</v>
      </c>
      <c r="C191" s="1430"/>
      <c r="D191" s="1725">
        <f t="shared" si="57"/>
        <v>3019528.68</v>
      </c>
      <c r="E191" s="1726"/>
      <c r="F191" s="1728">
        <f>(B191*0.0084)/2</f>
        <v>9.2652000000000001</v>
      </c>
      <c r="G191" s="1729"/>
      <c r="H191" s="409">
        <f>F191*10</f>
        <v>92.652000000000001</v>
      </c>
      <c r="I191" s="151">
        <v>0</v>
      </c>
      <c r="J191" s="151">
        <v>11030</v>
      </c>
      <c r="K191" s="151">
        <v>11030</v>
      </c>
      <c r="L191" s="170">
        <f>SUM(I191:K191)</f>
        <v>22060</v>
      </c>
      <c r="M191" s="1539">
        <f>IF(ISERROR(L191/(F191*752)),0,L191/(F191*752))</f>
        <v>3.1661600810536981</v>
      </c>
      <c r="N191" s="1540"/>
      <c r="O191" s="121"/>
      <c r="P191" s="121"/>
      <c r="Q191" s="1222"/>
      <c r="R191" s="121"/>
      <c r="S191" s="121"/>
      <c r="T191" s="121"/>
      <c r="U191" s="121"/>
    </row>
    <row r="192" spans="1:21" s="1161" customFormat="1" ht="17" thickBot="1">
      <c r="A192" s="108" t="s">
        <v>192</v>
      </c>
      <c r="B192" s="1456"/>
      <c r="C192" s="1586"/>
      <c r="D192" s="1457"/>
      <c r="E192" s="1586"/>
      <c r="F192" s="1587"/>
      <c r="G192" s="1588"/>
      <c r="H192" s="1145"/>
      <c r="I192" s="184"/>
      <c r="J192" s="184"/>
      <c r="K192" s="184"/>
      <c r="L192" s="997"/>
      <c r="M192" s="1593"/>
      <c r="N192" s="1542"/>
      <c r="O192" s="274"/>
      <c r="P192" s="274"/>
      <c r="Q192" s="274"/>
      <c r="R192" s="1371"/>
      <c r="S192" s="274"/>
      <c r="T192" s="274"/>
      <c r="U192" s="274"/>
    </row>
    <row r="193" spans="1:21" ht="14" thickBot="1">
      <c r="A193" s="76" t="s">
        <v>165</v>
      </c>
      <c r="B193" s="1560">
        <f>Chino!N320</f>
        <v>0</v>
      </c>
      <c r="C193" s="1544"/>
      <c r="D193" s="1570">
        <f>F193*325900</f>
        <v>0</v>
      </c>
      <c r="E193" s="1544"/>
      <c r="F193" s="1545">
        <f>0.004*B193</f>
        <v>0</v>
      </c>
      <c r="G193" s="1546"/>
      <c r="H193" s="408">
        <f>F193*5</f>
        <v>0</v>
      </c>
      <c r="I193" s="215">
        <v>0</v>
      </c>
      <c r="J193" s="140">
        <f>0*B193</f>
        <v>0</v>
      </c>
      <c r="K193" s="140">
        <f>B193*3.25</f>
        <v>0</v>
      </c>
      <c r="L193" s="217">
        <f>SUM(I193:K193)</f>
        <v>0</v>
      </c>
      <c r="M193" s="1561">
        <f>IF(ISERROR(L193/(F193*752)),0,L193/(F193*752))</f>
        <v>0</v>
      </c>
      <c r="N193" s="1562"/>
    </row>
    <row r="194" spans="1:21" s="533" customFormat="1" ht="14" thickBot="1">
      <c r="A194" s="53" t="s">
        <v>60</v>
      </c>
      <c r="B194" s="1438">
        <f>SUM(B180:B193)</f>
        <v>7849</v>
      </c>
      <c r="C194" s="1439"/>
      <c r="D194" s="1440">
        <f>SUM(D180:E193)</f>
        <v>34595419.131999999</v>
      </c>
      <c r="E194" s="1439"/>
      <c r="F194" s="1511">
        <f>SUM(F180:G193)</f>
        <v>106.15348</v>
      </c>
      <c r="G194" s="1512"/>
      <c r="H194" s="56">
        <f>SUM(H180:H193)</f>
        <v>1051.3598</v>
      </c>
      <c r="I194" s="146">
        <f>SUM(I180:I193)</f>
        <v>0</v>
      </c>
      <c r="J194" s="146">
        <f>SUM(J180:J193)</f>
        <v>122865.32</v>
      </c>
      <c r="K194" s="146">
        <f>SUM(K180:K193)</f>
        <v>678255.42</v>
      </c>
      <c r="L194" s="146">
        <f>SUM(L180:L193)</f>
        <v>801120.74000000011</v>
      </c>
      <c r="M194" s="1442"/>
      <c r="N194" s="1443"/>
      <c r="O194" s="534"/>
      <c r="P194" s="534"/>
      <c r="Q194" s="534"/>
      <c r="R194" s="534"/>
      <c r="S194" s="534"/>
      <c r="T194" s="534"/>
      <c r="U194" s="534"/>
    </row>
    <row r="195" spans="1:21" s="1161" customFormat="1" ht="17" thickBot="1">
      <c r="A195" s="1163" t="s">
        <v>17</v>
      </c>
      <c r="B195" s="1414">
        <f>SUM(,B178,B194)</f>
        <v>8412</v>
      </c>
      <c r="C195" s="1415"/>
      <c r="D195" s="1416">
        <f>SUM(,D178,D194)</f>
        <v>48083244.454800002</v>
      </c>
      <c r="E195" s="1415"/>
      <c r="F195" s="1487">
        <f>SUM(,F178,F194)</f>
        <v>147.53994</v>
      </c>
      <c r="G195" s="1488"/>
      <c r="H195" s="1164">
        <f>(H194+H178)</f>
        <v>1545.6473999999998</v>
      </c>
      <c r="I195" s="1165">
        <f>SUM(,I178,I194)</f>
        <v>17764.32</v>
      </c>
      <c r="J195" s="1165">
        <f>SUM(,J178,J194)</f>
        <v>137083.75</v>
      </c>
      <c r="K195" s="1165">
        <f>SUM(,K178,K194)</f>
        <v>808839.99</v>
      </c>
      <c r="L195" s="1165">
        <f>SUM(,L178,L194)</f>
        <v>963688.06</v>
      </c>
      <c r="M195" s="1417"/>
      <c r="N195" s="1418"/>
      <c r="O195" s="274"/>
      <c r="P195" s="274"/>
      <c r="Q195" s="274"/>
      <c r="R195" s="274"/>
      <c r="S195" s="274"/>
      <c r="T195" s="274"/>
      <c r="U195" s="274"/>
    </row>
    <row r="196" spans="1:21">
      <c r="A196" s="50"/>
      <c r="B196" s="20"/>
      <c r="C196" s="20"/>
      <c r="D196" s="20"/>
      <c r="E196" s="20"/>
      <c r="F196" s="422"/>
      <c r="G196" s="422"/>
      <c r="H196" s="422"/>
      <c r="I196" s="21"/>
      <c r="J196" s="21"/>
      <c r="K196" s="21"/>
      <c r="L196" s="21"/>
      <c r="M196" s="270"/>
      <c r="N196" s="270"/>
    </row>
    <row r="197" spans="1:21" ht="15">
      <c r="A197" s="9" t="s">
        <v>18</v>
      </c>
      <c r="B197" s="1695" t="s">
        <v>59</v>
      </c>
      <c r="C197" s="1695"/>
      <c r="D197" s="1695"/>
      <c r="E197" s="1695"/>
      <c r="F197" s="422"/>
      <c r="G197" s="422"/>
      <c r="H197" s="422"/>
      <c r="I197" s="21"/>
      <c r="J197" s="21"/>
      <c r="K197" s="21"/>
      <c r="L197" s="21"/>
      <c r="M197" s="270"/>
      <c r="N197" s="270"/>
    </row>
    <row r="198" spans="1:21">
      <c r="B198" s="1420" t="s">
        <v>19</v>
      </c>
      <c r="C198" s="1420"/>
      <c r="D198" s="1420"/>
      <c r="E198" s="1420"/>
      <c r="F198" s="422"/>
      <c r="G198" s="422"/>
      <c r="H198" s="422"/>
      <c r="I198" s="21"/>
      <c r="J198" s="21"/>
      <c r="K198" s="21"/>
      <c r="L198" s="21"/>
      <c r="M198" s="270"/>
      <c r="N198" s="270"/>
    </row>
    <row r="199" spans="1:21" ht="14" thickBot="1">
      <c r="A199" s="737"/>
      <c r="B199" s="729"/>
      <c r="C199" s="729"/>
      <c r="D199" s="729"/>
      <c r="E199" s="729"/>
      <c r="F199" s="576"/>
      <c r="G199" s="576"/>
      <c r="H199" s="576"/>
      <c r="I199" s="21"/>
      <c r="J199" s="21"/>
      <c r="K199" s="21"/>
      <c r="L199" s="21"/>
      <c r="M199" s="568"/>
      <c r="N199" s="568"/>
    </row>
    <row r="200" spans="1:21" ht="16">
      <c r="A200" s="98"/>
      <c r="B200" s="99"/>
      <c r="C200" s="99"/>
      <c r="D200" s="99"/>
      <c r="E200" s="99"/>
      <c r="F200" s="421"/>
      <c r="G200" s="421"/>
      <c r="H200" s="421"/>
      <c r="I200" s="1468" t="s">
        <v>0</v>
      </c>
      <c r="J200" s="1468"/>
      <c r="K200" s="1468"/>
      <c r="L200" s="1468"/>
      <c r="M200" s="99"/>
      <c r="N200" s="101"/>
    </row>
    <row r="201" spans="1:21" ht="16">
      <c r="A201" s="97"/>
      <c r="B201" s="1469" t="s">
        <v>1</v>
      </c>
      <c r="C201" s="1469"/>
      <c r="D201" s="1469" t="s">
        <v>2</v>
      </c>
      <c r="E201" s="1469"/>
      <c r="F201" s="1470" t="s">
        <v>3</v>
      </c>
      <c r="G201" s="1470"/>
      <c r="H201" s="723" t="s">
        <v>3</v>
      </c>
      <c r="I201" s="127" t="s">
        <v>197</v>
      </c>
      <c r="J201" s="176"/>
      <c r="K201" s="176"/>
      <c r="L201" s="128"/>
      <c r="M201" s="1469" t="s">
        <v>4</v>
      </c>
      <c r="N201" s="1526"/>
    </row>
    <row r="202" spans="1:21" ht="19" thickBot="1">
      <c r="A202" s="103" t="s">
        <v>5</v>
      </c>
      <c r="B202" s="1473" t="s">
        <v>6</v>
      </c>
      <c r="C202" s="1473"/>
      <c r="D202" s="1473" t="s">
        <v>7</v>
      </c>
      <c r="E202" s="1473"/>
      <c r="F202" s="1474" t="s">
        <v>7</v>
      </c>
      <c r="G202" s="1474"/>
      <c r="H202" s="725" t="s">
        <v>58</v>
      </c>
      <c r="I202" s="726" t="s">
        <v>198</v>
      </c>
      <c r="J202" s="724" t="s">
        <v>8</v>
      </c>
      <c r="K202" s="724" t="s">
        <v>9</v>
      </c>
      <c r="L202" s="401" t="s">
        <v>10</v>
      </c>
      <c r="M202" s="1473" t="s">
        <v>145</v>
      </c>
      <c r="N202" s="1475"/>
    </row>
    <row r="203" spans="1:21" ht="24" thickBot="1">
      <c r="A203" s="88" t="s">
        <v>232</v>
      </c>
      <c r="B203" s="1750"/>
      <c r="C203" s="1703"/>
      <c r="D203" s="1704"/>
      <c r="E203" s="1705"/>
      <c r="F203" s="1706"/>
      <c r="G203" s="1707"/>
      <c r="H203" s="816"/>
      <c r="I203" s="304"/>
      <c r="J203" s="234"/>
      <c r="K203" s="304"/>
      <c r="L203" s="305"/>
      <c r="M203" s="1708"/>
      <c r="N203" s="1709"/>
    </row>
    <row r="204" spans="1:21" s="1161" customFormat="1" ht="17" thickBot="1">
      <c r="A204" s="110" t="str">
        <f>'Ontario Total'!A204</f>
        <v>SoCal Water$mart Residential Rebates</v>
      </c>
      <c r="B204" s="1456"/>
      <c r="C204" s="1586"/>
      <c r="D204" s="1416"/>
      <c r="E204" s="1415"/>
      <c r="F204" s="1484"/>
      <c r="G204" s="1484"/>
      <c r="H204" s="1144"/>
      <c r="I204" s="1148"/>
      <c r="J204" s="1241"/>
      <c r="K204" s="1148"/>
      <c r="L204" s="1148"/>
      <c r="M204" s="1617"/>
      <c r="N204" s="1486"/>
      <c r="O204" s="274"/>
      <c r="P204" s="274"/>
      <c r="Q204" s="274"/>
      <c r="R204" s="274"/>
      <c r="S204" s="274"/>
      <c r="T204" s="274"/>
      <c r="U204" s="274"/>
    </row>
    <row r="205" spans="1:21">
      <c r="A205" s="32" t="str">
        <f>'Ontario Total'!A205</f>
        <v>High Efficiency Toilets (HET)</v>
      </c>
      <c r="B205" s="1421">
        <f>Chino!N253</f>
        <v>89</v>
      </c>
      <c r="C205" s="1422"/>
      <c r="D205" s="1444">
        <f t="shared" ref="D205:D209" si="58">F205*325900</f>
        <v>1232716.75</v>
      </c>
      <c r="E205" s="1422"/>
      <c r="F205" s="1720">
        <f>0.0425*B205</f>
        <v>3.7825000000000002</v>
      </c>
      <c r="G205" s="1721"/>
      <c r="H205" s="384">
        <f>F205*20</f>
        <v>75.650000000000006</v>
      </c>
      <c r="I205" s="215">
        <v>0</v>
      </c>
      <c r="J205" s="140">
        <f>50*B205</f>
        <v>4450</v>
      </c>
      <c r="K205" s="140">
        <f>B205*50</f>
        <v>4450</v>
      </c>
      <c r="L205" s="217">
        <f t="shared" ref="L205:L210" si="59">I205+J205+K205</f>
        <v>8900</v>
      </c>
      <c r="M205" s="1539">
        <f t="shared" ref="M205:M210" si="60">IF(ISERROR(L205/(F205*752)),0,L205/(F205*752))</f>
        <v>3.1289111389236544</v>
      </c>
      <c r="N205" s="1540"/>
    </row>
    <row r="206" spans="1:21">
      <c r="A206" s="32" t="str">
        <f>'Ontario Total'!A206</f>
        <v>High Efficiency Clothes Washers (HECW)</v>
      </c>
      <c r="B206" s="1444">
        <f>Chino!N254</f>
        <v>86</v>
      </c>
      <c r="C206" s="1422"/>
      <c r="D206" s="1431">
        <f t="shared" si="58"/>
        <v>773556.24000000011</v>
      </c>
      <c r="E206" s="1422"/>
      <c r="F206" s="1720">
        <f>0.0276*B206</f>
        <v>2.3736000000000002</v>
      </c>
      <c r="G206" s="1721"/>
      <c r="H206" s="384">
        <f>F206*15</f>
        <v>35.603999999999999</v>
      </c>
      <c r="I206" s="140">
        <f>0*B206</f>
        <v>0</v>
      </c>
      <c r="J206" s="140">
        <f>B206*65</f>
        <v>5590</v>
      </c>
      <c r="K206" s="140">
        <f>B206*85</f>
        <v>7310</v>
      </c>
      <c r="L206" s="217">
        <f t="shared" si="59"/>
        <v>12900</v>
      </c>
      <c r="M206" s="1539">
        <f t="shared" si="60"/>
        <v>7.227104532839963</v>
      </c>
      <c r="N206" s="1540"/>
    </row>
    <row r="207" spans="1:21">
      <c r="A207" s="32" t="str">
        <f>'Ontario Total'!A207</f>
        <v>Rotating Nozzles for Pop-up Spray Heads</v>
      </c>
      <c r="B207" s="1444">
        <f>Chino!N255</f>
        <v>82</v>
      </c>
      <c r="C207" s="1422"/>
      <c r="D207" s="1431">
        <f t="shared" si="58"/>
        <v>117584.72</v>
      </c>
      <c r="E207" s="1422"/>
      <c r="F207" s="1720">
        <f>0.0044*B207</f>
        <v>0.36080000000000001</v>
      </c>
      <c r="G207" s="1727"/>
      <c r="H207" s="444">
        <f>F207*5</f>
        <v>1.804</v>
      </c>
      <c r="I207" s="140">
        <f>0*B207</f>
        <v>0</v>
      </c>
      <c r="J207" s="140">
        <f>1*B207</f>
        <v>82</v>
      </c>
      <c r="K207" s="140">
        <f>B207*4</f>
        <v>328</v>
      </c>
      <c r="L207" s="217">
        <f t="shared" si="59"/>
        <v>410</v>
      </c>
      <c r="M207" s="1539">
        <f t="shared" si="60"/>
        <v>1.5111218568665379</v>
      </c>
      <c r="N207" s="1540"/>
    </row>
    <row r="208" spans="1:21">
      <c r="A208" s="32" t="str">
        <f>'Ontario Total'!A208</f>
        <v>Weather based Irrigation Controllers (WBIC)</v>
      </c>
      <c r="B208" s="1444">
        <f>Chino!N256</f>
        <v>2</v>
      </c>
      <c r="C208" s="1422"/>
      <c r="D208" s="1467">
        <f t="shared" si="58"/>
        <v>211835</v>
      </c>
      <c r="E208" s="1432"/>
      <c r="F208" s="1710">
        <f>0.325*B208</f>
        <v>0.65</v>
      </c>
      <c r="G208" s="1712"/>
      <c r="H208" s="445">
        <f>F208*10</f>
        <v>6.5</v>
      </c>
      <c r="I208" s="215">
        <v>0</v>
      </c>
      <c r="J208" s="216">
        <f>70*B208</f>
        <v>140</v>
      </c>
      <c r="K208" s="216">
        <f>B208*80</f>
        <v>160</v>
      </c>
      <c r="L208" s="217">
        <f t="shared" si="59"/>
        <v>300</v>
      </c>
      <c r="M208" s="1539">
        <f t="shared" si="60"/>
        <v>0.61374795417348604</v>
      </c>
      <c r="N208" s="1540"/>
    </row>
    <row r="209" spans="1:21">
      <c r="A209" s="76" t="s">
        <v>304</v>
      </c>
      <c r="B209" s="1444">
        <v>3</v>
      </c>
      <c r="C209" s="1422"/>
      <c r="D209" s="1467">
        <f t="shared" si="58"/>
        <v>198799</v>
      </c>
      <c r="E209" s="1432"/>
      <c r="F209" s="1748">
        <v>0.61</v>
      </c>
      <c r="G209" s="1749"/>
      <c r="H209" s="445">
        <f>F209*10</f>
        <v>6.1</v>
      </c>
      <c r="I209" s="215">
        <v>0</v>
      </c>
      <c r="J209" s="216">
        <v>0</v>
      </c>
      <c r="K209" s="216">
        <v>9420</v>
      </c>
      <c r="L209" s="217">
        <f t="shared" si="59"/>
        <v>9420</v>
      </c>
      <c r="M209" s="1539">
        <f t="shared" si="60"/>
        <v>20.535402860132542</v>
      </c>
      <c r="N209" s="1540"/>
    </row>
    <row r="210" spans="1:21" ht="14" thickBot="1">
      <c r="A210" s="76" t="s">
        <v>214</v>
      </c>
      <c r="B210" s="1421">
        <f>Chino!N258</f>
        <v>10</v>
      </c>
      <c r="C210" s="1422"/>
      <c r="D210" s="1467">
        <v>1059175</v>
      </c>
      <c r="E210" s="1432"/>
      <c r="F210" s="1710">
        <v>3</v>
      </c>
      <c r="G210" s="1712"/>
      <c r="H210" s="445">
        <v>33</v>
      </c>
      <c r="I210" s="323">
        <v>0</v>
      </c>
      <c r="J210" s="216">
        <f>0*B210</f>
        <v>0</v>
      </c>
      <c r="K210" s="322">
        <f>B210*75</f>
        <v>750</v>
      </c>
      <c r="L210" s="321">
        <f t="shared" si="59"/>
        <v>750</v>
      </c>
      <c r="M210" s="1634">
        <f t="shared" si="60"/>
        <v>0.33244680851063829</v>
      </c>
      <c r="N210" s="1540"/>
    </row>
    <row r="211" spans="1:21" s="1161" customFormat="1" ht="17" thickBot="1">
      <c r="A211" s="110" t="str">
        <f>'Ontario Total'!A211</f>
        <v>IEUA Locally Implemented Residential Programs</v>
      </c>
      <c r="B211" s="1456"/>
      <c r="C211" s="1586"/>
      <c r="D211" s="1457"/>
      <c r="E211" s="1457"/>
      <c r="F211" s="1587"/>
      <c r="G211" s="1588"/>
      <c r="H211" s="1158"/>
      <c r="I211" s="179"/>
      <c r="J211" s="1242"/>
      <c r="K211" s="1242"/>
      <c r="L211" s="180"/>
      <c r="M211" s="1593"/>
      <c r="N211" s="1542"/>
      <c r="O211" s="274"/>
      <c r="P211" s="274"/>
      <c r="Q211" s="274"/>
      <c r="R211" s="274"/>
      <c r="S211" s="274"/>
      <c r="T211" s="274"/>
      <c r="U211" s="274"/>
    </row>
    <row r="212" spans="1:21">
      <c r="A212" s="78" t="s">
        <v>165</v>
      </c>
      <c r="B212" s="1421">
        <f>Chino!N260</f>
        <v>332</v>
      </c>
      <c r="C212" s="1422"/>
      <c r="D212" s="1467">
        <f>F212*325900</f>
        <v>432795.2</v>
      </c>
      <c r="E212" s="1743"/>
      <c r="F212" s="1710">
        <f>B212*0.004</f>
        <v>1.3280000000000001</v>
      </c>
      <c r="G212" s="1721"/>
      <c r="H212" s="415">
        <f>F212*5</f>
        <v>6.6400000000000006</v>
      </c>
      <c r="I212" s="215">
        <v>0</v>
      </c>
      <c r="J212" s="215">
        <v>0</v>
      </c>
      <c r="K212" s="215">
        <v>4320</v>
      </c>
      <c r="L212" s="218">
        <f>I212+J212+K212</f>
        <v>4320</v>
      </c>
      <c r="M212" s="1539">
        <f>IF(ISERROR(L212/(F212*752)),0,L212/(F212*752))</f>
        <v>4.3258138938733657</v>
      </c>
      <c r="N212" s="1540"/>
    </row>
    <row r="213" spans="1:21">
      <c r="A213" s="78" t="s">
        <v>244</v>
      </c>
      <c r="B213" s="1421">
        <f>Chino!N261</f>
        <v>32</v>
      </c>
      <c r="C213" s="1422"/>
      <c r="D213" s="1467">
        <f>F213*325900</f>
        <v>5716286</v>
      </c>
      <c r="E213" s="1743"/>
      <c r="F213" s="1537">
        <v>17.54</v>
      </c>
      <c r="G213" s="1548"/>
      <c r="H213" s="446">
        <v>164</v>
      </c>
      <c r="I213" s="323">
        <v>29304.89</v>
      </c>
      <c r="J213" s="215">
        <v>0</v>
      </c>
      <c r="K213" s="215">
        <v>29304.89</v>
      </c>
      <c r="L213" s="218">
        <f>I213+J213+K213</f>
        <v>58609.78</v>
      </c>
      <c r="M213" s="1539">
        <f>IF(ISERROR(L213/(F213*752)),0,L213/(F213*752))</f>
        <v>4.4434741866614909</v>
      </c>
      <c r="N213" s="1540"/>
    </row>
    <row r="214" spans="1:21" ht="14" thickBot="1">
      <c r="A214" s="78" t="s">
        <v>236</v>
      </c>
      <c r="B214" s="1421">
        <v>16</v>
      </c>
      <c r="C214" s="1422"/>
      <c r="D214" s="1744">
        <v>255460</v>
      </c>
      <c r="E214" s="1745"/>
      <c r="F214" s="1746">
        <v>1</v>
      </c>
      <c r="G214" s="1747"/>
      <c r="H214" s="445">
        <v>8</v>
      </c>
      <c r="I214" s="323">
        <v>0</v>
      </c>
      <c r="J214" s="215">
        <f>47005.5-K214</f>
        <v>19205.5</v>
      </c>
      <c r="K214" s="215">
        <f>13900*2</f>
        <v>27800</v>
      </c>
      <c r="L214" s="218">
        <f>I214+J214+K214</f>
        <v>47005.5</v>
      </c>
      <c r="M214" s="1539">
        <v>79.7</v>
      </c>
      <c r="N214" s="1540"/>
    </row>
    <row r="215" spans="1:21" s="533" customFormat="1" ht="14" thickBot="1">
      <c r="A215" s="53" t="s">
        <v>60</v>
      </c>
      <c r="B215" s="1438">
        <f>SUM(B205:B214)</f>
        <v>652</v>
      </c>
      <c r="C215" s="1609"/>
      <c r="D215" s="1441">
        <f>SUM(D205:E214)</f>
        <v>9998207.9100000001</v>
      </c>
      <c r="E215" s="1609"/>
      <c r="F215" s="1511">
        <f>SUM(F205:G214)</f>
        <v>30.6449</v>
      </c>
      <c r="G215" s="1575"/>
      <c r="H215" s="448">
        <f>SUM(H205:H214)</f>
        <v>337.298</v>
      </c>
      <c r="I215" s="143">
        <f>SUM(I205:I214)</f>
        <v>29304.89</v>
      </c>
      <c r="J215" s="136">
        <f>SUM(J205:J214)</f>
        <v>29467.5</v>
      </c>
      <c r="K215" s="143">
        <f>SUM(K205:K214)</f>
        <v>83842.89</v>
      </c>
      <c r="L215" s="143">
        <f>SUM(L205:L214)</f>
        <v>142615.28</v>
      </c>
      <c r="M215" s="1440"/>
      <c r="N215" s="1622"/>
      <c r="O215" s="534"/>
      <c r="P215" s="534"/>
      <c r="Q215" s="534"/>
      <c r="R215" s="534"/>
      <c r="S215" s="534"/>
      <c r="T215" s="534"/>
      <c r="U215" s="534"/>
    </row>
    <row r="216" spans="1:21" s="91" customFormat="1" ht="17" hidden="1" thickBot="1">
      <c r="A216" s="108" t="str">
        <f>'Ontario Total'!A216</f>
        <v xml:space="preserve">IEUA High Efficiency Toilet (HET) Installation Prog. </v>
      </c>
      <c r="B216" s="1456"/>
      <c r="C216" s="1586"/>
      <c r="D216" s="1567"/>
      <c r="E216" s="1586"/>
      <c r="F216" s="1587"/>
      <c r="G216" s="1588"/>
      <c r="H216" s="447"/>
      <c r="I216" s="179"/>
      <c r="J216" s="179"/>
      <c r="K216" s="179"/>
      <c r="L216" s="179"/>
      <c r="M216" s="1541"/>
      <c r="N216" s="1542"/>
      <c r="O216" s="274"/>
      <c r="P216" s="274"/>
      <c r="Q216" s="274"/>
      <c r="R216" s="274"/>
      <c r="S216" s="274"/>
      <c r="T216" s="274"/>
      <c r="U216" s="274"/>
    </row>
    <row r="217" spans="1:21" hidden="1">
      <c r="A217" s="32" t="str">
        <f>'Ontario Total'!A217</f>
        <v>IEUA Multi-Family Direct Install Prog. (HET)</v>
      </c>
      <c r="B217" s="1421"/>
      <c r="C217" s="1422"/>
      <c r="D217" s="1431">
        <f>F217*325851</f>
        <v>0</v>
      </c>
      <c r="E217" s="1422"/>
      <c r="F217" s="1710">
        <f>0.0425*B217</f>
        <v>0</v>
      </c>
      <c r="G217" s="1711"/>
      <c r="H217" s="445">
        <f>F217*20</f>
        <v>0</v>
      </c>
      <c r="I217" s="80">
        <f>73.34*B217</f>
        <v>0</v>
      </c>
      <c r="J217" s="80">
        <f>35.66*B217</f>
        <v>0</v>
      </c>
      <c r="K217" s="80">
        <f>B217*50</f>
        <v>0</v>
      </c>
      <c r="L217" s="80">
        <f>I217+J217+K217</f>
        <v>0</v>
      </c>
      <c r="M217" s="1634">
        <f>IF(ISERROR(L217/(F217*727)),0,L217/(F217*727))</f>
        <v>0</v>
      </c>
      <c r="N217" s="1540"/>
    </row>
    <row r="218" spans="1:21" ht="14" hidden="1" thickBot="1">
      <c r="A218" s="32" t="str">
        <f>'Ontario Total'!A218</f>
        <v>IEUA Single-Family Direct Install Prog. (HET)</v>
      </c>
      <c r="B218" s="1421"/>
      <c r="C218" s="1422"/>
      <c r="D218" s="1431">
        <f>F218*325851</f>
        <v>0</v>
      </c>
      <c r="E218" s="1422"/>
      <c r="F218" s="1710">
        <f>0.0425*B218</f>
        <v>0</v>
      </c>
      <c r="G218" s="1711"/>
      <c r="H218" s="445">
        <f>F218*20</f>
        <v>0</v>
      </c>
      <c r="I218" s="150">
        <f>73.34*B218</f>
        <v>0</v>
      </c>
      <c r="J218" s="150">
        <f>35.66*B218</f>
        <v>0</v>
      </c>
      <c r="K218" s="150">
        <f>B218*50</f>
        <v>0</v>
      </c>
      <c r="L218" s="150">
        <f>I218+J218+K218</f>
        <v>0</v>
      </c>
      <c r="M218" s="1634">
        <f>IF(ISERROR(L218/(F218*727)),0,L218/(F218*727))</f>
        <v>0</v>
      </c>
      <c r="N218" s="1540"/>
    </row>
    <row r="219" spans="1:21" s="533" customFormat="1" ht="14" hidden="1" thickBot="1">
      <c r="A219" s="53" t="s">
        <v>60</v>
      </c>
      <c r="B219" s="1564"/>
      <c r="C219" s="1740"/>
      <c r="D219" s="1694">
        <f>SUM(D217:D218)</f>
        <v>0</v>
      </c>
      <c r="E219" s="1740"/>
      <c r="F219" s="1553">
        <f>SUM(F217:F218)</f>
        <v>0</v>
      </c>
      <c r="G219" s="1554"/>
      <c r="H219" s="876">
        <f>SUM(H217:H218)</f>
        <v>0</v>
      </c>
      <c r="I219" s="514">
        <f>SUM(I217:I218)</f>
        <v>0</v>
      </c>
      <c r="J219" s="514">
        <f>SUM(J217:J218)</f>
        <v>0</v>
      </c>
      <c r="K219" s="514">
        <f>SUM(K217:K218)</f>
        <v>0</v>
      </c>
      <c r="L219" s="514">
        <f>SUM(L217:L218)</f>
        <v>0</v>
      </c>
      <c r="M219" s="1741"/>
      <c r="N219" s="1742"/>
      <c r="O219" s="534"/>
      <c r="P219" s="534"/>
      <c r="Q219" s="534"/>
      <c r="R219" s="534"/>
      <c r="S219" s="534"/>
      <c r="T219" s="534"/>
      <c r="U219" s="534"/>
    </row>
    <row r="220" spans="1:21" s="1161" customFormat="1" ht="17" thickBot="1">
      <c r="A220" s="110" t="str">
        <f>'Ontario Total'!A220</f>
        <v>SoCal Water$mart Commercial Rebates</v>
      </c>
      <c r="B220" s="1456"/>
      <c r="C220" s="1457"/>
      <c r="D220" s="1567"/>
      <c r="E220" s="1457"/>
      <c r="F220" s="1587"/>
      <c r="G220" s="1588"/>
      <c r="H220" s="447"/>
      <c r="I220" s="180"/>
      <c r="J220" s="1241"/>
      <c r="K220" s="1241"/>
      <c r="L220" s="1241"/>
      <c r="M220" s="1593"/>
      <c r="N220" s="1542"/>
      <c r="O220" s="274"/>
      <c r="P220" s="274"/>
      <c r="Q220" s="274"/>
      <c r="R220" s="274"/>
      <c r="S220" s="274"/>
      <c r="T220" s="274"/>
      <c r="U220" s="274"/>
    </row>
    <row r="221" spans="1:21">
      <c r="A221" s="32" t="str">
        <f>'Ontario Total'!A221</f>
        <v>High Efficiency Toilets (HET)</v>
      </c>
      <c r="B221" s="1421">
        <f>Chino!N270</f>
        <v>200</v>
      </c>
      <c r="C221" s="1422"/>
      <c r="D221" s="1431">
        <f>F221*325900</f>
        <v>2770150</v>
      </c>
      <c r="E221" s="1422"/>
      <c r="F221" s="1720">
        <f>0.0425*B221</f>
        <v>8.5</v>
      </c>
      <c r="G221" s="1721"/>
      <c r="H221" s="444">
        <f>F221*20</f>
        <v>170</v>
      </c>
      <c r="I221" s="151">
        <v>0</v>
      </c>
      <c r="J221" s="150">
        <f>50*B221</f>
        <v>10000</v>
      </c>
      <c r="K221" s="150">
        <f>50*B221</f>
        <v>10000</v>
      </c>
      <c r="L221" s="150">
        <f t="shared" ref="L221:L228" si="61">SUM(I221:K221)</f>
        <v>20000</v>
      </c>
      <c r="M221" s="1634">
        <f>IF(ISERROR(L221/(F221*752)),0,L221/(F221*752))</f>
        <v>3.1289111389236544</v>
      </c>
      <c r="N221" s="1540"/>
    </row>
    <row r="222" spans="1:21">
      <c r="A222" s="32" t="str">
        <f>'Ontario Total'!A222</f>
        <v>Waterless Urinals</v>
      </c>
      <c r="B222" s="1421">
        <f>Chino!N271</f>
        <v>0</v>
      </c>
      <c r="C222" s="1422"/>
      <c r="D222" s="1431">
        <f>F222*325900</f>
        <v>0</v>
      </c>
      <c r="E222" s="1422"/>
      <c r="F222" s="1720">
        <f>0.1227*B222</f>
        <v>0</v>
      </c>
      <c r="G222" s="1721"/>
      <c r="H222" s="444">
        <f>F222*20</f>
        <v>0</v>
      </c>
      <c r="I222" s="151">
        <v>0</v>
      </c>
      <c r="J222" s="150">
        <f>100*B222</f>
        <v>0</v>
      </c>
      <c r="K222" s="150">
        <f>200*B222</f>
        <v>0</v>
      </c>
      <c r="L222" s="150">
        <f t="shared" si="61"/>
        <v>0</v>
      </c>
      <c r="M222" s="1634">
        <f t="shared" ref="M222:M234" si="62">IF(ISERROR(L222/(F222*752)),0,L222/(F222*752))</f>
        <v>0</v>
      </c>
      <c r="N222" s="1540"/>
    </row>
    <row r="223" spans="1:21">
      <c r="A223" s="32" t="s">
        <v>204</v>
      </c>
      <c r="B223" s="1421">
        <f>Chino!N272</f>
        <v>0</v>
      </c>
      <c r="C223" s="1422"/>
      <c r="D223" s="1431">
        <f>F223*325900</f>
        <v>0</v>
      </c>
      <c r="E223" s="1422"/>
      <c r="F223" s="1720">
        <f>0.644*B223</f>
        <v>0</v>
      </c>
      <c r="G223" s="1721"/>
      <c r="H223" s="444">
        <f>F223*5</f>
        <v>0</v>
      </c>
      <c r="I223" s="151">
        <v>0</v>
      </c>
      <c r="J223" s="150">
        <f>43.75*B223</f>
        <v>0</v>
      </c>
      <c r="K223" s="150">
        <f>625*B223</f>
        <v>0</v>
      </c>
      <c r="L223" s="150">
        <f t="shared" si="61"/>
        <v>0</v>
      </c>
      <c r="M223" s="1634">
        <f t="shared" si="62"/>
        <v>0</v>
      </c>
      <c r="N223" s="1540"/>
    </row>
    <row r="224" spans="1:21" hidden="1">
      <c r="A224" s="32" t="str">
        <f>'Ontario Total'!A224</f>
        <v>High Efficiency Clothes Washers</v>
      </c>
      <c r="B224" s="1421">
        <f>Chino!N273</f>
        <v>0</v>
      </c>
      <c r="C224" s="1422"/>
      <c r="D224" s="1431">
        <f>F224*325851</f>
        <v>0</v>
      </c>
      <c r="E224" s="1422"/>
      <c r="F224" s="1720">
        <f>0.0276*B224</f>
        <v>0</v>
      </c>
      <c r="G224" s="1721"/>
      <c r="H224" s="444">
        <f>F224*10</f>
        <v>0</v>
      </c>
      <c r="I224" s="151">
        <v>0</v>
      </c>
      <c r="J224" s="150">
        <f>100*B224</f>
        <v>0</v>
      </c>
      <c r="K224" s="150">
        <f>80*B224</f>
        <v>0</v>
      </c>
      <c r="L224" s="150">
        <f t="shared" si="61"/>
        <v>0</v>
      </c>
      <c r="M224" s="1634">
        <f t="shared" si="62"/>
        <v>0</v>
      </c>
      <c r="N224" s="1540"/>
    </row>
    <row r="225" spans="1:379" hidden="1">
      <c r="A225" s="35" t="s">
        <v>47</v>
      </c>
      <c r="B225" s="1421">
        <f>Chino!N274</f>
        <v>0</v>
      </c>
      <c r="C225" s="1422"/>
      <c r="D225" s="1431">
        <f>F225*325851</f>
        <v>0</v>
      </c>
      <c r="E225" s="1422"/>
      <c r="F225" s="1720">
        <f>0.1534*B225</f>
        <v>0</v>
      </c>
      <c r="G225" s="1721"/>
      <c r="H225" s="444">
        <f>F225*5</f>
        <v>0</v>
      </c>
      <c r="I225" s="151">
        <v>0</v>
      </c>
      <c r="J225" s="150">
        <f>0*B225</f>
        <v>0</v>
      </c>
      <c r="K225" s="150">
        <f>150*B225</f>
        <v>0</v>
      </c>
      <c r="L225" s="150">
        <f t="shared" si="61"/>
        <v>0</v>
      </c>
      <c r="M225" s="1634">
        <f t="shared" si="62"/>
        <v>0</v>
      </c>
      <c r="N225" s="1540"/>
    </row>
    <row r="226" spans="1:379">
      <c r="A226" s="32" t="str">
        <f>'Ontario Total'!A226</f>
        <v>Weather Based Irrigation Controllers (WBIC)</v>
      </c>
      <c r="B226" s="1421">
        <f>Chino!N275</f>
        <v>23</v>
      </c>
      <c r="C226" s="1422"/>
      <c r="D226" s="1431">
        <f>F226*325900</f>
        <v>2436102.5</v>
      </c>
      <c r="E226" s="1422"/>
      <c r="F226" s="1720">
        <f>0.325*B226</f>
        <v>7.4750000000000005</v>
      </c>
      <c r="G226" s="1721"/>
      <c r="H226" s="444">
        <f>F226*10</f>
        <v>74.75</v>
      </c>
      <c r="I226" s="151">
        <v>0</v>
      </c>
      <c r="J226" s="150">
        <v>729</v>
      </c>
      <c r="K226" s="150">
        <v>1483</v>
      </c>
      <c r="L226" s="150">
        <f t="shared" si="61"/>
        <v>2212</v>
      </c>
      <c r="M226" s="1634">
        <f t="shared" si="62"/>
        <v>0.39351028250195685</v>
      </c>
      <c r="N226" s="1540"/>
    </row>
    <row r="227" spans="1:379" ht="12.75" hidden="1" customHeight="1">
      <c r="A227" s="76" t="s">
        <v>53</v>
      </c>
      <c r="B227" s="1444">
        <f>Chino!N276</f>
        <v>0</v>
      </c>
      <c r="C227" s="1422"/>
      <c r="D227" s="1431">
        <f>F227*325851</f>
        <v>0</v>
      </c>
      <c r="E227" s="1422"/>
      <c r="F227" s="1720">
        <f>0.00014*B227</f>
        <v>0</v>
      </c>
      <c r="G227" s="1721"/>
      <c r="H227" s="444">
        <f>F227*10</f>
        <v>0</v>
      </c>
      <c r="I227" s="151">
        <v>0</v>
      </c>
      <c r="J227" s="150">
        <f>0.45*B227</f>
        <v>0</v>
      </c>
      <c r="K227" s="150">
        <f>0.3*B227</f>
        <v>0</v>
      </c>
      <c r="L227" s="150">
        <f t="shared" si="61"/>
        <v>0</v>
      </c>
      <c r="M227" s="1634">
        <f>IF(ISERROR(L227/(F227*752)),0,L227/(F227*752))</f>
        <v>0</v>
      </c>
      <c r="N227" s="1540"/>
    </row>
    <row r="228" spans="1:379">
      <c r="A228" s="32" t="str">
        <f>'Ontario Total'!A228</f>
        <v>Rotating Nozzles for Pop-up Spray Heads</v>
      </c>
      <c r="B228" s="1444">
        <f>Chino!N277</f>
        <v>3051</v>
      </c>
      <c r="C228" s="1422"/>
      <c r="D228" s="1431">
        <f>F228*325900</f>
        <v>3977283.6</v>
      </c>
      <c r="E228" s="1422"/>
      <c r="F228" s="1720">
        <f>0.004*B228</f>
        <v>12.204000000000001</v>
      </c>
      <c r="G228" s="1721"/>
      <c r="H228" s="444">
        <f>F228*5</f>
        <v>61.02</v>
      </c>
      <c r="I228" s="151">
        <v>0</v>
      </c>
      <c r="J228" s="150">
        <v>90</v>
      </c>
      <c r="K228" s="221">
        <v>185</v>
      </c>
      <c r="L228" s="150">
        <f t="shared" si="61"/>
        <v>275</v>
      </c>
      <c r="M228" s="1634">
        <f>IF(ISERROR(L228/(F228*752)),0,L228/(F228*752))</f>
        <v>2.9964887689421672E-2</v>
      </c>
      <c r="N228" s="1540"/>
    </row>
    <row r="229" spans="1:379">
      <c r="A229" s="32" t="str">
        <f>'Ontario Total'!A229</f>
        <v>Large Rotary Nozzles</v>
      </c>
      <c r="B229" s="1444">
        <f>Chino!N278</f>
        <v>0</v>
      </c>
      <c r="C229" s="1422"/>
      <c r="D229" s="1431">
        <f>F229*325900</f>
        <v>0</v>
      </c>
      <c r="E229" s="1422"/>
      <c r="F229" s="1727">
        <f>0.018*B229</f>
        <v>0</v>
      </c>
      <c r="G229" s="1721"/>
      <c r="H229" s="384">
        <f t="shared" ref="H229:H234" si="63">F229*10</f>
        <v>0</v>
      </c>
      <c r="I229" s="151">
        <v>0</v>
      </c>
      <c r="J229" s="221">
        <f>0*B229</f>
        <v>0</v>
      </c>
      <c r="K229" s="150">
        <f>13*B229</f>
        <v>0</v>
      </c>
      <c r="L229" s="150">
        <f t="shared" ref="L229:L234" si="64">SUM(I229:K229)</f>
        <v>0</v>
      </c>
      <c r="M229" s="1634">
        <f t="shared" si="62"/>
        <v>0</v>
      </c>
      <c r="N229" s="1540"/>
    </row>
    <row r="230" spans="1:379" hidden="1">
      <c r="A230" s="33" t="s">
        <v>102</v>
      </c>
      <c r="B230" s="1444">
        <f>Chino!N279</f>
        <v>0</v>
      </c>
      <c r="C230" s="1422"/>
      <c r="D230" s="1444">
        <f>F230*325851</f>
        <v>0</v>
      </c>
      <c r="E230" s="1422"/>
      <c r="F230" s="1720">
        <f>0.018*B230</f>
        <v>0</v>
      </c>
      <c r="G230" s="1721"/>
      <c r="H230" s="384">
        <f t="shared" si="63"/>
        <v>0</v>
      </c>
      <c r="I230" s="151">
        <v>1</v>
      </c>
      <c r="J230" s="150">
        <f>0*B230</f>
        <v>0</v>
      </c>
      <c r="K230" s="150">
        <f>13*B230</f>
        <v>0</v>
      </c>
      <c r="L230" s="150">
        <f t="shared" si="64"/>
        <v>1</v>
      </c>
      <c r="M230" s="1634">
        <f t="shared" si="62"/>
        <v>0</v>
      </c>
      <c r="N230" s="1540"/>
    </row>
    <row r="231" spans="1:379">
      <c r="A231" s="32" t="str">
        <f>'Ontario Total'!A231</f>
        <v xml:space="preserve">Central Computerized Irrigation Controller </v>
      </c>
      <c r="B231" s="1444">
        <f>Chino!N280</f>
        <v>0</v>
      </c>
      <c r="C231" s="1422"/>
      <c r="D231" s="1444">
        <f>F231*325900</f>
        <v>0</v>
      </c>
      <c r="E231" s="1422"/>
      <c r="F231" s="1720">
        <f>0.018*B231</f>
        <v>0</v>
      </c>
      <c r="G231" s="1721"/>
      <c r="H231" s="444">
        <f t="shared" si="63"/>
        <v>0</v>
      </c>
      <c r="I231" s="151">
        <v>0</v>
      </c>
      <c r="J231" s="151">
        <v>0</v>
      </c>
      <c r="K231" s="151">
        <v>0</v>
      </c>
      <c r="L231" s="150">
        <f t="shared" si="64"/>
        <v>0</v>
      </c>
      <c r="M231" s="1634">
        <f t="shared" si="62"/>
        <v>0</v>
      </c>
      <c r="N231" s="1540"/>
    </row>
    <row r="232" spans="1:379" s="126" customFormat="1">
      <c r="A232" s="144" t="str">
        <f>'Ontario Total'!A232</f>
        <v>Laminar Flow Restrictor</v>
      </c>
      <c r="B232" s="1444">
        <f>Chino!N281</f>
        <v>0</v>
      </c>
      <c r="C232" s="1422"/>
      <c r="D232" s="1445">
        <f>F232*325900</f>
        <v>0</v>
      </c>
      <c r="E232" s="1446"/>
      <c r="F232" s="1723">
        <f>0.018*B232</f>
        <v>0</v>
      </c>
      <c r="G232" s="1724"/>
      <c r="H232" s="389">
        <f t="shared" si="63"/>
        <v>0</v>
      </c>
      <c r="I232" s="151">
        <v>0</v>
      </c>
      <c r="J232" s="151">
        <v>0</v>
      </c>
      <c r="K232" s="151">
        <v>0</v>
      </c>
      <c r="L232" s="151">
        <f t="shared" si="64"/>
        <v>0</v>
      </c>
      <c r="M232" s="1634">
        <f t="shared" si="62"/>
        <v>0</v>
      </c>
      <c r="N232" s="1540"/>
      <c r="O232" s="121"/>
      <c r="P232" s="121"/>
      <c r="Q232" s="121"/>
      <c r="R232" s="121"/>
      <c r="S232" s="121"/>
      <c r="T232" s="121"/>
      <c r="U232" s="121"/>
      <c r="V232" s="57"/>
      <c r="W232" s="57"/>
      <c r="X232" s="57"/>
      <c r="Y232" s="57"/>
      <c r="Z232" s="57"/>
      <c r="AA232" s="57"/>
      <c r="AB232" s="57"/>
      <c r="AC232" s="57"/>
      <c r="AD232" s="57"/>
      <c r="AE232" s="57"/>
      <c r="AF232" s="57"/>
      <c r="AG232" s="57"/>
      <c r="AH232" s="57"/>
      <c r="AI232" s="57"/>
      <c r="AJ232" s="57"/>
      <c r="AK232" s="57"/>
      <c r="AL232" s="57"/>
      <c r="AM232" s="57"/>
      <c r="AN232" s="57"/>
      <c r="AO232" s="57"/>
      <c r="AP232" s="57"/>
      <c r="AQ232" s="57"/>
      <c r="AR232" s="57"/>
      <c r="AS232" s="57"/>
      <c r="AT232" s="57"/>
      <c r="AU232" s="57"/>
      <c r="AV232" s="57"/>
      <c r="AW232" s="57"/>
      <c r="AX232" s="57"/>
      <c r="AY232" s="57"/>
      <c r="AZ232" s="57"/>
      <c r="BA232" s="57"/>
      <c r="BB232" s="57"/>
      <c r="BC232" s="57"/>
      <c r="BD232" s="57"/>
      <c r="BE232" s="57"/>
      <c r="BF232" s="57"/>
      <c r="BG232" s="57"/>
      <c r="BH232" s="57"/>
      <c r="BI232" s="57"/>
      <c r="BJ232" s="57"/>
      <c r="BK232" s="57"/>
      <c r="BL232" s="57"/>
      <c r="BM232" s="57"/>
      <c r="BN232" s="57"/>
      <c r="BO232" s="57"/>
      <c r="BP232" s="57"/>
      <c r="BQ232" s="57"/>
      <c r="BR232" s="57"/>
      <c r="BS232" s="57"/>
      <c r="BT232" s="57"/>
      <c r="BU232" s="57"/>
      <c r="BV232" s="57"/>
      <c r="BW232" s="57"/>
      <c r="BX232" s="57"/>
      <c r="BY232" s="57"/>
      <c r="BZ232" s="57"/>
      <c r="CA232" s="57"/>
      <c r="CB232" s="57"/>
      <c r="CC232" s="57"/>
      <c r="CD232" s="57"/>
      <c r="CE232" s="57"/>
      <c r="CF232" s="57"/>
      <c r="CG232" s="57"/>
      <c r="CH232" s="57"/>
      <c r="CI232" s="57"/>
      <c r="CJ232" s="57"/>
      <c r="CK232" s="57"/>
      <c r="CL232" s="57"/>
      <c r="CM232" s="57"/>
      <c r="CN232" s="57"/>
      <c r="CO232" s="57"/>
      <c r="CP232" s="57"/>
      <c r="CQ232" s="57"/>
      <c r="CR232" s="57"/>
      <c r="CS232" s="57"/>
      <c r="CT232" s="57"/>
      <c r="CU232" s="57"/>
      <c r="CV232" s="57"/>
      <c r="CW232" s="57"/>
      <c r="CX232" s="57"/>
      <c r="CY232" s="57"/>
      <c r="CZ232" s="57"/>
      <c r="DA232" s="57"/>
      <c r="DB232" s="57"/>
      <c r="DC232" s="57"/>
      <c r="DD232" s="57"/>
      <c r="DE232" s="57"/>
      <c r="DF232" s="57"/>
      <c r="DG232" s="57"/>
      <c r="DH232" s="57"/>
      <c r="DI232" s="57"/>
      <c r="DJ232" s="57"/>
      <c r="DK232" s="57"/>
      <c r="DL232" s="57"/>
      <c r="DM232" s="57"/>
      <c r="DN232" s="57"/>
      <c r="DO232" s="57"/>
      <c r="DP232" s="57"/>
      <c r="DQ232" s="57"/>
      <c r="DR232" s="57"/>
      <c r="DS232" s="57"/>
      <c r="DT232" s="57"/>
      <c r="DU232" s="57"/>
      <c r="DV232" s="57"/>
      <c r="DW232" s="57"/>
      <c r="DX232" s="57"/>
      <c r="DY232" s="57"/>
      <c r="DZ232" s="57"/>
      <c r="EA232" s="57"/>
      <c r="EB232" s="57"/>
      <c r="EC232" s="57"/>
      <c r="ED232" s="57"/>
      <c r="EE232" s="57"/>
      <c r="EF232" s="57"/>
      <c r="EG232" s="57"/>
      <c r="EH232" s="57"/>
      <c r="EI232" s="57"/>
      <c r="EJ232" s="57"/>
      <c r="EK232" s="57"/>
      <c r="EL232" s="57"/>
      <c r="EM232" s="57"/>
      <c r="EN232" s="57"/>
      <c r="EO232" s="57"/>
      <c r="EP232" s="57"/>
      <c r="EQ232" s="57"/>
      <c r="ER232" s="57"/>
      <c r="ES232" s="57"/>
      <c r="ET232" s="57"/>
      <c r="EU232" s="57"/>
      <c r="EV232" s="57"/>
      <c r="EW232" s="57"/>
      <c r="EX232" s="57"/>
      <c r="EY232" s="57"/>
      <c r="EZ232" s="57"/>
      <c r="FA232" s="57"/>
      <c r="FB232" s="57"/>
      <c r="FC232" s="57"/>
      <c r="FD232" s="57"/>
      <c r="FE232" s="57"/>
      <c r="FF232" s="57"/>
      <c r="FG232" s="57"/>
      <c r="FH232" s="57"/>
      <c r="FI232" s="57"/>
      <c r="FJ232" s="57"/>
      <c r="FK232" s="57"/>
      <c r="FL232" s="57"/>
      <c r="FM232" s="57"/>
      <c r="FN232" s="57"/>
      <c r="FO232" s="57"/>
      <c r="FP232" s="57"/>
      <c r="FQ232" s="57"/>
      <c r="FR232" s="57"/>
      <c r="FS232" s="57"/>
      <c r="FT232" s="57"/>
      <c r="FU232" s="57"/>
      <c r="FV232" s="57"/>
      <c r="FW232" s="57"/>
      <c r="FX232" s="57"/>
      <c r="FY232" s="57"/>
      <c r="FZ232" s="57"/>
      <c r="GA232" s="57"/>
      <c r="GB232" s="57"/>
      <c r="GC232" s="57"/>
      <c r="GD232" s="57"/>
      <c r="GE232" s="57"/>
      <c r="GF232" s="57"/>
      <c r="GG232" s="57"/>
      <c r="GH232" s="57"/>
      <c r="GI232" s="57"/>
      <c r="GJ232" s="57"/>
      <c r="GK232" s="57"/>
      <c r="GL232" s="57"/>
      <c r="GM232" s="57"/>
      <c r="GN232" s="57"/>
      <c r="GO232" s="57"/>
      <c r="GP232" s="57"/>
      <c r="GQ232" s="57"/>
      <c r="GR232" s="57"/>
      <c r="GS232" s="57"/>
      <c r="GT232" s="57"/>
      <c r="GU232" s="57"/>
      <c r="GV232" s="57"/>
      <c r="GW232" s="57"/>
      <c r="GX232" s="57"/>
      <c r="GY232" s="57"/>
      <c r="GZ232" s="57"/>
      <c r="HA232" s="57"/>
      <c r="HB232" s="57"/>
      <c r="HC232" s="57"/>
      <c r="HD232" s="57"/>
      <c r="HE232" s="57"/>
      <c r="HF232" s="57"/>
      <c r="HG232" s="57"/>
      <c r="HH232" s="57"/>
      <c r="HI232" s="57"/>
      <c r="HJ232" s="57"/>
      <c r="HK232" s="57"/>
      <c r="HL232" s="57"/>
      <c r="HM232" s="57"/>
      <c r="HN232" s="57"/>
      <c r="HO232" s="57"/>
      <c r="HP232" s="57"/>
      <c r="HQ232" s="57"/>
      <c r="HR232" s="57"/>
      <c r="HS232" s="57"/>
      <c r="HT232" s="57"/>
      <c r="HU232" s="57"/>
      <c r="HV232" s="57"/>
      <c r="HW232" s="57"/>
      <c r="HX232" s="57"/>
      <c r="HY232" s="57"/>
      <c r="HZ232" s="57"/>
      <c r="IA232" s="57"/>
      <c r="IB232" s="57"/>
      <c r="IC232" s="57"/>
      <c r="ID232" s="57"/>
      <c r="IE232" s="57"/>
      <c r="IF232" s="57"/>
      <c r="IG232" s="57"/>
      <c r="IH232" s="57"/>
      <c r="II232" s="57"/>
      <c r="IJ232" s="57"/>
      <c r="IK232" s="57"/>
      <c r="IL232" s="57"/>
      <c r="IM232" s="57"/>
      <c r="IN232" s="57"/>
      <c r="IO232" s="57"/>
      <c r="IP232" s="57"/>
      <c r="IQ232" s="57"/>
      <c r="IR232" s="57"/>
      <c r="IS232" s="57"/>
      <c r="IT232" s="57"/>
      <c r="IU232" s="57"/>
      <c r="IV232" s="57"/>
      <c r="IW232" s="57"/>
      <c r="IX232" s="57"/>
      <c r="IY232" s="57"/>
      <c r="IZ232" s="57"/>
      <c r="JA232" s="57"/>
      <c r="JB232" s="57"/>
      <c r="JC232" s="57"/>
      <c r="JD232" s="57"/>
      <c r="JE232" s="57"/>
      <c r="JF232" s="57"/>
      <c r="JG232" s="57"/>
      <c r="JH232" s="57"/>
      <c r="JI232" s="57"/>
      <c r="JJ232" s="57"/>
      <c r="JK232" s="57"/>
      <c r="JL232" s="57"/>
      <c r="JM232" s="57"/>
      <c r="JN232" s="57"/>
      <c r="JO232" s="57"/>
      <c r="JP232" s="57"/>
      <c r="JQ232" s="57"/>
      <c r="JR232" s="57"/>
      <c r="JS232" s="57"/>
      <c r="JT232" s="57"/>
      <c r="JU232" s="57"/>
      <c r="JV232" s="57"/>
      <c r="JW232" s="57"/>
      <c r="JX232" s="57"/>
      <c r="JY232" s="57"/>
      <c r="JZ232" s="57"/>
      <c r="KA232" s="57"/>
      <c r="KB232" s="57"/>
      <c r="KC232" s="57"/>
      <c r="KD232" s="57"/>
      <c r="KE232" s="57"/>
      <c r="KF232" s="57"/>
      <c r="KG232" s="57"/>
      <c r="KH232" s="57"/>
      <c r="KI232" s="57"/>
      <c r="KJ232" s="57"/>
      <c r="KK232" s="57"/>
      <c r="KL232" s="57"/>
      <c r="KM232" s="57"/>
      <c r="KN232" s="57"/>
      <c r="KO232" s="57"/>
      <c r="KP232" s="57"/>
      <c r="KQ232" s="57"/>
      <c r="KR232" s="57"/>
      <c r="KS232" s="57"/>
      <c r="KT232" s="57"/>
      <c r="KU232" s="57"/>
      <c r="KV232" s="57"/>
      <c r="KW232" s="57"/>
      <c r="KX232" s="57"/>
      <c r="KY232" s="57"/>
      <c r="KZ232" s="57"/>
      <c r="LA232" s="57"/>
      <c r="LB232" s="57"/>
      <c r="LC232" s="57"/>
      <c r="LD232" s="57"/>
      <c r="LE232" s="57"/>
      <c r="LF232" s="57"/>
      <c r="LG232" s="57"/>
      <c r="LH232" s="57"/>
      <c r="LI232" s="57"/>
      <c r="LJ232" s="57"/>
      <c r="LK232" s="57"/>
      <c r="LL232" s="57"/>
      <c r="LM232" s="57"/>
      <c r="LN232" s="57"/>
      <c r="LO232" s="57"/>
      <c r="LP232" s="57"/>
      <c r="LQ232" s="57"/>
      <c r="LR232" s="57"/>
      <c r="LS232" s="57"/>
      <c r="LT232" s="57"/>
      <c r="LU232" s="57"/>
      <c r="LV232" s="57"/>
      <c r="LW232" s="57"/>
      <c r="LX232" s="57"/>
      <c r="LY232" s="57"/>
      <c r="LZ232" s="57"/>
      <c r="MA232" s="57"/>
      <c r="MB232" s="57"/>
      <c r="MC232" s="57"/>
      <c r="MD232" s="57"/>
      <c r="ME232" s="57"/>
      <c r="MF232" s="57"/>
      <c r="MG232" s="57"/>
      <c r="MH232" s="57"/>
      <c r="MI232" s="57"/>
      <c r="MJ232" s="57"/>
      <c r="MK232" s="57"/>
      <c r="ML232" s="57"/>
      <c r="MM232" s="57"/>
      <c r="MN232" s="57"/>
      <c r="MO232" s="57"/>
      <c r="MP232" s="57"/>
      <c r="MQ232" s="57"/>
      <c r="MR232" s="57"/>
      <c r="MS232" s="57"/>
      <c r="MT232" s="57"/>
      <c r="MU232" s="57"/>
      <c r="MV232" s="57"/>
      <c r="MW232" s="57"/>
      <c r="MX232" s="57"/>
      <c r="MY232" s="57"/>
      <c r="MZ232" s="57"/>
      <c r="NA232" s="57"/>
      <c r="NB232" s="57"/>
      <c r="NC232" s="57"/>
      <c r="ND232" s="57"/>
      <c r="NE232" s="57"/>
      <c r="NF232" s="57"/>
      <c r="NG232" s="57"/>
      <c r="NH232" s="57"/>
      <c r="NI232" s="57"/>
      <c r="NJ232" s="57"/>
      <c r="NK232" s="57"/>
      <c r="NL232" s="57"/>
      <c r="NM232" s="57"/>
      <c r="NN232" s="57"/>
      <c r="NO232" s="57"/>
    </row>
    <row r="233" spans="1:379" s="126" customFormat="1">
      <c r="A233" s="144" t="str">
        <f>'Ontario Total'!A233</f>
        <v>Air-Cooled Ice Machine</v>
      </c>
      <c r="B233" s="1444">
        <f>Chino!N282</f>
        <v>0</v>
      </c>
      <c r="C233" s="1422"/>
      <c r="D233" s="1736">
        <f>F233*325900</f>
        <v>0</v>
      </c>
      <c r="E233" s="1446"/>
      <c r="F233" s="1723">
        <f>0.018*B233</f>
        <v>0</v>
      </c>
      <c r="G233" s="1724"/>
      <c r="H233" s="389">
        <f t="shared" si="63"/>
        <v>0</v>
      </c>
      <c r="I233" s="151">
        <v>0</v>
      </c>
      <c r="J233" s="151">
        <v>0</v>
      </c>
      <c r="K233" s="151">
        <v>0</v>
      </c>
      <c r="L233" s="170">
        <f t="shared" si="64"/>
        <v>0</v>
      </c>
      <c r="M233" s="1539">
        <f t="shared" si="62"/>
        <v>0</v>
      </c>
      <c r="N233" s="1540"/>
      <c r="O233" s="121"/>
      <c r="P233" s="121"/>
      <c r="Q233" s="121"/>
      <c r="R233" s="121"/>
      <c r="S233" s="121"/>
      <c r="T233" s="121"/>
      <c r="U233" s="121"/>
      <c r="V233" s="57"/>
      <c r="W233" s="57"/>
      <c r="X233" s="57"/>
      <c r="Y233" s="57"/>
      <c r="Z233" s="57"/>
      <c r="AA233" s="57"/>
      <c r="AB233" s="57"/>
      <c r="AC233" s="57"/>
      <c r="AD233" s="57"/>
      <c r="AE233" s="57"/>
      <c r="AF233" s="57"/>
      <c r="AG233" s="57"/>
      <c r="AH233" s="57"/>
      <c r="AI233" s="57"/>
      <c r="AJ233" s="57"/>
      <c r="AK233" s="57"/>
      <c r="AL233" s="57"/>
      <c r="AM233" s="57"/>
      <c r="AN233" s="57"/>
      <c r="AO233" s="57"/>
      <c r="AP233" s="57"/>
      <c r="AQ233" s="57"/>
      <c r="AR233" s="57"/>
      <c r="AS233" s="57"/>
      <c r="AT233" s="57"/>
      <c r="AU233" s="57"/>
      <c r="AV233" s="57"/>
      <c r="AW233" s="57"/>
      <c r="AX233" s="57"/>
      <c r="AY233" s="57"/>
      <c r="AZ233" s="57"/>
      <c r="BA233" s="57"/>
      <c r="BB233" s="57"/>
      <c r="BC233" s="57"/>
      <c r="BD233" s="57"/>
      <c r="BE233" s="57"/>
      <c r="BF233" s="57"/>
      <c r="BG233" s="57"/>
      <c r="BH233" s="57"/>
      <c r="BI233" s="57"/>
      <c r="BJ233" s="57"/>
      <c r="BK233" s="57"/>
      <c r="BL233" s="57"/>
      <c r="BM233" s="57"/>
      <c r="BN233" s="57"/>
      <c r="BO233" s="57"/>
      <c r="BP233" s="57"/>
      <c r="BQ233" s="57"/>
      <c r="BR233" s="57"/>
      <c r="BS233" s="57"/>
      <c r="BT233" s="57"/>
      <c r="BU233" s="57"/>
      <c r="BV233" s="57"/>
      <c r="BW233" s="57"/>
      <c r="BX233" s="57"/>
      <c r="BY233" s="57"/>
      <c r="BZ233" s="57"/>
      <c r="CA233" s="57"/>
      <c r="CB233" s="57"/>
      <c r="CC233" s="57"/>
      <c r="CD233" s="57"/>
      <c r="CE233" s="57"/>
      <c r="CF233" s="57"/>
      <c r="CG233" s="57"/>
      <c r="CH233" s="57"/>
      <c r="CI233" s="57"/>
      <c r="CJ233" s="57"/>
      <c r="CK233" s="57"/>
      <c r="CL233" s="57"/>
      <c r="CM233" s="57"/>
      <c r="CN233" s="57"/>
      <c r="CO233" s="57"/>
      <c r="CP233" s="57"/>
      <c r="CQ233" s="57"/>
      <c r="CR233" s="57"/>
      <c r="CS233" s="57"/>
      <c r="CT233" s="57"/>
      <c r="CU233" s="57"/>
      <c r="CV233" s="57"/>
      <c r="CW233" s="57"/>
      <c r="CX233" s="57"/>
      <c r="CY233" s="57"/>
      <c r="CZ233" s="57"/>
      <c r="DA233" s="57"/>
      <c r="DB233" s="57"/>
      <c r="DC233" s="57"/>
      <c r="DD233" s="57"/>
      <c r="DE233" s="57"/>
      <c r="DF233" s="57"/>
      <c r="DG233" s="57"/>
      <c r="DH233" s="57"/>
      <c r="DI233" s="57"/>
      <c r="DJ233" s="57"/>
      <c r="DK233" s="57"/>
      <c r="DL233" s="57"/>
      <c r="DM233" s="57"/>
      <c r="DN233" s="57"/>
      <c r="DO233" s="57"/>
      <c r="DP233" s="57"/>
      <c r="DQ233" s="57"/>
      <c r="DR233" s="57"/>
      <c r="DS233" s="57"/>
      <c r="DT233" s="57"/>
      <c r="DU233" s="57"/>
      <c r="DV233" s="57"/>
      <c r="DW233" s="57"/>
      <c r="DX233" s="57"/>
      <c r="DY233" s="57"/>
      <c r="DZ233" s="57"/>
      <c r="EA233" s="57"/>
      <c r="EB233" s="57"/>
      <c r="EC233" s="57"/>
      <c r="ED233" s="57"/>
      <c r="EE233" s="57"/>
      <c r="EF233" s="57"/>
      <c r="EG233" s="57"/>
      <c r="EH233" s="57"/>
      <c r="EI233" s="57"/>
      <c r="EJ233" s="57"/>
      <c r="EK233" s="57"/>
      <c r="EL233" s="57"/>
      <c r="EM233" s="57"/>
      <c r="EN233" s="57"/>
      <c r="EO233" s="57"/>
      <c r="EP233" s="57"/>
      <c r="EQ233" s="57"/>
      <c r="ER233" s="57"/>
      <c r="ES233" s="57"/>
      <c r="ET233" s="57"/>
      <c r="EU233" s="57"/>
      <c r="EV233" s="57"/>
      <c r="EW233" s="57"/>
      <c r="EX233" s="57"/>
      <c r="EY233" s="57"/>
      <c r="EZ233" s="57"/>
      <c r="FA233" s="57"/>
      <c r="FB233" s="57"/>
      <c r="FC233" s="57"/>
      <c r="FD233" s="57"/>
      <c r="FE233" s="57"/>
      <c r="FF233" s="57"/>
      <c r="FG233" s="57"/>
      <c r="FH233" s="57"/>
      <c r="FI233" s="57"/>
      <c r="FJ233" s="57"/>
      <c r="FK233" s="57"/>
      <c r="FL233" s="57"/>
      <c r="FM233" s="57"/>
      <c r="FN233" s="57"/>
      <c r="FO233" s="57"/>
      <c r="FP233" s="57"/>
      <c r="FQ233" s="57"/>
      <c r="FR233" s="57"/>
      <c r="FS233" s="57"/>
      <c r="FT233" s="57"/>
      <c r="FU233" s="57"/>
      <c r="FV233" s="57"/>
      <c r="FW233" s="57"/>
      <c r="FX233" s="57"/>
      <c r="FY233" s="57"/>
      <c r="FZ233" s="57"/>
      <c r="GA233" s="57"/>
      <c r="GB233" s="57"/>
      <c r="GC233" s="57"/>
      <c r="GD233" s="57"/>
      <c r="GE233" s="57"/>
      <c r="GF233" s="57"/>
      <c r="GG233" s="57"/>
      <c r="GH233" s="57"/>
      <c r="GI233" s="57"/>
      <c r="GJ233" s="57"/>
      <c r="GK233" s="57"/>
      <c r="GL233" s="57"/>
      <c r="GM233" s="57"/>
      <c r="GN233" s="57"/>
      <c r="GO233" s="57"/>
      <c r="GP233" s="57"/>
      <c r="GQ233" s="57"/>
      <c r="GR233" s="57"/>
      <c r="GS233" s="57"/>
      <c r="GT233" s="57"/>
      <c r="GU233" s="57"/>
      <c r="GV233" s="57"/>
      <c r="GW233" s="57"/>
      <c r="GX233" s="57"/>
      <c r="GY233" s="57"/>
      <c r="GZ233" s="57"/>
      <c r="HA233" s="57"/>
      <c r="HB233" s="57"/>
      <c r="HC233" s="57"/>
      <c r="HD233" s="57"/>
      <c r="HE233" s="57"/>
      <c r="HF233" s="57"/>
      <c r="HG233" s="57"/>
      <c r="HH233" s="57"/>
      <c r="HI233" s="57"/>
      <c r="HJ233" s="57"/>
      <c r="HK233" s="57"/>
      <c r="HL233" s="57"/>
      <c r="HM233" s="57"/>
      <c r="HN233" s="57"/>
      <c r="HO233" s="57"/>
      <c r="HP233" s="57"/>
      <c r="HQ233" s="57"/>
      <c r="HR233" s="57"/>
      <c r="HS233" s="57"/>
      <c r="HT233" s="57"/>
      <c r="HU233" s="57"/>
      <c r="HV233" s="57"/>
      <c r="HW233" s="57"/>
      <c r="HX233" s="57"/>
      <c r="HY233" s="57"/>
      <c r="HZ233" s="57"/>
      <c r="IA233" s="57"/>
      <c r="IB233" s="57"/>
      <c r="IC233" s="57"/>
      <c r="ID233" s="57"/>
      <c r="IE233" s="57"/>
      <c r="IF233" s="57"/>
      <c r="IG233" s="57"/>
      <c r="IH233" s="57"/>
      <c r="II233" s="57"/>
      <c r="IJ233" s="57"/>
      <c r="IK233" s="57"/>
      <c r="IL233" s="57"/>
      <c r="IM233" s="57"/>
      <c r="IN233" s="57"/>
      <c r="IO233" s="57"/>
      <c r="IP233" s="57"/>
      <c r="IQ233" s="57"/>
      <c r="IR233" s="57"/>
      <c r="IS233" s="57"/>
      <c r="IT233" s="57"/>
      <c r="IU233" s="57"/>
      <c r="IV233" s="57"/>
      <c r="IW233" s="57"/>
      <c r="IX233" s="57"/>
      <c r="IY233" s="57"/>
      <c r="IZ233" s="57"/>
      <c r="JA233" s="57"/>
      <c r="JB233" s="57"/>
      <c r="JC233" s="57"/>
      <c r="JD233" s="57"/>
      <c r="JE233" s="57"/>
      <c r="JF233" s="57"/>
      <c r="JG233" s="57"/>
      <c r="JH233" s="57"/>
      <c r="JI233" s="57"/>
      <c r="JJ233" s="57"/>
      <c r="JK233" s="57"/>
      <c r="JL233" s="57"/>
      <c r="JM233" s="57"/>
      <c r="JN233" s="57"/>
      <c r="JO233" s="57"/>
      <c r="JP233" s="57"/>
      <c r="JQ233" s="57"/>
      <c r="JR233" s="57"/>
      <c r="JS233" s="57"/>
      <c r="JT233" s="57"/>
      <c r="JU233" s="57"/>
      <c r="JV233" s="57"/>
      <c r="JW233" s="57"/>
      <c r="JX233" s="57"/>
      <c r="JY233" s="57"/>
      <c r="JZ233" s="57"/>
      <c r="KA233" s="57"/>
      <c r="KB233" s="57"/>
      <c r="KC233" s="57"/>
      <c r="KD233" s="57"/>
      <c r="KE233" s="57"/>
      <c r="KF233" s="57"/>
      <c r="KG233" s="57"/>
      <c r="KH233" s="57"/>
      <c r="KI233" s="57"/>
      <c r="KJ233" s="57"/>
      <c r="KK233" s="57"/>
      <c r="KL233" s="57"/>
      <c r="KM233" s="57"/>
      <c r="KN233" s="57"/>
      <c r="KO233" s="57"/>
      <c r="KP233" s="57"/>
      <c r="KQ233" s="57"/>
      <c r="KR233" s="57"/>
      <c r="KS233" s="57"/>
      <c r="KT233" s="57"/>
      <c r="KU233" s="57"/>
      <c r="KV233" s="57"/>
      <c r="KW233" s="57"/>
      <c r="KX233" s="57"/>
      <c r="KY233" s="57"/>
      <c r="KZ233" s="57"/>
      <c r="LA233" s="57"/>
      <c r="LB233" s="57"/>
      <c r="LC233" s="57"/>
      <c r="LD233" s="57"/>
      <c r="LE233" s="57"/>
      <c r="LF233" s="57"/>
      <c r="LG233" s="57"/>
      <c r="LH233" s="57"/>
      <c r="LI233" s="57"/>
      <c r="LJ233" s="57"/>
      <c r="LK233" s="57"/>
      <c r="LL233" s="57"/>
      <c r="LM233" s="57"/>
      <c r="LN233" s="57"/>
      <c r="LO233" s="57"/>
      <c r="LP233" s="57"/>
      <c r="LQ233" s="57"/>
      <c r="LR233" s="57"/>
      <c r="LS233" s="57"/>
      <c r="LT233" s="57"/>
      <c r="LU233" s="57"/>
      <c r="LV233" s="57"/>
      <c r="LW233" s="57"/>
      <c r="LX233" s="57"/>
      <c r="LY233" s="57"/>
      <c r="LZ233" s="57"/>
      <c r="MA233" s="57"/>
      <c r="MB233" s="57"/>
      <c r="MC233" s="57"/>
      <c r="MD233" s="57"/>
      <c r="ME233" s="57"/>
      <c r="MF233" s="57"/>
      <c r="MG233" s="57"/>
      <c r="MH233" s="57"/>
      <c r="MI233" s="57"/>
      <c r="MJ233" s="57"/>
      <c r="MK233" s="57"/>
      <c r="ML233" s="57"/>
      <c r="MM233" s="57"/>
      <c r="MN233" s="57"/>
      <c r="MO233" s="57"/>
      <c r="MP233" s="57"/>
      <c r="MQ233" s="57"/>
      <c r="MR233" s="57"/>
      <c r="MS233" s="57"/>
      <c r="MT233" s="57"/>
      <c r="MU233" s="57"/>
      <c r="MV233" s="57"/>
      <c r="MW233" s="57"/>
      <c r="MX233" s="57"/>
      <c r="MY233" s="57"/>
      <c r="MZ233" s="57"/>
      <c r="NA233" s="57"/>
      <c r="NB233" s="57"/>
      <c r="NC233" s="57"/>
      <c r="ND233" s="57"/>
      <c r="NE233" s="57"/>
      <c r="NF233" s="57"/>
      <c r="NG233" s="57"/>
      <c r="NH233" s="57"/>
      <c r="NI233" s="57"/>
      <c r="NJ233" s="57"/>
      <c r="NK233" s="57"/>
      <c r="NL233" s="57"/>
      <c r="NM233" s="57"/>
      <c r="NN233" s="57"/>
      <c r="NO233" s="57"/>
    </row>
    <row r="234" spans="1:379" s="126" customFormat="1" ht="14" thickBot="1">
      <c r="A234" s="107" t="s">
        <v>252</v>
      </c>
      <c r="B234" s="1444">
        <v>4</v>
      </c>
      <c r="C234" s="1422"/>
      <c r="D234" s="1737">
        <f>F234*325900</f>
        <v>2231215.6879999996</v>
      </c>
      <c r="E234" s="1726"/>
      <c r="F234" s="1738">
        <f>52664*0.00013</f>
        <v>6.8463199999999995</v>
      </c>
      <c r="G234" s="1739"/>
      <c r="H234" s="389">
        <f t="shared" si="63"/>
        <v>68.463200000000001</v>
      </c>
      <c r="I234" s="151">
        <v>0</v>
      </c>
      <c r="J234" s="151">
        <v>52644</v>
      </c>
      <c r="K234" s="151">
        <v>108288</v>
      </c>
      <c r="L234" s="170">
        <f t="shared" si="64"/>
        <v>160932</v>
      </c>
      <c r="M234" s="1539">
        <f t="shared" si="62"/>
        <v>31.258445288700525</v>
      </c>
      <c r="N234" s="1540"/>
      <c r="O234" s="121"/>
      <c r="P234" s="121"/>
      <c r="Q234" s="121"/>
      <c r="R234" s="121"/>
      <c r="S234" s="121"/>
      <c r="T234" s="121"/>
      <c r="U234" s="121"/>
      <c r="V234" s="57"/>
      <c r="W234" s="57"/>
      <c r="X234" s="57"/>
      <c r="Y234" s="57"/>
      <c r="Z234" s="57"/>
      <c r="AA234" s="57"/>
      <c r="AB234" s="57"/>
      <c r="AC234" s="57"/>
      <c r="AD234" s="57"/>
      <c r="AE234" s="57"/>
      <c r="AF234" s="57"/>
      <c r="AG234" s="57"/>
      <c r="AH234" s="57"/>
      <c r="AI234" s="57"/>
      <c r="AJ234" s="57"/>
      <c r="AK234" s="57"/>
      <c r="AL234" s="57"/>
      <c r="AM234" s="57"/>
      <c r="AN234" s="57"/>
      <c r="AO234" s="57"/>
      <c r="AP234" s="57"/>
      <c r="AQ234" s="57"/>
      <c r="AR234" s="57"/>
      <c r="AS234" s="57"/>
      <c r="AT234" s="57"/>
      <c r="AU234" s="57"/>
      <c r="AV234" s="57"/>
      <c r="AW234" s="57"/>
      <c r="AX234" s="57"/>
      <c r="AY234" s="57"/>
      <c r="AZ234" s="57"/>
      <c r="BA234" s="57"/>
      <c r="BB234" s="57"/>
      <c r="BC234" s="57"/>
      <c r="BD234" s="57"/>
      <c r="BE234" s="57"/>
      <c r="BF234" s="57"/>
      <c r="BG234" s="57"/>
      <c r="BH234" s="57"/>
      <c r="BI234" s="57"/>
      <c r="BJ234" s="57"/>
      <c r="BK234" s="57"/>
      <c r="BL234" s="57"/>
      <c r="BM234" s="57"/>
      <c r="BN234" s="57"/>
      <c r="BO234" s="57"/>
      <c r="BP234" s="57"/>
      <c r="BQ234" s="57"/>
      <c r="BR234" s="57"/>
      <c r="BS234" s="57"/>
      <c r="BT234" s="57"/>
      <c r="BU234" s="57"/>
      <c r="BV234" s="57"/>
      <c r="BW234" s="57"/>
      <c r="BX234" s="57"/>
      <c r="BY234" s="57"/>
      <c r="BZ234" s="57"/>
      <c r="CA234" s="57"/>
      <c r="CB234" s="57"/>
      <c r="CC234" s="57"/>
      <c r="CD234" s="57"/>
      <c r="CE234" s="57"/>
      <c r="CF234" s="57"/>
      <c r="CG234" s="57"/>
      <c r="CH234" s="57"/>
      <c r="CI234" s="57"/>
      <c r="CJ234" s="57"/>
      <c r="CK234" s="57"/>
      <c r="CL234" s="57"/>
      <c r="CM234" s="57"/>
      <c r="CN234" s="57"/>
      <c r="CO234" s="57"/>
      <c r="CP234" s="57"/>
      <c r="CQ234" s="57"/>
      <c r="CR234" s="57"/>
      <c r="CS234" s="57"/>
      <c r="CT234" s="57"/>
      <c r="CU234" s="57"/>
      <c r="CV234" s="57"/>
      <c r="CW234" s="57"/>
      <c r="CX234" s="57"/>
      <c r="CY234" s="57"/>
      <c r="CZ234" s="57"/>
      <c r="DA234" s="57"/>
      <c r="DB234" s="57"/>
      <c r="DC234" s="57"/>
      <c r="DD234" s="57"/>
      <c r="DE234" s="57"/>
      <c r="DF234" s="57"/>
      <c r="DG234" s="57"/>
      <c r="DH234" s="57"/>
      <c r="DI234" s="57"/>
      <c r="DJ234" s="57"/>
      <c r="DK234" s="57"/>
      <c r="DL234" s="57"/>
      <c r="DM234" s="57"/>
      <c r="DN234" s="57"/>
      <c r="DO234" s="57"/>
      <c r="DP234" s="57"/>
      <c r="DQ234" s="57"/>
      <c r="DR234" s="57"/>
      <c r="DS234" s="57"/>
      <c r="DT234" s="57"/>
      <c r="DU234" s="57"/>
      <c r="DV234" s="57"/>
      <c r="DW234" s="57"/>
      <c r="DX234" s="57"/>
      <c r="DY234" s="57"/>
      <c r="DZ234" s="57"/>
      <c r="EA234" s="57"/>
      <c r="EB234" s="57"/>
      <c r="EC234" s="57"/>
      <c r="ED234" s="57"/>
      <c r="EE234" s="57"/>
      <c r="EF234" s="57"/>
      <c r="EG234" s="57"/>
      <c r="EH234" s="57"/>
      <c r="EI234" s="57"/>
      <c r="EJ234" s="57"/>
      <c r="EK234" s="57"/>
      <c r="EL234" s="57"/>
      <c r="EM234" s="57"/>
      <c r="EN234" s="57"/>
      <c r="EO234" s="57"/>
      <c r="EP234" s="57"/>
      <c r="EQ234" s="57"/>
      <c r="ER234" s="57"/>
      <c r="ES234" s="57"/>
      <c r="ET234" s="57"/>
      <c r="EU234" s="57"/>
      <c r="EV234" s="57"/>
      <c r="EW234" s="57"/>
      <c r="EX234" s="57"/>
      <c r="EY234" s="57"/>
      <c r="EZ234" s="57"/>
      <c r="FA234" s="57"/>
      <c r="FB234" s="57"/>
      <c r="FC234" s="57"/>
      <c r="FD234" s="57"/>
      <c r="FE234" s="57"/>
      <c r="FF234" s="57"/>
      <c r="FG234" s="57"/>
      <c r="FH234" s="57"/>
      <c r="FI234" s="57"/>
      <c r="FJ234" s="57"/>
      <c r="FK234" s="57"/>
      <c r="FL234" s="57"/>
      <c r="FM234" s="57"/>
      <c r="FN234" s="57"/>
      <c r="FO234" s="57"/>
      <c r="FP234" s="57"/>
      <c r="FQ234" s="57"/>
      <c r="FR234" s="57"/>
      <c r="FS234" s="57"/>
      <c r="FT234" s="57"/>
      <c r="FU234" s="57"/>
      <c r="FV234" s="57"/>
      <c r="FW234" s="57"/>
      <c r="FX234" s="57"/>
      <c r="FY234" s="57"/>
      <c r="FZ234" s="57"/>
      <c r="GA234" s="57"/>
      <c r="GB234" s="57"/>
      <c r="GC234" s="57"/>
      <c r="GD234" s="57"/>
      <c r="GE234" s="57"/>
      <c r="GF234" s="57"/>
      <c r="GG234" s="57"/>
      <c r="GH234" s="57"/>
      <c r="GI234" s="57"/>
      <c r="GJ234" s="57"/>
      <c r="GK234" s="57"/>
      <c r="GL234" s="57"/>
      <c r="GM234" s="57"/>
      <c r="GN234" s="57"/>
      <c r="GO234" s="57"/>
      <c r="GP234" s="57"/>
      <c r="GQ234" s="57"/>
      <c r="GR234" s="57"/>
      <c r="GS234" s="57"/>
      <c r="GT234" s="57"/>
      <c r="GU234" s="57"/>
      <c r="GV234" s="57"/>
      <c r="GW234" s="57"/>
      <c r="GX234" s="57"/>
      <c r="GY234" s="57"/>
      <c r="GZ234" s="57"/>
      <c r="HA234" s="57"/>
      <c r="HB234" s="57"/>
      <c r="HC234" s="57"/>
      <c r="HD234" s="57"/>
      <c r="HE234" s="57"/>
      <c r="HF234" s="57"/>
      <c r="HG234" s="57"/>
      <c r="HH234" s="57"/>
      <c r="HI234" s="57"/>
      <c r="HJ234" s="57"/>
      <c r="HK234" s="57"/>
      <c r="HL234" s="57"/>
      <c r="HM234" s="57"/>
      <c r="HN234" s="57"/>
      <c r="HO234" s="57"/>
      <c r="HP234" s="57"/>
      <c r="HQ234" s="57"/>
      <c r="HR234" s="57"/>
      <c r="HS234" s="57"/>
      <c r="HT234" s="57"/>
      <c r="HU234" s="57"/>
      <c r="HV234" s="57"/>
      <c r="HW234" s="57"/>
      <c r="HX234" s="57"/>
      <c r="HY234" s="57"/>
      <c r="HZ234" s="57"/>
      <c r="IA234" s="57"/>
      <c r="IB234" s="57"/>
      <c r="IC234" s="57"/>
      <c r="ID234" s="57"/>
      <c r="IE234" s="57"/>
      <c r="IF234" s="57"/>
      <c r="IG234" s="57"/>
      <c r="IH234" s="57"/>
      <c r="II234" s="57"/>
      <c r="IJ234" s="57"/>
      <c r="IK234" s="57"/>
      <c r="IL234" s="57"/>
      <c r="IM234" s="57"/>
      <c r="IN234" s="57"/>
      <c r="IO234" s="57"/>
      <c r="IP234" s="57"/>
      <c r="IQ234" s="57"/>
      <c r="IR234" s="57"/>
      <c r="IS234" s="57"/>
      <c r="IT234" s="57"/>
      <c r="IU234" s="57"/>
      <c r="IV234" s="57"/>
      <c r="IW234" s="57"/>
      <c r="IX234" s="57"/>
      <c r="IY234" s="57"/>
      <c r="IZ234" s="57"/>
      <c r="JA234" s="57"/>
      <c r="JB234" s="57"/>
      <c r="JC234" s="57"/>
      <c r="JD234" s="57"/>
      <c r="JE234" s="57"/>
      <c r="JF234" s="57"/>
      <c r="JG234" s="57"/>
      <c r="JH234" s="57"/>
      <c r="JI234" s="57"/>
      <c r="JJ234" s="57"/>
      <c r="JK234" s="57"/>
      <c r="JL234" s="57"/>
      <c r="JM234" s="57"/>
      <c r="JN234" s="57"/>
      <c r="JO234" s="57"/>
      <c r="JP234" s="57"/>
      <c r="JQ234" s="57"/>
      <c r="JR234" s="57"/>
      <c r="JS234" s="57"/>
      <c r="JT234" s="57"/>
      <c r="JU234" s="57"/>
      <c r="JV234" s="57"/>
      <c r="JW234" s="57"/>
      <c r="JX234" s="57"/>
      <c r="JY234" s="57"/>
      <c r="JZ234" s="57"/>
      <c r="KA234" s="57"/>
      <c r="KB234" s="57"/>
      <c r="KC234" s="57"/>
      <c r="KD234" s="57"/>
      <c r="KE234" s="57"/>
      <c r="KF234" s="57"/>
      <c r="KG234" s="57"/>
      <c r="KH234" s="57"/>
      <c r="KI234" s="57"/>
      <c r="KJ234" s="57"/>
      <c r="KK234" s="57"/>
      <c r="KL234" s="57"/>
      <c r="KM234" s="57"/>
      <c r="KN234" s="57"/>
      <c r="KO234" s="57"/>
      <c r="KP234" s="57"/>
      <c r="KQ234" s="57"/>
      <c r="KR234" s="57"/>
      <c r="KS234" s="57"/>
      <c r="KT234" s="57"/>
      <c r="KU234" s="57"/>
      <c r="KV234" s="57"/>
      <c r="KW234" s="57"/>
      <c r="KX234" s="57"/>
      <c r="KY234" s="57"/>
      <c r="KZ234" s="57"/>
      <c r="LA234" s="57"/>
      <c r="LB234" s="57"/>
      <c r="LC234" s="57"/>
      <c r="LD234" s="57"/>
      <c r="LE234" s="57"/>
      <c r="LF234" s="57"/>
      <c r="LG234" s="57"/>
      <c r="LH234" s="57"/>
      <c r="LI234" s="57"/>
      <c r="LJ234" s="57"/>
      <c r="LK234" s="57"/>
      <c r="LL234" s="57"/>
      <c r="LM234" s="57"/>
      <c r="LN234" s="57"/>
      <c r="LO234" s="57"/>
      <c r="LP234" s="57"/>
      <c r="LQ234" s="57"/>
      <c r="LR234" s="57"/>
      <c r="LS234" s="57"/>
      <c r="LT234" s="57"/>
      <c r="LU234" s="57"/>
      <c r="LV234" s="57"/>
      <c r="LW234" s="57"/>
      <c r="LX234" s="57"/>
      <c r="LY234" s="57"/>
      <c r="LZ234" s="57"/>
      <c r="MA234" s="57"/>
      <c r="MB234" s="57"/>
      <c r="MC234" s="57"/>
      <c r="MD234" s="57"/>
      <c r="ME234" s="57"/>
      <c r="MF234" s="57"/>
      <c r="MG234" s="57"/>
      <c r="MH234" s="57"/>
      <c r="MI234" s="57"/>
      <c r="MJ234" s="57"/>
      <c r="MK234" s="57"/>
      <c r="ML234" s="57"/>
      <c r="MM234" s="57"/>
      <c r="MN234" s="57"/>
      <c r="MO234" s="57"/>
      <c r="MP234" s="57"/>
      <c r="MQ234" s="57"/>
      <c r="MR234" s="57"/>
      <c r="MS234" s="57"/>
      <c r="MT234" s="57"/>
      <c r="MU234" s="57"/>
      <c r="MV234" s="57"/>
      <c r="MW234" s="57"/>
      <c r="MX234" s="57"/>
      <c r="MY234" s="57"/>
      <c r="MZ234" s="57"/>
      <c r="NA234" s="57"/>
      <c r="NB234" s="57"/>
      <c r="NC234" s="57"/>
      <c r="ND234" s="57"/>
      <c r="NE234" s="57"/>
      <c r="NF234" s="57"/>
      <c r="NG234" s="57"/>
      <c r="NH234" s="57"/>
      <c r="NI234" s="57"/>
      <c r="NJ234" s="57"/>
      <c r="NK234" s="57"/>
      <c r="NL234" s="57"/>
      <c r="NM234" s="57"/>
      <c r="NN234" s="57"/>
      <c r="NO234" s="57"/>
    </row>
    <row r="235" spans="1:379" s="126" customFormat="1" ht="14" hidden="1" thickBot="1">
      <c r="A235" s="107"/>
      <c r="B235" s="574"/>
      <c r="C235" s="570"/>
      <c r="D235" s="817"/>
      <c r="E235" s="809"/>
      <c r="F235" s="825"/>
      <c r="G235" s="810"/>
      <c r="H235" s="583"/>
      <c r="I235" s="151"/>
      <c r="J235" s="170"/>
      <c r="K235" s="606"/>
      <c r="L235" s="170"/>
      <c r="M235" s="563"/>
      <c r="N235" s="564"/>
      <c r="O235" s="121"/>
      <c r="P235" s="121"/>
      <c r="Q235" s="121"/>
      <c r="R235" s="121"/>
      <c r="S235" s="121"/>
      <c r="T235" s="121"/>
      <c r="U235" s="121"/>
      <c r="V235" s="57"/>
      <c r="W235" s="57"/>
      <c r="X235" s="57"/>
      <c r="Y235" s="57"/>
      <c r="Z235" s="57"/>
      <c r="AA235" s="57"/>
      <c r="AB235" s="57"/>
      <c r="AC235" s="57"/>
      <c r="AD235" s="57"/>
      <c r="AE235" s="57"/>
      <c r="AF235" s="57"/>
      <c r="AG235" s="57"/>
      <c r="AH235" s="57"/>
      <c r="AI235" s="57"/>
      <c r="AJ235" s="57"/>
      <c r="AK235" s="57"/>
      <c r="AL235" s="57"/>
      <c r="AM235" s="57"/>
      <c r="AN235" s="57"/>
      <c r="AO235" s="57"/>
      <c r="AP235" s="57"/>
      <c r="AQ235" s="57"/>
      <c r="AR235" s="57"/>
      <c r="AS235" s="57"/>
      <c r="AT235" s="57"/>
      <c r="AU235" s="57"/>
      <c r="AV235" s="57"/>
      <c r="AW235" s="57"/>
      <c r="AX235" s="57"/>
      <c r="AY235" s="57"/>
      <c r="AZ235" s="57"/>
      <c r="BA235" s="57"/>
      <c r="BB235" s="57"/>
      <c r="BC235" s="57"/>
      <c r="BD235" s="57"/>
      <c r="BE235" s="57"/>
      <c r="BF235" s="57"/>
      <c r="BG235" s="57"/>
      <c r="BH235" s="57"/>
      <c r="BI235" s="57"/>
      <c r="BJ235" s="57"/>
      <c r="BK235" s="57"/>
      <c r="BL235" s="57"/>
      <c r="BM235" s="57"/>
      <c r="BN235" s="57"/>
      <c r="BO235" s="57"/>
      <c r="BP235" s="57"/>
      <c r="BQ235" s="57"/>
      <c r="BR235" s="57"/>
      <c r="BS235" s="57"/>
      <c r="BT235" s="57"/>
      <c r="BU235" s="57"/>
      <c r="BV235" s="57"/>
      <c r="BW235" s="57"/>
      <c r="BX235" s="57"/>
      <c r="BY235" s="57"/>
      <c r="BZ235" s="57"/>
      <c r="CA235" s="57"/>
      <c r="CB235" s="57"/>
      <c r="CC235" s="57"/>
      <c r="CD235" s="57"/>
      <c r="CE235" s="57"/>
      <c r="CF235" s="57"/>
      <c r="CG235" s="57"/>
      <c r="CH235" s="57"/>
      <c r="CI235" s="57"/>
      <c r="CJ235" s="57"/>
      <c r="CK235" s="57"/>
      <c r="CL235" s="57"/>
      <c r="CM235" s="57"/>
      <c r="CN235" s="57"/>
      <c r="CO235" s="57"/>
      <c r="CP235" s="57"/>
      <c r="CQ235" s="57"/>
      <c r="CR235" s="57"/>
      <c r="CS235" s="57"/>
      <c r="CT235" s="57"/>
      <c r="CU235" s="57"/>
      <c r="CV235" s="57"/>
      <c r="CW235" s="57"/>
      <c r="CX235" s="57"/>
      <c r="CY235" s="57"/>
      <c r="CZ235" s="57"/>
      <c r="DA235" s="57"/>
      <c r="DB235" s="57"/>
      <c r="DC235" s="57"/>
      <c r="DD235" s="57"/>
      <c r="DE235" s="57"/>
      <c r="DF235" s="57"/>
      <c r="DG235" s="57"/>
      <c r="DH235" s="57"/>
      <c r="DI235" s="57"/>
      <c r="DJ235" s="57"/>
      <c r="DK235" s="57"/>
      <c r="DL235" s="57"/>
      <c r="DM235" s="57"/>
      <c r="DN235" s="57"/>
      <c r="DO235" s="57"/>
      <c r="DP235" s="57"/>
      <c r="DQ235" s="57"/>
      <c r="DR235" s="57"/>
      <c r="DS235" s="57"/>
      <c r="DT235" s="57"/>
      <c r="DU235" s="57"/>
      <c r="DV235" s="57"/>
      <c r="DW235" s="57"/>
      <c r="DX235" s="57"/>
      <c r="DY235" s="57"/>
      <c r="DZ235" s="57"/>
      <c r="EA235" s="57"/>
      <c r="EB235" s="57"/>
      <c r="EC235" s="57"/>
      <c r="ED235" s="57"/>
      <c r="EE235" s="57"/>
      <c r="EF235" s="57"/>
      <c r="EG235" s="57"/>
      <c r="EH235" s="57"/>
      <c r="EI235" s="57"/>
      <c r="EJ235" s="57"/>
      <c r="EK235" s="57"/>
      <c r="EL235" s="57"/>
      <c r="EM235" s="57"/>
      <c r="EN235" s="57"/>
      <c r="EO235" s="57"/>
      <c r="EP235" s="57"/>
      <c r="EQ235" s="57"/>
      <c r="ER235" s="57"/>
      <c r="ES235" s="57"/>
      <c r="ET235" s="57"/>
      <c r="EU235" s="57"/>
      <c r="EV235" s="57"/>
      <c r="EW235" s="57"/>
      <c r="EX235" s="57"/>
      <c r="EY235" s="57"/>
      <c r="EZ235" s="57"/>
      <c r="FA235" s="57"/>
      <c r="FB235" s="57"/>
      <c r="FC235" s="57"/>
      <c r="FD235" s="57"/>
      <c r="FE235" s="57"/>
      <c r="FF235" s="57"/>
      <c r="FG235" s="57"/>
      <c r="FH235" s="57"/>
      <c r="FI235" s="57"/>
      <c r="FJ235" s="57"/>
      <c r="FK235" s="57"/>
      <c r="FL235" s="57"/>
      <c r="FM235" s="57"/>
      <c r="FN235" s="57"/>
      <c r="FO235" s="57"/>
      <c r="FP235" s="57"/>
      <c r="FQ235" s="57"/>
      <c r="FR235" s="57"/>
      <c r="FS235" s="57"/>
      <c r="FT235" s="57"/>
      <c r="FU235" s="57"/>
      <c r="FV235" s="57"/>
      <c r="FW235" s="57"/>
      <c r="FX235" s="57"/>
      <c r="FY235" s="57"/>
      <c r="FZ235" s="57"/>
      <c r="GA235" s="57"/>
      <c r="GB235" s="57"/>
      <c r="GC235" s="57"/>
      <c r="GD235" s="57"/>
      <c r="GE235" s="57"/>
      <c r="GF235" s="57"/>
      <c r="GG235" s="57"/>
      <c r="GH235" s="57"/>
      <c r="GI235" s="57"/>
      <c r="GJ235" s="57"/>
      <c r="GK235" s="57"/>
      <c r="GL235" s="57"/>
      <c r="GM235" s="57"/>
      <c r="GN235" s="57"/>
      <c r="GO235" s="57"/>
      <c r="GP235" s="57"/>
      <c r="GQ235" s="57"/>
      <c r="GR235" s="57"/>
      <c r="GS235" s="57"/>
      <c r="GT235" s="57"/>
      <c r="GU235" s="57"/>
      <c r="GV235" s="57"/>
      <c r="GW235" s="57"/>
      <c r="GX235" s="57"/>
      <c r="GY235" s="57"/>
      <c r="GZ235" s="57"/>
      <c r="HA235" s="57"/>
      <c r="HB235" s="57"/>
      <c r="HC235" s="57"/>
      <c r="HD235" s="57"/>
      <c r="HE235" s="57"/>
      <c r="HF235" s="57"/>
      <c r="HG235" s="57"/>
      <c r="HH235" s="57"/>
      <c r="HI235" s="57"/>
      <c r="HJ235" s="57"/>
      <c r="HK235" s="57"/>
      <c r="HL235" s="57"/>
      <c r="HM235" s="57"/>
      <c r="HN235" s="57"/>
      <c r="HO235" s="57"/>
      <c r="HP235" s="57"/>
      <c r="HQ235" s="57"/>
      <c r="HR235" s="57"/>
      <c r="HS235" s="57"/>
      <c r="HT235" s="57"/>
      <c r="HU235" s="57"/>
      <c r="HV235" s="57"/>
      <c r="HW235" s="57"/>
      <c r="HX235" s="57"/>
      <c r="HY235" s="57"/>
      <c r="HZ235" s="57"/>
      <c r="IA235" s="57"/>
      <c r="IB235" s="57"/>
      <c r="IC235" s="57"/>
      <c r="ID235" s="57"/>
      <c r="IE235" s="57"/>
      <c r="IF235" s="57"/>
      <c r="IG235" s="57"/>
      <c r="IH235" s="57"/>
      <c r="II235" s="57"/>
      <c r="IJ235" s="57"/>
      <c r="IK235" s="57"/>
      <c r="IL235" s="57"/>
      <c r="IM235" s="57"/>
      <c r="IN235" s="57"/>
      <c r="IO235" s="57"/>
      <c r="IP235" s="57"/>
      <c r="IQ235" s="57"/>
      <c r="IR235" s="57"/>
      <c r="IS235" s="57"/>
      <c r="IT235" s="57"/>
      <c r="IU235" s="57"/>
      <c r="IV235" s="57"/>
      <c r="IW235" s="57"/>
      <c r="IX235" s="57"/>
      <c r="IY235" s="57"/>
      <c r="IZ235" s="57"/>
      <c r="JA235" s="57"/>
      <c r="JB235" s="57"/>
      <c r="JC235" s="57"/>
      <c r="JD235" s="57"/>
      <c r="JE235" s="57"/>
      <c r="JF235" s="57"/>
      <c r="JG235" s="57"/>
      <c r="JH235" s="57"/>
      <c r="JI235" s="57"/>
      <c r="JJ235" s="57"/>
      <c r="JK235" s="57"/>
      <c r="JL235" s="57"/>
      <c r="JM235" s="57"/>
      <c r="JN235" s="57"/>
      <c r="JO235" s="57"/>
      <c r="JP235" s="57"/>
      <c r="JQ235" s="57"/>
      <c r="JR235" s="57"/>
      <c r="JS235" s="57"/>
      <c r="JT235" s="57"/>
      <c r="JU235" s="57"/>
      <c r="JV235" s="57"/>
      <c r="JW235" s="57"/>
      <c r="JX235" s="57"/>
      <c r="JY235" s="57"/>
      <c r="JZ235" s="57"/>
      <c r="KA235" s="57"/>
      <c r="KB235" s="57"/>
      <c r="KC235" s="57"/>
      <c r="KD235" s="57"/>
      <c r="KE235" s="57"/>
      <c r="KF235" s="57"/>
      <c r="KG235" s="57"/>
      <c r="KH235" s="57"/>
      <c r="KI235" s="57"/>
      <c r="KJ235" s="57"/>
      <c r="KK235" s="57"/>
      <c r="KL235" s="57"/>
      <c r="KM235" s="57"/>
      <c r="KN235" s="57"/>
      <c r="KO235" s="57"/>
      <c r="KP235" s="57"/>
      <c r="KQ235" s="57"/>
      <c r="KR235" s="57"/>
      <c r="KS235" s="57"/>
      <c r="KT235" s="57"/>
      <c r="KU235" s="57"/>
      <c r="KV235" s="57"/>
      <c r="KW235" s="57"/>
      <c r="KX235" s="57"/>
      <c r="KY235" s="57"/>
      <c r="KZ235" s="57"/>
      <c r="LA235" s="57"/>
      <c r="LB235" s="57"/>
      <c r="LC235" s="57"/>
      <c r="LD235" s="57"/>
      <c r="LE235" s="57"/>
      <c r="LF235" s="57"/>
      <c r="LG235" s="57"/>
      <c r="LH235" s="57"/>
      <c r="LI235" s="57"/>
      <c r="LJ235" s="57"/>
      <c r="LK235" s="57"/>
      <c r="LL235" s="57"/>
      <c r="LM235" s="57"/>
      <c r="LN235" s="57"/>
      <c r="LO235" s="57"/>
      <c r="LP235" s="57"/>
      <c r="LQ235" s="57"/>
      <c r="LR235" s="57"/>
      <c r="LS235" s="57"/>
      <c r="LT235" s="57"/>
      <c r="LU235" s="57"/>
      <c r="LV235" s="57"/>
      <c r="LW235" s="57"/>
      <c r="LX235" s="57"/>
      <c r="LY235" s="57"/>
      <c r="LZ235" s="57"/>
      <c r="MA235" s="57"/>
      <c r="MB235" s="57"/>
      <c r="MC235" s="57"/>
      <c r="MD235" s="57"/>
      <c r="ME235" s="57"/>
      <c r="MF235" s="57"/>
      <c r="MG235" s="57"/>
      <c r="MH235" s="57"/>
      <c r="MI235" s="57"/>
      <c r="MJ235" s="57"/>
      <c r="MK235" s="57"/>
      <c r="ML235" s="57"/>
      <c r="MM235" s="57"/>
      <c r="MN235" s="57"/>
      <c r="MO235" s="57"/>
      <c r="MP235" s="57"/>
      <c r="MQ235" s="57"/>
      <c r="MR235" s="57"/>
      <c r="MS235" s="57"/>
      <c r="MT235" s="57"/>
      <c r="MU235" s="57"/>
      <c r="MV235" s="57"/>
      <c r="MW235" s="57"/>
      <c r="MX235" s="57"/>
      <c r="MY235" s="57"/>
      <c r="MZ235" s="57"/>
      <c r="NA235" s="57"/>
      <c r="NB235" s="57"/>
      <c r="NC235" s="57"/>
      <c r="ND235" s="57"/>
      <c r="NE235" s="57"/>
      <c r="NF235" s="57"/>
      <c r="NG235" s="57"/>
      <c r="NH235" s="57"/>
      <c r="NI235" s="57"/>
      <c r="NJ235" s="57"/>
      <c r="NK235" s="57"/>
      <c r="NL235" s="57"/>
      <c r="NM235" s="57"/>
      <c r="NN235" s="57"/>
      <c r="NO235" s="57"/>
    </row>
    <row r="236" spans="1:379" s="1161" customFormat="1" ht="17" thickBot="1">
      <c r="A236" s="110" t="str">
        <f>'Ontario Total'!A236</f>
        <v>IEUA Locally Implemented Commercial Programs</v>
      </c>
      <c r="B236" s="1456"/>
      <c r="C236" s="1586"/>
      <c r="D236" s="1457"/>
      <c r="E236" s="1586"/>
      <c r="F236" s="1484"/>
      <c r="G236" s="1484"/>
      <c r="H236" s="447"/>
      <c r="I236" s="997"/>
      <c r="J236" s="179"/>
      <c r="K236" s="179"/>
      <c r="L236" s="180"/>
      <c r="M236" s="1617"/>
      <c r="N236" s="1486"/>
      <c r="O236" s="274"/>
      <c r="P236" s="274"/>
      <c r="Q236" s="274"/>
      <c r="R236" s="274"/>
      <c r="S236" s="274"/>
      <c r="T236" s="274"/>
      <c r="U236" s="274"/>
    </row>
    <row r="237" spans="1:379" hidden="1">
      <c r="A237" s="32" t="str">
        <f>'Ontario Total'!A237</f>
        <v>Fontana Unified School Retrofit Program</v>
      </c>
      <c r="B237" s="1444"/>
      <c r="C237" s="1422"/>
      <c r="D237" s="1431">
        <f>F237*325851</f>
        <v>0</v>
      </c>
      <c r="E237" s="1422"/>
      <c r="F237" s="1727">
        <f>0.018*B237</f>
        <v>0</v>
      </c>
      <c r="G237" s="1721"/>
      <c r="H237" s="384">
        <f>F237*10</f>
        <v>0</v>
      </c>
      <c r="I237" s="172">
        <f>SUM(F237:H237)</f>
        <v>0</v>
      </c>
      <c r="J237" s="172">
        <f>SUM(G237:I237)</f>
        <v>0</v>
      </c>
      <c r="K237" s="172">
        <f>SUM(H237:J237)</f>
        <v>0</v>
      </c>
      <c r="L237" s="172">
        <f>SUM(I237:K237)</f>
        <v>0</v>
      </c>
      <c r="M237" s="1539">
        <f>IF(ISERROR(L237/(F237*727)),0,L237/(F237*727))</f>
        <v>0</v>
      </c>
      <c r="N237" s="1540"/>
    </row>
    <row r="238" spans="1:379" ht="14" thickBot="1">
      <c r="A238" s="32" t="s">
        <v>165</v>
      </c>
      <c r="B238" s="1444">
        <f>Chino!N286</f>
        <v>0</v>
      </c>
      <c r="C238" s="1422"/>
      <c r="D238" s="1734">
        <f>F238*325900</f>
        <v>0</v>
      </c>
      <c r="E238" s="1430"/>
      <c r="F238" s="1545">
        <f>0.004*B238</f>
        <v>0</v>
      </c>
      <c r="G238" s="1546"/>
      <c r="H238" s="384">
        <f>F238*5</f>
        <v>0</v>
      </c>
      <c r="I238" s="151">
        <v>0</v>
      </c>
      <c r="J238" s="151">
        <f>0*B238</f>
        <v>0</v>
      </c>
      <c r="K238" s="151">
        <f>3.25*B238</f>
        <v>0</v>
      </c>
      <c r="L238" s="172">
        <f>SUM(I238:K238)</f>
        <v>0</v>
      </c>
      <c r="M238" s="1539">
        <f>IF(ISERROR(L238/(F238*752)),0,L238/(F238*752))</f>
        <v>0</v>
      </c>
      <c r="N238" s="1540"/>
    </row>
    <row r="239" spans="1:379" s="533" customFormat="1" ht="14" thickBot="1">
      <c r="A239" s="53" t="s">
        <v>60</v>
      </c>
      <c r="B239" s="1440">
        <f>SUM(B221:B238)</f>
        <v>3278</v>
      </c>
      <c r="C239" s="1609"/>
      <c r="D239" s="1440">
        <f>SUM(D221:E238)</f>
        <v>11414751.787999999</v>
      </c>
      <c r="E239" s="1609"/>
      <c r="F239" s="1512">
        <f>SUM(F221:G238)</f>
        <v>35.025320000000001</v>
      </c>
      <c r="G239" s="1575"/>
      <c r="H239" s="471">
        <f>SUM(H221:H238)</f>
        <v>374.23320000000001</v>
      </c>
      <c r="I239" s="136">
        <v>0</v>
      </c>
      <c r="J239" s="136">
        <f>SUM(J221:J238)</f>
        <v>63463</v>
      </c>
      <c r="K239" s="136">
        <f>SUM(K221:K238)</f>
        <v>119956</v>
      </c>
      <c r="L239" s="136">
        <f>SUM(L221:L238)</f>
        <v>183420</v>
      </c>
      <c r="M239" s="1442"/>
      <c r="N239" s="1735"/>
      <c r="O239" s="534"/>
      <c r="P239" s="534"/>
      <c r="Q239" s="534"/>
      <c r="R239" s="534"/>
      <c r="S239" s="534"/>
      <c r="T239" s="534"/>
      <c r="U239" s="534"/>
    </row>
    <row r="240" spans="1:379" s="1168" customFormat="1" ht="17" thickBot="1">
      <c r="A240" s="1163" t="s">
        <v>17</v>
      </c>
      <c r="B240" s="1612">
        <f>B239+B215</f>
        <v>3930</v>
      </c>
      <c r="C240" s="1415"/>
      <c r="D240" s="1612">
        <f>D239+D215</f>
        <v>21412959.697999999</v>
      </c>
      <c r="E240" s="1415"/>
      <c r="F240" s="1612">
        <f>F239+F215</f>
        <v>65.67022</v>
      </c>
      <c r="G240" s="1415"/>
      <c r="H240" s="1201">
        <f>H239+H215</f>
        <v>711.53120000000001</v>
      </c>
      <c r="I240" s="1169">
        <f>SUM(I215+I219+I239)</f>
        <v>29304.89</v>
      </c>
      <c r="J240" s="1169">
        <f>SUM(J215+J219+J239)</f>
        <v>92930.5</v>
      </c>
      <c r="K240" s="1169">
        <f>SUM(K215+K219+K239)</f>
        <v>203798.89</v>
      </c>
      <c r="L240" s="1169">
        <f>SUM(L215+L219+L239)</f>
        <v>326035.28000000003</v>
      </c>
      <c r="M240" s="1417"/>
      <c r="N240" s="1614"/>
      <c r="O240" s="121"/>
      <c r="P240" s="121"/>
      <c r="Q240" s="121"/>
      <c r="R240" s="121"/>
      <c r="S240" s="121"/>
      <c r="T240" s="121"/>
      <c r="U240" s="121"/>
    </row>
    <row r="241" spans="1:21">
      <c r="A241" s="50"/>
      <c r="B241" s="20"/>
      <c r="C241" s="313"/>
      <c r="D241" s="307"/>
      <c r="E241" s="20"/>
      <c r="F241" s="422"/>
      <c r="G241" s="422"/>
      <c r="H241" s="422"/>
      <c r="I241" s="21"/>
      <c r="J241" s="21"/>
      <c r="K241" s="21"/>
      <c r="L241" s="21"/>
      <c r="M241" s="250"/>
      <c r="N241" s="250"/>
    </row>
    <row r="242" spans="1:21" ht="15">
      <c r="A242" s="9" t="s">
        <v>18</v>
      </c>
      <c r="B242" s="1419" t="s">
        <v>59</v>
      </c>
      <c r="C242" s="1489"/>
      <c r="D242" s="1489"/>
      <c r="E242" s="1733"/>
      <c r="F242" s="422"/>
      <c r="G242" s="422"/>
      <c r="H242" s="422"/>
      <c r="I242" s="21"/>
      <c r="J242" s="21"/>
      <c r="K242" s="21"/>
      <c r="L242" s="21"/>
      <c r="M242" s="250"/>
      <c r="N242" s="250"/>
    </row>
    <row r="243" spans="1:21">
      <c r="B243" s="1420" t="s">
        <v>19</v>
      </c>
      <c r="C243" s="1420"/>
      <c r="D243" s="1420"/>
      <c r="E243" s="1420"/>
      <c r="F243" s="422"/>
      <c r="G243" s="422"/>
      <c r="H243" s="422"/>
      <c r="I243" s="21"/>
      <c r="J243" s="21"/>
      <c r="K243" s="21"/>
      <c r="L243" s="21"/>
      <c r="M243" s="250"/>
      <c r="N243" s="250"/>
    </row>
    <row r="244" spans="1:21" ht="14" thickBot="1">
      <c r="A244" s="737"/>
      <c r="B244" s="820"/>
      <c r="C244" s="820"/>
      <c r="D244" s="820"/>
      <c r="E244" s="820"/>
      <c r="F244" s="823"/>
      <c r="G244" s="823"/>
      <c r="H244" s="823"/>
      <c r="I244" s="21"/>
      <c r="J244" s="21"/>
      <c r="K244" s="21"/>
      <c r="L244" s="21"/>
      <c r="M244" s="820"/>
      <c r="N244" s="820"/>
    </row>
    <row r="245" spans="1:21" ht="16">
      <c r="A245" s="98"/>
      <c r="B245" s="99"/>
      <c r="C245" s="99"/>
      <c r="D245" s="99"/>
      <c r="E245" s="99"/>
      <c r="F245" s="421"/>
      <c r="G245" s="421"/>
      <c r="H245" s="421"/>
      <c r="I245" s="1468" t="s">
        <v>0</v>
      </c>
      <c r="J245" s="1468"/>
      <c r="K245" s="1468"/>
      <c r="L245" s="1468"/>
      <c r="M245" s="99"/>
      <c r="N245" s="101"/>
    </row>
    <row r="246" spans="1:21" ht="16">
      <c r="A246" s="97"/>
      <c r="B246" s="1469" t="s">
        <v>1</v>
      </c>
      <c r="C246" s="1469"/>
      <c r="D246" s="1469" t="s">
        <v>2</v>
      </c>
      <c r="E246" s="1469"/>
      <c r="F246" s="1470" t="s">
        <v>3</v>
      </c>
      <c r="G246" s="1470"/>
      <c r="H246" s="794" t="s">
        <v>3</v>
      </c>
      <c r="I246" s="127" t="s">
        <v>197</v>
      </c>
      <c r="J246" s="176"/>
      <c r="K246" s="176"/>
      <c r="L246" s="128"/>
      <c r="M246" s="1469" t="s">
        <v>4</v>
      </c>
      <c r="N246" s="1526"/>
    </row>
    <row r="247" spans="1:21" ht="19" thickBot="1">
      <c r="A247" s="103" t="s">
        <v>5</v>
      </c>
      <c r="B247" s="1473" t="s">
        <v>6</v>
      </c>
      <c r="C247" s="1473"/>
      <c r="D247" s="1473" t="s">
        <v>7</v>
      </c>
      <c r="E247" s="1473"/>
      <c r="F247" s="1474" t="s">
        <v>7</v>
      </c>
      <c r="G247" s="1474"/>
      <c r="H247" s="796" t="s">
        <v>58</v>
      </c>
      <c r="I247" s="797" t="s">
        <v>198</v>
      </c>
      <c r="J247" s="795" t="s">
        <v>8</v>
      </c>
      <c r="K247" s="795" t="s">
        <v>9</v>
      </c>
      <c r="L247" s="401" t="s">
        <v>10</v>
      </c>
      <c r="M247" s="1473" t="s">
        <v>145</v>
      </c>
      <c r="N247" s="1475"/>
    </row>
    <row r="248" spans="1:21" ht="24" thickBot="1">
      <c r="A248" s="88" t="s">
        <v>211</v>
      </c>
      <c r="B248" s="1751"/>
      <c r="C248" s="1477"/>
      <c r="D248" s="1478"/>
      <c r="E248" s="1479"/>
      <c r="F248" s="1480"/>
      <c r="G248" s="1481"/>
      <c r="H248" s="819"/>
      <c r="I248" s="213"/>
      <c r="J248" s="177"/>
      <c r="K248" s="213"/>
      <c r="L248" s="214"/>
      <c r="M248" s="1482"/>
      <c r="N248" s="1483"/>
    </row>
    <row r="249" spans="1:21" s="1161" customFormat="1" ht="17" thickBot="1">
      <c r="A249" s="108" t="str">
        <f>'Ontario Total'!A249</f>
        <v>SoCal Water$mart Residential Rebates</v>
      </c>
      <c r="B249" s="1456"/>
      <c r="C249" s="1586"/>
      <c r="D249" s="1567"/>
      <c r="E249" s="1586"/>
      <c r="F249" s="1587"/>
      <c r="G249" s="1588"/>
      <c r="H249" s="447"/>
      <c r="I249" s="109"/>
      <c r="J249" s="179"/>
      <c r="K249" s="109"/>
      <c r="L249" s="109"/>
      <c r="M249" s="1485"/>
      <c r="N249" s="1486"/>
      <c r="O249" s="274"/>
      <c r="P249" s="274"/>
      <c r="Q249" s="274"/>
      <c r="R249" s="274"/>
      <c r="S249" s="274"/>
      <c r="T249" s="274"/>
      <c r="U249" s="274"/>
    </row>
    <row r="250" spans="1:21">
      <c r="A250" s="32" t="str">
        <f>'Ontario Total'!A250</f>
        <v>High Efficiency Toilets (HET)</v>
      </c>
      <c r="B250" s="1421">
        <f>Chino!N215</f>
        <v>15</v>
      </c>
      <c r="C250" s="1422"/>
      <c r="D250" s="1431">
        <f t="shared" ref="D250:D255" si="65">F250*325851</f>
        <v>207730.01250000001</v>
      </c>
      <c r="E250" s="1422"/>
      <c r="F250" s="1720">
        <f>0.0425*B250</f>
        <v>0.63750000000000007</v>
      </c>
      <c r="G250" s="1721"/>
      <c r="H250" s="444">
        <f>F250*20</f>
        <v>12.750000000000002</v>
      </c>
      <c r="I250" s="215">
        <v>0</v>
      </c>
      <c r="J250" s="140">
        <f>50*B250</f>
        <v>750</v>
      </c>
      <c r="K250" s="140">
        <f>B250*50</f>
        <v>750</v>
      </c>
      <c r="L250" s="140">
        <f t="shared" ref="L250:L255" si="66">I250+J250+K250</f>
        <v>1500</v>
      </c>
      <c r="M250" s="1634">
        <f t="shared" ref="M250:M255" si="67">IF(ISERROR(L250/(F250*752)),0,L250/(F250*752))</f>
        <v>3.1289111389236544</v>
      </c>
      <c r="N250" s="1540"/>
    </row>
    <row r="251" spans="1:21">
      <c r="A251" s="32" t="str">
        <f>'Ontario Total'!A251</f>
        <v>High Efficiency Clothes Washers (HECW)</v>
      </c>
      <c r="B251" s="1421">
        <f>Chino!N216</f>
        <v>70</v>
      </c>
      <c r="C251" s="1422"/>
      <c r="D251" s="1431">
        <f t="shared" si="65"/>
        <v>629544.13199999998</v>
      </c>
      <c r="E251" s="1422"/>
      <c r="F251" s="1720">
        <f>0.0276*B251</f>
        <v>1.9319999999999999</v>
      </c>
      <c r="G251" s="1721"/>
      <c r="H251" s="444">
        <f>F251*15</f>
        <v>28.98</v>
      </c>
      <c r="I251" s="140">
        <f>0*B251</f>
        <v>0</v>
      </c>
      <c r="J251" s="140">
        <f>B251*65</f>
        <v>4550</v>
      </c>
      <c r="K251" s="140">
        <f>B251*85</f>
        <v>5950</v>
      </c>
      <c r="L251" s="140">
        <f t="shared" si="66"/>
        <v>10500</v>
      </c>
      <c r="M251" s="1634">
        <f t="shared" si="67"/>
        <v>7.227104532839963</v>
      </c>
      <c r="N251" s="1540"/>
    </row>
    <row r="252" spans="1:21">
      <c r="A252" s="32" t="str">
        <f>'Ontario Total'!A252</f>
        <v>Rotating Nozzles for Pop-up Spray Heads</v>
      </c>
      <c r="B252" s="1421">
        <f>Chino!N217</f>
        <v>0</v>
      </c>
      <c r="C252" s="1422"/>
      <c r="D252" s="1431">
        <f t="shared" si="65"/>
        <v>0</v>
      </c>
      <c r="E252" s="1422"/>
      <c r="F252" s="1720">
        <f>0.0044*B252</f>
        <v>0</v>
      </c>
      <c r="G252" s="1721"/>
      <c r="H252" s="444">
        <f>F252*5</f>
        <v>0</v>
      </c>
      <c r="I252" s="140">
        <f>0*B252</f>
        <v>0</v>
      </c>
      <c r="J252" s="140">
        <f>1*B252</f>
        <v>0</v>
      </c>
      <c r="K252" s="140">
        <f>B252*4</f>
        <v>0</v>
      </c>
      <c r="L252" s="140">
        <f t="shared" si="66"/>
        <v>0</v>
      </c>
      <c r="M252" s="1634">
        <f t="shared" si="67"/>
        <v>0</v>
      </c>
      <c r="N252" s="1540"/>
    </row>
    <row r="253" spans="1:21">
      <c r="A253" s="32" t="str">
        <f>'Ontario Total'!A253</f>
        <v>Weather based Irrigation Controllers (WBIC)</v>
      </c>
      <c r="B253" s="1421">
        <f>Chino!N218</f>
        <v>0</v>
      </c>
      <c r="C253" s="1422"/>
      <c r="D253" s="1467">
        <f t="shared" si="65"/>
        <v>0</v>
      </c>
      <c r="E253" s="1433"/>
      <c r="F253" s="1710">
        <f>0.325*B253</f>
        <v>0</v>
      </c>
      <c r="G253" s="1711"/>
      <c r="H253" s="445">
        <f>F253*10</f>
        <v>0</v>
      </c>
      <c r="I253" s="215">
        <v>0</v>
      </c>
      <c r="J253" s="216">
        <f>70*B253</f>
        <v>0</v>
      </c>
      <c r="K253" s="216">
        <f>B253*80</f>
        <v>0</v>
      </c>
      <c r="L253" s="140">
        <f t="shared" si="66"/>
        <v>0</v>
      </c>
      <c r="M253" s="1634">
        <f t="shared" si="67"/>
        <v>0</v>
      </c>
      <c r="N253" s="1540"/>
    </row>
    <row r="254" spans="1:21" hidden="1">
      <c r="A254" s="76" t="s">
        <v>53</v>
      </c>
      <c r="B254" s="1421">
        <f>Chino!N219</f>
        <v>0</v>
      </c>
      <c r="C254" s="1422"/>
      <c r="D254" s="1467">
        <f t="shared" si="65"/>
        <v>0</v>
      </c>
      <c r="E254" s="1433"/>
      <c r="F254" s="1710">
        <f>0.325*B254</f>
        <v>0</v>
      </c>
      <c r="G254" s="1711"/>
      <c r="H254" s="445">
        <f>F254*10</f>
        <v>0</v>
      </c>
      <c r="I254" s="215">
        <v>0</v>
      </c>
      <c r="J254" s="216">
        <f>70*B254</f>
        <v>0</v>
      </c>
      <c r="K254" s="216">
        <f>B254*80</f>
        <v>0</v>
      </c>
      <c r="L254" s="140">
        <f t="shared" si="66"/>
        <v>0</v>
      </c>
      <c r="M254" s="1634">
        <f t="shared" si="67"/>
        <v>0</v>
      </c>
      <c r="N254" s="1540"/>
    </row>
    <row r="255" spans="1:21" ht="14" thickBot="1">
      <c r="A255" s="76" t="s">
        <v>214</v>
      </c>
      <c r="B255" s="1421">
        <f>Chino!N220</f>
        <v>0</v>
      </c>
      <c r="C255" s="1422"/>
      <c r="D255" s="1467">
        <f t="shared" si="65"/>
        <v>0</v>
      </c>
      <c r="E255" s="1433"/>
      <c r="F255" s="1710">
        <f>0.325*B255</f>
        <v>0</v>
      </c>
      <c r="G255" s="1711"/>
      <c r="H255" s="445">
        <f>F255*5</f>
        <v>0</v>
      </c>
      <c r="I255" s="215">
        <v>0</v>
      </c>
      <c r="J255" s="216">
        <f>0*B255</f>
        <v>0</v>
      </c>
      <c r="K255" s="216">
        <f>B255*75</f>
        <v>0</v>
      </c>
      <c r="L255" s="140">
        <f t="shared" si="66"/>
        <v>0</v>
      </c>
      <c r="M255" s="1634">
        <f t="shared" si="67"/>
        <v>0</v>
      </c>
      <c r="N255" s="1540"/>
    </row>
    <row r="256" spans="1:21" s="1161" customFormat="1" ht="17" thickBot="1">
      <c r="A256" s="108" t="str">
        <f>'Ontario Total'!A256</f>
        <v>IEUA Locally Implemented Residential Programs</v>
      </c>
      <c r="B256" s="1456"/>
      <c r="C256" s="1586"/>
      <c r="D256" s="1567"/>
      <c r="E256" s="1586"/>
      <c r="F256" s="1587"/>
      <c r="G256" s="1588"/>
      <c r="H256" s="447"/>
      <c r="I256" s="179"/>
      <c r="J256" s="179"/>
      <c r="K256" s="179"/>
      <c r="L256" s="179"/>
      <c r="M256" s="1541"/>
      <c r="N256" s="1542"/>
      <c r="O256" s="274"/>
      <c r="P256" s="274"/>
      <c r="Q256" s="274"/>
      <c r="R256" s="274"/>
      <c r="S256" s="274"/>
      <c r="T256" s="274"/>
      <c r="U256" s="274"/>
    </row>
    <row r="257" spans="1:21">
      <c r="A257" s="78" t="s">
        <v>165</v>
      </c>
      <c r="B257" s="1421">
        <f>Chino!N222</f>
        <v>325</v>
      </c>
      <c r="C257" s="1422"/>
      <c r="D257" s="1467">
        <f>F257*325900</f>
        <v>423670</v>
      </c>
      <c r="E257" s="1743"/>
      <c r="F257" s="1710">
        <f>B257*0.004</f>
        <v>1.3</v>
      </c>
      <c r="G257" s="1721"/>
      <c r="H257" s="445">
        <f>F257*5</f>
        <v>6.5</v>
      </c>
      <c r="I257" s="215">
        <v>0</v>
      </c>
      <c r="J257" s="215">
        <v>0</v>
      </c>
      <c r="K257" s="215">
        <f>1200*3.25</f>
        <v>3900</v>
      </c>
      <c r="L257" s="215">
        <f>I257+J257+K257</f>
        <v>3900</v>
      </c>
      <c r="M257" s="1634">
        <f>IF(ISERROR(L257/(F257*752)),0,L257/(F257*752))</f>
        <v>3.9893617021276593</v>
      </c>
      <c r="N257" s="1540"/>
    </row>
    <row r="258" spans="1:21">
      <c r="A258" s="32" t="s">
        <v>166</v>
      </c>
      <c r="B258" s="1421">
        <f>Chino!N223</f>
        <v>0</v>
      </c>
      <c r="C258" s="1422"/>
      <c r="D258" s="1467">
        <f>F258*325900</f>
        <v>0</v>
      </c>
      <c r="E258" s="1743"/>
      <c r="F258" s="1710">
        <f>B258*0.004</f>
        <v>0</v>
      </c>
      <c r="G258" s="1721"/>
      <c r="H258" s="446">
        <f>F258*5</f>
        <v>0</v>
      </c>
      <c r="I258" s="215">
        <v>0</v>
      </c>
      <c r="J258" s="215">
        <v>0</v>
      </c>
      <c r="K258" s="215">
        <v>0</v>
      </c>
      <c r="L258" s="215">
        <f>I258+J258+K258</f>
        <v>0</v>
      </c>
      <c r="M258" s="1634">
        <f>IF(ISERROR(L258/(F258*752)),0,L258/(F258*752))</f>
        <v>0</v>
      </c>
      <c r="N258" s="1540"/>
    </row>
    <row r="259" spans="1:21" ht="14" thickBot="1">
      <c r="A259" s="78" t="s">
        <v>223</v>
      </c>
      <c r="B259" s="1563">
        <f>Chino!N224</f>
        <v>6</v>
      </c>
      <c r="C259" s="1424"/>
      <c r="D259" s="1458">
        <f>F259*325900</f>
        <v>255459.97399999996</v>
      </c>
      <c r="E259" s="1686"/>
      <c r="F259" s="1601">
        <f>5599*0.00014</f>
        <v>0.78385999999999989</v>
      </c>
      <c r="G259" s="1546"/>
      <c r="H259" s="446">
        <f>F259*10</f>
        <v>7.8385999999999987</v>
      </c>
      <c r="I259" s="215">
        <v>0</v>
      </c>
      <c r="J259" s="215">
        <v>9734</v>
      </c>
      <c r="K259" s="215">
        <v>7348</v>
      </c>
      <c r="L259" s="215">
        <f>I259+J259+K259</f>
        <v>17082</v>
      </c>
      <c r="M259" s="1634">
        <f>IF(ISERROR(L259/(F259*752)),0,L259/(F259*752))</f>
        <v>28.978931865275559</v>
      </c>
      <c r="N259" s="1540"/>
    </row>
    <row r="260" spans="1:21" s="533" customFormat="1" ht="14" thickBot="1">
      <c r="A260" s="53" t="s">
        <v>60</v>
      </c>
      <c r="B260" s="1438">
        <f>SUM(B250:C259)</f>
        <v>416</v>
      </c>
      <c r="C260" s="1609"/>
      <c r="D260" s="1441">
        <f>SUM(D250:E259)</f>
        <v>1516404.1184999999</v>
      </c>
      <c r="E260" s="1609"/>
      <c r="F260" s="1511">
        <f>SUM(F250:G259)</f>
        <v>4.6533600000000002</v>
      </c>
      <c r="G260" s="1575"/>
      <c r="H260" s="448">
        <f>SUM(H250:H259)</f>
        <v>56.068600000000004</v>
      </c>
      <c r="I260" s="143">
        <f>SUM(I250:I259)</f>
        <v>0</v>
      </c>
      <c r="J260" s="143">
        <f>SUM(J250:J259)</f>
        <v>15034</v>
      </c>
      <c r="K260" s="143">
        <f>SUM(K250:K259)</f>
        <v>17948</v>
      </c>
      <c r="L260" s="143">
        <f>SUM(L250:L259)</f>
        <v>32982</v>
      </c>
      <c r="M260" s="1440"/>
      <c r="N260" s="1622"/>
      <c r="O260" s="534"/>
      <c r="P260" s="534"/>
      <c r="Q260" s="534"/>
      <c r="R260" s="534"/>
      <c r="S260" s="534"/>
      <c r="T260" s="534"/>
      <c r="U260" s="534"/>
    </row>
    <row r="261" spans="1:21" s="91" customFormat="1" ht="17" hidden="1" thickBot="1">
      <c r="A261" s="108" t="str">
        <f>'Ontario Total'!A261</f>
        <v xml:space="preserve">IEUA High Efficiency Toilet (HET) Installation Prog. </v>
      </c>
      <c r="B261" s="1456"/>
      <c r="C261" s="1586"/>
      <c r="D261" s="1567"/>
      <c r="E261" s="1586"/>
      <c r="F261" s="1587"/>
      <c r="G261" s="1588"/>
      <c r="H261" s="447"/>
      <c r="I261" s="179"/>
      <c r="J261" s="179"/>
      <c r="K261" s="179"/>
      <c r="L261" s="179"/>
      <c r="M261" s="1541"/>
      <c r="N261" s="1542"/>
      <c r="O261" s="274"/>
      <c r="P261" s="274"/>
      <c r="Q261" s="274"/>
      <c r="R261" s="274"/>
      <c r="S261" s="274"/>
      <c r="T261" s="274"/>
      <c r="U261" s="274"/>
    </row>
    <row r="262" spans="1:21" ht="12" hidden="1" customHeight="1">
      <c r="A262" s="32" t="str">
        <f>'Ontario Total'!A262</f>
        <v>IEUA Multi-Family Direct Install Prog. (HET)</v>
      </c>
      <c r="B262" s="1421">
        <f>Chino!N227</f>
        <v>0</v>
      </c>
      <c r="C262" s="1422"/>
      <c r="D262" s="1431">
        <f>F262*325851</f>
        <v>0</v>
      </c>
      <c r="E262" s="1422"/>
      <c r="F262" s="1710">
        <f>0.0425*B262</f>
        <v>0</v>
      </c>
      <c r="G262" s="1711"/>
      <c r="H262" s="445">
        <f>F262*20</f>
        <v>0</v>
      </c>
      <c r="I262" s="80">
        <f>73.34*B262</f>
        <v>0</v>
      </c>
      <c r="J262" s="80">
        <f>35.66*B262</f>
        <v>0</v>
      </c>
      <c r="K262" s="80">
        <f>B262*50</f>
        <v>0</v>
      </c>
      <c r="L262" s="80">
        <f>I262+J262+K262</f>
        <v>0</v>
      </c>
      <c r="M262" s="1634">
        <f>IF(ISERROR(L262/(F262*727)),0,L262/(F262*727))</f>
        <v>0</v>
      </c>
      <c r="N262" s="1540"/>
    </row>
    <row r="263" spans="1:21" ht="14" hidden="1" thickBot="1">
      <c r="A263" s="32" t="str">
        <f>'Ontario Total'!A263</f>
        <v>IEUA Single-Family Direct Install Prog. (HET)</v>
      </c>
      <c r="B263" s="1421">
        <f>Chino!N228</f>
        <v>0</v>
      </c>
      <c r="C263" s="1422"/>
      <c r="D263" s="1431">
        <f>F263*325851</f>
        <v>0</v>
      </c>
      <c r="E263" s="1422"/>
      <c r="F263" s="1710">
        <f>0.0425*B263</f>
        <v>0</v>
      </c>
      <c r="G263" s="1711"/>
      <c r="H263" s="445">
        <f>F263*20</f>
        <v>0</v>
      </c>
      <c r="I263" s="150">
        <f>73.34*B263</f>
        <v>0</v>
      </c>
      <c r="J263" s="150">
        <f>35.66*B263</f>
        <v>0</v>
      </c>
      <c r="K263" s="150">
        <f>B263*50</f>
        <v>0</v>
      </c>
      <c r="L263" s="150">
        <f>I263+J263+K263</f>
        <v>0</v>
      </c>
      <c r="M263" s="1634">
        <f>IF(ISERROR(L263/(F263*727)),0,L263/(F263*727))</f>
        <v>0</v>
      </c>
      <c r="N263" s="1540"/>
    </row>
    <row r="264" spans="1:21" s="533" customFormat="1" ht="14" hidden="1" thickBot="1">
      <c r="A264" s="53" t="s">
        <v>60</v>
      </c>
      <c r="B264" s="1438">
        <f>SUM(B262:B263)</f>
        <v>0</v>
      </c>
      <c r="C264" s="1609"/>
      <c r="D264" s="1441">
        <f>SUM(D262:D263)</f>
        <v>0</v>
      </c>
      <c r="E264" s="1609"/>
      <c r="F264" s="1511">
        <f>SUM(F262:F263)</f>
        <v>0</v>
      </c>
      <c r="G264" s="1575"/>
      <c r="H264" s="448">
        <f>SUM(H262:H263)</f>
        <v>0</v>
      </c>
      <c r="I264" s="143">
        <f>SUM(I262:I263)</f>
        <v>0</v>
      </c>
      <c r="J264" s="143">
        <f>SUM(J262:J263)</f>
        <v>0</v>
      </c>
      <c r="K264" s="143">
        <f>SUM(K262:K263)</f>
        <v>0</v>
      </c>
      <c r="L264" s="143">
        <f>SUM(L262:L263)</f>
        <v>0</v>
      </c>
      <c r="M264" s="1637"/>
      <c r="N264" s="1611"/>
      <c r="O264" s="534"/>
      <c r="P264" s="534"/>
      <c r="Q264" s="534"/>
      <c r="R264" s="534"/>
      <c r="S264" s="534"/>
      <c r="T264" s="534"/>
      <c r="U264" s="534"/>
    </row>
    <row r="265" spans="1:21" s="1161" customFormat="1" ht="17" thickBot="1">
      <c r="A265" s="108" t="str">
        <f>'Ontario Total'!A265</f>
        <v>SoCal Water$mart Commercial Rebates</v>
      </c>
      <c r="B265" s="1456"/>
      <c r="C265" s="1586"/>
      <c r="D265" s="1567"/>
      <c r="E265" s="1586"/>
      <c r="F265" s="1587"/>
      <c r="G265" s="1588"/>
      <c r="H265" s="447"/>
      <c r="I265" s="109"/>
      <c r="J265" s="109"/>
      <c r="K265" s="109"/>
      <c r="L265" s="109"/>
      <c r="M265" s="1485"/>
      <c r="N265" s="1486"/>
      <c r="O265" s="274"/>
      <c r="P265" s="274"/>
      <c r="Q265" s="274"/>
      <c r="R265" s="274"/>
      <c r="S265" s="274"/>
      <c r="T265" s="274"/>
      <c r="U265" s="274"/>
    </row>
    <row r="266" spans="1:21">
      <c r="A266" s="32" t="str">
        <f>'Ontario Total'!A266</f>
        <v>High Efficiency Toilets (HET)</v>
      </c>
      <c r="B266" s="1421">
        <f>Chino!N231</f>
        <v>0</v>
      </c>
      <c r="C266" s="1422"/>
      <c r="D266" s="1431">
        <f t="shared" ref="D266:D272" si="68">F266*325851</f>
        <v>0</v>
      </c>
      <c r="E266" s="1422"/>
      <c r="F266" s="1720">
        <f>0.0425*B266</f>
        <v>0</v>
      </c>
      <c r="G266" s="1721"/>
      <c r="H266" s="444">
        <f>F266*20</f>
        <v>0</v>
      </c>
      <c r="I266" s="151">
        <v>0</v>
      </c>
      <c r="J266" s="150">
        <f>50*B266</f>
        <v>0</v>
      </c>
      <c r="K266" s="150">
        <f>50*B266</f>
        <v>0</v>
      </c>
      <c r="L266" s="150">
        <f t="shared" ref="L266:L273" si="69">SUM(I266:K266)</f>
        <v>0</v>
      </c>
      <c r="M266" s="1634">
        <f>IF(ISERROR(L266/(F266*752)),0,L266/(F266*752))</f>
        <v>0</v>
      </c>
      <c r="N266" s="1540"/>
    </row>
    <row r="267" spans="1:21">
      <c r="A267" s="32" t="str">
        <f>'Ontario Total'!A267</f>
        <v>Waterless Urinals</v>
      </c>
      <c r="B267" s="1421">
        <f>Chino!N232</f>
        <v>0</v>
      </c>
      <c r="C267" s="1422"/>
      <c r="D267" s="1431">
        <f t="shared" si="68"/>
        <v>0</v>
      </c>
      <c r="E267" s="1422"/>
      <c r="F267" s="1720">
        <f>0.1227*B267</f>
        <v>0</v>
      </c>
      <c r="G267" s="1721"/>
      <c r="H267" s="444">
        <f>F267*20</f>
        <v>0</v>
      </c>
      <c r="I267" s="151">
        <v>0</v>
      </c>
      <c r="J267" s="150">
        <f>100*B267</f>
        <v>0</v>
      </c>
      <c r="K267" s="150">
        <f>200*B267</f>
        <v>0</v>
      </c>
      <c r="L267" s="150">
        <f t="shared" si="69"/>
        <v>0</v>
      </c>
      <c r="M267" s="1634">
        <f t="shared" ref="M267:M279" si="70">IF(ISERROR(L267/(F267*752)),0,L267/(F267*752))</f>
        <v>0</v>
      </c>
      <c r="N267" s="1540"/>
    </row>
    <row r="268" spans="1:21">
      <c r="A268" s="32" t="s">
        <v>204</v>
      </c>
      <c r="B268" s="1421">
        <f>Chino!N233</f>
        <v>0</v>
      </c>
      <c r="C268" s="1422"/>
      <c r="D268" s="1431">
        <f t="shared" si="68"/>
        <v>0</v>
      </c>
      <c r="E268" s="1422"/>
      <c r="F268" s="1720">
        <f>0.644*B268</f>
        <v>0</v>
      </c>
      <c r="G268" s="1721"/>
      <c r="H268" s="444">
        <f>F268*5</f>
        <v>0</v>
      </c>
      <c r="I268" s="151">
        <v>0</v>
      </c>
      <c r="J268" s="150">
        <f>43.75*B268</f>
        <v>0</v>
      </c>
      <c r="K268" s="150">
        <f>625*B268</f>
        <v>0</v>
      </c>
      <c r="L268" s="150">
        <f t="shared" si="69"/>
        <v>0</v>
      </c>
      <c r="M268" s="1634">
        <f t="shared" si="70"/>
        <v>0</v>
      </c>
      <c r="N268" s="1540"/>
    </row>
    <row r="269" spans="1:21" hidden="1">
      <c r="A269" s="32" t="str">
        <f>'Ontario Total'!A269</f>
        <v>High Efficiency Clothes Washers</v>
      </c>
      <c r="B269" s="1421">
        <f>Chino!N234</f>
        <v>0</v>
      </c>
      <c r="C269" s="1422"/>
      <c r="D269" s="1431">
        <f t="shared" si="68"/>
        <v>0</v>
      </c>
      <c r="E269" s="1422"/>
      <c r="F269" s="1720">
        <f>0.0276*B269</f>
        <v>0</v>
      </c>
      <c r="G269" s="1721"/>
      <c r="H269" s="444">
        <f>F269*10</f>
        <v>0</v>
      </c>
      <c r="I269" s="151">
        <v>0</v>
      </c>
      <c r="J269" s="150">
        <f>100*B269</f>
        <v>0</v>
      </c>
      <c r="K269" s="150">
        <f>80*B269</f>
        <v>0</v>
      </c>
      <c r="L269" s="150">
        <f t="shared" si="69"/>
        <v>0</v>
      </c>
      <c r="M269" s="1634">
        <f t="shared" si="70"/>
        <v>0</v>
      </c>
      <c r="N269" s="1540"/>
    </row>
    <row r="270" spans="1:21" hidden="1">
      <c r="A270" s="35" t="s">
        <v>47</v>
      </c>
      <c r="B270" s="1421">
        <f>Chino!N235</f>
        <v>0</v>
      </c>
      <c r="C270" s="1422"/>
      <c r="D270" s="1431">
        <f t="shared" si="68"/>
        <v>0</v>
      </c>
      <c r="E270" s="1422"/>
      <c r="F270" s="1720">
        <f>0.1534*B270</f>
        <v>0</v>
      </c>
      <c r="G270" s="1721"/>
      <c r="H270" s="444">
        <f>F270*5</f>
        <v>0</v>
      </c>
      <c r="I270" s="151">
        <v>0</v>
      </c>
      <c r="J270" s="150">
        <f>0*B270</f>
        <v>0</v>
      </c>
      <c r="K270" s="150">
        <f>150*B270</f>
        <v>0</v>
      </c>
      <c r="L270" s="150">
        <f t="shared" si="69"/>
        <v>0</v>
      </c>
      <c r="M270" s="1634">
        <f t="shared" si="70"/>
        <v>0</v>
      </c>
      <c r="N270" s="1540"/>
    </row>
    <row r="271" spans="1:21">
      <c r="A271" s="32" t="str">
        <f>'Ontario Total'!A271</f>
        <v>Weather Based Irrigation Controllers (WBIC)</v>
      </c>
      <c r="B271" s="1421">
        <f>Chino!N236</f>
        <v>4</v>
      </c>
      <c r="C271" s="1422"/>
      <c r="D271" s="1431">
        <f t="shared" si="68"/>
        <v>423606.3</v>
      </c>
      <c r="E271" s="1422"/>
      <c r="F271" s="1720">
        <f>0.325*B271</f>
        <v>1.3</v>
      </c>
      <c r="G271" s="1721"/>
      <c r="H271" s="444">
        <f>F271*10</f>
        <v>13</v>
      </c>
      <c r="I271" s="151">
        <v>0</v>
      </c>
      <c r="J271" s="150">
        <v>729</v>
      </c>
      <c r="K271" s="150">
        <v>1483</v>
      </c>
      <c r="L271" s="150">
        <f t="shared" si="69"/>
        <v>2212</v>
      </c>
      <c r="M271" s="1634">
        <f t="shared" si="70"/>
        <v>2.2626841243862521</v>
      </c>
      <c r="N271" s="1540"/>
    </row>
    <row r="272" spans="1:21" hidden="1">
      <c r="A272" s="76" t="s">
        <v>53</v>
      </c>
      <c r="B272" s="1421">
        <f>Chino!N237</f>
        <v>0</v>
      </c>
      <c r="C272" s="1422"/>
      <c r="D272" s="1431">
        <f t="shared" si="68"/>
        <v>0</v>
      </c>
      <c r="E272" s="1422"/>
      <c r="F272" s="1720">
        <f>0.00014*B272</f>
        <v>0</v>
      </c>
      <c r="G272" s="1721"/>
      <c r="H272" s="444">
        <f>F272*10</f>
        <v>0</v>
      </c>
      <c r="I272" s="151">
        <v>0</v>
      </c>
      <c r="J272" s="150">
        <f>0.45*B272</f>
        <v>0</v>
      </c>
      <c r="K272" s="150">
        <f>0.3*B272</f>
        <v>0</v>
      </c>
      <c r="L272" s="150">
        <f t="shared" si="69"/>
        <v>0</v>
      </c>
      <c r="M272" s="1634">
        <f t="shared" si="70"/>
        <v>0</v>
      </c>
      <c r="N272" s="1540"/>
    </row>
    <row r="273" spans="1:379">
      <c r="A273" s="32" t="str">
        <f>'Ontario Total'!A273</f>
        <v>Rotating Nozzles for Pop-up Spray Heads</v>
      </c>
      <c r="B273" s="1421">
        <f>Chino!N238</f>
        <v>53</v>
      </c>
      <c r="C273" s="1422"/>
      <c r="D273" s="1431">
        <f t="shared" ref="D273:D279" si="71">F273*325851</f>
        <v>69080.411999999997</v>
      </c>
      <c r="E273" s="1422"/>
      <c r="F273" s="1720">
        <f>0.004*B273</f>
        <v>0.21199999999999999</v>
      </c>
      <c r="G273" s="1721"/>
      <c r="H273" s="444">
        <f>F273*5</f>
        <v>1.06</v>
      </c>
      <c r="I273" s="151">
        <v>0</v>
      </c>
      <c r="J273" s="150">
        <v>90</v>
      </c>
      <c r="K273" s="150">
        <v>185</v>
      </c>
      <c r="L273" s="150">
        <f t="shared" si="69"/>
        <v>275</v>
      </c>
      <c r="M273" s="1634">
        <f t="shared" si="70"/>
        <v>1.724959855479727</v>
      </c>
      <c r="N273" s="1540"/>
    </row>
    <row r="274" spans="1:379">
      <c r="A274" s="32" t="str">
        <f>'Ontario Total'!A274</f>
        <v>Large Rotary Nozzles</v>
      </c>
      <c r="B274" s="1421">
        <f>Chino!N239</f>
        <v>0</v>
      </c>
      <c r="C274" s="1422"/>
      <c r="D274" s="1431">
        <f t="shared" si="71"/>
        <v>0</v>
      </c>
      <c r="E274" s="1422"/>
      <c r="F274" s="1720">
        <f t="shared" ref="F274:F279" si="72">0.018*B274</f>
        <v>0</v>
      </c>
      <c r="G274" s="1721"/>
      <c r="H274" s="444">
        <f t="shared" ref="H274:H279" si="73">F274*10</f>
        <v>0</v>
      </c>
      <c r="I274" s="151">
        <v>0</v>
      </c>
      <c r="J274" s="150">
        <f>0*B274</f>
        <v>0</v>
      </c>
      <c r="K274" s="150">
        <f>13*B274</f>
        <v>0</v>
      </c>
      <c r="L274" s="150">
        <f t="shared" ref="L274:L279" si="74">SUM(I274:K274)</f>
        <v>0</v>
      </c>
      <c r="M274" s="1634">
        <f t="shared" si="70"/>
        <v>0</v>
      </c>
      <c r="N274" s="1540"/>
    </row>
    <row r="275" spans="1:379" hidden="1">
      <c r="A275" s="33" t="s">
        <v>102</v>
      </c>
      <c r="B275" s="1421">
        <f>Chino!N240</f>
        <v>0</v>
      </c>
      <c r="C275" s="1422"/>
      <c r="D275" s="1431">
        <f t="shared" si="71"/>
        <v>0</v>
      </c>
      <c r="E275" s="1422"/>
      <c r="F275" s="1720">
        <f t="shared" si="72"/>
        <v>0</v>
      </c>
      <c r="G275" s="1721"/>
      <c r="H275" s="444">
        <f t="shared" si="73"/>
        <v>0</v>
      </c>
      <c r="I275" s="151">
        <v>1</v>
      </c>
      <c r="J275" s="150">
        <f>0*B275</f>
        <v>0</v>
      </c>
      <c r="K275" s="150">
        <f>13*B275</f>
        <v>0</v>
      </c>
      <c r="L275" s="150">
        <f t="shared" si="74"/>
        <v>1</v>
      </c>
      <c r="M275" s="1634">
        <f t="shared" si="70"/>
        <v>0</v>
      </c>
      <c r="N275" s="1540"/>
    </row>
    <row r="276" spans="1:379">
      <c r="A276" s="32" t="str">
        <f>'Ontario Total'!A276</f>
        <v xml:space="preserve">Central Computerized Irrigation Controller </v>
      </c>
      <c r="B276" s="1421">
        <f>Chino!N241</f>
        <v>0</v>
      </c>
      <c r="C276" s="1422"/>
      <c r="D276" s="1431">
        <f t="shared" si="71"/>
        <v>0</v>
      </c>
      <c r="E276" s="1422"/>
      <c r="F276" s="1720">
        <f t="shared" si="72"/>
        <v>0</v>
      </c>
      <c r="G276" s="1721"/>
      <c r="H276" s="444">
        <f t="shared" si="73"/>
        <v>0</v>
      </c>
      <c r="I276" s="151">
        <v>0</v>
      </c>
      <c r="J276" s="151">
        <v>0</v>
      </c>
      <c r="K276" s="151">
        <v>0</v>
      </c>
      <c r="L276" s="150">
        <f t="shared" si="74"/>
        <v>0</v>
      </c>
      <c r="M276" s="1634">
        <f t="shared" si="70"/>
        <v>0</v>
      </c>
      <c r="N276" s="1540"/>
    </row>
    <row r="277" spans="1:379" s="126" customFormat="1">
      <c r="A277" s="144" t="str">
        <f>'Ontario Total'!A277</f>
        <v>Laminar Flow Restrictor</v>
      </c>
      <c r="B277" s="1421">
        <f>Chino!N242</f>
        <v>0</v>
      </c>
      <c r="C277" s="1422"/>
      <c r="D277" s="1736">
        <f t="shared" si="71"/>
        <v>0</v>
      </c>
      <c r="E277" s="1446"/>
      <c r="F277" s="1723">
        <f t="shared" si="72"/>
        <v>0</v>
      </c>
      <c r="G277" s="1724"/>
      <c r="H277" s="449">
        <f t="shared" si="73"/>
        <v>0</v>
      </c>
      <c r="I277" s="151">
        <v>0</v>
      </c>
      <c r="J277" s="151">
        <v>0</v>
      </c>
      <c r="K277" s="151">
        <v>0</v>
      </c>
      <c r="L277" s="151">
        <f t="shared" si="74"/>
        <v>0</v>
      </c>
      <c r="M277" s="1634">
        <f t="shared" si="70"/>
        <v>0</v>
      </c>
      <c r="N277" s="1540"/>
      <c r="O277" s="121"/>
      <c r="P277" s="121"/>
      <c r="Q277" s="121"/>
      <c r="R277" s="121"/>
      <c r="S277" s="121"/>
      <c r="T277" s="121"/>
      <c r="U277" s="121"/>
      <c r="V277" s="57"/>
      <c r="W277" s="57"/>
      <c r="X277" s="57"/>
      <c r="Y277" s="57"/>
      <c r="Z277" s="57"/>
      <c r="AA277" s="57"/>
      <c r="AB277" s="57"/>
      <c r="AC277" s="57"/>
      <c r="AD277" s="57"/>
      <c r="AE277" s="57"/>
      <c r="AF277" s="57"/>
      <c r="AG277" s="57"/>
      <c r="AH277" s="57"/>
      <c r="AI277" s="57"/>
      <c r="AJ277" s="57"/>
      <c r="AK277" s="57"/>
      <c r="AL277" s="57"/>
      <c r="AM277" s="57"/>
      <c r="AN277" s="57"/>
      <c r="AO277" s="57"/>
      <c r="AP277" s="57"/>
      <c r="AQ277" s="57"/>
      <c r="AR277" s="57"/>
      <c r="AS277" s="57"/>
      <c r="AT277" s="57"/>
      <c r="AU277" s="57"/>
      <c r="AV277" s="57"/>
      <c r="AW277" s="57"/>
      <c r="AX277" s="57"/>
      <c r="AY277" s="57"/>
      <c r="AZ277" s="57"/>
      <c r="BA277" s="57"/>
      <c r="BB277" s="57"/>
      <c r="BC277" s="57"/>
      <c r="BD277" s="57"/>
      <c r="BE277" s="57"/>
      <c r="BF277" s="57"/>
      <c r="BG277" s="57"/>
      <c r="BH277" s="57"/>
      <c r="BI277" s="57"/>
      <c r="BJ277" s="57"/>
      <c r="BK277" s="57"/>
      <c r="BL277" s="57"/>
      <c r="BM277" s="57"/>
      <c r="BN277" s="57"/>
      <c r="BO277" s="57"/>
      <c r="BP277" s="57"/>
      <c r="BQ277" s="57"/>
      <c r="BR277" s="57"/>
      <c r="BS277" s="57"/>
      <c r="BT277" s="57"/>
      <c r="BU277" s="57"/>
      <c r="BV277" s="57"/>
      <c r="BW277" s="57"/>
      <c r="BX277" s="57"/>
      <c r="BY277" s="57"/>
      <c r="BZ277" s="57"/>
      <c r="CA277" s="57"/>
      <c r="CB277" s="57"/>
      <c r="CC277" s="57"/>
      <c r="CD277" s="57"/>
      <c r="CE277" s="57"/>
      <c r="CF277" s="57"/>
      <c r="CG277" s="57"/>
      <c r="CH277" s="57"/>
      <c r="CI277" s="57"/>
      <c r="CJ277" s="57"/>
      <c r="CK277" s="57"/>
      <c r="CL277" s="57"/>
      <c r="CM277" s="57"/>
      <c r="CN277" s="57"/>
      <c r="CO277" s="57"/>
      <c r="CP277" s="57"/>
      <c r="CQ277" s="57"/>
      <c r="CR277" s="57"/>
      <c r="CS277" s="57"/>
      <c r="CT277" s="57"/>
      <c r="CU277" s="57"/>
      <c r="CV277" s="57"/>
      <c r="CW277" s="57"/>
      <c r="CX277" s="57"/>
      <c r="CY277" s="57"/>
      <c r="CZ277" s="57"/>
      <c r="DA277" s="57"/>
      <c r="DB277" s="57"/>
      <c r="DC277" s="57"/>
      <c r="DD277" s="57"/>
      <c r="DE277" s="57"/>
      <c r="DF277" s="57"/>
      <c r="DG277" s="57"/>
      <c r="DH277" s="57"/>
      <c r="DI277" s="57"/>
      <c r="DJ277" s="57"/>
      <c r="DK277" s="57"/>
      <c r="DL277" s="57"/>
      <c r="DM277" s="57"/>
      <c r="DN277" s="57"/>
      <c r="DO277" s="57"/>
      <c r="DP277" s="57"/>
      <c r="DQ277" s="57"/>
      <c r="DR277" s="57"/>
      <c r="DS277" s="57"/>
      <c r="DT277" s="57"/>
      <c r="DU277" s="57"/>
      <c r="DV277" s="57"/>
      <c r="DW277" s="57"/>
      <c r="DX277" s="57"/>
      <c r="DY277" s="57"/>
      <c r="DZ277" s="57"/>
      <c r="EA277" s="57"/>
      <c r="EB277" s="57"/>
      <c r="EC277" s="57"/>
      <c r="ED277" s="57"/>
      <c r="EE277" s="57"/>
      <c r="EF277" s="57"/>
      <c r="EG277" s="57"/>
      <c r="EH277" s="57"/>
      <c r="EI277" s="57"/>
      <c r="EJ277" s="57"/>
      <c r="EK277" s="57"/>
      <c r="EL277" s="57"/>
      <c r="EM277" s="57"/>
      <c r="EN277" s="57"/>
      <c r="EO277" s="57"/>
      <c r="EP277" s="57"/>
      <c r="EQ277" s="57"/>
      <c r="ER277" s="57"/>
      <c r="ES277" s="57"/>
      <c r="ET277" s="57"/>
      <c r="EU277" s="57"/>
      <c r="EV277" s="57"/>
      <c r="EW277" s="57"/>
      <c r="EX277" s="57"/>
      <c r="EY277" s="57"/>
      <c r="EZ277" s="57"/>
      <c r="FA277" s="57"/>
      <c r="FB277" s="57"/>
      <c r="FC277" s="57"/>
      <c r="FD277" s="57"/>
      <c r="FE277" s="57"/>
      <c r="FF277" s="57"/>
      <c r="FG277" s="57"/>
      <c r="FH277" s="57"/>
      <c r="FI277" s="57"/>
      <c r="FJ277" s="57"/>
      <c r="FK277" s="57"/>
      <c r="FL277" s="57"/>
      <c r="FM277" s="57"/>
      <c r="FN277" s="57"/>
      <c r="FO277" s="57"/>
      <c r="FP277" s="57"/>
      <c r="FQ277" s="57"/>
      <c r="FR277" s="57"/>
      <c r="FS277" s="57"/>
      <c r="FT277" s="57"/>
      <c r="FU277" s="57"/>
      <c r="FV277" s="57"/>
      <c r="FW277" s="57"/>
      <c r="FX277" s="57"/>
      <c r="FY277" s="57"/>
      <c r="FZ277" s="57"/>
      <c r="GA277" s="57"/>
      <c r="GB277" s="57"/>
      <c r="GC277" s="57"/>
      <c r="GD277" s="57"/>
      <c r="GE277" s="57"/>
      <c r="GF277" s="57"/>
      <c r="GG277" s="57"/>
      <c r="GH277" s="57"/>
      <c r="GI277" s="57"/>
      <c r="GJ277" s="57"/>
      <c r="GK277" s="57"/>
      <c r="GL277" s="57"/>
      <c r="GM277" s="57"/>
      <c r="GN277" s="57"/>
      <c r="GO277" s="57"/>
      <c r="GP277" s="57"/>
      <c r="GQ277" s="57"/>
      <c r="GR277" s="57"/>
      <c r="GS277" s="57"/>
      <c r="GT277" s="57"/>
      <c r="GU277" s="57"/>
      <c r="GV277" s="57"/>
      <c r="GW277" s="57"/>
      <c r="GX277" s="57"/>
      <c r="GY277" s="57"/>
      <c r="GZ277" s="57"/>
      <c r="HA277" s="57"/>
      <c r="HB277" s="57"/>
      <c r="HC277" s="57"/>
      <c r="HD277" s="57"/>
      <c r="HE277" s="57"/>
      <c r="HF277" s="57"/>
      <c r="HG277" s="57"/>
      <c r="HH277" s="57"/>
      <c r="HI277" s="57"/>
      <c r="HJ277" s="57"/>
      <c r="HK277" s="57"/>
      <c r="HL277" s="57"/>
      <c r="HM277" s="57"/>
      <c r="HN277" s="57"/>
      <c r="HO277" s="57"/>
      <c r="HP277" s="57"/>
      <c r="HQ277" s="57"/>
      <c r="HR277" s="57"/>
      <c r="HS277" s="57"/>
      <c r="HT277" s="57"/>
      <c r="HU277" s="57"/>
      <c r="HV277" s="57"/>
      <c r="HW277" s="57"/>
      <c r="HX277" s="57"/>
      <c r="HY277" s="57"/>
      <c r="HZ277" s="57"/>
      <c r="IA277" s="57"/>
      <c r="IB277" s="57"/>
      <c r="IC277" s="57"/>
      <c r="ID277" s="57"/>
      <c r="IE277" s="57"/>
      <c r="IF277" s="57"/>
      <c r="IG277" s="57"/>
      <c r="IH277" s="57"/>
      <c r="II277" s="57"/>
      <c r="IJ277" s="57"/>
      <c r="IK277" s="57"/>
      <c r="IL277" s="57"/>
      <c r="IM277" s="57"/>
      <c r="IN277" s="57"/>
      <c r="IO277" s="57"/>
      <c r="IP277" s="57"/>
      <c r="IQ277" s="57"/>
      <c r="IR277" s="57"/>
      <c r="IS277" s="57"/>
      <c r="IT277" s="57"/>
      <c r="IU277" s="57"/>
      <c r="IV277" s="57"/>
      <c r="IW277" s="57"/>
      <c r="IX277" s="57"/>
      <c r="IY277" s="57"/>
      <c r="IZ277" s="57"/>
      <c r="JA277" s="57"/>
      <c r="JB277" s="57"/>
      <c r="JC277" s="57"/>
      <c r="JD277" s="57"/>
      <c r="JE277" s="57"/>
      <c r="JF277" s="57"/>
      <c r="JG277" s="57"/>
      <c r="JH277" s="57"/>
      <c r="JI277" s="57"/>
      <c r="JJ277" s="57"/>
      <c r="JK277" s="57"/>
      <c r="JL277" s="57"/>
      <c r="JM277" s="57"/>
      <c r="JN277" s="57"/>
      <c r="JO277" s="57"/>
      <c r="JP277" s="57"/>
      <c r="JQ277" s="57"/>
      <c r="JR277" s="57"/>
      <c r="JS277" s="57"/>
      <c r="JT277" s="57"/>
      <c r="JU277" s="57"/>
      <c r="JV277" s="57"/>
      <c r="JW277" s="57"/>
      <c r="JX277" s="57"/>
      <c r="JY277" s="57"/>
      <c r="JZ277" s="57"/>
      <c r="KA277" s="57"/>
      <c r="KB277" s="57"/>
      <c r="KC277" s="57"/>
      <c r="KD277" s="57"/>
      <c r="KE277" s="57"/>
      <c r="KF277" s="57"/>
      <c r="KG277" s="57"/>
      <c r="KH277" s="57"/>
      <c r="KI277" s="57"/>
      <c r="KJ277" s="57"/>
      <c r="KK277" s="57"/>
      <c r="KL277" s="57"/>
      <c r="KM277" s="57"/>
      <c r="KN277" s="57"/>
      <c r="KO277" s="57"/>
      <c r="KP277" s="57"/>
      <c r="KQ277" s="57"/>
      <c r="KR277" s="57"/>
      <c r="KS277" s="57"/>
      <c r="KT277" s="57"/>
      <c r="KU277" s="57"/>
      <c r="KV277" s="57"/>
      <c r="KW277" s="57"/>
      <c r="KX277" s="57"/>
      <c r="KY277" s="57"/>
      <c r="KZ277" s="57"/>
      <c r="LA277" s="57"/>
      <c r="LB277" s="57"/>
      <c r="LC277" s="57"/>
      <c r="LD277" s="57"/>
      <c r="LE277" s="57"/>
      <c r="LF277" s="57"/>
      <c r="LG277" s="57"/>
      <c r="LH277" s="57"/>
      <c r="LI277" s="57"/>
      <c r="LJ277" s="57"/>
      <c r="LK277" s="57"/>
      <c r="LL277" s="57"/>
      <c r="LM277" s="57"/>
      <c r="LN277" s="57"/>
      <c r="LO277" s="57"/>
      <c r="LP277" s="57"/>
      <c r="LQ277" s="57"/>
      <c r="LR277" s="57"/>
      <c r="LS277" s="57"/>
      <c r="LT277" s="57"/>
      <c r="LU277" s="57"/>
      <c r="LV277" s="57"/>
      <c r="LW277" s="57"/>
      <c r="LX277" s="57"/>
      <c r="LY277" s="57"/>
      <c r="LZ277" s="57"/>
      <c r="MA277" s="57"/>
      <c r="MB277" s="57"/>
      <c r="MC277" s="57"/>
      <c r="MD277" s="57"/>
      <c r="ME277" s="57"/>
      <c r="MF277" s="57"/>
      <c r="MG277" s="57"/>
      <c r="MH277" s="57"/>
      <c r="MI277" s="57"/>
      <c r="MJ277" s="57"/>
      <c r="MK277" s="57"/>
      <c r="ML277" s="57"/>
      <c r="MM277" s="57"/>
      <c r="MN277" s="57"/>
      <c r="MO277" s="57"/>
      <c r="MP277" s="57"/>
      <c r="MQ277" s="57"/>
      <c r="MR277" s="57"/>
      <c r="MS277" s="57"/>
      <c r="MT277" s="57"/>
      <c r="MU277" s="57"/>
      <c r="MV277" s="57"/>
      <c r="MW277" s="57"/>
      <c r="MX277" s="57"/>
      <c r="MY277" s="57"/>
      <c r="MZ277" s="57"/>
      <c r="NA277" s="57"/>
      <c r="NB277" s="57"/>
      <c r="NC277" s="57"/>
      <c r="ND277" s="57"/>
      <c r="NE277" s="57"/>
      <c r="NF277" s="57"/>
      <c r="NG277" s="57"/>
      <c r="NH277" s="57"/>
      <c r="NI277" s="57"/>
      <c r="NJ277" s="57"/>
      <c r="NK277" s="57"/>
      <c r="NL277" s="57"/>
      <c r="NM277" s="57"/>
      <c r="NN277" s="57"/>
      <c r="NO277" s="57"/>
    </row>
    <row r="278" spans="1:379" s="126" customFormat="1">
      <c r="A278" s="144" t="str">
        <f>'Ontario Total'!A278</f>
        <v>Air-Cooled Ice Machine</v>
      </c>
      <c r="B278" s="1421">
        <f>Chino!N243</f>
        <v>0</v>
      </c>
      <c r="C278" s="1422"/>
      <c r="D278" s="1736">
        <f t="shared" si="71"/>
        <v>0</v>
      </c>
      <c r="E278" s="1446"/>
      <c r="F278" s="1723">
        <f t="shared" si="72"/>
        <v>0</v>
      </c>
      <c r="G278" s="1724"/>
      <c r="H278" s="449">
        <f t="shared" si="73"/>
        <v>0</v>
      </c>
      <c r="I278" s="151">
        <v>0</v>
      </c>
      <c r="J278" s="151">
        <v>0</v>
      </c>
      <c r="K278" s="151">
        <v>0</v>
      </c>
      <c r="L278" s="151">
        <f t="shared" si="74"/>
        <v>0</v>
      </c>
      <c r="M278" s="1634">
        <f t="shared" si="70"/>
        <v>0</v>
      </c>
      <c r="N278" s="1540"/>
      <c r="O278" s="121"/>
      <c r="P278" s="121"/>
      <c r="Q278" s="121"/>
      <c r="R278" s="121"/>
      <c r="S278" s="121"/>
      <c r="T278" s="121"/>
      <c r="U278" s="121"/>
      <c r="V278" s="57"/>
      <c r="W278" s="57"/>
      <c r="X278" s="57"/>
      <c r="Y278" s="57"/>
      <c r="Z278" s="57"/>
      <c r="AA278" s="57"/>
      <c r="AB278" s="57"/>
      <c r="AC278" s="57"/>
      <c r="AD278" s="57"/>
      <c r="AE278" s="57"/>
      <c r="AF278" s="57"/>
      <c r="AG278" s="57"/>
      <c r="AH278" s="57"/>
      <c r="AI278" s="57"/>
      <c r="AJ278" s="57"/>
      <c r="AK278" s="57"/>
      <c r="AL278" s="57"/>
      <c r="AM278" s="57"/>
      <c r="AN278" s="57"/>
      <c r="AO278" s="57"/>
      <c r="AP278" s="57"/>
      <c r="AQ278" s="57"/>
      <c r="AR278" s="57"/>
      <c r="AS278" s="57"/>
      <c r="AT278" s="57"/>
      <c r="AU278" s="57"/>
      <c r="AV278" s="57"/>
      <c r="AW278" s="57"/>
      <c r="AX278" s="57"/>
      <c r="AY278" s="57"/>
      <c r="AZ278" s="57"/>
      <c r="BA278" s="57"/>
      <c r="BB278" s="57"/>
      <c r="BC278" s="57"/>
      <c r="BD278" s="57"/>
      <c r="BE278" s="57"/>
      <c r="BF278" s="57"/>
      <c r="BG278" s="57"/>
      <c r="BH278" s="57"/>
      <c r="BI278" s="57"/>
      <c r="BJ278" s="57"/>
      <c r="BK278" s="57"/>
      <c r="BL278" s="57"/>
      <c r="BM278" s="57"/>
      <c r="BN278" s="57"/>
      <c r="BO278" s="57"/>
      <c r="BP278" s="57"/>
      <c r="BQ278" s="57"/>
      <c r="BR278" s="57"/>
      <c r="BS278" s="57"/>
      <c r="BT278" s="57"/>
      <c r="BU278" s="57"/>
      <c r="BV278" s="57"/>
      <c r="BW278" s="57"/>
      <c r="BX278" s="57"/>
      <c r="BY278" s="57"/>
      <c r="BZ278" s="57"/>
      <c r="CA278" s="57"/>
      <c r="CB278" s="57"/>
      <c r="CC278" s="57"/>
      <c r="CD278" s="57"/>
      <c r="CE278" s="57"/>
      <c r="CF278" s="57"/>
      <c r="CG278" s="57"/>
      <c r="CH278" s="57"/>
      <c r="CI278" s="57"/>
      <c r="CJ278" s="57"/>
      <c r="CK278" s="57"/>
      <c r="CL278" s="57"/>
      <c r="CM278" s="57"/>
      <c r="CN278" s="57"/>
      <c r="CO278" s="57"/>
      <c r="CP278" s="57"/>
      <c r="CQ278" s="57"/>
      <c r="CR278" s="57"/>
      <c r="CS278" s="57"/>
      <c r="CT278" s="57"/>
      <c r="CU278" s="57"/>
      <c r="CV278" s="57"/>
      <c r="CW278" s="57"/>
      <c r="CX278" s="57"/>
      <c r="CY278" s="57"/>
      <c r="CZ278" s="57"/>
      <c r="DA278" s="57"/>
      <c r="DB278" s="57"/>
      <c r="DC278" s="57"/>
      <c r="DD278" s="57"/>
      <c r="DE278" s="57"/>
      <c r="DF278" s="57"/>
      <c r="DG278" s="57"/>
      <c r="DH278" s="57"/>
      <c r="DI278" s="57"/>
      <c r="DJ278" s="57"/>
      <c r="DK278" s="57"/>
      <c r="DL278" s="57"/>
      <c r="DM278" s="57"/>
      <c r="DN278" s="57"/>
      <c r="DO278" s="57"/>
      <c r="DP278" s="57"/>
      <c r="DQ278" s="57"/>
      <c r="DR278" s="57"/>
      <c r="DS278" s="57"/>
      <c r="DT278" s="57"/>
      <c r="DU278" s="57"/>
      <c r="DV278" s="57"/>
      <c r="DW278" s="57"/>
      <c r="DX278" s="57"/>
      <c r="DY278" s="57"/>
      <c r="DZ278" s="57"/>
      <c r="EA278" s="57"/>
      <c r="EB278" s="57"/>
      <c r="EC278" s="57"/>
      <c r="ED278" s="57"/>
      <c r="EE278" s="57"/>
      <c r="EF278" s="57"/>
      <c r="EG278" s="57"/>
      <c r="EH278" s="57"/>
      <c r="EI278" s="57"/>
      <c r="EJ278" s="57"/>
      <c r="EK278" s="57"/>
      <c r="EL278" s="57"/>
      <c r="EM278" s="57"/>
      <c r="EN278" s="57"/>
      <c r="EO278" s="57"/>
      <c r="EP278" s="57"/>
      <c r="EQ278" s="57"/>
      <c r="ER278" s="57"/>
      <c r="ES278" s="57"/>
      <c r="ET278" s="57"/>
      <c r="EU278" s="57"/>
      <c r="EV278" s="57"/>
      <c r="EW278" s="57"/>
      <c r="EX278" s="57"/>
      <c r="EY278" s="57"/>
      <c r="EZ278" s="57"/>
      <c r="FA278" s="57"/>
      <c r="FB278" s="57"/>
      <c r="FC278" s="57"/>
      <c r="FD278" s="57"/>
      <c r="FE278" s="57"/>
      <c r="FF278" s="57"/>
      <c r="FG278" s="57"/>
      <c r="FH278" s="57"/>
      <c r="FI278" s="57"/>
      <c r="FJ278" s="57"/>
      <c r="FK278" s="57"/>
      <c r="FL278" s="57"/>
      <c r="FM278" s="57"/>
      <c r="FN278" s="57"/>
      <c r="FO278" s="57"/>
      <c r="FP278" s="57"/>
      <c r="FQ278" s="57"/>
      <c r="FR278" s="57"/>
      <c r="FS278" s="57"/>
      <c r="FT278" s="57"/>
      <c r="FU278" s="57"/>
      <c r="FV278" s="57"/>
      <c r="FW278" s="57"/>
      <c r="FX278" s="57"/>
      <c r="FY278" s="57"/>
      <c r="FZ278" s="57"/>
      <c r="GA278" s="57"/>
      <c r="GB278" s="57"/>
      <c r="GC278" s="57"/>
      <c r="GD278" s="57"/>
      <c r="GE278" s="57"/>
      <c r="GF278" s="57"/>
      <c r="GG278" s="57"/>
      <c r="GH278" s="57"/>
      <c r="GI278" s="57"/>
      <c r="GJ278" s="57"/>
      <c r="GK278" s="57"/>
      <c r="GL278" s="57"/>
      <c r="GM278" s="57"/>
      <c r="GN278" s="57"/>
      <c r="GO278" s="57"/>
      <c r="GP278" s="57"/>
      <c r="GQ278" s="57"/>
      <c r="GR278" s="57"/>
      <c r="GS278" s="57"/>
      <c r="GT278" s="57"/>
      <c r="GU278" s="57"/>
      <c r="GV278" s="57"/>
      <c r="GW278" s="57"/>
      <c r="GX278" s="57"/>
      <c r="GY278" s="57"/>
      <c r="GZ278" s="57"/>
      <c r="HA278" s="57"/>
      <c r="HB278" s="57"/>
      <c r="HC278" s="57"/>
      <c r="HD278" s="57"/>
      <c r="HE278" s="57"/>
      <c r="HF278" s="57"/>
      <c r="HG278" s="57"/>
      <c r="HH278" s="57"/>
      <c r="HI278" s="57"/>
      <c r="HJ278" s="57"/>
      <c r="HK278" s="57"/>
      <c r="HL278" s="57"/>
      <c r="HM278" s="57"/>
      <c r="HN278" s="57"/>
      <c r="HO278" s="57"/>
      <c r="HP278" s="57"/>
      <c r="HQ278" s="57"/>
      <c r="HR278" s="57"/>
      <c r="HS278" s="57"/>
      <c r="HT278" s="57"/>
      <c r="HU278" s="57"/>
      <c r="HV278" s="57"/>
      <c r="HW278" s="57"/>
      <c r="HX278" s="57"/>
      <c r="HY278" s="57"/>
      <c r="HZ278" s="57"/>
      <c r="IA278" s="57"/>
      <c r="IB278" s="57"/>
      <c r="IC278" s="57"/>
      <c r="ID278" s="57"/>
      <c r="IE278" s="57"/>
      <c r="IF278" s="57"/>
      <c r="IG278" s="57"/>
      <c r="IH278" s="57"/>
      <c r="II278" s="57"/>
      <c r="IJ278" s="57"/>
      <c r="IK278" s="57"/>
      <c r="IL278" s="57"/>
      <c r="IM278" s="57"/>
      <c r="IN278" s="57"/>
      <c r="IO278" s="57"/>
      <c r="IP278" s="57"/>
      <c r="IQ278" s="57"/>
      <c r="IR278" s="57"/>
      <c r="IS278" s="57"/>
      <c r="IT278" s="57"/>
      <c r="IU278" s="57"/>
      <c r="IV278" s="57"/>
      <c r="IW278" s="57"/>
      <c r="IX278" s="57"/>
      <c r="IY278" s="57"/>
      <c r="IZ278" s="57"/>
      <c r="JA278" s="57"/>
      <c r="JB278" s="57"/>
      <c r="JC278" s="57"/>
      <c r="JD278" s="57"/>
      <c r="JE278" s="57"/>
      <c r="JF278" s="57"/>
      <c r="JG278" s="57"/>
      <c r="JH278" s="57"/>
      <c r="JI278" s="57"/>
      <c r="JJ278" s="57"/>
      <c r="JK278" s="57"/>
      <c r="JL278" s="57"/>
      <c r="JM278" s="57"/>
      <c r="JN278" s="57"/>
      <c r="JO278" s="57"/>
      <c r="JP278" s="57"/>
      <c r="JQ278" s="57"/>
      <c r="JR278" s="57"/>
      <c r="JS278" s="57"/>
      <c r="JT278" s="57"/>
      <c r="JU278" s="57"/>
      <c r="JV278" s="57"/>
      <c r="JW278" s="57"/>
      <c r="JX278" s="57"/>
      <c r="JY278" s="57"/>
      <c r="JZ278" s="57"/>
      <c r="KA278" s="57"/>
      <c r="KB278" s="57"/>
      <c r="KC278" s="57"/>
      <c r="KD278" s="57"/>
      <c r="KE278" s="57"/>
      <c r="KF278" s="57"/>
      <c r="KG278" s="57"/>
      <c r="KH278" s="57"/>
      <c r="KI278" s="57"/>
      <c r="KJ278" s="57"/>
      <c r="KK278" s="57"/>
      <c r="KL278" s="57"/>
      <c r="KM278" s="57"/>
      <c r="KN278" s="57"/>
      <c r="KO278" s="57"/>
      <c r="KP278" s="57"/>
      <c r="KQ278" s="57"/>
      <c r="KR278" s="57"/>
      <c r="KS278" s="57"/>
      <c r="KT278" s="57"/>
      <c r="KU278" s="57"/>
      <c r="KV278" s="57"/>
      <c r="KW278" s="57"/>
      <c r="KX278" s="57"/>
      <c r="KY278" s="57"/>
      <c r="KZ278" s="57"/>
      <c r="LA278" s="57"/>
      <c r="LB278" s="57"/>
      <c r="LC278" s="57"/>
      <c r="LD278" s="57"/>
      <c r="LE278" s="57"/>
      <c r="LF278" s="57"/>
      <c r="LG278" s="57"/>
      <c r="LH278" s="57"/>
      <c r="LI278" s="57"/>
      <c r="LJ278" s="57"/>
      <c r="LK278" s="57"/>
      <c r="LL278" s="57"/>
      <c r="LM278" s="57"/>
      <c r="LN278" s="57"/>
      <c r="LO278" s="57"/>
      <c r="LP278" s="57"/>
      <c r="LQ278" s="57"/>
      <c r="LR278" s="57"/>
      <c r="LS278" s="57"/>
      <c r="LT278" s="57"/>
      <c r="LU278" s="57"/>
      <c r="LV278" s="57"/>
      <c r="LW278" s="57"/>
      <c r="LX278" s="57"/>
      <c r="LY278" s="57"/>
      <c r="LZ278" s="57"/>
      <c r="MA278" s="57"/>
      <c r="MB278" s="57"/>
      <c r="MC278" s="57"/>
      <c r="MD278" s="57"/>
      <c r="ME278" s="57"/>
      <c r="MF278" s="57"/>
      <c r="MG278" s="57"/>
      <c r="MH278" s="57"/>
      <c r="MI278" s="57"/>
      <c r="MJ278" s="57"/>
      <c r="MK278" s="57"/>
      <c r="ML278" s="57"/>
      <c r="MM278" s="57"/>
      <c r="MN278" s="57"/>
      <c r="MO278" s="57"/>
      <c r="MP278" s="57"/>
      <c r="MQ278" s="57"/>
      <c r="MR278" s="57"/>
      <c r="MS278" s="57"/>
      <c r="MT278" s="57"/>
      <c r="MU278" s="57"/>
      <c r="MV278" s="57"/>
      <c r="MW278" s="57"/>
      <c r="MX278" s="57"/>
      <c r="MY278" s="57"/>
      <c r="MZ278" s="57"/>
      <c r="NA278" s="57"/>
      <c r="NB278" s="57"/>
      <c r="NC278" s="57"/>
      <c r="ND278" s="57"/>
      <c r="NE278" s="57"/>
      <c r="NF278" s="57"/>
      <c r="NG278" s="57"/>
      <c r="NH278" s="57"/>
      <c r="NI278" s="57"/>
      <c r="NJ278" s="57"/>
      <c r="NK278" s="57"/>
      <c r="NL278" s="57"/>
      <c r="NM278" s="57"/>
      <c r="NN278" s="57"/>
      <c r="NO278" s="57"/>
    </row>
    <row r="279" spans="1:379" s="126" customFormat="1" ht="14" thickBot="1">
      <c r="A279" s="144" t="s">
        <v>213</v>
      </c>
      <c r="B279" s="1429">
        <f>Chino!N244</f>
        <v>0</v>
      </c>
      <c r="C279" s="1430"/>
      <c r="D279" s="1737">
        <f t="shared" si="71"/>
        <v>0</v>
      </c>
      <c r="E279" s="1726"/>
      <c r="F279" s="1728">
        <f t="shared" si="72"/>
        <v>0</v>
      </c>
      <c r="G279" s="1729"/>
      <c r="H279" s="449">
        <f t="shared" si="73"/>
        <v>0</v>
      </c>
      <c r="I279" s="151">
        <v>0</v>
      </c>
      <c r="J279" s="151">
        <v>0</v>
      </c>
      <c r="K279" s="151">
        <v>0</v>
      </c>
      <c r="L279" s="151">
        <f t="shared" si="74"/>
        <v>0</v>
      </c>
      <c r="M279" s="1634">
        <f t="shared" si="70"/>
        <v>0</v>
      </c>
      <c r="N279" s="1540"/>
      <c r="O279" s="121"/>
      <c r="P279" s="121"/>
      <c r="Q279" s="121"/>
      <c r="R279" s="121"/>
      <c r="S279" s="121"/>
      <c r="T279" s="121"/>
      <c r="U279" s="121"/>
      <c r="V279" s="57"/>
      <c r="W279" s="57"/>
      <c r="X279" s="57"/>
      <c r="Y279" s="57"/>
      <c r="Z279" s="57"/>
      <c r="AA279" s="57"/>
      <c r="AB279" s="57"/>
      <c r="AC279" s="57"/>
      <c r="AD279" s="57"/>
      <c r="AE279" s="57"/>
      <c r="AF279" s="57"/>
      <c r="AG279" s="57"/>
      <c r="AH279" s="57"/>
      <c r="AI279" s="57"/>
      <c r="AJ279" s="57"/>
      <c r="AK279" s="57"/>
      <c r="AL279" s="57"/>
      <c r="AM279" s="57"/>
      <c r="AN279" s="57"/>
      <c r="AO279" s="57"/>
      <c r="AP279" s="57"/>
      <c r="AQ279" s="57"/>
      <c r="AR279" s="57"/>
      <c r="AS279" s="57"/>
      <c r="AT279" s="57"/>
      <c r="AU279" s="57"/>
      <c r="AV279" s="57"/>
      <c r="AW279" s="57"/>
      <c r="AX279" s="57"/>
      <c r="AY279" s="57"/>
      <c r="AZ279" s="57"/>
      <c r="BA279" s="57"/>
      <c r="BB279" s="57"/>
      <c r="BC279" s="57"/>
      <c r="BD279" s="57"/>
      <c r="BE279" s="57"/>
      <c r="BF279" s="57"/>
      <c r="BG279" s="57"/>
      <c r="BH279" s="57"/>
      <c r="BI279" s="57"/>
      <c r="BJ279" s="57"/>
      <c r="BK279" s="57"/>
      <c r="BL279" s="57"/>
      <c r="BM279" s="57"/>
      <c r="BN279" s="57"/>
      <c r="BO279" s="57"/>
      <c r="BP279" s="57"/>
      <c r="BQ279" s="57"/>
      <c r="BR279" s="57"/>
      <c r="BS279" s="57"/>
      <c r="BT279" s="57"/>
      <c r="BU279" s="57"/>
      <c r="BV279" s="57"/>
      <c r="BW279" s="57"/>
      <c r="BX279" s="57"/>
      <c r="BY279" s="57"/>
      <c r="BZ279" s="57"/>
      <c r="CA279" s="57"/>
      <c r="CB279" s="57"/>
      <c r="CC279" s="57"/>
      <c r="CD279" s="57"/>
      <c r="CE279" s="57"/>
      <c r="CF279" s="57"/>
      <c r="CG279" s="57"/>
      <c r="CH279" s="57"/>
      <c r="CI279" s="57"/>
      <c r="CJ279" s="57"/>
      <c r="CK279" s="57"/>
      <c r="CL279" s="57"/>
      <c r="CM279" s="57"/>
      <c r="CN279" s="57"/>
      <c r="CO279" s="57"/>
      <c r="CP279" s="57"/>
      <c r="CQ279" s="57"/>
      <c r="CR279" s="57"/>
      <c r="CS279" s="57"/>
      <c r="CT279" s="57"/>
      <c r="CU279" s="57"/>
      <c r="CV279" s="57"/>
      <c r="CW279" s="57"/>
      <c r="CX279" s="57"/>
      <c r="CY279" s="57"/>
      <c r="CZ279" s="57"/>
      <c r="DA279" s="57"/>
      <c r="DB279" s="57"/>
      <c r="DC279" s="57"/>
      <c r="DD279" s="57"/>
      <c r="DE279" s="57"/>
      <c r="DF279" s="57"/>
      <c r="DG279" s="57"/>
      <c r="DH279" s="57"/>
      <c r="DI279" s="57"/>
      <c r="DJ279" s="57"/>
      <c r="DK279" s="57"/>
      <c r="DL279" s="57"/>
      <c r="DM279" s="57"/>
      <c r="DN279" s="57"/>
      <c r="DO279" s="57"/>
      <c r="DP279" s="57"/>
      <c r="DQ279" s="57"/>
      <c r="DR279" s="57"/>
      <c r="DS279" s="57"/>
      <c r="DT279" s="57"/>
      <c r="DU279" s="57"/>
      <c r="DV279" s="57"/>
      <c r="DW279" s="57"/>
      <c r="DX279" s="57"/>
      <c r="DY279" s="57"/>
      <c r="DZ279" s="57"/>
      <c r="EA279" s="57"/>
      <c r="EB279" s="57"/>
      <c r="EC279" s="57"/>
      <c r="ED279" s="57"/>
      <c r="EE279" s="57"/>
      <c r="EF279" s="57"/>
      <c r="EG279" s="57"/>
      <c r="EH279" s="57"/>
      <c r="EI279" s="57"/>
      <c r="EJ279" s="57"/>
      <c r="EK279" s="57"/>
      <c r="EL279" s="57"/>
      <c r="EM279" s="57"/>
      <c r="EN279" s="57"/>
      <c r="EO279" s="57"/>
      <c r="EP279" s="57"/>
      <c r="EQ279" s="57"/>
      <c r="ER279" s="57"/>
      <c r="ES279" s="57"/>
      <c r="ET279" s="57"/>
      <c r="EU279" s="57"/>
      <c r="EV279" s="57"/>
      <c r="EW279" s="57"/>
      <c r="EX279" s="57"/>
      <c r="EY279" s="57"/>
      <c r="EZ279" s="57"/>
      <c r="FA279" s="57"/>
      <c r="FB279" s="57"/>
      <c r="FC279" s="57"/>
      <c r="FD279" s="57"/>
      <c r="FE279" s="57"/>
      <c r="FF279" s="57"/>
      <c r="FG279" s="57"/>
      <c r="FH279" s="57"/>
      <c r="FI279" s="57"/>
      <c r="FJ279" s="57"/>
      <c r="FK279" s="57"/>
      <c r="FL279" s="57"/>
      <c r="FM279" s="57"/>
      <c r="FN279" s="57"/>
      <c r="FO279" s="57"/>
      <c r="FP279" s="57"/>
      <c r="FQ279" s="57"/>
      <c r="FR279" s="57"/>
      <c r="FS279" s="57"/>
      <c r="FT279" s="57"/>
      <c r="FU279" s="57"/>
      <c r="FV279" s="57"/>
      <c r="FW279" s="57"/>
      <c r="FX279" s="57"/>
      <c r="FY279" s="57"/>
      <c r="FZ279" s="57"/>
      <c r="GA279" s="57"/>
      <c r="GB279" s="57"/>
      <c r="GC279" s="57"/>
      <c r="GD279" s="57"/>
      <c r="GE279" s="57"/>
      <c r="GF279" s="57"/>
      <c r="GG279" s="57"/>
      <c r="GH279" s="57"/>
      <c r="GI279" s="57"/>
      <c r="GJ279" s="57"/>
      <c r="GK279" s="57"/>
      <c r="GL279" s="57"/>
      <c r="GM279" s="57"/>
      <c r="GN279" s="57"/>
      <c r="GO279" s="57"/>
      <c r="GP279" s="57"/>
      <c r="GQ279" s="57"/>
      <c r="GR279" s="57"/>
      <c r="GS279" s="57"/>
      <c r="GT279" s="57"/>
      <c r="GU279" s="57"/>
      <c r="GV279" s="57"/>
      <c r="GW279" s="57"/>
      <c r="GX279" s="57"/>
      <c r="GY279" s="57"/>
      <c r="GZ279" s="57"/>
      <c r="HA279" s="57"/>
      <c r="HB279" s="57"/>
      <c r="HC279" s="57"/>
      <c r="HD279" s="57"/>
      <c r="HE279" s="57"/>
      <c r="HF279" s="57"/>
      <c r="HG279" s="57"/>
      <c r="HH279" s="57"/>
      <c r="HI279" s="57"/>
      <c r="HJ279" s="57"/>
      <c r="HK279" s="57"/>
      <c r="HL279" s="57"/>
      <c r="HM279" s="57"/>
      <c r="HN279" s="57"/>
      <c r="HO279" s="57"/>
      <c r="HP279" s="57"/>
      <c r="HQ279" s="57"/>
      <c r="HR279" s="57"/>
      <c r="HS279" s="57"/>
      <c r="HT279" s="57"/>
      <c r="HU279" s="57"/>
      <c r="HV279" s="57"/>
      <c r="HW279" s="57"/>
      <c r="HX279" s="57"/>
      <c r="HY279" s="57"/>
      <c r="HZ279" s="57"/>
      <c r="IA279" s="57"/>
      <c r="IB279" s="57"/>
      <c r="IC279" s="57"/>
      <c r="ID279" s="57"/>
      <c r="IE279" s="57"/>
      <c r="IF279" s="57"/>
      <c r="IG279" s="57"/>
      <c r="IH279" s="57"/>
      <c r="II279" s="57"/>
      <c r="IJ279" s="57"/>
      <c r="IK279" s="57"/>
      <c r="IL279" s="57"/>
      <c r="IM279" s="57"/>
      <c r="IN279" s="57"/>
      <c r="IO279" s="57"/>
      <c r="IP279" s="57"/>
      <c r="IQ279" s="57"/>
      <c r="IR279" s="57"/>
      <c r="IS279" s="57"/>
      <c r="IT279" s="57"/>
      <c r="IU279" s="57"/>
      <c r="IV279" s="57"/>
      <c r="IW279" s="57"/>
      <c r="IX279" s="57"/>
      <c r="IY279" s="57"/>
      <c r="IZ279" s="57"/>
      <c r="JA279" s="57"/>
      <c r="JB279" s="57"/>
      <c r="JC279" s="57"/>
      <c r="JD279" s="57"/>
      <c r="JE279" s="57"/>
      <c r="JF279" s="57"/>
      <c r="JG279" s="57"/>
      <c r="JH279" s="57"/>
      <c r="JI279" s="57"/>
      <c r="JJ279" s="57"/>
      <c r="JK279" s="57"/>
      <c r="JL279" s="57"/>
      <c r="JM279" s="57"/>
      <c r="JN279" s="57"/>
      <c r="JO279" s="57"/>
      <c r="JP279" s="57"/>
      <c r="JQ279" s="57"/>
      <c r="JR279" s="57"/>
      <c r="JS279" s="57"/>
      <c r="JT279" s="57"/>
      <c r="JU279" s="57"/>
      <c r="JV279" s="57"/>
      <c r="JW279" s="57"/>
      <c r="JX279" s="57"/>
      <c r="JY279" s="57"/>
      <c r="JZ279" s="57"/>
      <c r="KA279" s="57"/>
      <c r="KB279" s="57"/>
      <c r="KC279" s="57"/>
      <c r="KD279" s="57"/>
      <c r="KE279" s="57"/>
      <c r="KF279" s="57"/>
      <c r="KG279" s="57"/>
      <c r="KH279" s="57"/>
      <c r="KI279" s="57"/>
      <c r="KJ279" s="57"/>
      <c r="KK279" s="57"/>
      <c r="KL279" s="57"/>
      <c r="KM279" s="57"/>
      <c r="KN279" s="57"/>
      <c r="KO279" s="57"/>
      <c r="KP279" s="57"/>
      <c r="KQ279" s="57"/>
      <c r="KR279" s="57"/>
      <c r="KS279" s="57"/>
      <c r="KT279" s="57"/>
      <c r="KU279" s="57"/>
      <c r="KV279" s="57"/>
      <c r="KW279" s="57"/>
      <c r="KX279" s="57"/>
      <c r="KY279" s="57"/>
      <c r="KZ279" s="57"/>
      <c r="LA279" s="57"/>
      <c r="LB279" s="57"/>
      <c r="LC279" s="57"/>
      <c r="LD279" s="57"/>
      <c r="LE279" s="57"/>
      <c r="LF279" s="57"/>
      <c r="LG279" s="57"/>
      <c r="LH279" s="57"/>
      <c r="LI279" s="57"/>
      <c r="LJ279" s="57"/>
      <c r="LK279" s="57"/>
      <c r="LL279" s="57"/>
      <c r="LM279" s="57"/>
      <c r="LN279" s="57"/>
      <c r="LO279" s="57"/>
      <c r="LP279" s="57"/>
      <c r="LQ279" s="57"/>
      <c r="LR279" s="57"/>
      <c r="LS279" s="57"/>
      <c r="LT279" s="57"/>
      <c r="LU279" s="57"/>
      <c r="LV279" s="57"/>
      <c r="LW279" s="57"/>
      <c r="LX279" s="57"/>
      <c r="LY279" s="57"/>
      <c r="LZ279" s="57"/>
      <c r="MA279" s="57"/>
      <c r="MB279" s="57"/>
      <c r="MC279" s="57"/>
      <c r="MD279" s="57"/>
      <c r="ME279" s="57"/>
      <c r="MF279" s="57"/>
      <c r="MG279" s="57"/>
      <c r="MH279" s="57"/>
      <c r="MI279" s="57"/>
      <c r="MJ279" s="57"/>
      <c r="MK279" s="57"/>
      <c r="ML279" s="57"/>
      <c r="MM279" s="57"/>
      <c r="MN279" s="57"/>
      <c r="MO279" s="57"/>
      <c r="MP279" s="57"/>
      <c r="MQ279" s="57"/>
      <c r="MR279" s="57"/>
      <c r="MS279" s="57"/>
      <c r="MT279" s="57"/>
      <c r="MU279" s="57"/>
      <c r="MV279" s="57"/>
      <c r="MW279" s="57"/>
      <c r="MX279" s="57"/>
      <c r="MY279" s="57"/>
      <c r="MZ279" s="57"/>
      <c r="NA279" s="57"/>
      <c r="NB279" s="57"/>
      <c r="NC279" s="57"/>
      <c r="ND279" s="57"/>
      <c r="NE279" s="57"/>
      <c r="NF279" s="57"/>
      <c r="NG279" s="57"/>
      <c r="NH279" s="57"/>
      <c r="NI279" s="57"/>
      <c r="NJ279" s="57"/>
      <c r="NK279" s="57"/>
      <c r="NL279" s="57"/>
      <c r="NM279" s="57"/>
      <c r="NN279" s="57"/>
      <c r="NO279" s="57"/>
    </row>
    <row r="280" spans="1:379" s="1161" customFormat="1" ht="17" thickBot="1">
      <c r="A280" s="108" t="str">
        <f>'Ontario Total'!A280</f>
        <v>IEUA Locally Implemented Commercial Programs</v>
      </c>
      <c r="B280" s="1456"/>
      <c r="C280" s="1586"/>
      <c r="D280" s="1567"/>
      <c r="E280" s="1586"/>
      <c r="F280" s="1587"/>
      <c r="G280" s="1588"/>
      <c r="H280" s="447"/>
      <c r="I280" s="184"/>
      <c r="J280" s="179"/>
      <c r="K280" s="179"/>
      <c r="L280" s="179"/>
      <c r="M280" s="1485"/>
      <c r="N280" s="1486"/>
      <c r="O280" s="274"/>
      <c r="P280" s="274"/>
      <c r="Q280" s="274"/>
      <c r="R280" s="274"/>
      <c r="S280" s="274"/>
      <c r="T280" s="274"/>
      <c r="U280" s="274"/>
    </row>
    <row r="281" spans="1:379" hidden="1">
      <c r="A281" s="32" t="str">
        <f>'Ontario Total'!A281</f>
        <v>Fontana Unified School Retrofit Program</v>
      </c>
      <c r="B281" s="1421">
        <f>Chino!N246</f>
        <v>0</v>
      </c>
      <c r="C281" s="1422"/>
      <c r="D281" s="1444">
        <f>F281*325851</f>
        <v>0</v>
      </c>
      <c r="E281" s="1422"/>
      <c r="F281" s="1720">
        <f>0.018*B281</f>
        <v>0</v>
      </c>
      <c r="G281" s="1721"/>
      <c r="H281" s="444">
        <f>F281*10</f>
        <v>0</v>
      </c>
      <c r="I281" s="183"/>
      <c r="J281" s="183"/>
      <c r="K281" s="183"/>
      <c r="L281" s="151">
        <f>SUM(I281:K281)</f>
        <v>0</v>
      </c>
      <c r="M281" s="1634">
        <f>IF(ISERROR(L281/(F281*727)),0,L281/(F281*727))</f>
        <v>0</v>
      </c>
      <c r="N281" s="1540"/>
    </row>
    <row r="282" spans="1:379" ht="14" thickBot="1">
      <c r="A282" s="32" t="s">
        <v>165</v>
      </c>
      <c r="B282" s="1421">
        <f>Chino!N247</f>
        <v>660</v>
      </c>
      <c r="C282" s="1422"/>
      <c r="D282" s="1444">
        <f>F282*325851</f>
        <v>860246.64</v>
      </c>
      <c r="E282" s="1422"/>
      <c r="F282" s="1720">
        <f>0.004*B282</f>
        <v>2.64</v>
      </c>
      <c r="G282" s="1721"/>
      <c r="H282" s="444">
        <f>F282*5</f>
        <v>13.200000000000001</v>
      </c>
      <c r="I282" s="151">
        <v>0</v>
      </c>
      <c r="J282" s="151">
        <f>0*B282</f>
        <v>0</v>
      </c>
      <c r="K282" s="151">
        <f>3.25*B282</f>
        <v>2145</v>
      </c>
      <c r="L282" s="150">
        <f>SUM(I282:K282)</f>
        <v>2145</v>
      </c>
      <c r="M282" s="1634">
        <f>IF(ISERROR(L282/(F282*752)),0,L282/(F282*752))</f>
        <v>1.0804521276595744</v>
      </c>
      <c r="N282" s="1540"/>
    </row>
    <row r="283" spans="1:379" s="533" customFormat="1" ht="14" thickBot="1">
      <c r="A283" s="53" t="s">
        <v>60</v>
      </c>
      <c r="B283" s="1438">
        <f>SUM(B266:C282)</f>
        <v>717</v>
      </c>
      <c r="C283" s="1609"/>
      <c r="D283" s="1440">
        <f>SUM(D266:E282)</f>
        <v>1352933.352</v>
      </c>
      <c r="E283" s="1609"/>
      <c r="F283" s="1512">
        <f>SUM(F266:G282)</f>
        <v>4.1520000000000001</v>
      </c>
      <c r="G283" s="1575"/>
      <c r="H283" s="448">
        <f>SUM(H266:H282)</f>
        <v>27.26</v>
      </c>
      <c r="I283" s="143">
        <v>0</v>
      </c>
      <c r="J283" s="136">
        <f>SUM(J266:J282)</f>
        <v>819</v>
      </c>
      <c r="K283" s="143">
        <f>SUM(K266:K282)</f>
        <v>3813</v>
      </c>
      <c r="L283" s="136">
        <f>SUM(L266:L282)</f>
        <v>4633</v>
      </c>
      <c r="M283" s="1442"/>
      <c r="N283" s="1735"/>
      <c r="O283" s="534"/>
      <c r="P283" s="534"/>
      <c r="Q283" s="534"/>
      <c r="R283" s="534"/>
      <c r="S283" s="534"/>
      <c r="T283" s="534"/>
      <c r="U283" s="534"/>
    </row>
    <row r="284" spans="1:379" s="1168" customFormat="1" ht="17" thickBot="1">
      <c r="A284" s="1163" t="s">
        <v>17</v>
      </c>
      <c r="B284" s="1414">
        <f>SUM(B260+B264+B283)</f>
        <v>1133</v>
      </c>
      <c r="C284" s="1415"/>
      <c r="D284" s="1612">
        <f>SUM(D260+D264+D283)</f>
        <v>2869337.4704999998</v>
      </c>
      <c r="E284" s="1415"/>
      <c r="F284" s="1613">
        <f>SUM(F260+F264+F283)</f>
        <v>8.8053600000000003</v>
      </c>
      <c r="G284" s="1488"/>
      <c r="H284" s="1201">
        <f>SUM(,H260,H264,H283)</f>
        <v>83.328600000000009</v>
      </c>
      <c r="I284" s="1169">
        <f>SUM(I260+I264+I283)</f>
        <v>0</v>
      </c>
      <c r="J284" s="1169">
        <f>SUM(J260+J264+J283)</f>
        <v>15853</v>
      </c>
      <c r="K284" s="1169">
        <f>SUM(K260+K264+K283)</f>
        <v>21761</v>
      </c>
      <c r="L284" s="1169">
        <f>SUM(L260+L264+L283)</f>
        <v>37615</v>
      </c>
      <c r="M284" s="1417"/>
      <c r="N284" s="1614"/>
      <c r="O284" s="121"/>
      <c r="P284" s="121"/>
      <c r="Q284" s="121"/>
      <c r="R284" s="121"/>
      <c r="S284" s="121"/>
      <c r="T284" s="121"/>
      <c r="U284" s="121"/>
    </row>
    <row r="285" spans="1:379">
      <c r="A285" s="50"/>
      <c r="B285" s="20"/>
      <c r="C285" s="20"/>
      <c r="D285" s="20"/>
      <c r="E285" s="20"/>
      <c r="F285" s="422"/>
      <c r="G285" s="422"/>
      <c r="H285" s="422"/>
      <c r="I285" s="21"/>
      <c r="J285" s="21"/>
      <c r="K285" s="21"/>
      <c r="L285" s="21"/>
      <c r="M285" s="166"/>
      <c r="N285" s="166"/>
    </row>
    <row r="286" spans="1:379" ht="15">
      <c r="A286" s="9" t="s">
        <v>18</v>
      </c>
      <c r="B286" s="1419" t="s">
        <v>59</v>
      </c>
      <c r="C286" s="1489"/>
      <c r="D286" s="1489"/>
      <c r="E286" s="1733"/>
      <c r="F286" s="422"/>
      <c r="G286" s="422"/>
      <c r="H286" s="422"/>
      <c r="I286" s="21"/>
      <c r="J286" s="21"/>
      <c r="K286" s="21"/>
      <c r="L286" s="21"/>
      <c r="M286" s="166"/>
      <c r="N286" s="166"/>
    </row>
    <row r="287" spans="1:379">
      <c r="B287" s="1420" t="s">
        <v>19</v>
      </c>
      <c r="C287" s="1420"/>
      <c r="D287" s="1420"/>
      <c r="E287" s="1420"/>
      <c r="F287" s="422"/>
      <c r="G287" s="422"/>
      <c r="H287" s="422"/>
      <c r="I287" s="21"/>
      <c r="J287" s="21"/>
      <c r="K287" s="21"/>
      <c r="L287" s="21"/>
      <c r="M287" s="166"/>
      <c r="N287" s="166"/>
    </row>
    <row r="288" spans="1:379" ht="14" thickBot="1">
      <c r="A288" s="737"/>
      <c r="B288" s="820"/>
      <c r="C288" s="820"/>
      <c r="D288" s="820"/>
      <c r="E288" s="820"/>
      <c r="F288" s="823"/>
      <c r="G288" s="823"/>
      <c r="H288" s="823"/>
      <c r="I288" s="21"/>
      <c r="J288" s="21"/>
      <c r="K288" s="21"/>
      <c r="L288" s="21"/>
      <c r="M288" s="820"/>
      <c r="N288" s="820"/>
    </row>
    <row r="289" spans="1:21" ht="16">
      <c r="A289" s="98"/>
      <c r="B289" s="99"/>
      <c r="C289" s="99"/>
      <c r="D289" s="99"/>
      <c r="E289" s="99"/>
      <c r="F289" s="421"/>
      <c r="G289" s="421"/>
      <c r="H289" s="421"/>
      <c r="I289" s="1468" t="s">
        <v>0</v>
      </c>
      <c r="J289" s="1468"/>
      <c r="K289" s="1468"/>
      <c r="L289" s="1468"/>
      <c r="M289" s="99"/>
      <c r="N289" s="101"/>
    </row>
    <row r="290" spans="1:21" ht="16">
      <c r="A290" s="97"/>
      <c r="B290" s="1469" t="s">
        <v>1</v>
      </c>
      <c r="C290" s="1469"/>
      <c r="D290" s="1469" t="s">
        <v>2</v>
      </c>
      <c r="E290" s="1469"/>
      <c r="F290" s="1470" t="s">
        <v>3</v>
      </c>
      <c r="G290" s="1470"/>
      <c r="H290" s="794" t="s">
        <v>3</v>
      </c>
      <c r="I290" s="127" t="s">
        <v>197</v>
      </c>
      <c r="J290" s="102"/>
      <c r="K290" s="102"/>
      <c r="L290" s="128"/>
      <c r="M290" s="1469" t="s">
        <v>4</v>
      </c>
      <c r="N290" s="1526"/>
    </row>
    <row r="291" spans="1:21" ht="19" thickBot="1">
      <c r="A291" s="103" t="s">
        <v>5</v>
      </c>
      <c r="B291" s="1473" t="s">
        <v>6</v>
      </c>
      <c r="C291" s="1473"/>
      <c r="D291" s="1473" t="s">
        <v>7</v>
      </c>
      <c r="E291" s="1473"/>
      <c r="F291" s="1474" t="s">
        <v>7</v>
      </c>
      <c r="G291" s="1474"/>
      <c r="H291" s="796" t="s">
        <v>58</v>
      </c>
      <c r="I291" s="797" t="s">
        <v>198</v>
      </c>
      <c r="J291" s="795" t="s">
        <v>8</v>
      </c>
      <c r="K291" s="795" t="s">
        <v>9</v>
      </c>
      <c r="L291" s="401" t="s">
        <v>10</v>
      </c>
      <c r="M291" s="1473" t="s">
        <v>145</v>
      </c>
      <c r="N291" s="1475"/>
    </row>
    <row r="292" spans="1:21" ht="24" thickBot="1">
      <c r="A292" s="88" t="s">
        <v>185</v>
      </c>
      <c r="B292" s="1751"/>
      <c r="C292" s="1477"/>
      <c r="D292" s="1478"/>
      <c r="E292" s="1479"/>
      <c r="F292" s="1480"/>
      <c r="G292" s="1481"/>
      <c r="H292" s="819"/>
      <c r="I292" s="7"/>
      <c r="J292" s="7"/>
      <c r="K292" s="7"/>
      <c r="L292" s="8"/>
      <c r="M292" s="1764"/>
      <c r="N292" s="1765"/>
    </row>
    <row r="293" spans="1:21" s="1161" customFormat="1" ht="17" thickBot="1">
      <c r="A293" s="108" t="str">
        <f>'Ontario Total'!A293</f>
        <v>SoCal Water$mart Residential Rebates</v>
      </c>
      <c r="B293" s="1456"/>
      <c r="C293" s="1586"/>
      <c r="D293" s="1457"/>
      <c r="E293" s="1586"/>
      <c r="F293" s="1587"/>
      <c r="G293" s="1588"/>
      <c r="H293" s="1145"/>
      <c r="I293" s="109"/>
      <c r="J293" s="109"/>
      <c r="K293" s="109"/>
      <c r="L293" s="1141"/>
      <c r="M293" s="1617"/>
      <c r="N293" s="1486"/>
      <c r="O293" s="274"/>
      <c r="P293" s="274"/>
      <c r="Q293" s="274"/>
      <c r="R293" s="274"/>
      <c r="S293" s="274"/>
      <c r="T293" s="274"/>
      <c r="U293" s="274"/>
    </row>
    <row r="294" spans="1:21">
      <c r="A294" s="32" t="str">
        <f>'Ontario Total'!A294</f>
        <v>High Efficiency Toilets (HET)</v>
      </c>
      <c r="B294" s="1421">
        <f>Chino!N178</f>
        <v>3</v>
      </c>
      <c r="C294" s="1422"/>
      <c r="D294" s="1855">
        <f>F294*325851</f>
        <v>41546.002500000002</v>
      </c>
      <c r="E294" s="1732"/>
      <c r="F294" s="1760">
        <f>0.0425*B294</f>
        <v>0.1275</v>
      </c>
      <c r="G294" s="1757"/>
      <c r="H294" s="922">
        <f>F294*20</f>
        <v>2.5499999999999998</v>
      </c>
      <c r="I294" s="141">
        <v>0</v>
      </c>
      <c r="J294" s="138">
        <f>50*B294</f>
        <v>150</v>
      </c>
      <c r="K294" s="138">
        <f>B294*50</f>
        <v>150</v>
      </c>
      <c r="L294" s="139">
        <f t="shared" ref="L294:L301" si="75">I294+J294+K294</f>
        <v>300</v>
      </c>
      <c r="M294" s="1758">
        <f>IF(ISERROR(L294/(F294*727)),0,L294/(F294*727))</f>
        <v>3.2365078080750873</v>
      </c>
      <c r="N294" s="1759"/>
    </row>
    <row r="295" spans="1:21">
      <c r="A295" s="32" t="str">
        <f>'Ontario Total'!A295</f>
        <v>High Efficiency Clothes Washers (HECW)</v>
      </c>
      <c r="B295" s="1421">
        <f>Chino!N179</f>
        <v>102</v>
      </c>
      <c r="C295" s="1422"/>
      <c r="D295" s="1431">
        <f>F295*325851</f>
        <v>917335.7352</v>
      </c>
      <c r="E295" s="1422"/>
      <c r="F295" s="1760">
        <f>0.0276*B295</f>
        <v>2.8151999999999999</v>
      </c>
      <c r="G295" s="1757"/>
      <c r="H295" s="922">
        <f>F295*15</f>
        <v>42.228000000000002</v>
      </c>
      <c r="I295" s="141">
        <f>0*B295</f>
        <v>0</v>
      </c>
      <c r="J295" s="140">
        <f>B295*65</f>
        <v>6630</v>
      </c>
      <c r="K295" s="138">
        <f>B295*85</f>
        <v>8670</v>
      </c>
      <c r="L295" s="139">
        <f t="shared" si="75"/>
        <v>15300</v>
      </c>
      <c r="M295" s="1758">
        <f t="shared" ref="M295:M301" si="76">IF(ISERROR(L295/(F295*727)),0,L295/(F295*727))</f>
        <v>7.4756294479995216</v>
      </c>
      <c r="N295" s="1759"/>
    </row>
    <row r="296" spans="1:21">
      <c r="A296" s="32" t="str">
        <f>'Ontario Total'!A296</f>
        <v>Rotating Nozzles for Pop-up Spray Heads</v>
      </c>
      <c r="B296" s="1421">
        <f>Chino!N180</f>
        <v>2</v>
      </c>
      <c r="C296" s="1422"/>
      <c r="D296" s="1431">
        <f>F296*325851</f>
        <v>2606.808</v>
      </c>
      <c r="E296" s="1422"/>
      <c r="F296" s="1760">
        <f>0.004*B296</f>
        <v>8.0000000000000002E-3</v>
      </c>
      <c r="G296" s="1760"/>
      <c r="H296" s="895">
        <f>F296*5</f>
        <v>0.04</v>
      </c>
      <c r="I296" s="141">
        <f>0*B296</f>
        <v>0</v>
      </c>
      <c r="J296" s="138">
        <f>1*B296</f>
        <v>2</v>
      </c>
      <c r="K296" s="138">
        <f>B296*4</f>
        <v>8</v>
      </c>
      <c r="L296" s="139">
        <f t="shared" si="75"/>
        <v>10</v>
      </c>
      <c r="M296" s="1758">
        <f t="shared" si="76"/>
        <v>1.71939477303989</v>
      </c>
      <c r="N296" s="1759"/>
    </row>
    <row r="297" spans="1:21" ht="14" thickBot="1">
      <c r="A297" s="32" t="str">
        <f>'Ontario Total'!A297</f>
        <v>Weather based Irrigation Controllers (WBIC)</v>
      </c>
      <c r="B297" s="1421">
        <f>Chino!N181</f>
        <v>3</v>
      </c>
      <c r="C297" s="1422"/>
      <c r="D297" s="1467">
        <f>F297*325851</f>
        <v>317704.72500000003</v>
      </c>
      <c r="E297" s="1433"/>
      <c r="F297" s="1771">
        <f>0.325*B297</f>
        <v>0.97500000000000009</v>
      </c>
      <c r="G297" s="1771"/>
      <c r="H297" s="545">
        <f>F297*10</f>
        <v>9.75</v>
      </c>
      <c r="I297" s="141">
        <v>0</v>
      </c>
      <c r="J297" s="141">
        <f>70*B297</f>
        <v>210</v>
      </c>
      <c r="K297" s="141">
        <f>B297*80</f>
        <v>240</v>
      </c>
      <c r="L297" s="139">
        <f t="shared" si="75"/>
        <v>450</v>
      </c>
      <c r="M297" s="1758">
        <f t="shared" si="76"/>
        <v>0.63485345466088239</v>
      </c>
      <c r="N297" s="1759"/>
    </row>
    <row r="298" spans="1:21" ht="14" hidden="1" thickBot="1">
      <c r="A298" s="76" t="s">
        <v>53</v>
      </c>
      <c r="B298" s="1421">
        <f>Chino!N182</f>
        <v>0</v>
      </c>
      <c r="C298" s="1422"/>
      <c r="D298" s="1467">
        <f>F298*325851</f>
        <v>0</v>
      </c>
      <c r="E298" s="1433"/>
      <c r="F298" s="1771">
        <f>0.325*B298</f>
        <v>0</v>
      </c>
      <c r="G298" s="1771"/>
      <c r="H298" s="545">
        <f>F298*10</f>
        <v>0</v>
      </c>
      <c r="I298" s="106">
        <v>0</v>
      </c>
      <c r="J298" s="19"/>
      <c r="K298" s="19"/>
      <c r="L298" s="806">
        <f t="shared" si="75"/>
        <v>0</v>
      </c>
      <c r="M298" s="1758">
        <f t="shared" si="76"/>
        <v>0</v>
      </c>
      <c r="N298" s="1759"/>
    </row>
    <row r="299" spans="1:21" s="1161" customFormat="1" ht="17" thickBot="1">
      <c r="A299" s="108" t="str">
        <f>'Ontario Total'!A299</f>
        <v>IEUA Locally Implemented Residential Programs</v>
      </c>
      <c r="B299" s="1456"/>
      <c r="C299" s="1586"/>
      <c r="D299" s="1567"/>
      <c r="E299" s="1586"/>
      <c r="F299" s="1854"/>
      <c r="G299" s="1620"/>
      <c r="H299" s="1157"/>
      <c r="I299" s="109"/>
      <c r="J299" s="109"/>
      <c r="K299" s="109"/>
      <c r="L299" s="1141"/>
      <c r="M299" s="1617"/>
      <c r="N299" s="1486"/>
      <c r="O299" s="274"/>
      <c r="P299" s="274"/>
      <c r="Q299" s="274"/>
      <c r="R299" s="274"/>
      <c r="S299" s="274"/>
      <c r="T299" s="274"/>
      <c r="U299" s="274"/>
    </row>
    <row r="300" spans="1:21">
      <c r="A300" s="78" t="s">
        <v>165</v>
      </c>
      <c r="B300" s="1421">
        <f>Chino!N184</f>
        <v>748</v>
      </c>
      <c r="C300" s="1422"/>
      <c r="D300" s="1467">
        <f>F300*325900</f>
        <v>975092.8</v>
      </c>
      <c r="E300" s="1743"/>
      <c r="F300" s="1771">
        <f>B300*0.004</f>
        <v>2.992</v>
      </c>
      <c r="G300" s="1760"/>
      <c r="H300" s="545">
        <f>F300*5</f>
        <v>14.96</v>
      </c>
      <c r="I300" s="141">
        <v>0</v>
      </c>
      <c r="J300" s="141">
        <v>0</v>
      </c>
      <c r="K300" s="141">
        <f>1200*3.25</f>
        <v>3900</v>
      </c>
      <c r="L300" s="896">
        <f t="shared" si="75"/>
        <v>3900</v>
      </c>
      <c r="M300" s="1758">
        <f t="shared" si="76"/>
        <v>1.7929517686779599</v>
      </c>
      <c r="N300" s="1759"/>
    </row>
    <row r="301" spans="1:21">
      <c r="A301" s="32" t="s">
        <v>166</v>
      </c>
      <c r="B301" s="1421">
        <f>Chino!N185</f>
        <v>0</v>
      </c>
      <c r="C301" s="1422"/>
      <c r="D301" s="1467">
        <f>F301*325900</f>
        <v>0</v>
      </c>
      <c r="E301" s="1743"/>
      <c r="F301" s="1771">
        <f>B301*0.004</f>
        <v>0</v>
      </c>
      <c r="G301" s="1757"/>
      <c r="H301" s="918">
        <f>F301*5</f>
        <v>0</v>
      </c>
      <c r="I301" s="141">
        <v>0</v>
      </c>
      <c r="J301" s="141">
        <v>0</v>
      </c>
      <c r="K301" s="141">
        <v>0</v>
      </c>
      <c r="L301" s="896">
        <f t="shared" si="75"/>
        <v>0</v>
      </c>
      <c r="M301" s="1758">
        <f t="shared" si="76"/>
        <v>0</v>
      </c>
      <c r="N301" s="1759"/>
    </row>
    <row r="302" spans="1:21" ht="14" thickBot="1">
      <c r="A302" s="78" t="s">
        <v>199</v>
      </c>
      <c r="B302" s="1563">
        <f>Chino!N186</f>
        <v>6</v>
      </c>
      <c r="C302" s="1424"/>
      <c r="D302" s="1458">
        <f>F302*325900</f>
        <v>257695.64799999999</v>
      </c>
      <c r="E302" s="1686"/>
      <c r="F302" s="1551">
        <f>5648*0.00014</f>
        <v>0.79071999999999998</v>
      </c>
      <c r="G302" s="1572"/>
      <c r="H302" s="908">
        <f>F302*10</f>
        <v>7.9071999999999996</v>
      </c>
      <c r="I302" s="216">
        <f>5648*0.25</f>
        <v>1412</v>
      </c>
      <c r="J302" s="216">
        <f>0.83*5648</f>
        <v>4687.84</v>
      </c>
      <c r="K302" s="216">
        <f>5648*1</f>
        <v>5648</v>
      </c>
      <c r="L302" s="522">
        <f>I302+J302+K302</f>
        <v>11747.84</v>
      </c>
      <c r="M302" s="1758">
        <f>IF(ISERROR(L302/(F302*727)),0,L302/(F302*727))</f>
        <v>20.436235016702692</v>
      </c>
      <c r="N302" s="1759"/>
    </row>
    <row r="303" spans="1:21" s="533" customFormat="1" ht="14" thickBot="1">
      <c r="A303" s="53" t="s">
        <v>60</v>
      </c>
      <c r="B303" s="1438">
        <f>SUM(B294:C302)</f>
        <v>864</v>
      </c>
      <c r="C303" s="1609"/>
      <c r="D303" s="1441">
        <f>SUM(D294:E302)</f>
        <v>2511981.7187000001</v>
      </c>
      <c r="E303" s="1609"/>
      <c r="F303" s="1512">
        <f>SUM(F294:G302)</f>
        <v>7.7084200000000003</v>
      </c>
      <c r="G303" s="1575"/>
      <c r="H303" s="793">
        <f>SUM(H294:H302)</f>
        <v>77.435199999999995</v>
      </c>
      <c r="I303" s="136">
        <f>SUM(I294:I302)</f>
        <v>1412</v>
      </c>
      <c r="J303" s="136">
        <f>SUM(J294:J302)</f>
        <v>11679.84</v>
      </c>
      <c r="K303" s="136">
        <f>SUM(K294:K302)</f>
        <v>18616</v>
      </c>
      <c r="L303" s="136">
        <f>SUM(L294:L302)</f>
        <v>31707.84</v>
      </c>
      <c r="M303" s="1856"/>
      <c r="N303" s="1790"/>
      <c r="O303" s="534"/>
      <c r="P303" s="534"/>
      <c r="Q303" s="534"/>
      <c r="R303" s="534"/>
      <c r="S303" s="534"/>
      <c r="T303" s="534"/>
      <c r="U303" s="534"/>
    </row>
    <row r="304" spans="1:21" s="1161" customFormat="1" ht="17" thickBot="1">
      <c r="A304" s="108" t="str">
        <f>'Ontario Total'!A304</f>
        <v xml:space="preserve">IEUA High Efficiency Toilet (HET) Installation Prog. </v>
      </c>
      <c r="B304" s="1456"/>
      <c r="C304" s="1586"/>
      <c r="D304" s="1567"/>
      <c r="E304" s="1586"/>
      <c r="F304" s="1484"/>
      <c r="G304" s="1588"/>
      <c r="H304" s="1145"/>
      <c r="I304" s="109"/>
      <c r="J304" s="109"/>
      <c r="K304" s="109"/>
      <c r="L304" s="1141"/>
      <c r="M304" s="1617"/>
      <c r="N304" s="1486"/>
      <c r="O304" s="274"/>
      <c r="P304" s="274"/>
      <c r="Q304" s="274"/>
      <c r="R304" s="274"/>
      <c r="S304" s="274"/>
      <c r="T304" s="274"/>
      <c r="U304" s="274"/>
    </row>
    <row r="305" spans="1:379">
      <c r="A305" s="32" t="str">
        <f>'Ontario Total'!A305</f>
        <v>IEUA Multi-Family Direct Install Prog. (HET)</v>
      </c>
      <c r="B305" s="1421">
        <f>Chino!N189</f>
        <v>0</v>
      </c>
      <c r="C305" s="1422"/>
      <c r="D305" s="1431">
        <f>F305*325851</f>
        <v>0</v>
      </c>
      <c r="E305" s="1422"/>
      <c r="F305" s="1771">
        <f>0.0425*B305</f>
        <v>0</v>
      </c>
      <c r="G305" s="1719"/>
      <c r="H305" s="918">
        <f>F305*20</f>
        <v>0</v>
      </c>
      <c r="I305" s="138">
        <f>73.34*B305</f>
        <v>0</v>
      </c>
      <c r="J305" s="138">
        <f>35.66*B305</f>
        <v>0</v>
      </c>
      <c r="K305" s="138">
        <f>B305*50</f>
        <v>0</v>
      </c>
      <c r="L305" s="139">
        <f>I305+J305+K305</f>
        <v>0</v>
      </c>
      <c r="M305" s="1758">
        <f>IF(ISERROR(L305/(F305*727)),0,L305/(F305*727))</f>
        <v>0</v>
      </c>
      <c r="N305" s="1759"/>
    </row>
    <row r="306" spans="1:379" ht="14" thickBot="1">
      <c r="A306" s="32" t="str">
        <f>'Ontario Total'!A306</f>
        <v>IEUA Single-Family Direct Install Prog. (HET)</v>
      </c>
      <c r="B306" s="1421">
        <f>Chino!N190</f>
        <v>102</v>
      </c>
      <c r="C306" s="1422"/>
      <c r="D306" s="1431">
        <f>F306*325851</f>
        <v>1412564.085</v>
      </c>
      <c r="E306" s="1422"/>
      <c r="F306" s="1771">
        <f>0.0425*B306</f>
        <v>4.335</v>
      </c>
      <c r="G306" s="1719"/>
      <c r="H306" s="892">
        <f>F306*20</f>
        <v>86.7</v>
      </c>
      <c r="I306" s="131">
        <f>73.34*B306</f>
        <v>7480.68</v>
      </c>
      <c r="J306" s="131">
        <f>35.66*B306</f>
        <v>3637.3199999999997</v>
      </c>
      <c r="K306" s="131">
        <f>B306*50</f>
        <v>5100</v>
      </c>
      <c r="L306" s="132">
        <f>I306+J306+K306</f>
        <v>16218</v>
      </c>
      <c r="M306" s="1758">
        <f>IF(ISERROR(L306/(F306*727)),0,L306/(F306*727))</f>
        <v>5.146047414839388</v>
      </c>
      <c r="N306" s="1759"/>
    </row>
    <row r="307" spans="1:379" s="533" customFormat="1" ht="14" thickBot="1">
      <c r="A307" s="53" t="s">
        <v>60</v>
      </c>
      <c r="B307" s="1438">
        <f>SUM(B305:B306)</f>
        <v>102</v>
      </c>
      <c r="C307" s="1609"/>
      <c r="D307" s="1441">
        <f>SUM(D305:D306)</f>
        <v>1412564.085</v>
      </c>
      <c r="E307" s="1609"/>
      <c r="F307" s="1512">
        <f>SUM(F305:F306)</f>
        <v>4.335</v>
      </c>
      <c r="G307" s="1575"/>
      <c r="H307" s="891">
        <f>SUM(H305:H306)</f>
        <v>86.7</v>
      </c>
      <c r="I307" s="136">
        <f>SUM(I305:I306)</f>
        <v>7480.68</v>
      </c>
      <c r="J307" s="143">
        <f>SUM(J305:J306)</f>
        <v>3637.3199999999997</v>
      </c>
      <c r="K307" s="143">
        <f>SUM(K305:K306)</f>
        <v>5100</v>
      </c>
      <c r="L307" s="136">
        <f>SUM(L305:L306)</f>
        <v>16218</v>
      </c>
      <c r="M307" s="1610"/>
      <c r="N307" s="1636"/>
      <c r="O307" s="534"/>
      <c r="P307" s="534"/>
      <c r="Q307" s="534"/>
      <c r="R307" s="534"/>
      <c r="S307" s="534"/>
      <c r="T307" s="534"/>
      <c r="U307" s="534"/>
    </row>
    <row r="308" spans="1:379" s="1161" customFormat="1" ht="17" thickBot="1">
      <c r="A308" s="108" t="str">
        <f>'Ontario Total'!A308</f>
        <v>SoCal Water$mart Commercial Rebates</v>
      </c>
      <c r="B308" s="1456"/>
      <c r="C308" s="1586"/>
      <c r="D308" s="1567"/>
      <c r="E308" s="1586"/>
      <c r="F308" s="1484"/>
      <c r="G308" s="1588"/>
      <c r="H308" s="1157"/>
      <c r="I308" s="109"/>
      <c r="J308" s="109"/>
      <c r="K308" s="109"/>
      <c r="L308" s="1141"/>
      <c r="M308" s="1617"/>
      <c r="N308" s="1486"/>
      <c r="O308" s="274"/>
      <c r="P308" s="274"/>
      <c r="Q308" s="274"/>
      <c r="R308" s="274"/>
      <c r="S308" s="274"/>
      <c r="T308" s="274"/>
      <c r="U308" s="274"/>
    </row>
    <row r="309" spans="1:379" s="121" customFormat="1">
      <c r="A309" s="33" t="str">
        <f>'Ontario Total'!A309</f>
        <v>High Efficiency Toilets (HET)</v>
      </c>
      <c r="B309" s="1435">
        <f>Chino!N193</f>
        <v>1</v>
      </c>
      <c r="C309" s="1433"/>
      <c r="D309" s="1467">
        <f t="shared" ref="D309:D315" si="77">F309*325851</f>
        <v>13848.667500000001</v>
      </c>
      <c r="E309" s="1433"/>
      <c r="F309" s="1771">
        <f>0.0425*B309</f>
        <v>4.2500000000000003E-2</v>
      </c>
      <c r="G309" s="1719"/>
      <c r="H309" s="892">
        <f>F309*20</f>
        <v>0.85000000000000009</v>
      </c>
      <c r="I309" s="133">
        <v>0</v>
      </c>
      <c r="J309" s="133">
        <f>50*B309</f>
        <v>50</v>
      </c>
      <c r="K309" s="133">
        <f>50*B309</f>
        <v>50</v>
      </c>
      <c r="L309" s="134">
        <f t="shared" ref="L309:L316" si="78">SUM(I309:K309)</f>
        <v>100</v>
      </c>
      <c r="M309" s="1748">
        <f>IF(ISERROR(L309/(F309*727)),0,L309/(F309*727))</f>
        <v>3.2365078080750869</v>
      </c>
      <c r="N309" s="1815"/>
    </row>
    <row r="310" spans="1:379">
      <c r="A310" s="32" t="str">
        <f>'Ontario Total'!A310</f>
        <v>Waterless Urinals</v>
      </c>
      <c r="B310" s="1421">
        <f>Chino!N194</f>
        <v>1</v>
      </c>
      <c r="C310" s="1422"/>
      <c r="D310" s="1431">
        <f t="shared" si="77"/>
        <v>39981.917699999998</v>
      </c>
      <c r="E310" s="1422"/>
      <c r="F310" s="1760">
        <f>0.1227*B310</f>
        <v>0.1227</v>
      </c>
      <c r="G310" s="1757"/>
      <c r="H310" s="893">
        <f>F310*20</f>
        <v>2.4540000000000002</v>
      </c>
      <c r="I310" s="133">
        <v>0</v>
      </c>
      <c r="J310" s="131">
        <f>100*B310</f>
        <v>100</v>
      </c>
      <c r="K310" s="131">
        <f>200*B310</f>
        <v>200</v>
      </c>
      <c r="L310" s="132">
        <f t="shared" si="78"/>
        <v>300</v>
      </c>
      <c r="M310" s="1758">
        <f t="shared" ref="M310:M324" si="79">IF(ISERROR(L310/(F310*727)),0,L310/(F310*727))</f>
        <v>3.3631193604692222</v>
      </c>
      <c r="N310" s="1759"/>
    </row>
    <row r="311" spans="1:379">
      <c r="A311" s="32" t="s">
        <v>204</v>
      </c>
      <c r="B311" s="1421">
        <f>Chino!N195</f>
        <v>0</v>
      </c>
      <c r="C311" s="1422"/>
      <c r="D311" s="1431">
        <f t="shared" si="77"/>
        <v>0</v>
      </c>
      <c r="E311" s="1422"/>
      <c r="F311" s="1760">
        <f>0.644*B311</f>
        <v>0</v>
      </c>
      <c r="G311" s="1757"/>
      <c r="H311" s="922">
        <f>F311*5</f>
        <v>0</v>
      </c>
      <c r="I311" s="133">
        <v>0</v>
      </c>
      <c r="J311" s="131">
        <f>43.75*B311</f>
        <v>0</v>
      </c>
      <c r="K311" s="131">
        <f>625*B311</f>
        <v>0</v>
      </c>
      <c r="L311" s="132">
        <f t="shared" si="78"/>
        <v>0</v>
      </c>
      <c r="M311" s="1758">
        <f t="shared" si="79"/>
        <v>0</v>
      </c>
      <c r="N311" s="1759"/>
    </row>
    <row r="312" spans="1:379">
      <c r="A312" s="32" t="str">
        <f>'Ontario Total'!A312</f>
        <v>High Efficiency Clothes Washers</v>
      </c>
      <c r="B312" s="1421">
        <f>Chino!N196</f>
        <v>0</v>
      </c>
      <c r="C312" s="1422"/>
      <c r="D312" s="1431">
        <f t="shared" si="77"/>
        <v>0</v>
      </c>
      <c r="E312" s="1422"/>
      <c r="F312" s="1760">
        <f>0.0276*B312</f>
        <v>0</v>
      </c>
      <c r="G312" s="1757"/>
      <c r="H312" s="922">
        <f>F312*10</f>
        <v>0</v>
      </c>
      <c r="I312" s="133">
        <v>0</v>
      </c>
      <c r="J312" s="131">
        <f>100*B312</f>
        <v>0</v>
      </c>
      <c r="K312" s="131">
        <f>80*B312</f>
        <v>0</v>
      </c>
      <c r="L312" s="132">
        <f t="shared" si="78"/>
        <v>0</v>
      </c>
      <c r="M312" s="1758">
        <f t="shared" si="79"/>
        <v>0</v>
      </c>
      <c r="N312" s="1759"/>
    </row>
    <row r="313" spans="1:379" hidden="1">
      <c r="A313" s="35" t="s">
        <v>47</v>
      </c>
      <c r="B313" s="1421">
        <f>Chino!N197</f>
        <v>0</v>
      </c>
      <c r="C313" s="1422"/>
      <c r="D313" s="1431">
        <f t="shared" si="77"/>
        <v>0</v>
      </c>
      <c r="E313" s="1422"/>
      <c r="F313" s="1760">
        <f>0.1534*B313</f>
        <v>0</v>
      </c>
      <c r="G313" s="1757"/>
      <c r="H313" s="922">
        <f>F313*5</f>
        <v>0</v>
      </c>
      <c r="I313" s="133">
        <v>0</v>
      </c>
      <c r="J313" s="131">
        <f>0*B313</f>
        <v>0</v>
      </c>
      <c r="K313" s="131">
        <f>150*B313</f>
        <v>0</v>
      </c>
      <c r="L313" s="132">
        <f t="shared" si="78"/>
        <v>0</v>
      </c>
      <c r="M313" s="1758">
        <f t="shared" si="79"/>
        <v>0</v>
      </c>
      <c r="N313" s="1759"/>
    </row>
    <row r="314" spans="1:379">
      <c r="A314" s="32" t="str">
        <f>'Ontario Total'!A314</f>
        <v>Weather based Irrigation Controllers (WBIC)</v>
      </c>
      <c r="B314" s="1421">
        <f>Chino!N198</f>
        <v>0</v>
      </c>
      <c r="C314" s="1422"/>
      <c r="D314" s="1431">
        <f t="shared" si="77"/>
        <v>0</v>
      </c>
      <c r="E314" s="1422"/>
      <c r="F314" s="1760">
        <f>0.325*B314</f>
        <v>0</v>
      </c>
      <c r="G314" s="1757"/>
      <c r="H314" s="922">
        <f>F314*10</f>
        <v>0</v>
      </c>
      <c r="I314" s="133">
        <v>0</v>
      </c>
      <c r="J314" s="131">
        <f>120*B314</f>
        <v>0</v>
      </c>
      <c r="K314" s="131">
        <f>200*B314</f>
        <v>0</v>
      </c>
      <c r="L314" s="132">
        <f t="shared" si="78"/>
        <v>0</v>
      </c>
      <c r="M314" s="1758">
        <f t="shared" si="79"/>
        <v>0</v>
      </c>
      <c r="N314" s="1759"/>
    </row>
    <row r="315" spans="1:379" hidden="1">
      <c r="A315" s="76" t="s">
        <v>53</v>
      </c>
      <c r="B315" s="1421">
        <f>Chino!N199</f>
        <v>0</v>
      </c>
      <c r="C315" s="1422"/>
      <c r="D315" s="1431">
        <f t="shared" si="77"/>
        <v>0</v>
      </c>
      <c r="E315" s="1422"/>
      <c r="F315" s="1760">
        <f>0.00014*B315</f>
        <v>0</v>
      </c>
      <c r="G315" s="1757"/>
      <c r="H315" s="922">
        <f>F315*10</f>
        <v>0</v>
      </c>
      <c r="I315" s="133">
        <v>0</v>
      </c>
      <c r="J315" s="131">
        <f>0.45*B315</f>
        <v>0</v>
      </c>
      <c r="K315" s="131">
        <f>0.3*B315</f>
        <v>0</v>
      </c>
      <c r="L315" s="132">
        <f t="shared" si="78"/>
        <v>0</v>
      </c>
      <c r="M315" s="1758">
        <f t="shared" si="79"/>
        <v>0</v>
      </c>
      <c r="N315" s="1759"/>
    </row>
    <row r="316" spans="1:379">
      <c r="A316" s="32" t="str">
        <f>'Ontario Total'!A316</f>
        <v>Rotating Nozzles for Pop-up Spray Heads</v>
      </c>
      <c r="B316" s="1421">
        <f>Chino!N200</f>
        <v>0</v>
      </c>
      <c r="C316" s="1422"/>
      <c r="D316" s="1431">
        <f t="shared" ref="D316:D321" si="80">F316*325851</f>
        <v>0</v>
      </c>
      <c r="E316" s="1422"/>
      <c r="F316" s="1760">
        <f>0.004*B316</f>
        <v>0</v>
      </c>
      <c r="G316" s="1757"/>
      <c r="H316" s="922">
        <f>F316*5</f>
        <v>0</v>
      </c>
      <c r="I316" s="133">
        <v>0</v>
      </c>
      <c r="J316" s="131">
        <f>0*B316</f>
        <v>0</v>
      </c>
      <c r="K316" s="131">
        <f>4*B316</f>
        <v>0</v>
      </c>
      <c r="L316" s="132">
        <f t="shared" si="78"/>
        <v>0</v>
      </c>
      <c r="M316" s="1758">
        <f t="shared" si="79"/>
        <v>0</v>
      </c>
      <c r="N316" s="1759"/>
    </row>
    <row r="317" spans="1:379">
      <c r="A317" s="32" t="str">
        <f>'Ontario Total'!A317</f>
        <v>Large Rotary Nozzles</v>
      </c>
      <c r="B317" s="1421">
        <f>Chino!N201</f>
        <v>0</v>
      </c>
      <c r="C317" s="1422"/>
      <c r="D317" s="1431">
        <f t="shared" si="80"/>
        <v>0</v>
      </c>
      <c r="E317" s="1422"/>
      <c r="F317" s="1760">
        <f>0.018*B317</f>
        <v>0</v>
      </c>
      <c r="G317" s="1757"/>
      <c r="H317" s="922">
        <f>F317*10</f>
        <v>0</v>
      </c>
      <c r="I317" s="133">
        <v>0</v>
      </c>
      <c r="J317" s="131">
        <f>0*B317</f>
        <v>0</v>
      </c>
      <c r="K317" s="131">
        <f>13*B317</f>
        <v>0</v>
      </c>
      <c r="L317" s="132">
        <f>SUM(I317:K317)</f>
        <v>0</v>
      </c>
      <c r="M317" s="1758">
        <f t="shared" si="79"/>
        <v>0</v>
      </c>
      <c r="N317" s="1759"/>
    </row>
    <row r="318" spans="1:379" hidden="1">
      <c r="A318" s="33" t="s">
        <v>102</v>
      </c>
      <c r="B318" s="1421">
        <f>Chino!N202</f>
        <v>0</v>
      </c>
      <c r="C318" s="1422"/>
      <c r="D318" s="1431">
        <f t="shared" si="80"/>
        <v>0</v>
      </c>
      <c r="E318" s="1422"/>
      <c r="F318" s="1760">
        <f>0.018*B318</f>
        <v>0</v>
      </c>
      <c r="G318" s="1757"/>
      <c r="H318" s="922">
        <f>F318*10</f>
        <v>0</v>
      </c>
      <c r="I318" s="133">
        <v>1</v>
      </c>
      <c r="J318" s="131">
        <f>0*B318</f>
        <v>0</v>
      </c>
      <c r="K318" s="131">
        <f>13*B318</f>
        <v>0</v>
      </c>
      <c r="L318" s="132">
        <f>SUM(I318:K318)</f>
        <v>1</v>
      </c>
      <c r="M318" s="1758">
        <f t="shared" si="79"/>
        <v>0</v>
      </c>
      <c r="N318" s="1759"/>
    </row>
    <row r="319" spans="1:379">
      <c r="A319" s="32" t="str">
        <f>'Ontario Total'!A319</f>
        <v xml:space="preserve">Central Computerized Irrigation Controller </v>
      </c>
      <c r="B319" s="1435">
        <f>Chino!N203</f>
        <v>0</v>
      </c>
      <c r="C319" s="1433"/>
      <c r="D319" s="1467">
        <f t="shared" si="80"/>
        <v>0</v>
      </c>
      <c r="E319" s="1433"/>
      <c r="F319" s="1771">
        <f>0.018*B319</f>
        <v>0</v>
      </c>
      <c r="G319" s="1719"/>
      <c r="H319" s="918">
        <f>F319*10</f>
        <v>0</v>
      </c>
      <c r="I319" s="133">
        <v>0</v>
      </c>
      <c r="J319" s="130">
        <v>0</v>
      </c>
      <c r="K319" s="130">
        <v>0</v>
      </c>
      <c r="L319" s="132">
        <f t="shared" ref="L319:L324" si="81">SUM(I319:K319)</f>
        <v>0</v>
      </c>
      <c r="M319" s="1758">
        <f t="shared" si="79"/>
        <v>0</v>
      </c>
      <c r="N319" s="1759"/>
    </row>
    <row r="320" spans="1:379" s="126" customFormat="1">
      <c r="A320" s="144" t="str">
        <f>'Ontario Total'!A320</f>
        <v>Laminar Flow Restrictor</v>
      </c>
      <c r="B320" s="1435">
        <f>Chino!N204</f>
        <v>0</v>
      </c>
      <c r="C320" s="1433"/>
      <c r="D320" s="1467">
        <f t="shared" si="80"/>
        <v>0</v>
      </c>
      <c r="E320" s="1433"/>
      <c r="F320" s="1771">
        <f>0.018*B320</f>
        <v>0</v>
      </c>
      <c r="G320" s="1719"/>
      <c r="H320" s="918">
        <f>F320*10</f>
        <v>0</v>
      </c>
      <c r="I320" s="133">
        <v>0</v>
      </c>
      <c r="J320" s="130">
        <v>0</v>
      </c>
      <c r="K320" s="130">
        <v>0</v>
      </c>
      <c r="L320" s="135">
        <f t="shared" si="81"/>
        <v>0</v>
      </c>
      <c r="M320" s="1859">
        <f t="shared" si="79"/>
        <v>0</v>
      </c>
      <c r="N320" s="1860"/>
      <c r="O320" s="121"/>
      <c r="P320" s="121"/>
      <c r="Q320" s="121"/>
      <c r="R320" s="121"/>
      <c r="S320" s="121"/>
      <c r="T320" s="121"/>
      <c r="U320" s="121"/>
      <c r="V320" s="57"/>
      <c r="W320" s="57"/>
      <c r="X320" s="57"/>
      <c r="Y320" s="57"/>
      <c r="Z320" s="57"/>
      <c r="AA320" s="57"/>
      <c r="AB320" s="57"/>
      <c r="AC320" s="57"/>
      <c r="AD320" s="57"/>
      <c r="AE320" s="57"/>
      <c r="AF320" s="57"/>
      <c r="AG320" s="57"/>
      <c r="AH320" s="57"/>
      <c r="AI320" s="57"/>
      <c r="AJ320" s="57"/>
      <c r="AK320" s="57"/>
      <c r="AL320" s="57"/>
      <c r="AM320" s="57"/>
      <c r="AN320" s="57"/>
      <c r="AO320" s="57"/>
      <c r="AP320" s="57"/>
      <c r="AQ320" s="57"/>
      <c r="AR320" s="57"/>
      <c r="AS320" s="57"/>
      <c r="AT320" s="57"/>
      <c r="AU320" s="57"/>
      <c r="AV320" s="57"/>
      <c r="AW320" s="57"/>
      <c r="AX320" s="57"/>
      <c r="AY320" s="57"/>
      <c r="AZ320" s="57"/>
      <c r="BA320" s="57"/>
      <c r="BB320" s="57"/>
      <c r="BC320" s="57"/>
      <c r="BD320" s="57"/>
      <c r="BE320" s="57"/>
      <c r="BF320" s="57"/>
      <c r="BG320" s="57"/>
      <c r="BH320" s="57"/>
      <c r="BI320" s="57"/>
      <c r="BJ320" s="57"/>
      <c r="BK320" s="57"/>
      <c r="BL320" s="57"/>
      <c r="BM320" s="57"/>
      <c r="BN320" s="57"/>
      <c r="BO320" s="57"/>
      <c r="BP320" s="57"/>
      <c r="BQ320" s="57"/>
      <c r="BR320" s="57"/>
      <c r="BS320" s="57"/>
      <c r="BT320" s="57"/>
      <c r="BU320" s="57"/>
      <c r="BV320" s="57"/>
      <c r="BW320" s="57"/>
      <c r="BX320" s="57"/>
      <c r="BY320" s="57"/>
      <c r="BZ320" s="57"/>
      <c r="CA320" s="57"/>
      <c r="CB320" s="57"/>
      <c r="CC320" s="57"/>
      <c r="CD320" s="57"/>
      <c r="CE320" s="57"/>
      <c r="CF320" s="57"/>
      <c r="CG320" s="57"/>
      <c r="CH320" s="57"/>
      <c r="CI320" s="57"/>
      <c r="CJ320" s="57"/>
      <c r="CK320" s="57"/>
      <c r="CL320" s="57"/>
      <c r="CM320" s="57"/>
      <c r="CN320" s="57"/>
      <c r="CO320" s="57"/>
      <c r="CP320" s="57"/>
      <c r="CQ320" s="57"/>
      <c r="CR320" s="57"/>
      <c r="CS320" s="57"/>
      <c r="CT320" s="57"/>
      <c r="CU320" s="57"/>
      <c r="CV320" s="57"/>
      <c r="CW320" s="57"/>
      <c r="CX320" s="57"/>
      <c r="CY320" s="57"/>
      <c r="CZ320" s="57"/>
      <c r="DA320" s="57"/>
      <c r="DB320" s="57"/>
      <c r="DC320" s="57"/>
      <c r="DD320" s="57"/>
      <c r="DE320" s="57"/>
      <c r="DF320" s="57"/>
      <c r="DG320" s="57"/>
      <c r="DH320" s="57"/>
      <c r="DI320" s="57"/>
      <c r="DJ320" s="57"/>
      <c r="DK320" s="57"/>
      <c r="DL320" s="57"/>
      <c r="DM320" s="57"/>
      <c r="DN320" s="57"/>
      <c r="DO320" s="57"/>
      <c r="DP320" s="57"/>
      <c r="DQ320" s="57"/>
      <c r="DR320" s="57"/>
      <c r="DS320" s="57"/>
      <c r="DT320" s="57"/>
      <c r="DU320" s="57"/>
      <c r="DV320" s="57"/>
      <c r="DW320" s="57"/>
      <c r="DX320" s="57"/>
      <c r="DY320" s="57"/>
      <c r="DZ320" s="57"/>
      <c r="EA320" s="57"/>
      <c r="EB320" s="57"/>
      <c r="EC320" s="57"/>
      <c r="ED320" s="57"/>
      <c r="EE320" s="57"/>
      <c r="EF320" s="57"/>
      <c r="EG320" s="57"/>
      <c r="EH320" s="57"/>
      <c r="EI320" s="57"/>
      <c r="EJ320" s="57"/>
      <c r="EK320" s="57"/>
      <c r="EL320" s="57"/>
      <c r="EM320" s="57"/>
      <c r="EN320" s="57"/>
      <c r="EO320" s="57"/>
      <c r="EP320" s="57"/>
      <c r="EQ320" s="57"/>
      <c r="ER320" s="57"/>
      <c r="ES320" s="57"/>
      <c r="ET320" s="57"/>
      <c r="EU320" s="57"/>
      <c r="EV320" s="57"/>
      <c r="EW320" s="57"/>
      <c r="EX320" s="57"/>
      <c r="EY320" s="57"/>
      <c r="EZ320" s="57"/>
      <c r="FA320" s="57"/>
      <c r="FB320" s="57"/>
      <c r="FC320" s="57"/>
      <c r="FD320" s="57"/>
      <c r="FE320" s="57"/>
      <c r="FF320" s="57"/>
      <c r="FG320" s="57"/>
      <c r="FH320" s="57"/>
      <c r="FI320" s="57"/>
      <c r="FJ320" s="57"/>
      <c r="FK320" s="57"/>
      <c r="FL320" s="57"/>
      <c r="FM320" s="57"/>
      <c r="FN320" s="57"/>
      <c r="FO320" s="57"/>
      <c r="FP320" s="57"/>
      <c r="FQ320" s="57"/>
      <c r="FR320" s="57"/>
      <c r="FS320" s="57"/>
      <c r="FT320" s="57"/>
      <c r="FU320" s="57"/>
      <c r="FV320" s="57"/>
      <c r="FW320" s="57"/>
      <c r="FX320" s="57"/>
      <c r="FY320" s="57"/>
      <c r="FZ320" s="57"/>
      <c r="GA320" s="57"/>
      <c r="GB320" s="57"/>
      <c r="GC320" s="57"/>
      <c r="GD320" s="57"/>
      <c r="GE320" s="57"/>
      <c r="GF320" s="57"/>
      <c r="GG320" s="57"/>
      <c r="GH320" s="57"/>
      <c r="GI320" s="57"/>
      <c r="GJ320" s="57"/>
      <c r="GK320" s="57"/>
      <c r="GL320" s="57"/>
      <c r="GM320" s="57"/>
      <c r="GN320" s="57"/>
      <c r="GO320" s="57"/>
      <c r="GP320" s="57"/>
      <c r="GQ320" s="57"/>
      <c r="GR320" s="57"/>
      <c r="GS320" s="57"/>
      <c r="GT320" s="57"/>
      <c r="GU320" s="57"/>
      <c r="GV320" s="57"/>
      <c r="GW320" s="57"/>
      <c r="GX320" s="57"/>
      <c r="GY320" s="57"/>
      <c r="GZ320" s="57"/>
      <c r="HA320" s="57"/>
      <c r="HB320" s="57"/>
      <c r="HC320" s="57"/>
      <c r="HD320" s="57"/>
      <c r="HE320" s="57"/>
      <c r="HF320" s="57"/>
      <c r="HG320" s="57"/>
      <c r="HH320" s="57"/>
      <c r="HI320" s="57"/>
      <c r="HJ320" s="57"/>
      <c r="HK320" s="57"/>
      <c r="HL320" s="57"/>
      <c r="HM320" s="57"/>
      <c r="HN320" s="57"/>
      <c r="HO320" s="57"/>
      <c r="HP320" s="57"/>
      <c r="HQ320" s="57"/>
      <c r="HR320" s="57"/>
      <c r="HS320" s="57"/>
      <c r="HT320" s="57"/>
      <c r="HU320" s="57"/>
      <c r="HV320" s="57"/>
      <c r="HW320" s="57"/>
      <c r="HX320" s="57"/>
      <c r="HY320" s="57"/>
      <c r="HZ320" s="57"/>
      <c r="IA320" s="57"/>
      <c r="IB320" s="57"/>
      <c r="IC320" s="57"/>
      <c r="ID320" s="57"/>
      <c r="IE320" s="57"/>
      <c r="IF320" s="57"/>
      <c r="IG320" s="57"/>
      <c r="IH320" s="57"/>
      <c r="II320" s="57"/>
      <c r="IJ320" s="57"/>
      <c r="IK320" s="57"/>
      <c r="IL320" s="57"/>
      <c r="IM320" s="57"/>
      <c r="IN320" s="57"/>
      <c r="IO320" s="57"/>
      <c r="IP320" s="57"/>
      <c r="IQ320" s="57"/>
      <c r="IR320" s="57"/>
      <c r="IS320" s="57"/>
      <c r="IT320" s="57"/>
      <c r="IU320" s="57"/>
      <c r="IV320" s="57"/>
      <c r="IW320" s="57"/>
      <c r="IX320" s="57"/>
      <c r="IY320" s="57"/>
      <c r="IZ320" s="57"/>
      <c r="JA320" s="57"/>
      <c r="JB320" s="57"/>
      <c r="JC320" s="57"/>
      <c r="JD320" s="57"/>
      <c r="JE320" s="57"/>
      <c r="JF320" s="57"/>
      <c r="JG320" s="57"/>
      <c r="JH320" s="57"/>
      <c r="JI320" s="57"/>
      <c r="JJ320" s="57"/>
      <c r="JK320" s="57"/>
      <c r="JL320" s="57"/>
      <c r="JM320" s="57"/>
      <c r="JN320" s="57"/>
      <c r="JO320" s="57"/>
      <c r="JP320" s="57"/>
      <c r="JQ320" s="57"/>
      <c r="JR320" s="57"/>
      <c r="JS320" s="57"/>
      <c r="JT320" s="57"/>
      <c r="JU320" s="57"/>
      <c r="JV320" s="57"/>
      <c r="JW320" s="57"/>
      <c r="JX320" s="57"/>
      <c r="JY320" s="57"/>
      <c r="JZ320" s="57"/>
      <c r="KA320" s="57"/>
      <c r="KB320" s="57"/>
      <c r="KC320" s="57"/>
      <c r="KD320" s="57"/>
      <c r="KE320" s="57"/>
      <c r="KF320" s="57"/>
      <c r="KG320" s="57"/>
      <c r="KH320" s="57"/>
      <c r="KI320" s="57"/>
      <c r="KJ320" s="57"/>
      <c r="KK320" s="57"/>
      <c r="KL320" s="57"/>
      <c r="KM320" s="57"/>
      <c r="KN320" s="57"/>
      <c r="KO320" s="57"/>
      <c r="KP320" s="57"/>
      <c r="KQ320" s="57"/>
      <c r="KR320" s="57"/>
      <c r="KS320" s="57"/>
      <c r="KT320" s="57"/>
      <c r="KU320" s="57"/>
      <c r="KV320" s="57"/>
      <c r="KW320" s="57"/>
      <c r="KX320" s="57"/>
      <c r="KY320" s="57"/>
      <c r="KZ320" s="57"/>
      <c r="LA320" s="57"/>
      <c r="LB320" s="57"/>
      <c r="LC320" s="57"/>
      <c r="LD320" s="57"/>
      <c r="LE320" s="57"/>
      <c r="LF320" s="57"/>
      <c r="LG320" s="57"/>
      <c r="LH320" s="57"/>
      <c r="LI320" s="57"/>
      <c r="LJ320" s="57"/>
      <c r="LK320" s="57"/>
      <c r="LL320" s="57"/>
      <c r="LM320" s="57"/>
      <c r="LN320" s="57"/>
      <c r="LO320" s="57"/>
      <c r="LP320" s="57"/>
      <c r="LQ320" s="57"/>
      <c r="LR320" s="57"/>
      <c r="LS320" s="57"/>
      <c r="LT320" s="57"/>
      <c r="LU320" s="57"/>
      <c r="LV320" s="57"/>
      <c r="LW320" s="57"/>
      <c r="LX320" s="57"/>
      <c r="LY320" s="57"/>
      <c r="LZ320" s="57"/>
      <c r="MA320" s="57"/>
      <c r="MB320" s="57"/>
      <c r="MC320" s="57"/>
      <c r="MD320" s="57"/>
      <c r="ME320" s="57"/>
      <c r="MF320" s="57"/>
      <c r="MG320" s="57"/>
      <c r="MH320" s="57"/>
      <c r="MI320" s="57"/>
      <c r="MJ320" s="57"/>
      <c r="MK320" s="57"/>
      <c r="ML320" s="57"/>
      <c r="MM320" s="57"/>
      <c r="MN320" s="57"/>
      <c r="MO320" s="57"/>
      <c r="MP320" s="57"/>
      <c r="MQ320" s="57"/>
      <c r="MR320" s="57"/>
      <c r="MS320" s="57"/>
      <c r="MT320" s="57"/>
      <c r="MU320" s="57"/>
      <c r="MV320" s="57"/>
      <c r="MW320" s="57"/>
      <c r="MX320" s="57"/>
      <c r="MY320" s="57"/>
      <c r="MZ320" s="57"/>
      <c r="NA320" s="57"/>
      <c r="NB320" s="57"/>
      <c r="NC320" s="57"/>
      <c r="ND320" s="57"/>
      <c r="NE320" s="57"/>
      <c r="NF320" s="57"/>
      <c r="NG320" s="57"/>
      <c r="NH320" s="57"/>
      <c r="NI320" s="57"/>
      <c r="NJ320" s="57"/>
      <c r="NK320" s="57"/>
      <c r="NL320" s="57"/>
      <c r="NM320" s="57"/>
      <c r="NN320" s="57"/>
      <c r="NO320" s="57"/>
    </row>
    <row r="321" spans="1:379" s="126" customFormat="1" ht="14" thickBot="1">
      <c r="A321" s="144" t="str">
        <f>'Ontario Total'!A321</f>
        <v>Air-Cooled Ice Machine</v>
      </c>
      <c r="B321" s="1435">
        <f>Chino!N205</f>
        <v>0</v>
      </c>
      <c r="C321" s="1433"/>
      <c r="D321" s="1467">
        <f t="shared" si="80"/>
        <v>0</v>
      </c>
      <c r="E321" s="1433"/>
      <c r="F321" s="1771">
        <f>0.018*B321</f>
        <v>0</v>
      </c>
      <c r="G321" s="1719"/>
      <c r="H321" s="918">
        <f>F321*10</f>
        <v>0</v>
      </c>
      <c r="I321" s="133">
        <v>0</v>
      </c>
      <c r="J321" s="130">
        <v>0</v>
      </c>
      <c r="K321" s="130">
        <v>0</v>
      </c>
      <c r="L321" s="135">
        <f t="shared" si="81"/>
        <v>0</v>
      </c>
      <c r="M321" s="1859">
        <f t="shared" si="79"/>
        <v>0</v>
      </c>
      <c r="N321" s="1860"/>
      <c r="O321" s="121"/>
      <c r="P321" s="121"/>
      <c r="Q321" s="121"/>
      <c r="R321" s="121"/>
      <c r="S321" s="121"/>
      <c r="T321" s="121"/>
      <c r="U321" s="121"/>
      <c r="V321" s="57"/>
      <c r="W321" s="57"/>
      <c r="X321" s="57"/>
      <c r="Y321" s="57"/>
      <c r="Z321" s="57"/>
      <c r="AA321" s="57"/>
      <c r="AB321" s="57"/>
      <c r="AC321" s="57"/>
      <c r="AD321" s="57"/>
      <c r="AE321" s="57"/>
      <c r="AF321" s="57"/>
      <c r="AG321" s="57"/>
      <c r="AH321" s="57"/>
      <c r="AI321" s="57"/>
      <c r="AJ321" s="57"/>
      <c r="AK321" s="57"/>
      <c r="AL321" s="57"/>
      <c r="AM321" s="57"/>
      <c r="AN321" s="57"/>
      <c r="AO321" s="57"/>
      <c r="AP321" s="57"/>
      <c r="AQ321" s="57"/>
      <c r="AR321" s="57"/>
      <c r="AS321" s="57"/>
      <c r="AT321" s="57"/>
      <c r="AU321" s="57"/>
      <c r="AV321" s="57"/>
      <c r="AW321" s="57"/>
      <c r="AX321" s="57"/>
      <c r="AY321" s="57"/>
      <c r="AZ321" s="57"/>
      <c r="BA321" s="57"/>
      <c r="BB321" s="57"/>
      <c r="BC321" s="57"/>
      <c r="BD321" s="57"/>
      <c r="BE321" s="57"/>
      <c r="BF321" s="57"/>
      <c r="BG321" s="57"/>
      <c r="BH321" s="57"/>
      <c r="BI321" s="57"/>
      <c r="BJ321" s="57"/>
      <c r="BK321" s="57"/>
      <c r="BL321" s="57"/>
      <c r="BM321" s="57"/>
      <c r="BN321" s="57"/>
      <c r="BO321" s="57"/>
      <c r="BP321" s="57"/>
      <c r="BQ321" s="57"/>
      <c r="BR321" s="57"/>
      <c r="BS321" s="57"/>
      <c r="BT321" s="57"/>
      <c r="BU321" s="57"/>
      <c r="BV321" s="57"/>
      <c r="BW321" s="57"/>
      <c r="BX321" s="57"/>
      <c r="BY321" s="57"/>
      <c r="BZ321" s="57"/>
      <c r="CA321" s="57"/>
      <c r="CB321" s="57"/>
      <c r="CC321" s="57"/>
      <c r="CD321" s="57"/>
      <c r="CE321" s="57"/>
      <c r="CF321" s="57"/>
      <c r="CG321" s="57"/>
      <c r="CH321" s="57"/>
      <c r="CI321" s="57"/>
      <c r="CJ321" s="57"/>
      <c r="CK321" s="57"/>
      <c r="CL321" s="57"/>
      <c r="CM321" s="57"/>
      <c r="CN321" s="57"/>
      <c r="CO321" s="57"/>
      <c r="CP321" s="57"/>
      <c r="CQ321" s="57"/>
      <c r="CR321" s="57"/>
      <c r="CS321" s="57"/>
      <c r="CT321" s="57"/>
      <c r="CU321" s="57"/>
      <c r="CV321" s="57"/>
      <c r="CW321" s="57"/>
      <c r="CX321" s="57"/>
      <c r="CY321" s="57"/>
      <c r="CZ321" s="57"/>
      <c r="DA321" s="57"/>
      <c r="DB321" s="57"/>
      <c r="DC321" s="57"/>
      <c r="DD321" s="57"/>
      <c r="DE321" s="57"/>
      <c r="DF321" s="57"/>
      <c r="DG321" s="57"/>
      <c r="DH321" s="57"/>
      <c r="DI321" s="57"/>
      <c r="DJ321" s="57"/>
      <c r="DK321" s="57"/>
      <c r="DL321" s="57"/>
      <c r="DM321" s="57"/>
      <c r="DN321" s="57"/>
      <c r="DO321" s="57"/>
      <c r="DP321" s="57"/>
      <c r="DQ321" s="57"/>
      <c r="DR321" s="57"/>
      <c r="DS321" s="57"/>
      <c r="DT321" s="57"/>
      <c r="DU321" s="57"/>
      <c r="DV321" s="57"/>
      <c r="DW321" s="57"/>
      <c r="DX321" s="57"/>
      <c r="DY321" s="57"/>
      <c r="DZ321" s="57"/>
      <c r="EA321" s="57"/>
      <c r="EB321" s="57"/>
      <c r="EC321" s="57"/>
      <c r="ED321" s="57"/>
      <c r="EE321" s="57"/>
      <c r="EF321" s="57"/>
      <c r="EG321" s="57"/>
      <c r="EH321" s="57"/>
      <c r="EI321" s="57"/>
      <c r="EJ321" s="57"/>
      <c r="EK321" s="57"/>
      <c r="EL321" s="57"/>
      <c r="EM321" s="57"/>
      <c r="EN321" s="57"/>
      <c r="EO321" s="57"/>
      <c r="EP321" s="57"/>
      <c r="EQ321" s="57"/>
      <c r="ER321" s="57"/>
      <c r="ES321" s="57"/>
      <c r="ET321" s="57"/>
      <c r="EU321" s="57"/>
      <c r="EV321" s="57"/>
      <c r="EW321" s="57"/>
      <c r="EX321" s="57"/>
      <c r="EY321" s="57"/>
      <c r="EZ321" s="57"/>
      <c r="FA321" s="57"/>
      <c r="FB321" s="57"/>
      <c r="FC321" s="57"/>
      <c r="FD321" s="57"/>
      <c r="FE321" s="57"/>
      <c r="FF321" s="57"/>
      <c r="FG321" s="57"/>
      <c r="FH321" s="57"/>
      <c r="FI321" s="57"/>
      <c r="FJ321" s="57"/>
      <c r="FK321" s="57"/>
      <c r="FL321" s="57"/>
      <c r="FM321" s="57"/>
      <c r="FN321" s="57"/>
      <c r="FO321" s="57"/>
      <c r="FP321" s="57"/>
      <c r="FQ321" s="57"/>
      <c r="FR321" s="57"/>
      <c r="FS321" s="57"/>
      <c r="FT321" s="57"/>
      <c r="FU321" s="57"/>
      <c r="FV321" s="57"/>
      <c r="FW321" s="57"/>
      <c r="FX321" s="57"/>
      <c r="FY321" s="57"/>
      <c r="FZ321" s="57"/>
      <c r="GA321" s="57"/>
      <c r="GB321" s="57"/>
      <c r="GC321" s="57"/>
      <c r="GD321" s="57"/>
      <c r="GE321" s="57"/>
      <c r="GF321" s="57"/>
      <c r="GG321" s="57"/>
      <c r="GH321" s="57"/>
      <c r="GI321" s="57"/>
      <c r="GJ321" s="57"/>
      <c r="GK321" s="57"/>
      <c r="GL321" s="57"/>
      <c r="GM321" s="57"/>
      <c r="GN321" s="57"/>
      <c r="GO321" s="57"/>
      <c r="GP321" s="57"/>
      <c r="GQ321" s="57"/>
      <c r="GR321" s="57"/>
      <c r="GS321" s="57"/>
      <c r="GT321" s="57"/>
      <c r="GU321" s="57"/>
      <c r="GV321" s="57"/>
      <c r="GW321" s="57"/>
      <c r="GX321" s="57"/>
      <c r="GY321" s="57"/>
      <c r="GZ321" s="57"/>
      <c r="HA321" s="57"/>
      <c r="HB321" s="57"/>
      <c r="HC321" s="57"/>
      <c r="HD321" s="57"/>
      <c r="HE321" s="57"/>
      <c r="HF321" s="57"/>
      <c r="HG321" s="57"/>
      <c r="HH321" s="57"/>
      <c r="HI321" s="57"/>
      <c r="HJ321" s="57"/>
      <c r="HK321" s="57"/>
      <c r="HL321" s="57"/>
      <c r="HM321" s="57"/>
      <c r="HN321" s="57"/>
      <c r="HO321" s="57"/>
      <c r="HP321" s="57"/>
      <c r="HQ321" s="57"/>
      <c r="HR321" s="57"/>
      <c r="HS321" s="57"/>
      <c r="HT321" s="57"/>
      <c r="HU321" s="57"/>
      <c r="HV321" s="57"/>
      <c r="HW321" s="57"/>
      <c r="HX321" s="57"/>
      <c r="HY321" s="57"/>
      <c r="HZ321" s="57"/>
      <c r="IA321" s="57"/>
      <c r="IB321" s="57"/>
      <c r="IC321" s="57"/>
      <c r="ID321" s="57"/>
      <c r="IE321" s="57"/>
      <c r="IF321" s="57"/>
      <c r="IG321" s="57"/>
      <c r="IH321" s="57"/>
      <c r="II321" s="57"/>
      <c r="IJ321" s="57"/>
      <c r="IK321" s="57"/>
      <c r="IL321" s="57"/>
      <c r="IM321" s="57"/>
      <c r="IN321" s="57"/>
      <c r="IO321" s="57"/>
      <c r="IP321" s="57"/>
      <c r="IQ321" s="57"/>
      <c r="IR321" s="57"/>
      <c r="IS321" s="57"/>
      <c r="IT321" s="57"/>
      <c r="IU321" s="57"/>
      <c r="IV321" s="57"/>
      <c r="IW321" s="57"/>
      <c r="IX321" s="57"/>
      <c r="IY321" s="57"/>
      <c r="IZ321" s="57"/>
      <c r="JA321" s="57"/>
      <c r="JB321" s="57"/>
      <c r="JC321" s="57"/>
      <c r="JD321" s="57"/>
      <c r="JE321" s="57"/>
      <c r="JF321" s="57"/>
      <c r="JG321" s="57"/>
      <c r="JH321" s="57"/>
      <c r="JI321" s="57"/>
      <c r="JJ321" s="57"/>
      <c r="JK321" s="57"/>
      <c r="JL321" s="57"/>
      <c r="JM321" s="57"/>
      <c r="JN321" s="57"/>
      <c r="JO321" s="57"/>
      <c r="JP321" s="57"/>
      <c r="JQ321" s="57"/>
      <c r="JR321" s="57"/>
      <c r="JS321" s="57"/>
      <c r="JT321" s="57"/>
      <c r="JU321" s="57"/>
      <c r="JV321" s="57"/>
      <c r="JW321" s="57"/>
      <c r="JX321" s="57"/>
      <c r="JY321" s="57"/>
      <c r="JZ321" s="57"/>
      <c r="KA321" s="57"/>
      <c r="KB321" s="57"/>
      <c r="KC321" s="57"/>
      <c r="KD321" s="57"/>
      <c r="KE321" s="57"/>
      <c r="KF321" s="57"/>
      <c r="KG321" s="57"/>
      <c r="KH321" s="57"/>
      <c r="KI321" s="57"/>
      <c r="KJ321" s="57"/>
      <c r="KK321" s="57"/>
      <c r="KL321" s="57"/>
      <c r="KM321" s="57"/>
      <c r="KN321" s="57"/>
      <c r="KO321" s="57"/>
      <c r="KP321" s="57"/>
      <c r="KQ321" s="57"/>
      <c r="KR321" s="57"/>
      <c r="KS321" s="57"/>
      <c r="KT321" s="57"/>
      <c r="KU321" s="57"/>
      <c r="KV321" s="57"/>
      <c r="KW321" s="57"/>
      <c r="KX321" s="57"/>
      <c r="KY321" s="57"/>
      <c r="KZ321" s="57"/>
      <c r="LA321" s="57"/>
      <c r="LB321" s="57"/>
      <c r="LC321" s="57"/>
      <c r="LD321" s="57"/>
      <c r="LE321" s="57"/>
      <c r="LF321" s="57"/>
      <c r="LG321" s="57"/>
      <c r="LH321" s="57"/>
      <c r="LI321" s="57"/>
      <c r="LJ321" s="57"/>
      <c r="LK321" s="57"/>
      <c r="LL321" s="57"/>
      <c r="LM321" s="57"/>
      <c r="LN321" s="57"/>
      <c r="LO321" s="57"/>
      <c r="LP321" s="57"/>
      <c r="LQ321" s="57"/>
      <c r="LR321" s="57"/>
      <c r="LS321" s="57"/>
      <c r="LT321" s="57"/>
      <c r="LU321" s="57"/>
      <c r="LV321" s="57"/>
      <c r="LW321" s="57"/>
      <c r="LX321" s="57"/>
      <c r="LY321" s="57"/>
      <c r="LZ321" s="57"/>
      <c r="MA321" s="57"/>
      <c r="MB321" s="57"/>
      <c r="MC321" s="57"/>
      <c r="MD321" s="57"/>
      <c r="ME321" s="57"/>
      <c r="MF321" s="57"/>
      <c r="MG321" s="57"/>
      <c r="MH321" s="57"/>
      <c r="MI321" s="57"/>
      <c r="MJ321" s="57"/>
      <c r="MK321" s="57"/>
      <c r="ML321" s="57"/>
      <c r="MM321" s="57"/>
      <c r="MN321" s="57"/>
      <c r="MO321" s="57"/>
      <c r="MP321" s="57"/>
      <c r="MQ321" s="57"/>
      <c r="MR321" s="57"/>
      <c r="MS321" s="57"/>
      <c r="MT321" s="57"/>
      <c r="MU321" s="57"/>
      <c r="MV321" s="57"/>
      <c r="MW321" s="57"/>
      <c r="MX321" s="57"/>
      <c r="MY321" s="57"/>
      <c r="MZ321" s="57"/>
      <c r="NA321" s="57"/>
      <c r="NB321" s="57"/>
      <c r="NC321" s="57"/>
      <c r="ND321" s="57"/>
      <c r="NE321" s="57"/>
      <c r="NF321" s="57"/>
      <c r="NG321" s="57"/>
      <c r="NH321" s="57"/>
      <c r="NI321" s="57"/>
      <c r="NJ321" s="57"/>
      <c r="NK321" s="57"/>
      <c r="NL321" s="57"/>
      <c r="NM321" s="57"/>
      <c r="NN321" s="57"/>
      <c r="NO321" s="57"/>
    </row>
    <row r="322" spans="1:379" s="1161" customFormat="1" ht="17" thickBot="1">
      <c r="A322" s="108" t="str">
        <f>'Ontario Total'!A322</f>
        <v>IEUA Locally Implemented Commercial Programs</v>
      </c>
      <c r="B322" s="1456"/>
      <c r="C322" s="1586"/>
      <c r="D322" s="1567"/>
      <c r="E322" s="1586"/>
      <c r="F322" s="1854"/>
      <c r="G322" s="1620"/>
      <c r="H322" s="1157"/>
      <c r="I322" s="161"/>
      <c r="J322" s="109"/>
      <c r="K322" s="109"/>
      <c r="L322" s="1141"/>
      <c r="M322" s="1617"/>
      <c r="N322" s="1486"/>
      <c r="O322" s="274"/>
      <c r="P322" s="274"/>
      <c r="Q322" s="274"/>
      <c r="R322" s="274"/>
      <c r="S322" s="274"/>
      <c r="T322" s="274"/>
      <c r="U322" s="274"/>
    </row>
    <row r="323" spans="1:379">
      <c r="A323" s="32" t="str">
        <f>'Ontario Total'!A323</f>
        <v>Fontana Unified School Retrofit Program</v>
      </c>
      <c r="B323" s="1421">
        <f>Chino!N207</f>
        <v>0</v>
      </c>
      <c r="C323" s="1422"/>
      <c r="D323" s="1431">
        <f>F323*325851</f>
        <v>0</v>
      </c>
      <c r="E323" s="1422"/>
      <c r="F323" s="1760">
        <f>0.018*B323</f>
        <v>0</v>
      </c>
      <c r="G323" s="1757"/>
      <c r="H323" s="922">
        <f>F323*10</f>
        <v>0</v>
      </c>
      <c r="I323" s="149">
        <v>0</v>
      </c>
      <c r="J323" s="130">
        <v>0</v>
      </c>
      <c r="K323" s="130">
        <v>0</v>
      </c>
      <c r="L323" s="132">
        <f t="shared" si="81"/>
        <v>0</v>
      </c>
      <c r="M323" s="1758">
        <f t="shared" si="79"/>
        <v>0</v>
      </c>
      <c r="N323" s="1759"/>
    </row>
    <row r="324" spans="1:379" ht="14" thickBot="1">
      <c r="A324" s="32" t="s">
        <v>165</v>
      </c>
      <c r="B324" s="1421">
        <f>Chino!N208</f>
        <v>3340</v>
      </c>
      <c r="C324" s="1422"/>
      <c r="D324" s="1431">
        <f>F324*325851</f>
        <v>4353369.3599999994</v>
      </c>
      <c r="E324" s="1422"/>
      <c r="F324" s="1727">
        <f>0.004*B324</f>
        <v>13.36</v>
      </c>
      <c r="G324" s="1721"/>
      <c r="H324" s="919">
        <f>F324*5</f>
        <v>66.8</v>
      </c>
      <c r="I324" s="130">
        <v>0</v>
      </c>
      <c r="J324" s="130">
        <f>0*B324</f>
        <v>0</v>
      </c>
      <c r="K324" s="130">
        <f>3*B324</f>
        <v>10020</v>
      </c>
      <c r="L324" s="132">
        <f t="shared" si="81"/>
        <v>10020</v>
      </c>
      <c r="M324" s="1758">
        <f t="shared" si="79"/>
        <v>1.0316368638239339</v>
      </c>
      <c r="N324" s="1759"/>
    </row>
    <row r="325" spans="1:379" s="533" customFormat="1" ht="14" thickBot="1">
      <c r="A325" s="53" t="s">
        <v>60</v>
      </c>
      <c r="B325" s="1438">
        <f>SUM(B309:C324)</f>
        <v>3342</v>
      </c>
      <c r="C325" s="1609"/>
      <c r="D325" s="1441">
        <f>SUM(D309:E324)</f>
        <v>4407199.945199999</v>
      </c>
      <c r="E325" s="1609"/>
      <c r="F325" s="1512">
        <f>SUM(F309:G324)</f>
        <v>13.5252</v>
      </c>
      <c r="G325" s="1575"/>
      <c r="H325" s="793">
        <f>SUM(H309:H324)</f>
        <v>70.103999999999999</v>
      </c>
      <c r="I325" s="912">
        <f>SUM(I309:I324)</f>
        <v>1</v>
      </c>
      <c r="J325" s="136">
        <f>SUM(J309:J324)</f>
        <v>150</v>
      </c>
      <c r="K325" s="136">
        <f>SUM(K309:K324)</f>
        <v>10270</v>
      </c>
      <c r="L325" s="136">
        <f>SUM(L309:L324)</f>
        <v>10421</v>
      </c>
      <c r="M325" s="1610"/>
      <c r="N325" s="1611"/>
      <c r="O325" s="534"/>
      <c r="P325" s="534"/>
      <c r="Q325" s="534"/>
      <c r="R325" s="534"/>
      <c r="S325" s="534"/>
      <c r="T325" s="534"/>
      <c r="U325" s="534"/>
    </row>
    <row r="326" spans="1:379" s="1168" customFormat="1" ht="17" thickBot="1">
      <c r="A326" s="1163" t="s">
        <v>17</v>
      </c>
      <c r="B326" s="1414">
        <f>SUM(B303+B307+B325)</f>
        <v>4308</v>
      </c>
      <c r="C326" s="1415"/>
      <c r="D326" s="1612">
        <f>SUM(D303+D307+D325)</f>
        <v>8331745.7488999991</v>
      </c>
      <c r="E326" s="1415"/>
      <c r="F326" s="1613">
        <f>SUM(F303+F307+F325)</f>
        <v>25.568620000000003</v>
      </c>
      <c r="G326" s="1488"/>
      <c r="H326" s="1201">
        <f>SUM(,H303,H307,H325)</f>
        <v>234.23919999999998</v>
      </c>
      <c r="I326" s="1169">
        <f>SUM(I303+I307+I325)</f>
        <v>8893.68</v>
      </c>
      <c r="J326" s="1169">
        <f>SUM(J303+J307+J325)</f>
        <v>15467.16</v>
      </c>
      <c r="K326" s="1169">
        <f>SUM(K303+K307+K325)</f>
        <v>33986</v>
      </c>
      <c r="L326" s="1169">
        <f>SUM(L303+L307+L325)</f>
        <v>58346.84</v>
      </c>
      <c r="M326" s="1631"/>
      <c r="N326" s="1640"/>
      <c r="O326" s="121"/>
      <c r="P326" s="121"/>
      <c r="Q326" s="121"/>
      <c r="R326" s="121"/>
      <c r="S326" s="121"/>
      <c r="T326" s="121"/>
      <c r="U326" s="121"/>
    </row>
    <row r="327" spans="1:379">
      <c r="A327" s="50"/>
      <c r="B327" s="20"/>
      <c r="C327" s="20"/>
      <c r="D327" s="20"/>
      <c r="E327" s="20"/>
      <c r="F327" s="422"/>
      <c r="G327" s="422"/>
      <c r="H327" s="422"/>
      <c r="I327" s="21"/>
      <c r="J327" s="21"/>
      <c r="K327" s="21"/>
      <c r="L327" s="21"/>
      <c r="M327" s="18"/>
      <c r="N327" s="18"/>
    </row>
    <row r="328" spans="1:379" ht="15">
      <c r="A328" s="9" t="s">
        <v>18</v>
      </c>
      <c r="B328" s="1419" t="s">
        <v>59</v>
      </c>
      <c r="C328" s="1489"/>
      <c r="D328" s="1489"/>
      <c r="E328" s="1733"/>
      <c r="F328" s="422"/>
      <c r="G328" s="422"/>
      <c r="H328" s="422"/>
      <c r="I328" s="21"/>
      <c r="J328" s="21"/>
      <c r="K328" s="21"/>
      <c r="L328" s="21"/>
      <c r="M328" s="18"/>
      <c r="N328" s="18"/>
    </row>
    <row r="329" spans="1:379">
      <c r="B329" s="1420" t="s">
        <v>19</v>
      </c>
      <c r="C329" s="1420"/>
      <c r="D329" s="1420"/>
      <c r="E329" s="1420"/>
      <c r="F329" s="422"/>
      <c r="G329" s="422"/>
      <c r="H329" s="422"/>
      <c r="I329" s="21"/>
      <c r="J329" s="21"/>
      <c r="K329" s="21"/>
      <c r="L329" s="21"/>
      <c r="M329" s="18"/>
      <c r="N329" s="18"/>
    </row>
    <row r="330" spans="1:379" ht="14" thickBot="1">
      <c r="A330" s="737"/>
      <c r="B330" s="820"/>
      <c r="C330" s="820"/>
      <c r="D330" s="820"/>
      <c r="E330" s="820"/>
      <c r="F330" s="823"/>
      <c r="G330" s="823"/>
      <c r="H330" s="823"/>
      <c r="I330" s="21"/>
      <c r="J330" s="21"/>
      <c r="K330" s="21"/>
      <c r="L330" s="21"/>
      <c r="M330" s="820"/>
      <c r="N330" s="820"/>
    </row>
    <row r="331" spans="1:379" ht="16">
      <c r="A331" s="98"/>
      <c r="B331" s="99"/>
      <c r="C331" s="99"/>
      <c r="D331" s="99"/>
      <c r="E331" s="99"/>
      <c r="F331" s="421"/>
      <c r="G331" s="421"/>
      <c r="H331" s="421"/>
      <c r="I331" s="1468" t="s">
        <v>0</v>
      </c>
      <c r="J331" s="1468"/>
      <c r="K331" s="1468"/>
      <c r="L331" s="1468"/>
      <c r="M331" s="99"/>
      <c r="N331" s="101"/>
    </row>
    <row r="332" spans="1:379" ht="16">
      <c r="A332" s="97"/>
      <c r="B332" s="1469" t="s">
        <v>1</v>
      </c>
      <c r="C332" s="1469"/>
      <c r="D332" s="1469" t="s">
        <v>2</v>
      </c>
      <c r="E332" s="1469"/>
      <c r="F332" s="1470" t="s">
        <v>3</v>
      </c>
      <c r="G332" s="1470"/>
      <c r="H332" s="794" t="s">
        <v>3</v>
      </c>
      <c r="I332" s="127" t="s">
        <v>195</v>
      </c>
      <c r="J332" s="102"/>
      <c r="K332" s="102"/>
      <c r="L332" s="128"/>
      <c r="M332" s="1469" t="s">
        <v>4</v>
      </c>
      <c r="N332" s="1526"/>
    </row>
    <row r="333" spans="1:379" ht="19" thickBot="1">
      <c r="A333" s="103" t="s">
        <v>5</v>
      </c>
      <c r="B333" s="1473" t="s">
        <v>6</v>
      </c>
      <c r="C333" s="1473"/>
      <c r="D333" s="1473" t="s">
        <v>7</v>
      </c>
      <c r="E333" s="1473"/>
      <c r="F333" s="1474" t="s">
        <v>7</v>
      </c>
      <c r="G333" s="1474"/>
      <c r="H333" s="796" t="s">
        <v>58</v>
      </c>
      <c r="I333" s="797" t="s">
        <v>196</v>
      </c>
      <c r="J333" s="795" t="s">
        <v>8</v>
      </c>
      <c r="K333" s="795" t="s">
        <v>9</v>
      </c>
      <c r="L333" s="401" t="s">
        <v>10</v>
      </c>
      <c r="M333" s="1473" t="s">
        <v>145</v>
      </c>
      <c r="N333" s="1475"/>
    </row>
    <row r="334" spans="1:379" ht="24" thickBot="1">
      <c r="A334" s="88" t="s">
        <v>180</v>
      </c>
      <c r="B334" s="1751"/>
      <c r="C334" s="1477"/>
      <c r="D334" s="1478"/>
      <c r="E334" s="1479"/>
      <c r="F334" s="1480"/>
      <c r="G334" s="1481"/>
      <c r="H334" s="819"/>
      <c r="I334" s="7"/>
      <c r="J334" s="7"/>
      <c r="K334" s="7"/>
      <c r="L334" s="8"/>
      <c r="M334" s="1764"/>
      <c r="N334" s="1765"/>
    </row>
    <row r="335" spans="1:379" s="1161" customFormat="1" ht="17" thickBot="1">
      <c r="A335" s="108" t="s">
        <v>48</v>
      </c>
      <c r="B335" s="1457"/>
      <c r="C335" s="1586"/>
      <c r="D335" s="1567"/>
      <c r="E335" s="1586"/>
      <c r="F335" s="1587"/>
      <c r="G335" s="1588"/>
      <c r="H335" s="1145"/>
      <c r="I335" s="109"/>
      <c r="J335" s="109"/>
      <c r="K335" s="109"/>
      <c r="L335" s="1141"/>
      <c r="M335" s="1617"/>
      <c r="N335" s="1486"/>
      <c r="O335" s="274"/>
      <c r="P335" s="274"/>
      <c r="Q335" s="274"/>
      <c r="R335" s="274"/>
      <c r="S335" s="274"/>
      <c r="T335" s="274"/>
      <c r="U335" s="274"/>
    </row>
    <row r="336" spans="1:379" hidden="1">
      <c r="A336" s="32" t="s">
        <v>29</v>
      </c>
      <c r="B336" s="1444">
        <f>Chino!N146</f>
        <v>0</v>
      </c>
      <c r="C336" s="1422"/>
      <c r="D336" s="1431">
        <f>F336*325851</f>
        <v>0</v>
      </c>
      <c r="E336" s="1422"/>
      <c r="F336" s="1756">
        <f>0.0425*B336</f>
        <v>0</v>
      </c>
      <c r="G336" s="1757"/>
      <c r="H336" s="821">
        <f>F336*20</f>
        <v>0</v>
      </c>
      <c r="I336" s="131">
        <v>0</v>
      </c>
      <c r="J336" s="131">
        <f>35*B336</f>
        <v>0</v>
      </c>
      <c r="K336" s="131">
        <f>B336*50</f>
        <v>0</v>
      </c>
      <c r="L336" s="132">
        <f t="shared" ref="L336:L341" si="82">I336+J336+K336</f>
        <v>0</v>
      </c>
      <c r="M336" s="1758" t="e">
        <f>L336/(F336*681)</f>
        <v>#DIV/0!</v>
      </c>
      <c r="N336" s="1759"/>
    </row>
    <row r="337" spans="1:21">
      <c r="A337" s="32" t="s">
        <v>33</v>
      </c>
      <c r="B337" s="1444">
        <f>Chino!N147</f>
        <v>126</v>
      </c>
      <c r="C337" s="1422"/>
      <c r="D337" s="1431">
        <f>F337*325851</f>
        <v>1133179.4375999998</v>
      </c>
      <c r="E337" s="1422"/>
      <c r="F337" s="1756">
        <f>0.0276*B337</f>
        <v>3.4775999999999998</v>
      </c>
      <c r="G337" s="1757"/>
      <c r="H337" s="893">
        <f>F337*15</f>
        <v>52.163999999999994</v>
      </c>
      <c r="I337" s="131">
        <f>0*B337</f>
        <v>0</v>
      </c>
      <c r="J337" s="150">
        <v>0</v>
      </c>
      <c r="K337" s="131">
        <f>B337*85</f>
        <v>10710</v>
      </c>
      <c r="L337" s="132">
        <f t="shared" si="82"/>
        <v>10710</v>
      </c>
      <c r="M337" s="1758">
        <f>L337/(F337*681)</f>
        <v>4.5223350145778802</v>
      </c>
      <c r="N337" s="1759"/>
    </row>
    <row r="338" spans="1:21">
      <c r="A338" s="32" t="s">
        <v>56</v>
      </c>
      <c r="B338" s="1444">
        <f>Chino!N148</f>
        <v>0</v>
      </c>
      <c r="C338" s="1422"/>
      <c r="D338" s="1431">
        <f>F338*325851</f>
        <v>0</v>
      </c>
      <c r="E338" s="1422"/>
      <c r="F338" s="1756">
        <f>0.004*B338</f>
        <v>0</v>
      </c>
      <c r="G338" s="1760"/>
      <c r="H338" s="895">
        <f>F338*5</f>
        <v>0</v>
      </c>
      <c r="I338" s="131">
        <f>0*B338</f>
        <v>0</v>
      </c>
      <c r="J338" s="131">
        <f>2*B338</f>
        <v>0</v>
      </c>
      <c r="K338" s="131">
        <f>B338*3</f>
        <v>0</v>
      </c>
      <c r="L338" s="132">
        <f t="shared" si="82"/>
        <v>0</v>
      </c>
      <c r="M338" s="1758">
        <v>0</v>
      </c>
      <c r="N338" s="1759"/>
    </row>
    <row r="339" spans="1:21">
      <c r="A339" s="78" t="s">
        <v>30</v>
      </c>
      <c r="B339" s="1444">
        <f>Chino!N149</f>
        <v>2</v>
      </c>
      <c r="C339" s="1444"/>
      <c r="D339" s="1467">
        <f>F339*325851</f>
        <v>211803.15</v>
      </c>
      <c r="E339" s="1432"/>
      <c r="F339" s="1718">
        <f>0.325*B339</f>
        <v>0.65</v>
      </c>
      <c r="G339" s="1771"/>
      <c r="H339" s="545">
        <f>F339*10</f>
        <v>6.5</v>
      </c>
      <c r="I339" s="133">
        <v>0</v>
      </c>
      <c r="J339" s="133">
        <f>45*B339</f>
        <v>90</v>
      </c>
      <c r="K339" s="133">
        <f>B339*80</f>
        <v>160</v>
      </c>
      <c r="L339" s="134">
        <f t="shared" si="82"/>
        <v>250</v>
      </c>
      <c r="M339" s="1758">
        <f>L339/(F339*681)</f>
        <v>0.56478030046311978</v>
      </c>
      <c r="N339" s="1759"/>
    </row>
    <row r="340" spans="1:21" hidden="1">
      <c r="A340" s="76" t="s">
        <v>53</v>
      </c>
      <c r="B340" s="1444">
        <f>Chino!N150</f>
        <v>0</v>
      </c>
      <c r="C340" s="1444"/>
      <c r="D340" s="1467">
        <v>0</v>
      </c>
      <c r="E340" s="1432"/>
      <c r="F340" s="1718">
        <v>0</v>
      </c>
      <c r="G340" s="1771"/>
      <c r="H340" s="545">
        <f>F340*10</f>
        <v>0</v>
      </c>
      <c r="I340" s="133">
        <v>0</v>
      </c>
      <c r="J340" s="133">
        <v>0</v>
      </c>
      <c r="K340" s="133">
        <v>0</v>
      </c>
      <c r="L340" s="134">
        <f t="shared" si="82"/>
        <v>0</v>
      </c>
      <c r="M340" s="1758" t="e">
        <f>L340/(F340*681)</f>
        <v>#DIV/0!</v>
      </c>
      <c r="N340" s="1759"/>
    </row>
    <row r="341" spans="1:21">
      <c r="A341" s="76" t="s">
        <v>165</v>
      </c>
      <c r="B341" s="1444">
        <f>Chino!N151</f>
        <v>1103</v>
      </c>
      <c r="C341" s="1444"/>
      <c r="D341" s="1467">
        <f>F341*325900</f>
        <v>1437870.8</v>
      </c>
      <c r="E341" s="1696"/>
      <c r="F341" s="1718">
        <f>B341*0.004</f>
        <v>4.4119999999999999</v>
      </c>
      <c r="G341" s="1760"/>
      <c r="H341" s="545">
        <f>F341*5</f>
        <v>22.06</v>
      </c>
      <c r="I341" s="133">
        <v>0</v>
      </c>
      <c r="J341" s="133">
        <v>0</v>
      </c>
      <c r="K341" s="133">
        <f>1200*3</f>
        <v>3600</v>
      </c>
      <c r="L341" s="134">
        <f t="shared" si="82"/>
        <v>3600</v>
      </c>
      <c r="M341" s="1758">
        <f>L341/(F341*681)</f>
        <v>1.1981739828501363</v>
      </c>
      <c r="N341" s="1759"/>
    </row>
    <row r="342" spans="1:21" ht="14" thickBot="1">
      <c r="A342" s="76" t="s">
        <v>166</v>
      </c>
      <c r="B342" s="1444">
        <f>Chino!N152</f>
        <v>0</v>
      </c>
      <c r="C342" s="1444"/>
      <c r="D342" s="1744">
        <f>F342*325900</f>
        <v>0</v>
      </c>
      <c r="E342" s="1761"/>
      <c r="F342" s="1762">
        <f>B342*0.004</f>
        <v>0</v>
      </c>
      <c r="G342" s="1763"/>
      <c r="H342" s="918">
        <f>F342*5</f>
        <v>0</v>
      </c>
      <c r="I342" s="133">
        <v>0</v>
      </c>
      <c r="J342" s="133">
        <v>0</v>
      </c>
      <c r="K342" s="133">
        <v>0</v>
      </c>
      <c r="L342" s="134">
        <v>0</v>
      </c>
      <c r="M342" s="1758">
        <v>0</v>
      </c>
      <c r="N342" s="1759"/>
    </row>
    <row r="343" spans="1:21" s="533" customFormat="1" ht="14" thickBot="1">
      <c r="A343" s="53" t="s">
        <v>60</v>
      </c>
      <c r="B343" s="1438">
        <f>SUM(B336:C342)</f>
        <v>1231</v>
      </c>
      <c r="C343" s="1609"/>
      <c r="D343" s="1440">
        <f>SUM(D336:E342)</f>
        <v>2782853.3876</v>
      </c>
      <c r="E343" s="1609"/>
      <c r="F343" s="1512">
        <f>SUM(F336:G342)</f>
        <v>8.5396000000000001</v>
      </c>
      <c r="G343" s="1575"/>
      <c r="H343" s="793">
        <f>SUM(H336:H342)</f>
        <v>80.72399999999999</v>
      </c>
      <c r="I343" s="136">
        <f>SUM(I336:I342)</f>
        <v>0</v>
      </c>
      <c r="J343" s="136">
        <f>SUM(J336:J342)</f>
        <v>90</v>
      </c>
      <c r="K343" s="136">
        <f>SUM(K336:K342)</f>
        <v>14470</v>
      </c>
      <c r="L343" s="136">
        <f>SUM(L336:L342)</f>
        <v>14560</v>
      </c>
      <c r="M343" s="1610"/>
      <c r="N343" s="1611"/>
      <c r="O343" s="534"/>
      <c r="P343" s="534"/>
      <c r="Q343" s="534"/>
      <c r="R343" s="534"/>
      <c r="S343" s="534"/>
      <c r="T343" s="534"/>
      <c r="U343" s="534"/>
    </row>
    <row r="344" spans="1:21" s="1161" customFormat="1" ht="17" thickBot="1">
      <c r="A344" s="108" t="s">
        <v>125</v>
      </c>
      <c r="B344" s="1456"/>
      <c r="C344" s="1586"/>
      <c r="D344" s="1457"/>
      <c r="E344" s="1586"/>
      <c r="F344" s="1587"/>
      <c r="G344" s="1588"/>
      <c r="H344" s="1145"/>
      <c r="I344" s="161"/>
      <c r="J344" s="161"/>
      <c r="K344" s="161"/>
      <c r="L344" s="162"/>
      <c r="M344" s="1617"/>
      <c r="N344" s="1486"/>
      <c r="O344" s="274"/>
      <c r="P344" s="274"/>
      <c r="Q344" s="274"/>
      <c r="R344" s="274"/>
      <c r="S344" s="274"/>
      <c r="T344" s="274"/>
      <c r="U344" s="274"/>
    </row>
    <row r="345" spans="1:21">
      <c r="A345" s="76" t="s">
        <v>146</v>
      </c>
      <c r="B345" s="1421">
        <f>Chino!N155</f>
        <v>2</v>
      </c>
      <c r="C345" s="1422"/>
      <c r="D345" s="1444">
        <f>F345*325851</f>
        <v>27697.335000000003</v>
      </c>
      <c r="E345" s="1422"/>
      <c r="F345" s="1718">
        <f>0.0425*B345</f>
        <v>8.5000000000000006E-2</v>
      </c>
      <c r="G345" s="1719"/>
      <c r="H345" s="892">
        <f>F345*20</f>
        <v>1.7000000000000002</v>
      </c>
      <c r="I345" s="131">
        <f>73.34*B345</f>
        <v>146.68</v>
      </c>
      <c r="J345" s="131">
        <f>35.66*B345</f>
        <v>71.319999999999993</v>
      </c>
      <c r="K345" s="131">
        <f>B345*50</f>
        <v>100</v>
      </c>
      <c r="L345" s="132">
        <f>I345+J345+K345</f>
        <v>318</v>
      </c>
      <c r="M345" s="1758">
        <f>L345/(F345*681)</f>
        <v>5.4936512049753814</v>
      </c>
      <c r="N345" s="1759"/>
    </row>
    <row r="346" spans="1:21" ht="14" thickBot="1">
      <c r="A346" s="76" t="s">
        <v>181</v>
      </c>
      <c r="B346" s="1421">
        <f>Chino!N156</f>
        <v>82</v>
      </c>
      <c r="C346" s="1422"/>
      <c r="D346" s="1444">
        <f>F346*325851</f>
        <v>1135590.7350000001</v>
      </c>
      <c r="E346" s="1422"/>
      <c r="F346" s="1718">
        <f>0.0425*B346</f>
        <v>3.4850000000000003</v>
      </c>
      <c r="G346" s="1719"/>
      <c r="H346" s="892">
        <f>F346*20</f>
        <v>69.7</v>
      </c>
      <c r="I346" s="131">
        <f>73.34*B346</f>
        <v>6013.88</v>
      </c>
      <c r="J346" s="131">
        <f>35.66*B346</f>
        <v>2924.12</v>
      </c>
      <c r="K346" s="131">
        <f>B346*50</f>
        <v>4100</v>
      </c>
      <c r="L346" s="132">
        <f>I346+J346+K346</f>
        <v>13038</v>
      </c>
      <c r="M346" s="1758">
        <f>L346/(F346*681)</f>
        <v>5.4936512049753814</v>
      </c>
      <c r="N346" s="1759"/>
    </row>
    <row r="347" spans="1:21" s="533" customFormat="1" ht="14" thickBot="1">
      <c r="A347" s="53" t="s">
        <v>60</v>
      </c>
      <c r="B347" s="1438">
        <f>SUM(B345:B346)</f>
        <v>84</v>
      </c>
      <c r="C347" s="1609"/>
      <c r="D347" s="1440">
        <f>SUM(D345:D346)</f>
        <v>1163288.07</v>
      </c>
      <c r="E347" s="1609"/>
      <c r="F347" s="1618">
        <f>SUM(F345:F346)</f>
        <v>3.5700000000000003</v>
      </c>
      <c r="G347" s="1575"/>
      <c r="H347" s="793">
        <f>SUM(H345:H346)</f>
        <v>71.400000000000006</v>
      </c>
      <c r="I347" s="136">
        <f>SUM(I345:I346)</f>
        <v>6160.56</v>
      </c>
      <c r="J347" s="143">
        <f>SUM(J345:J346)</f>
        <v>2995.44</v>
      </c>
      <c r="K347" s="143">
        <f>SUM(K345:K346)</f>
        <v>4200</v>
      </c>
      <c r="L347" s="136">
        <f>SUM(L345:L346)</f>
        <v>13356</v>
      </c>
      <c r="M347" s="1610"/>
      <c r="N347" s="1611"/>
      <c r="O347" s="534"/>
      <c r="P347" s="534"/>
      <c r="Q347" s="534"/>
      <c r="R347" s="534"/>
      <c r="S347" s="534"/>
      <c r="T347" s="534"/>
      <c r="U347" s="534"/>
    </row>
    <row r="348" spans="1:21" s="1161" customFormat="1" ht="17" thickBot="1">
      <c r="A348" s="108" t="s">
        <v>50</v>
      </c>
      <c r="B348" s="1456"/>
      <c r="C348" s="1586"/>
      <c r="D348" s="1457"/>
      <c r="E348" s="1586"/>
      <c r="F348" s="1587"/>
      <c r="G348" s="1588"/>
      <c r="H348" s="1145"/>
      <c r="I348" s="161"/>
      <c r="J348" s="161"/>
      <c r="K348" s="161"/>
      <c r="L348" s="162"/>
      <c r="M348" s="1617"/>
      <c r="N348" s="1486"/>
      <c r="O348" s="274"/>
      <c r="P348" s="274"/>
      <c r="Q348" s="274"/>
      <c r="R348" s="274"/>
      <c r="S348" s="274"/>
      <c r="T348" s="274"/>
      <c r="U348" s="274"/>
    </row>
    <row r="349" spans="1:21">
      <c r="A349" s="32" t="s">
        <v>29</v>
      </c>
      <c r="B349" s="1421">
        <f>Chino!N159</f>
        <v>0</v>
      </c>
      <c r="C349" s="1422"/>
      <c r="D349" s="1444">
        <f t="shared" ref="D349:D355" si="83">F349*325851</f>
        <v>0</v>
      </c>
      <c r="E349" s="1422"/>
      <c r="F349" s="1756">
        <f>0.0425*B349</f>
        <v>0</v>
      </c>
      <c r="G349" s="1757"/>
      <c r="H349" s="922">
        <f>F349*20</f>
        <v>0</v>
      </c>
      <c r="I349" s="131">
        <v>0</v>
      </c>
      <c r="J349" s="131">
        <f>135*B349</f>
        <v>0</v>
      </c>
      <c r="K349" s="131">
        <f>165*B349</f>
        <v>0</v>
      </c>
      <c r="L349" s="132">
        <f t="shared" ref="L349:L356" si="84">SUM(I349:K349)</f>
        <v>0</v>
      </c>
      <c r="M349" s="1758">
        <v>0</v>
      </c>
      <c r="N349" s="1759"/>
    </row>
    <row r="350" spans="1:21">
      <c r="A350" s="32" t="s">
        <v>51</v>
      </c>
      <c r="B350" s="1421">
        <f>Chino!N160</f>
        <v>6</v>
      </c>
      <c r="C350" s="1422"/>
      <c r="D350" s="1444">
        <f t="shared" si="83"/>
        <v>239891.50619999997</v>
      </c>
      <c r="E350" s="1422"/>
      <c r="F350" s="1756">
        <f>0.1227*B350</f>
        <v>0.73619999999999997</v>
      </c>
      <c r="G350" s="1757"/>
      <c r="H350" s="922">
        <f>F350*20</f>
        <v>14.724</v>
      </c>
      <c r="I350" s="131">
        <v>0</v>
      </c>
      <c r="J350" s="131">
        <f>50*B350</f>
        <v>300</v>
      </c>
      <c r="K350" s="131">
        <f>200*B350</f>
        <v>1200</v>
      </c>
      <c r="L350" s="132">
        <f t="shared" si="84"/>
        <v>1500</v>
      </c>
      <c r="M350" s="1758">
        <f>L350/(F350*681)</f>
        <v>2.9919086821599667</v>
      </c>
      <c r="N350" s="1759"/>
    </row>
    <row r="351" spans="1:21">
      <c r="A351" s="34" t="s">
        <v>20</v>
      </c>
      <c r="B351" s="1421">
        <f>Chino!N161</f>
        <v>0</v>
      </c>
      <c r="C351" s="1422"/>
      <c r="D351" s="1444">
        <f t="shared" si="83"/>
        <v>0</v>
      </c>
      <c r="E351" s="1422"/>
      <c r="F351" s="1756">
        <f>0.644*B351</f>
        <v>0</v>
      </c>
      <c r="G351" s="1757"/>
      <c r="H351" s="922">
        <f>F351*5</f>
        <v>0</v>
      </c>
      <c r="I351" s="131">
        <v>0</v>
      </c>
      <c r="J351" s="131">
        <f>43.75*B351</f>
        <v>0</v>
      </c>
      <c r="K351" s="131">
        <f>625*B351</f>
        <v>0</v>
      </c>
      <c r="L351" s="132">
        <f t="shared" si="84"/>
        <v>0</v>
      </c>
      <c r="M351" s="1758">
        <v>0</v>
      </c>
      <c r="N351" s="1759"/>
    </row>
    <row r="352" spans="1:21">
      <c r="A352" s="34" t="s">
        <v>13</v>
      </c>
      <c r="B352" s="1421">
        <f>Chino!N162</f>
        <v>0</v>
      </c>
      <c r="C352" s="1422"/>
      <c r="D352" s="1444">
        <f t="shared" si="83"/>
        <v>0</v>
      </c>
      <c r="E352" s="1422"/>
      <c r="F352" s="1756">
        <f>0.0276*B352</f>
        <v>0</v>
      </c>
      <c r="G352" s="1757"/>
      <c r="H352" s="922">
        <f>F352*10</f>
        <v>0</v>
      </c>
      <c r="I352" s="131">
        <v>0</v>
      </c>
      <c r="J352" s="131">
        <f>100*B352</f>
        <v>0</v>
      </c>
      <c r="K352" s="131">
        <f>80*B352</f>
        <v>0</v>
      </c>
      <c r="L352" s="132">
        <f t="shared" si="84"/>
        <v>0</v>
      </c>
      <c r="M352" s="1758">
        <v>0</v>
      </c>
      <c r="N352" s="1759"/>
    </row>
    <row r="353" spans="1:21" hidden="1">
      <c r="A353" s="35" t="s">
        <v>47</v>
      </c>
      <c r="B353" s="1421">
        <f>Chino!N163</f>
        <v>0</v>
      </c>
      <c r="C353" s="1422"/>
      <c r="D353" s="1444">
        <f t="shared" si="83"/>
        <v>0</v>
      </c>
      <c r="E353" s="1422"/>
      <c r="F353" s="1756">
        <f>0.1534*B353</f>
        <v>0</v>
      </c>
      <c r="G353" s="1757"/>
      <c r="H353" s="922">
        <f>F353*5</f>
        <v>0</v>
      </c>
      <c r="I353" s="131">
        <v>0</v>
      </c>
      <c r="J353" s="131">
        <f>0*B353</f>
        <v>0</v>
      </c>
      <c r="K353" s="131">
        <f>150*B353</f>
        <v>0</v>
      </c>
      <c r="L353" s="132">
        <f t="shared" si="84"/>
        <v>0</v>
      </c>
      <c r="M353" s="1758">
        <v>0</v>
      </c>
      <c r="N353" s="1759"/>
    </row>
    <row r="354" spans="1:21">
      <c r="A354" s="76" t="s">
        <v>30</v>
      </c>
      <c r="B354" s="1421">
        <f>Chino!N164</f>
        <v>0</v>
      </c>
      <c r="C354" s="1422"/>
      <c r="D354" s="1444">
        <f t="shared" si="83"/>
        <v>0</v>
      </c>
      <c r="E354" s="1422"/>
      <c r="F354" s="1756">
        <f>0.325*B354</f>
        <v>0</v>
      </c>
      <c r="G354" s="1757"/>
      <c r="H354" s="922">
        <f>F354*10</f>
        <v>0</v>
      </c>
      <c r="I354" s="131">
        <v>0</v>
      </c>
      <c r="J354" s="131">
        <f>120*B354</f>
        <v>0</v>
      </c>
      <c r="K354" s="131">
        <f>200*B354</f>
        <v>0</v>
      </c>
      <c r="L354" s="132">
        <f t="shared" si="84"/>
        <v>0</v>
      </c>
      <c r="M354" s="1758">
        <v>0</v>
      </c>
      <c r="N354" s="1759"/>
    </row>
    <row r="355" spans="1:21" hidden="1">
      <c r="A355" s="76" t="s">
        <v>53</v>
      </c>
      <c r="B355" s="1421">
        <f>Chino!N165</f>
        <v>0</v>
      </c>
      <c r="C355" s="1422"/>
      <c r="D355" s="1444">
        <f t="shared" si="83"/>
        <v>0</v>
      </c>
      <c r="E355" s="1422"/>
      <c r="F355" s="1756">
        <f>0.00014*B355</f>
        <v>0</v>
      </c>
      <c r="G355" s="1757"/>
      <c r="H355" s="922">
        <f>F355*10</f>
        <v>0</v>
      </c>
      <c r="I355" s="131">
        <v>0</v>
      </c>
      <c r="J355" s="131">
        <f>0.45*B355</f>
        <v>0</v>
      </c>
      <c r="K355" s="131">
        <f>0.3*B355</f>
        <v>0</v>
      </c>
      <c r="L355" s="132">
        <f t="shared" si="84"/>
        <v>0</v>
      </c>
      <c r="M355" s="1758">
        <v>0</v>
      </c>
      <c r="N355" s="1759"/>
    </row>
    <row r="356" spans="1:21">
      <c r="A356" s="33" t="s">
        <v>56</v>
      </c>
      <c r="B356" s="1421">
        <f>Chino!N166</f>
        <v>0</v>
      </c>
      <c r="C356" s="1422"/>
      <c r="D356" s="1444">
        <f>F356*325851</f>
        <v>0</v>
      </c>
      <c r="E356" s="1422"/>
      <c r="F356" s="1756">
        <f>0.004*B356</f>
        <v>0</v>
      </c>
      <c r="G356" s="1757"/>
      <c r="H356" s="922">
        <f>F356*5</f>
        <v>0</v>
      </c>
      <c r="I356" s="131">
        <v>0</v>
      </c>
      <c r="J356" s="131">
        <f>0*B356</f>
        <v>0</v>
      </c>
      <c r="K356" s="131">
        <f>4*B356</f>
        <v>0</v>
      </c>
      <c r="L356" s="132">
        <f t="shared" si="84"/>
        <v>0</v>
      </c>
      <c r="M356" s="1758">
        <v>0</v>
      </c>
      <c r="N356" s="1759"/>
    </row>
    <row r="357" spans="1:21">
      <c r="A357" s="76" t="s">
        <v>122</v>
      </c>
      <c r="B357" s="1421">
        <f>Chino!N167</f>
        <v>0</v>
      </c>
      <c r="C357" s="1422"/>
      <c r="D357" s="1444">
        <f>F357*325851</f>
        <v>0</v>
      </c>
      <c r="E357" s="1422"/>
      <c r="F357" s="1756">
        <f>0.018*B357</f>
        <v>0</v>
      </c>
      <c r="G357" s="1757"/>
      <c r="H357" s="922">
        <f>F357*10</f>
        <v>0</v>
      </c>
      <c r="I357" s="131">
        <v>0</v>
      </c>
      <c r="J357" s="131">
        <f>0*B357</f>
        <v>0</v>
      </c>
      <c r="K357" s="131">
        <f>13*B357</f>
        <v>0</v>
      </c>
      <c r="L357" s="132">
        <f>SUM(I357:K357)</f>
        <v>0</v>
      </c>
      <c r="M357" s="1758">
        <v>0</v>
      </c>
      <c r="N357" s="1759"/>
    </row>
    <row r="358" spans="1:21" hidden="1">
      <c r="A358" s="33" t="s">
        <v>102</v>
      </c>
      <c r="B358" s="1421">
        <f>Chino!N168</f>
        <v>0</v>
      </c>
      <c r="C358" s="1422"/>
      <c r="D358" s="1444">
        <f>F358*325851</f>
        <v>0</v>
      </c>
      <c r="E358" s="1422"/>
      <c r="F358" s="1756">
        <f>0.018*B358</f>
        <v>0</v>
      </c>
      <c r="G358" s="1757"/>
      <c r="H358" s="922">
        <f>F358*10</f>
        <v>0</v>
      </c>
      <c r="I358" s="131">
        <v>0</v>
      </c>
      <c r="J358" s="131">
        <f>0*B358</f>
        <v>0</v>
      </c>
      <c r="K358" s="131">
        <f>13*B358</f>
        <v>0</v>
      </c>
      <c r="L358" s="132">
        <f>SUM(I358:K358)</f>
        <v>0</v>
      </c>
      <c r="M358" s="1758">
        <v>0</v>
      </c>
      <c r="N358" s="1759"/>
    </row>
    <row r="359" spans="1:21" hidden="1">
      <c r="A359" s="33" t="s">
        <v>167</v>
      </c>
      <c r="B359" s="1421"/>
      <c r="C359" s="1422"/>
      <c r="D359" s="1444"/>
      <c r="E359" s="1422"/>
      <c r="F359" s="1756"/>
      <c r="G359" s="1757"/>
      <c r="H359" s="922"/>
      <c r="I359" s="169"/>
      <c r="J359" s="131"/>
      <c r="K359" s="131"/>
      <c r="L359" s="132"/>
      <c r="M359" s="1758"/>
      <c r="N359" s="1759"/>
    </row>
    <row r="360" spans="1:21">
      <c r="A360" s="33" t="s">
        <v>165</v>
      </c>
      <c r="B360" s="1421">
        <f>Chino!N170</f>
        <v>1855</v>
      </c>
      <c r="C360" s="1422"/>
      <c r="D360" s="1444">
        <f>F360*325851</f>
        <v>2417814.42</v>
      </c>
      <c r="E360" s="1444"/>
      <c r="F360" s="1756">
        <f>0.004*B360</f>
        <v>7.42</v>
      </c>
      <c r="G360" s="1757"/>
      <c r="H360" s="922">
        <f>F360*5</f>
        <v>37.1</v>
      </c>
      <c r="I360" s="131">
        <v>0</v>
      </c>
      <c r="J360" s="131">
        <f>0*B360</f>
        <v>0</v>
      </c>
      <c r="K360" s="131">
        <f>3*B360</f>
        <v>5565</v>
      </c>
      <c r="L360" s="132">
        <f>SUM(I360:K360)</f>
        <v>5565</v>
      </c>
      <c r="M360" s="1758">
        <f>L360/(F360*681)</f>
        <v>1.1013215859030838</v>
      </c>
      <c r="N360" s="1759"/>
    </row>
    <row r="361" spans="1:21" ht="14" thickBot="1">
      <c r="A361" s="78" t="s">
        <v>184</v>
      </c>
      <c r="B361" s="1421">
        <f>Chino!N171</f>
        <v>0</v>
      </c>
      <c r="C361" s="1422"/>
      <c r="D361" s="1444">
        <f>F361*325851</f>
        <v>0</v>
      </c>
      <c r="E361" s="1422"/>
      <c r="F361" s="1756">
        <f>0.018*B361</f>
        <v>0</v>
      </c>
      <c r="G361" s="1757"/>
      <c r="H361" s="922">
        <f>F361*10</f>
        <v>0</v>
      </c>
      <c r="I361" s="131">
        <v>0</v>
      </c>
      <c r="J361" s="131">
        <v>0</v>
      </c>
      <c r="K361" s="131">
        <v>0</v>
      </c>
      <c r="L361" s="132">
        <v>0</v>
      </c>
      <c r="M361" s="1758">
        <v>0</v>
      </c>
      <c r="N361" s="1759"/>
    </row>
    <row r="362" spans="1:21" s="533" customFormat="1" ht="14" thickBot="1">
      <c r="A362" s="53" t="s">
        <v>60</v>
      </c>
      <c r="B362" s="1438">
        <f>SUM(B349:C361)</f>
        <v>1861</v>
      </c>
      <c r="C362" s="1609"/>
      <c r="D362" s="1440">
        <f>SUM(D349:E361)</f>
        <v>2657705.9262000001</v>
      </c>
      <c r="E362" s="1609"/>
      <c r="F362" s="1512">
        <f>SUM(F349:G361)</f>
        <v>8.1562000000000001</v>
      </c>
      <c r="G362" s="1575"/>
      <c r="H362" s="793">
        <f>SUM(H349:H361)</f>
        <v>51.823999999999998</v>
      </c>
      <c r="I362" s="136">
        <f>SUM(I349:I361)</f>
        <v>0</v>
      </c>
      <c r="J362" s="136">
        <f>SUM(J349:J361)</f>
        <v>300</v>
      </c>
      <c r="K362" s="136">
        <f>SUM(K349:K361)</f>
        <v>6765</v>
      </c>
      <c r="L362" s="136">
        <f>SUM(L349:L361)</f>
        <v>7065</v>
      </c>
      <c r="M362" s="1610"/>
      <c r="N362" s="1611"/>
      <c r="O362" s="534"/>
      <c r="P362" s="534"/>
      <c r="Q362" s="534"/>
      <c r="R362" s="534"/>
      <c r="S362" s="534"/>
      <c r="T362" s="534"/>
      <c r="U362" s="534"/>
    </row>
    <row r="363" spans="1:21" s="1168" customFormat="1" ht="17" thickBot="1">
      <c r="A363" s="1163" t="s">
        <v>17</v>
      </c>
      <c r="B363" s="1414">
        <f>SUM(B343+B347+B362)</f>
        <v>3176</v>
      </c>
      <c r="C363" s="1415"/>
      <c r="D363" s="1612">
        <f>SUM(D343+D347+D362)</f>
        <v>6603847.3838</v>
      </c>
      <c r="E363" s="1415"/>
      <c r="F363" s="1613">
        <f>SUM(F343+F347+F362)</f>
        <v>20.265799999999999</v>
      </c>
      <c r="G363" s="1488"/>
      <c r="H363" s="1201">
        <f>SUM(,H343,H347,H362)</f>
        <v>203.94799999999998</v>
      </c>
      <c r="I363" s="1169">
        <f>SUM(I343+I347+I362)</f>
        <v>6160.56</v>
      </c>
      <c r="J363" s="1169">
        <f>SUM(J343+J347+J362)</f>
        <v>3385.44</v>
      </c>
      <c r="K363" s="1169">
        <f>SUM(K343+K347+K362)</f>
        <v>25435</v>
      </c>
      <c r="L363" s="1169">
        <f>SUM(L343+L347+L362)</f>
        <v>34981</v>
      </c>
      <c r="M363" s="1631"/>
      <c r="N363" s="1640"/>
      <c r="O363" s="121"/>
      <c r="P363" s="121"/>
      <c r="Q363" s="121"/>
      <c r="R363" s="121"/>
      <c r="S363" s="121"/>
      <c r="T363" s="121"/>
      <c r="U363" s="121"/>
    </row>
    <row r="364" spans="1:21">
      <c r="A364" s="50"/>
      <c r="B364" s="20"/>
      <c r="C364" s="20"/>
      <c r="D364" s="20"/>
      <c r="E364" s="20"/>
      <c r="F364" s="422"/>
      <c r="G364" s="422"/>
      <c r="H364" s="422"/>
      <c r="I364" s="21"/>
      <c r="J364" s="21"/>
      <c r="K364" s="21"/>
      <c r="L364" s="21"/>
      <c r="M364" s="18"/>
      <c r="N364" s="18"/>
    </row>
    <row r="365" spans="1:21" ht="15">
      <c r="A365" s="9" t="s">
        <v>18</v>
      </c>
      <c r="B365" s="1419" t="s">
        <v>59</v>
      </c>
      <c r="C365" s="1489"/>
      <c r="D365" s="1489"/>
      <c r="E365" s="1733"/>
      <c r="F365" s="422"/>
      <c r="G365" s="422"/>
      <c r="H365" s="422"/>
      <c r="I365" s="21"/>
      <c r="J365" s="21"/>
      <c r="K365" s="21"/>
      <c r="L365" s="21"/>
      <c r="M365" s="18"/>
      <c r="N365" s="18"/>
    </row>
    <row r="366" spans="1:21">
      <c r="B366" s="1420" t="s">
        <v>19</v>
      </c>
      <c r="C366" s="1420"/>
      <c r="D366" s="1420"/>
      <c r="E366" s="1420"/>
      <c r="F366" s="422"/>
      <c r="G366" s="422"/>
      <c r="H366" s="422"/>
      <c r="I366" s="21"/>
      <c r="J366" s="21"/>
      <c r="K366" s="21"/>
      <c r="L366" s="21"/>
      <c r="M366" s="18"/>
      <c r="N366" s="18"/>
    </row>
    <row r="367" spans="1:21" ht="14" thickBot="1">
      <c r="A367" s="737"/>
      <c r="B367" s="820"/>
      <c r="C367" s="820"/>
      <c r="D367" s="820"/>
      <c r="E367" s="820"/>
      <c r="F367" s="823"/>
      <c r="G367" s="823"/>
      <c r="H367" s="823"/>
      <c r="I367" s="21"/>
      <c r="J367" s="21"/>
      <c r="K367" s="21"/>
      <c r="L367" s="21"/>
      <c r="M367" s="820"/>
      <c r="N367" s="820"/>
    </row>
    <row r="368" spans="1:21" ht="16">
      <c r="A368" s="98"/>
      <c r="B368" s="99"/>
      <c r="C368" s="99"/>
      <c r="D368" s="99"/>
      <c r="E368" s="99"/>
      <c r="F368" s="421"/>
      <c r="G368" s="421"/>
      <c r="H368" s="421"/>
      <c r="I368" s="1468" t="s">
        <v>0</v>
      </c>
      <c r="J368" s="1468"/>
      <c r="K368" s="1468"/>
      <c r="L368" s="1468"/>
      <c r="M368" s="99"/>
      <c r="N368" s="101"/>
    </row>
    <row r="369" spans="1:21" ht="16">
      <c r="A369" s="97"/>
      <c r="B369" s="1469" t="s">
        <v>1</v>
      </c>
      <c r="C369" s="1469"/>
      <c r="D369" s="1469" t="s">
        <v>2</v>
      </c>
      <c r="E369" s="1469"/>
      <c r="F369" s="1470" t="s">
        <v>3</v>
      </c>
      <c r="G369" s="1470"/>
      <c r="H369" s="794" t="s">
        <v>3</v>
      </c>
      <c r="I369" s="127" t="s">
        <v>195</v>
      </c>
      <c r="J369" s="102"/>
      <c r="K369" s="102"/>
      <c r="L369" s="128"/>
      <c r="M369" s="1469" t="s">
        <v>4</v>
      </c>
      <c r="N369" s="1526"/>
    </row>
    <row r="370" spans="1:21" ht="19" thickBot="1">
      <c r="A370" s="103" t="s">
        <v>5</v>
      </c>
      <c r="B370" s="1473" t="s">
        <v>6</v>
      </c>
      <c r="C370" s="1473"/>
      <c r="D370" s="1473" t="s">
        <v>7</v>
      </c>
      <c r="E370" s="1473"/>
      <c r="F370" s="1474" t="s">
        <v>7</v>
      </c>
      <c r="G370" s="1474"/>
      <c r="H370" s="796" t="s">
        <v>58</v>
      </c>
      <c r="I370" s="797" t="s">
        <v>196</v>
      </c>
      <c r="J370" s="795" t="s">
        <v>8</v>
      </c>
      <c r="K370" s="795" t="s">
        <v>9</v>
      </c>
      <c r="L370" s="401" t="s">
        <v>10</v>
      </c>
      <c r="M370" s="1473" t="s">
        <v>145</v>
      </c>
      <c r="N370" s="1475"/>
    </row>
    <row r="371" spans="1:21" ht="24" thickBot="1">
      <c r="A371" s="88" t="s">
        <v>163</v>
      </c>
      <c r="B371" s="1751"/>
      <c r="C371" s="1477"/>
      <c r="D371" s="1478"/>
      <c r="E371" s="1479"/>
      <c r="F371" s="1480"/>
      <c r="G371" s="1481"/>
      <c r="H371" s="819"/>
      <c r="I371" s="7"/>
      <c r="J371" s="7"/>
      <c r="K371" s="7"/>
      <c r="L371" s="8"/>
      <c r="M371" s="1764"/>
      <c r="N371" s="1765"/>
    </row>
    <row r="372" spans="1:21" s="1161" customFormat="1" ht="17" thickBot="1">
      <c r="A372" s="108" t="s">
        <v>48</v>
      </c>
      <c r="B372" s="1457"/>
      <c r="C372" s="1586"/>
      <c r="D372" s="1567"/>
      <c r="E372" s="1586"/>
      <c r="F372" s="1587"/>
      <c r="G372" s="1588"/>
      <c r="H372" s="1145"/>
      <c r="I372" s="109"/>
      <c r="J372" s="109"/>
      <c r="K372" s="109"/>
      <c r="L372" s="1141"/>
      <c r="M372" s="1617"/>
      <c r="N372" s="1486"/>
      <c r="O372" s="274"/>
      <c r="P372" s="274"/>
      <c r="Q372" s="274"/>
      <c r="R372" s="274"/>
      <c r="S372" s="274"/>
      <c r="T372" s="274"/>
      <c r="U372" s="274"/>
    </row>
    <row r="373" spans="1:21">
      <c r="A373" s="32" t="s">
        <v>29</v>
      </c>
      <c r="B373" s="1444">
        <f>Chino!N117</f>
        <v>5</v>
      </c>
      <c r="C373" s="1422"/>
      <c r="D373" s="1431">
        <f>F373*325851</f>
        <v>69243.337500000009</v>
      </c>
      <c r="E373" s="1422"/>
      <c r="F373" s="1756">
        <f>0.0425*B373</f>
        <v>0.21250000000000002</v>
      </c>
      <c r="G373" s="1757"/>
      <c r="H373" s="893">
        <f>F373*20</f>
        <v>4.25</v>
      </c>
      <c r="I373" s="131">
        <v>0</v>
      </c>
      <c r="J373" s="131">
        <f>35*B373</f>
        <v>175</v>
      </c>
      <c r="K373" s="131">
        <f>B373*50</f>
        <v>250</v>
      </c>
      <c r="L373" s="132">
        <f t="shared" ref="L373:L378" si="85">I373+J373+K373</f>
        <v>425</v>
      </c>
      <c r="M373" s="1758">
        <f>L373/(F373*498.5)</f>
        <v>4.0120361083249749</v>
      </c>
      <c r="N373" s="1759"/>
    </row>
    <row r="374" spans="1:21">
      <c r="A374" s="32" t="s">
        <v>33</v>
      </c>
      <c r="B374" s="1444">
        <f>Chino!N118</f>
        <v>199</v>
      </c>
      <c r="C374" s="1422"/>
      <c r="D374" s="1431">
        <f>F374*325851</f>
        <v>1789704.0323999999</v>
      </c>
      <c r="E374" s="1422"/>
      <c r="F374" s="1756">
        <f>0.0276*B374</f>
        <v>5.4923999999999999</v>
      </c>
      <c r="G374" s="1757"/>
      <c r="H374" s="893">
        <f>F374*15</f>
        <v>82.385999999999996</v>
      </c>
      <c r="I374" s="131">
        <f>0*B374</f>
        <v>0</v>
      </c>
      <c r="J374" s="150">
        <v>0</v>
      </c>
      <c r="K374" s="131">
        <f>B374*85</f>
        <v>16915</v>
      </c>
      <c r="L374" s="132">
        <f t="shared" si="85"/>
        <v>16915</v>
      </c>
      <c r="M374" s="1758">
        <f>L374/(F374*498.5)</f>
        <v>6.1779541523120081</v>
      </c>
      <c r="N374" s="1759"/>
    </row>
    <row r="375" spans="1:21">
      <c r="A375" s="32" t="s">
        <v>56</v>
      </c>
      <c r="B375" s="1444">
        <f>Chino!N119</f>
        <v>90</v>
      </c>
      <c r="C375" s="1422"/>
      <c r="D375" s="1431">
        <f>F375*325851</f>
        <v>117306.36</v>
      </c>
      <c r="E375" s="1422"/>
      <c r="F375" s="1756">
        <f>0.004*B375</f>
        <v>0.36</v>
      </c>
      <c r="G375" s="1757"/>
      <c r="H375" s="893">
        <f>F375*5</f>
        <v>1.7999999999999998</v>
      </c>
      <c r="I375" s="131">
        <f>0*B375</f>
        <v>0</v>
      </c>
      <c r="J375" s="131">
        <f>2*B375</f>
        <v>180</v>
      </c>
      <c r="K375" s="131">
        <f>B375*3</f>
        <v>270</v>
      </c>
      <c r="L375" s="132">
        <f t="shared" si="85"/>
        <v>450</v>
      </c>
      <c r="M375" s="1758">
        <v>0</v>
      </c>
      <c r="N375" s="1759"/>
    </row>
    <row r="376" spans="1:21">
      <c r="A376" s="78" t="s">
        <v>30</v>
      </c>
      <c r="B376" s="1444">
        <f>Chino!N120</f>
        <v>1</v>
      </c>
      <c r="C376" s="1422"/>
      <c r="D376" s="1467">
        <f>F376*325851</f>
        <v>105901.575</v>
      </c>
      <c r="E376" s="1433"/>
      <c r="F376" s="1718">
        <f>0.325*B376</f>
        <v>0.32500000000000001</v>
      </c>
      <c r="G376" s="1719"/>
      <c r="H376" s="892">
        <f>F376*10</f>
        <v>3.25</v>
      </c>
      <c r="I376" s="133">
        <v>0</v>
      </c>
      <c r="J376" s="133">
        <f>45*B376</f>
        <v>45</v>
      </c>
      <c r="K376" s="133">
        <f>B376*80</f>
        <v>80</v>
      </c>
      <c r="L376" s="134">
        <f t="shared" si="85"/>
        <v>125</v>
      </c>
      <c r="M376" s="1758">
        <f>L376/(F376*498.5)</f>
        <v>0.77154540544711048</v>
      </c>
      <c r="N376" s="1759"/>
    </row>
    <row r="377" spans="1:21">
      <c r="A377" s="76" t="s">
        <v>168</v>
      </c>
      <c r="B377" s="1444">
        <v>1</v>
      </c>
      <c r="C377" s="1422"/>
      <c r="D377" s="1467">
        <f>F377*325900</f>
        <v>27375.599999999999</v>
      </c>
      <c r="E377" s="1433"/>
      <c r="F377" s="1718">
        <f>600*0.00014</f>
        <v>8.3999999999999991E-2</v>
      </c>
      <c r="G377" s="1719"/>
      <c r="H377" s="892">
        <f>F377*10</f>
        <v>0.83999999999999986</v>
      </c>
      <c r="I377" s="133">
        <v>0</v>
      </c>
      <c r="J377" s="133">
        <f>600*0.45</f>
        <v>270</v>
      </c>
      <c r="K377" s="133">
        <f>600*0.3</f>
        <v>180</v>
      </c>
      <c r="L377" s="134">
        <f t="shared" si="85"/>
        <v>450</v>
      </c>
      <c r="M377" s="1758">
        <f>L377/(F377*498.5)</f>
        <v>10.746525290156184</v>
      </c>
      <c r="N377" s="1759"/>
    </row>
    <row r="378" spans="1:21" ht="14" thickBot="1">
      <c r="A378" s="76" t="s">
        <v>165</v>
      </c>
      <c r="B378" s="1536">
        <f>Chino!N122</f>
        <v>48</v>
      </c>
      <c r="C378" s="1536"/>
      <c r="D378" s="1447">
        <f>F378*325900</f>
        <v>62572.800000000003</v>
      </c>
      <c r="E378" s="1649"/>
      <c r="F378" s="1557">
        <f>B378*0.004</f>
        <v>0.192</v>
      </c>
      <c r="G378" s="1550"/>
      <c r="H378" s="890">
        <f>F378*5</f>
        <v>0.96</v>
      </c>
      <c r="I378" s="173">
        <v>0</v>
      </c>
      <c r="J378" s="173">
        <v>0</v>
      </c>
      <c r="K378" s="173">
        <f>1200*3</f>
        <v>3600</v>
      </c>
      <c r="L378" s="174">
        <f t="shared" si="85"/>
        <v>3600</v>
      </c>
      <c r="M378" s="1758">
        <f>L378/(F378*498.5)</f>
        <v>37.612838515546642</v>
      </c>
      <c r="N378" s="1759"/>
    </row>
    <row r="379" spans="1:21" ht="14" hidden="1" thickBot="1">
      <c r="A379" s="76" t="s">
        <v>166</v>
      </c>
      <c r="B379" s="1560"/>
      <c r="C379" s="1544"/>
      <c r="D379" s="1458"/>
      <c r="E379" s="1459"/>
      <c r="F379" s="1692"/>
      <c r="G379" s="1602"/>
      <c r="H379" s="790"/>
      <c r="I379" s="286"/>
      <c r="J379" s="286"/>
      <c r="K379" s="286"/>
      <c r="L379" s="174"/>
      <c r="M379" s="1754"/>
      <c r="N379" s="1755"/>
    </row>
    <row r="380" spans="1:21" s="533" customFormat="1" ht="14" thickBot="1">
      <c r="A380" s="53" t="s">
        <v>60</v>
      </c>
      <c r="B380" s="1440">
        <f>SUM(B373:C378)</f>
        <v>344</v>
      </c>
      <c r="C380" s="1609"/>
      <c r="D380" s="1441">
        <f>SUM(D373:E378)</f>
        <v>2172103.7048999998</v>
      </c>
      <c r="E380" s="1609"/>
      <c r="F380" s="1512">
        <f>SUM(F373:G378)</f>
        <v>6.6659000000000006</v>
      </c>
      <c r="G380" s="1575"/>
      <c r="H380" s="894">
        <f>SUM(H373:H378)</f>
        <v>93.48599999999999</v>
      </c>
      <c r="I380" s="136">
        <f>SUM(I373:I378)</f>
        <v>0</v>
      </c>
      <c r="J380" s="136">
        <f>SUM(J373:J378)</f>
        <v>670</v>
      </c>
      <c r="K380" s="136">
        <f>SUM(K373:K378)</f>
        <v>21295</v>
      </c>
      <c r="L380" s="136">
        <f>SUM(L373:L378)</f>
        <v>21965</v>
      </c>
      <c r="M380" s="1610"/>
      <c r="N380" s="1611"/>
      <c r="O380" s="534"/>
      <c r="P380" s="534"/>
      <c r="Q380" s="534"/>
      <c r="R380" s="534"/>
      <c r="S380" s="534"/>
      <c r="T380" s="534"/>
      <c r="U380" s="534"/>
    </row>
    <row r="381" spans="1:21" s="1161" customFormat="1" ht="17" thickBot="1">
      <c r="A381" s="108" t="s">
        <v>125</v>
      </c>
      <c r="B381" s="1456"/>
      <c r="C381" s="1586"/>
      <c r="D381" s="1567"/>
      <c r="E381" s="1586"/>
      <c r="F381" s="1484"/>
      <c r="G381" s="1588"/>
      <c r="H381" s="1145"/>
      <c r="I381" s="161"/>
      <c r="J381" s="161"/>
      <c r="K381" s="161"/>
      <c r="L381" s="162"/>
      <c r="M381" s="1617"/>
      <c r="N381" s="1486"/>
      <c r="O381" s="274"/>
      <c r="P381" s="274"/>
      <c r="Q381" s="274"/>
      <c r="R381" s="274"/>
      <c r="S381" s="274"/>
      <c r="T381" s="274"/>
      <c r="U381" s="274"/>
    </row>
    <row r="382" spans="1:21" ht="14" thickBot="1">
      <c r="A382" s="76" t="s">
        <v>146</v>
      </c>
      <c r="B382" s="1421">
        <f>Chino!N126</f>
        <v>1</v>
      </c>
      <c r="C382" s="1422"/>
      <c r="D382" s="1431">
        <f>F382*325851</f>
        <v>13848.667500000001</v>
      </c>
      <c r="E382" s="1422"/>
      <c r="F382" s="1771">
        <f>0.0425*B382</f>
        <v>4.2500000000000003E-2</v>
      </c>
      <c r="G382" s="1719"/>
      <c r="H382" s="892">
        <f>F382*20</f>
        <v>0.85000000000000009</v>
      </c>
      <c r="I382" s="131">
        <f>73.34*B382</f>
        <v>73.34</v>
      </c>
      <c r="J382" s="131">
        <f>35.66*B382</f>
        <v>35.659999999999997</v>
      </c>
      <c r="K382" s="131">
        <f>B382*50</f>
        <v>50</v>
      </c>
      <c r="L382" s="132">
        <f>I382+J382+K382</f>
        <v>159</v>
      </c>
      <c r="M382" s="1758">
        <v>0</v>
      </c>
      <c r="N382" s="1759"/>
    </row>
    <row r="383" spans="1:21" s="533" customFormat="1" ht="14" thickBot="1">
      <c r="A383" s="53" t="s">
        <v>60</v>
      </c>
      <c r="B383" s="1438">
        <f>SUM(B382)</f>
        <v>1</v>
      </c>
      <c r="C383" s="1609"/>
      <c r="D383" s="1441">
        <f>SUM(D382)</f>
        <v>13848.667500000001</v>
      </c>
      <c r="E383" s="1609"/>
      <c r="F383" s="1857">
        <f>SUM(F382)</f>
        <v>4.2500000000000003E-2</v>
      </c>
      <c r="G383" s="1858"/>
      <c r="H383" s="894">
        <f>SUM(H382)</f>
        <v>0.85000000000000009</v>
      </c>
      <c r="I383" s="136">
        <f>SUM(I382)</f>
        <v>73.34</v>
      </c>
      <c r="J383" s="143">
        <f>SUM(J382)</f>
        <v>35.659999999999997</v>
      </c>
      <c r="K383" s="143">
        <f>SUM(K382)</f>
        <v>50</v>
      </c>
      <c r="L383" s="143">
        <f>SUM(L382)</f>
        <v>159</v>
      </c>
      <c r="M383" s="1610"/>
      <c r="N383" s="1611"/>
      <c r="O383" s="534"/>
      <c r="P383" s="534"/>
      <c r="Q383" s="534"/>
      <c r="R383" s="534"/>
      <c r="S383" s="534"/>
      <c r="T383" s="534"/>
      <c r="U383" s="534"/>
    </row>
    <row r="384" spans="1:21" s="1161" customFormat="1" ht="17" thickBot="1">
      <c r="A384" s="108" t="s">
        <v>50</v>
      </c>
      <c r="B384" s="1456"/>
      <c r="C384" s="1586"/>
      <c r="D384" s="1567"/>
      <c r="E384" s="1586"/>
      <c r="F384" s="1484"/>
      <c r="G384" s="1588"/>
      <c r="H384" s="1145"/>
      <c r="I384" s="161"/>
      <c r="J384" s="161"/>
      <c r="K384" s="161"/>
      <c r="L384" s="162"/>
      <c r="M384" s="1617"/>
      <c r="N384" s="1486"/>
      <c r="O384" s="274"/>
      <c r="P384" s="274"/>
      <c r="Q384" s="274"/>
      <c r="R384" s="274"/>
      <c r="S384" s="274"/>
      <c r="T384" s="274"/>
      <c r="U384" s="274"/>
    </row>
    <row r="385" spans="1:21">
      <c r="A385" s="32" t="s">
        <v>29</v>
      </c>
      <c r="B385" s="1421">
        <f>Chino!N129</f>
        <v>0</v>
      </c>
      <c r="C385" s="1422"/>
      <c r="D385" s="1431">
        <f t="shared" ref="D385:D391" si="86">F385*325851</f>
        <v>0</v>
      </c>
      <c r="E385" s="1422"/>
      <c r="F385" s="1760">
        <f>0.0425*B385</f>
        <v>0</v>
      </c>
      <c r="G385" s="1757"/>
      <c r="H385" s="922">
        <f>F385*20</f>
        <v>0</v>
      </c>
      <c r="I385" s="131">
        <v>0</v>
      </c>
      <c r="J385" s="131">
        <f>135*B385</f>
        <v>0</v>
      </c>
      <c r="K385" s="131">
        <f>165*B385</f>
        <v>0</v>
      </c>
      <c r="L385" s="132">
        <f t="shared" ref="L385:L392" si="87">SUM(I385:K385)</f>
        <v>0</v>
      </c>
      <c r="M385" s="1758">
        <v>0</v>
      </c>
      <c r="N385" s="1759"/>
    </row>
    <row r="386" spans="1:21">
      <c r="A386" s="32" t="s">
        <v>51</v>
      </c>
      <c r="B386" s="1421">
        <f>Chino!N130</f>
        <v>111</v>
      </c>
      <c r="C386" s="1422"/>
      <c r="D386" s="1431">
        <f t="shared" si="86"/>
        <v>4437992.8646999998</v>
      </c>
      <c r="E386" s="1422"/>
      <c r="F386" s="1760">
        <f>0.1227*B386</f>
        <v>13.6197</v>
      </c>
      <c r="G386" s="1757"/>
      <c r="H386" s="922">
        <f>F386*20</f>
        <v>272.39400000000001</v>
      </c>
      <c r="I386" s="131">
        <v>0</v>
      </c>
      <c r="J386" s="131">
        <f>50*B386</f>
        <v>5550</v>
      </c>
      <c r="K386" s="131">
        <f>200*B386</f>
        <v>22200</v>
      </c>
      <c r="L386" s="132">
        <f t="shared" si="87"/>
        <v>27750</v>
      </c>
      <c r="M386" s="1758">
        <f>L386/(F386*498.5)</f>
        <v>4.0872413491493225</v>
      </c>
      <c r="N386" s="1759"/>
    </row>
    <row r="387" spans="1:21" ht="13.5" customHeight="1">
      <c r="A387" s="34" t="s">
        <v>20</v>
      </c>
      <c r="B387" s="1421">
        <f>Chino!N131</f>
        <v>0</v>
      </c>
      <c r="C387" s="1422"/>
      <c r="D387" s="1431">
        <f t="shared" si="86"/>
        <v>0</v>
      </c>
      <c r="E387" s="1422"/>
      <c r="F387" s="1760">
        <f>0.644*B387</f>
        <v>0</v>
      </c>
      <c r="G387" s="1757"/>
      <c r="H387" s="922">
        <f>F387*5</f>
        <v>0</v>
      </c>
      <c r="I387" s="131">
        <v>0</v>
      </c>
      <c r="J387" s="131">
        <f>43.75*B387</f>
        <v>0</v>
      </c>
      <c r="K387" s="131">
        <f>625*B387</f>
        <v>0</v>
      </c>
      <c r="L387" s="132">
        <f t="shared" si="87"/>
        <v>0</v>
      </c>
      <c r="M387" s="1758">
        <v>0</v>
      </c>
      <c r="N387" s="1759"/>
    </row>
    <row r="388" spans="1:21" hidden="1">
      <c r="A388" s="34" t="s">
        <v>13</v>
      </c>
      <c r="B388" s="1421">
        <f>Chino!N132</f>
        <v>0</v>
      </c>
      <c r="C388" s="1422"/>
      <c r="D388" s="1431">
        <f t="shared" si="86"/>
        <v>0</v>
      </c>
      <c r="E388" s="1422"/>
      <c r="F388" s="1760">
        <f>0.0276*B388</f>
        <v>0</v>
      </c>
      <c r="G388" s="1757"/>
      <c r="H388" s="922">
        <f>F388*10</f>
        <v>0</v>
      </c>
      <c r="I388" s="131">
        <v>0</v>
      </c>
      <c r="J388" s="131">
        <f>100*B388</f>
        <v>0</v>
      </c>
      <c r="K388" s="131">
        <f>80*B388</f>
        <v>0</v>
      </c>
      <c r="L388" s="132">
        <f t="shared" si="87"/>
        <v>0</v>
      </c>
      <c r="M388" s="1758">
        <v>0</v>
      </c>
      <c r="N388" s="1759"/>
    </row>
    <row r="389" spans="1:21" hidden="1">
      <c r="A389" s="35" t="s">
        <v>47</v>
      </c>
      <c r="B389" s="1421">
        <f>Chino!N133</f>
        <v>0</v>
      </c>
      <c r="C389" s="1422"/>
      <c r="D389" s="1431">
        <f t="shared" si="86"/>
        <v>0</v>
      </c>
      <c r="E389" s="1422"/>
      <c r="F389" s="1760">
        <f>0.1534*B389</f>
        <v>0</v>
      </c>
      <c r="G389" s="1757"/>
      <c r="H389" s="922">
        <f>F389*5</f>
        <v>0</v>
      </c>
      <c r="I389" s="131">
        <v>0</v>
      </c>
      <c r="J389" s="131">
        <f>0*B389</f>
        <v>0</v>
      </c>
      <c r="K389" s="131">
        <f>150*B389</f>
        <v>0</v>
      </c>
      <c r="L389" s="132">
        <f t="shared" si="87"/>
        <v>0</v>
      </c>
      <c r="M389" s="1758">
        <v>0</v>
      </c>
      <c r="N389" s="1759"/>
    </row>
    <row r="390" spans="1:21">
      <c r="A390" s="76" t="s">
        <v>30</v>
      </c>
      <c r="B390" s="1421">
        <f>Chino!N134</f>
        <v>0</v>
      </c>
      <c r="C390" s="1422"/>
      <c r="D390" s="1431">
        <f t="shared" si="86"/>
        <v>0</v>
      </c>
      <c r="E390" s="1422"/>
      <c r="F390" s="1760">
        <f>0.325*B390</f>
        <v>0</v>
      </c>
      <c r="G390" s="1757"/>
      <c r="H390" s="922">
        <f>F390*10</f>
        <v>0</v>
      </c>
      <c r="I390" s="131">
        <v>0</v>
      </c>
      <c r="J390" s="131">
        <f>120*B390</f>
        <v>0</v>
      </c>
      <c r="K390" s="131">
        <f>200*B390</f>
        <v>0</v>
      </c>
      <c r="L390" s="132">
        <f t="shared" si="87"/>
        <v>0</v>
      </c>
      <c r="M390" s="1758">
        <v>0</v>
      </c>
      <c r="N390" s="1759"/>
    </row>
    <row r="391" spans="1:21">
      <c r="A391" s="76" t="s">
        <v>53</v>
      </c>
      <c r="B391" s="1421">
        <f>Chino!N135</f>
        <v>0</v>
      </c>
      <c r="C391" s="1422"/>
      <c r="D391" s="1431">
        <f t="shared" si="86"/>
        <v>0</v>
      </c>
      <c r="E391" s="1422"/>
      <c r="F391" s="1760">
        <f>0.00014*B391</f>
        <v>0</v>
      </c>
      <c r="G391" s="1757"/>
      <c r="H391" s="922">
        <f>F391*10</f>
        <v>0</v>
      </c>
      <c r="I391" s="131">
        <v>0</v>
      </c>
      <c r="J391" s="131">
        <f>0.45*B391</f>
        <v>0</v>
      </c>
      <c r="K391" s="131">
        <f>0.3*B391</f>
        <v>0</v>
      </c>
      <c r="L391" s="132">
        <f t="shared" si="87"/>
        <v>0</v>
      </c>
      <c r="M391" s="1758">
        <v>0</v>
      </c>
      <c r="N391" s="1759"/>
    </row>
    <row r="392" spans="1:21">
      <c r="A392" s="33" t="s">
        <v>56</v>
      </c>
      <c r="B392" s="1421">
        <f>Chino!N136</f>
        <v>0</v>
      </c>
      <c r="C392" s="1422"/>
      <c r="D392" s="1431">
        <f>F392*325851</f>
        <v>0</v>
      </c>
      <c r="E392" s="1422"/>
      <c r="F392" s="1760">
        <f>0.004*B392</f>
        <v>0</v>
      </c>
      <c r="G392" s="1757"/>
      <c r="H392" s="922">
        <f>F392*5</f>
        <v>0</v>
      </c>
      <c r="I392" s="131">
        <v>0</v>
      </c>
      <c r="J392" s="131">
        <f>0*B392</f>
        <v>0</v>
      </c>
      <c r="K392" s="131">
        <f>4*B392</f>
        <v>0</v>
      </c>
      <c r="L392" s="132">
        <f t="shared" si="87"/>
        <v>0</v>
      </c>
      <c r="M392" s="1758">
        <v>0</v>
      </c>
      <c r="N392" s="1759"/>
    </row>
    <row r="393" spans="1:21" ht="14" thickBot="1">
      <c r="A393" s="76" t="s">
        <v>122</v>
      </c>
      <c r="B393" s="1421">
        <f>Chino!N137</f>
        <v>0</v>
      </c>
      <c r="C393" s="1422"/>
      <c r="D393" s="1431">
        <f>F393*325851</f>
        <v>0</v>
      </c>
      <c r="E393" s="1422"/>
      <c r="F393" s="1760">
        <f>0.018*B393</f>
        <v>0</v>
      </c>
      <c r="G393" s="1757"/>
      <c r="H393" s="922">
        <f>F393*10</f>
        <v>0</v>
      </c>
      <c r="I393" s="131">
        <v>0</v>
      </c>
      <c r="J393" s="131">
        <f>0*B393</f>
        <v>0</v>
      </c>
      <c r="K393" s="131">
        <f>13*B393</f>
        <v>0</v>
      </c>
      <c r="L393" s="132">
        <f>SUM(I393:K393)</f>
        <v>0</v>
      </c>
      <c r="M393" s="1758">
        <v>0</v>
      </c>
      <c r="N393" s="1759"/>
    </row>
    <row r="394" spans="1:21" ht="14" hidden="1" thickBot="1">
      <c r="A394" s="33" t="s">
        <v>102</v>
      </c>
      <c r="B394" s="1421">
        <f>Chino!N138</f>
        <v>0</v>
      </c>
      <c r="C394" s="1422"/>
      <c r="D394" s="1431">
        <f>F394*325851</f>
        <v>0</v>
      </c>
      <c r="E394" s="1422"/>
      <c r="F394" s="1760">
        <f>0.153*B394</f>
        <v>0</v>
      </c>
      <c r="G394" s="1757"/>
      <c r="H394" s="821">
        <f>F394*5</f>
        <v>0</v>
      </c>
      <c r="I394" s="131">
        <v>0</v>
      </c>
      <c r="J394" s="131">
        <f>0*B394</f>
        <v>0</v>
      </c>
      <c r="K394" s="131">
        <f>60*B394</f>
        <v>0</v>
      </c>
      <c r="L394" s="132">
        <f>SUM(I394:K394)</f>
        <v>0</v>
      </c>
      <c r="M394" s="1758">
        <v>0</v>
      </c>
      <c r="N394" s="1759"/>
    </row>
    <row r="395" spans="1:21" ht="14" hidden="1" thickBot="1">
      <c r="A395" s="78" t="s">
        <v>167</v>
      </c>
      <c r="B395" s="1429"/>
      <c r="C395" s="1430"/>
      <c r="D395" s="1744"/>
      <c r="E395" s="1437"/>
      <c r="F395" s="1752"/>
      <c r="G395" s="1753"/>
      <c r="H395" s="814"/>
      <c r="I395" s="334"/>
      <c r="J395" s="334"/>
      <c r="K395" s="334"/>
      <c r="L395" s="134"/>
      <c r="M395" s="1754"/>
      <c r="N395" s="1755"/>
    </row>
    <row r="396" spans="1:21" s="533" customFormat="1" ht="14" thickBot="1">
      <c r="A396" s="53" t="s">
        <v>60</v>
      </c>
      <c r="B396" s="1438">
        <f>SUM(B385:C394)</f>
        <v>111</v>
      </c>
      <c r="C396" s="1609"/>
      <c r="D396" s="1441">
        <f>SUM(D385:E394)</f>
        <v>4437992.8646999998</v>
      </c>
      <c r="E396" s="1439"/>
      <c r="F396" s="1512">
        <f>SUM(F385:G394)</f>
        <v>13.6197</v>
      </c>
      <c r="G396" s="1575"/>
      <c r="H396" s="793">
        <f>SUM(H385:H394)</f>
        <v>272.39400000000001</v>
      </c>
      <c r="I396" s="136">
        <f>SUM(I385:I394)</f>
        <v>0</v>
      </c>
      <c r="J396" s="143">
        <f>SUM(J385:J394)</f>
        <v>5550</v>
      </c>
      <c r="K396" s="143">
        <f>SUM(K385:K394)</f>
        <v>22200</v>
      </c>
      <c r="L396" s="136">
        <f>SUM(L385:L394)</f>
        <v>27750</v>
      </c>
      <c r="M396" s="1610"/>
      <c r="N396" s="1611"/>
      <c r="O396" s="534"/>
      <c r="P396" s="534"/>
      <c r="Q396" s="534"/>
      <c r="R396" s="534"/>
      <c r="S396" s="534"/>
      <c r="T396" s="534"/>
      <c r="U396" s="534"/>
    </row>
    <row r="397" spans="1:21" s="1168" customFormat="1" ht="17" thickBot="1">
      <c r="A397" s="1163" t="s">
        <v>17</v>
      </c>
      <c r="B397" s="1414">
        <f>SUM(B380+B383+B396)</f>
        <v>456</v>
      </c>
      <c r="C397" s="1415"/>
      <c r="D397" s="1416">
        <f>SUM(D380+D383+D396)</f>
        <v>6623945.2370999996</v>
      </c>
      <c r="E397" s="1415"/>
      <c r="F397" s="1487">
        <f>SUM(F380+F383+F396)</f>
        <v>20.328099999999999</v>
      </c>
      <c r="G397" s="1488"/>
      <c r="H397" s="1201">
        <f>SUM(,H380,H383,H396)</f>
        <v>366.73</v>
      </c>
      <c r="I397" s="1169">
        <f>SUM(I380+I383+I396)</f>
        <v>73.34</v>
      </c>
      <c r="J397" s="1169">
        <f>SUM(J380+J383+J396)</f>
        <v>6255.66</v>
      </c>
      <c r="K397" s="1169">
        <f>SUM(K380+K383+K396)</f>
        <v>43545</v>
      </c>
      <c r="L397" s="1169">
        <f>SUM(L380+L383+L396)</f>
        <v>49874</v>
      </c>
      <c r="M397" s="1631"/>
      <c r="N397" s="1640"/>
      <c r="O397" s="121"/>
      <c r="P397" s="121"/>
      <c r="Q397" s="121"/>
      <c r="R397" s="121"/>
      <c r="S397" s="121"/>
      <c r="T397" s="121"/>
      <c r="U397" s="121"/>
    </row>
    <row r="398" spans="1:21">
      <c r="A398" s="50"/>
      <c r="B398" s="20"/>
      <c r="C398" s="20"/>
      <c r="D398" s="20"/>
      <c r="E398" s="20"/>
      <c r="F398" s="422"/>
      <c r="G398" s="422"/>
      <c r="H398" s="422"/>
      <c r="I398" s="21"/>
      <c r="J398" s="21"/>
      <c r="K398" s="21"/>
      <c r="L398" s="21"/>
      <c r="M398" s="18"/>
      <c r="N398" s="18"/>
    </row>
    <row r="399" spans="1:21" ht="15">
      <c r="A399" s="9" t="s">
        <v>18</v>
      </c>
      <c r="B399" s="1419" t="s">
        <v>59</v>
      </c>
      <c r="C399" s="1489"/>
      <c r="D399" s="1489"/>
      <c r="E399" s="1733"/>
      <c r="F399" s="422"/>
      <c r="G399" s="422"/>
      <c r="H399" s="422"/>
      <c r="I399" s="21"/>
      <c r="J399" s="21"/>
      <c r="K399" s="21"/>
      <c r="L399" s="21"/>
      <c r="M399" s="18"/>
      <c r="N399" s="18"/>
    </row>
    <row r="400" spans="1:21">
      <c r="B400" s="1420" t="s">
        <v>19</v>
      </c>
      <c r="C400" s="1420"/>
      <c r="D400" s="1420"/>
      <c r="E400" s="1420"/>
      <c r="F400" s="422"/>
      <c r="G400" s="422"/>
      <c r="H400" s="422"/>
      <c r="I400" s="21"/>
      <c r="J400" s="21"/>
      <c r="K400" s="21"/>
      <c r="L400" s="21"/>
      <c r="M400" s="18"/>
      <c r="N400" s="18"/>
    </row>
    <row r="401" spans="1:21" ht="14" thickBot="1">
      <c r="A401" s="737"/>
      <c r="B401" s="820"/>
      <c r="C401" s="820"/>
      <c r="D401" s="820"/>
      <c r="E401" s="820"/>
      <c r="F401" s="823"/>
      <c r="G401" s="823"/>
      <c r="H401" s="823"/>
      <c r="I401" s="21"/>
      <c r="J401" s="21"/>
      <c r="K401" s="21"/>
      <c r="L401" s="21"/>
      <c r="M401" s="820"/>
      <c r="N401" s="820"/>
    </row>
    <row r="402" spans="1:21" ht="16">
      <c r="A402" s="98"/>
      <c r="B402" s="99"/>
      <c r="C402" s="99"/>
      <c r="D402" s="99"/>
      <c r="E402" s="99"/>
      <c r="F402" s="421"/>
      <c r="G402" s="421"/>
      <c r="H402" s="421"/>
      <c r="I402" s="1468" t="s">
        <v>0</v>
      </c>
      <c r="J402" s="1468"/>
      <c r="K402" s="1468"/>
      <c r="L402" s="1468"/>
      <c r="M402" s="99"/>
      <c r="N402" s="101"/>
    </row>
    <row r="403" spans="1:21" ht="16">
      <c r="A403" s="97"/>
      <c r="B403" s="1469" t="s">
        <v>1</v>
      </c>
      <c r="C403" s="1469"/>
      <c r="D403" s="1469" t="s">
        <v>2</v>
      </c>
      <c r="E403" s="1469"/>
      <c r="F403" s="1470" t="s">
        <v>3</v>
      </c>
      <c r="G403" s="1470"/>
      <c r="H403" s="794" t="s">
        <v>3</v>
      </c>
      <c r="I403" s="127" t="s">
        <v>195</v>
      </c>
      <c r="J403" s="102"/>
      <c r="K403" s="102"/>
      <c r="L403" s="128"/>
      <c r="M403" s="1469" t="s">
        <v>4</v>
      </c>
      <c r="N403" s="1526"/>
    </row>
    <row r="404" spans="1:21" ht="19" thickBot="1">
      <c r="A404" s="103" t="s">
        <v>5</v>
      </c>
      <c r="B404" s="1473" t="s">
        <v>6</v>
      </c>
      <c r="C404" s="1473"/>
      <c r="D404" s="1473" t="s">
        <v>7</v>
      </c>
      <c r="E404" s="1473"/>
      <c r="F404" s="1474" t="s">
        <v>7</v>
      </c>
      <c r="G404" s="1474"/>
      <c r="H404" s="796" t="s">
        <v>58</v>
      </c>
      <c r="I404" s="797" t="s">
        <v>196</v>
      </c>
      <c r="J404" s="795" t="s">
        <v>8</v>
      </c>
      <c r="K404" s="795" t="s">
        <v>9</v>
      </c>
      <c r="L404" s="401" t="s">
        <v>10</v>
      </c>
      <c r="M404" s="1473" t="s">
        <v>145</v>
      </c>
      <c r="N404" s="1475"/>
    </row>
    <row r="405" spans="1:21" ht="24" thickBot="1">
      <c r="A405" s="88" t="s">
        <v>144</v>
      </c>
      <c r="B405" s="1751"/>
      <c r="C405" s="1477"/>
      <c r="D405" s="1478"/>
      <c r="E405" s="1479"/>
      <c r="F405" s="1480"/>
      <c r="G405" s="1481"/>
      <c r="H405" s="819"/>
      <c r="I405" s="7"/>
      <c r="J405" s="7"/>
      <c r="K405" s="7"/>
      <c r="L405" s="8"/>
      <c r="M405" s="1764"/>
      <c r="N405" s="1765"/>
    </row>
    <row r="406" spans="1:21" s="1161" customFormat="1" ht="17" thickBot="1">
      <c r="A406" s="108" t="s">
        <v>48</v>
      </c>
      <c r="B406" s="1457"/>
      <c r="C406" s="1586"/>
      <c r="D406" s="1567"/>
      <c r="E406" s="1586"/>
      <c r="F406" s="1587"/>
      <c r="G406" s="1588"/>
      <c r="H406" s="1145"/>
      <c r="I406" s="109"/>
      <c r="J406" s="109"/>
      <c r="K406" s="109"/>
      <c r="L406" s="1141"/>
      <c r="M406" s="1617"/>
      <c r="N406" s="1486"/>
      <c r="O406" s="274"/>
      <c r="P406" s="274"/>
      <c r="Q406" s="274"/>
      <c r="R406" s="274"/>
      <c r="S406" s="274"/>
      <c r="T406" s="274"/>
      <c r="U406" s="274"/>
    </row>
    <row r="407" spans="1:21" hidden="1">
      <c r="A407" s="32" t="s">
        <v>28</v>
      </c>
      <c r="B407" s="1444">
        <f>Chino!N79</f>
        <v>0</v>
      </c>
      <c r="C407" s="1422"/>
      <c r="D407" s="1431">
        <f t="shared" ref="D407:D413" si="88">F407*325851</f>
        <v>0</v>
      </c>
      <c r="E407" s="1422"/>
      <c r="F407" s="1756">
        <f>0.0379*B407</f>
        <v>0</v>
      </c>
      <c r="G407" s="1757"/>
      <c r="H407" s="821">
        <f>F407*20</f>
        <v>0</v>
      </c>
      <c r="I407" s="131">
        <v>0</v>
      </c>
      <c r="J407" s="131">
        <f>0*B407</f>
        <v>0</v>
      </c>
      <c r="K407" s="131">
        <f>60*B407</f>
        <v>0</v>
      </c>
      <c r="L407" s="132">
        <f t="shared" ref="L407:L413" si="89">I407+J407+K407</f>
        <v>0</v>
      </c>
      <c r="M407" s="1758">
        <v>0</v>
      </c>
      <c r="N407" s="1759"/>
    </row>
    <row r="408" spans="1:21">
      <c r="A408" s="32" t="s">
        <v>29</v>
      </c>
      <c r="B408" s="1444">
        <f>Chino!N80</f>
        <v>147</v>
      </c>
      <c r="C408" s="1422"/>
      <c r="D408" s="1431">
        <f t="shared" si="88"/>
        <v>2035754.1225000001</v>
      </c>
      <c r="E408" s="1422"/>
      <c r="F408" s="1756">
        <f>0.0425*B408</f>
        <v>6.2475000000000005</v>
      </c>
      <c r="G408" s="1757"/>
      <c r="H408" s="893">
        <f>F408*20</f>
        <v>124.95000000000002</v>
      </c>
      <c r="I408" s="131">
        <v>0</v>
      </c>
      <c r="J408" s="131">
        <f>35*B408</f>
        <v>5145</v>
      </c>
      <c r="K408" s="131">
        <f>B408*50</f>
        <v>7350</v>
      </c>
      <c r="L408" s="132">
        <f t="shared" si="89"/>
        <v>12495</v>
      </c>
      <c r="M408" s="1758">
        <f t="shared" ref="M408:M413" si="90">L408/(F408*498.5)</f>
        <v>4.0120361083249749</v>
      </c>
      <c r="N408" s="1759"/>
    </row>
    <row r="409" spans="1:21">
      <c r="A409" s="32" t="s">
        <v>33</v>
      </c>
      <c r="B409" s="1444">
        <f>Chino!N81</f>
        <v>49</v>
      </c>
      <c r="C409" s="1422"/>
      <c r="D409" s="1431">
        <f t="shared" si="88"/>
        <v>440680.89240000001</v>
      </c>
      <c r="E409" s="1422"/>
      <c r="F409" s="1756">
        <f>0.0276*B409</f>
        <v>1.3524</v>
      </c>
      <c r="G409" s="1757"/>
      <c r="H409" s="893">
        <f>F409*15</f>
        <v>20.286000000000001</v>
      </c>
      <c r="I409" s="131">
        <f>0*B409</f>
        <v>0</v>
      </c>
      <c r="J409" s="131">
        <f>50*B409</f>
        <v>2450</v>
      </c>
      <c r="K409" s="131">
        <f>B409*110</f>
        <v>5390</v>
      </c>
      <c r="L409" s="132">
        <f t="shared" si="89"/>
        <v>7840</v>
      </c>
      <c r="M409" s="1758">
        <f t="shared" si="90"/>
        <v>11.629090169057898</v>
      </c>
      <c r="N409" s="1759"/>
    </row>
    <row r="410" spans="1:21">
      <c r="A410" s="32" t="s">
        <v>56</v>
      </c>
      <c r="B410" s="1444">
        <f>Chino!N82</f>
        <v>0</v>
      </c>
      <c r="C410" s="1422"/>
      <c r="D410" s="1431">
        <f t="shared" si="88"/>
        <v>0</v>
      </c>
      <c r="E410" s="1422"/>
      <c r="F410" s="1756">
        <f>0.004*B410</f>
        <v>0</v>
      </c>
      <c r="G410" s="1757"/>
      <c r="H410" s="922">
        <f>F410*5</f>
        <v>0</v>
      </c>
      <c r="I410" s="131">
        <f>0*B410</f>
        <v>0</v>
      </c>
      <c r="J410" s="131">
        <f>2*B410</f>
        <v>0</v>
      </c>
      <c r="K410" s="131">
        <f>B410*4</f>
        <v>0</v>
      </c>
      <c r="L410" s="132">
        <f t="shared" si="89"/>
        <v>0</v>
      </c>
      <c r="M410" s="1758">
        <v>0</v>
      </c>
      <c r="N410" s="1759"/>
    </row>
    <row r="411" spans="1:21">
      <c r="A411" s="78" t="s">
        <v>30</v>
      </c>
      <c r="B411" s="1444">
        <f>Chino!N83</f>
        <v>1</v>
      </c>
      <c r="C411" s="1422"/>
      <c r="D411" s="1467">
        <f t="shared" si="88"/>
        <v>105901.575</v>
      </c>
      <c r="E411" s="1433"/>
      <c r="F411" s="1718">
        <f>0.325*B411</f>
        <v>0.32500000000000001</v>
      </c>
      <c r="G411" s="1719"/>
      <c r="H411" s="918">
        <f>F411*10</f>
        <v>3.25</v>
      </c>
      <c r="I411" s="133">
        <v>0</v>
      </c>
      <c r="J411" s="133">
        <f>45*B411</f>
        <v>45</v>
      </c>
      <c r="K411" s="133">
        <f>B411*80</f>
        <v>80</v>
      </c>
      <c r="L411" s="134">
        <f t="shared" si="89"/>
        <v>125</v>
      </c>
      <c r="M411" s="1758">
        <f t="shared" si="90"/>
        <v>0.77154540544711048</v>
      </c>
      <c r="N411" s="1759"/>
    </row>
    <row r="412" spans="1:21">
      <c r="A412" s="76" t="s">
        <v>156</v>
      </c>
      <c r="B412" s="1444">
        <f>Chino!N84</f>
        <v>0</v>
      </c>
      <c r="C412" s="1422"/>
      <c r="D412" s="1447">
        <f t="shared" si="88"/>
        <v>0</v>
      </c>
      <c r="E412" s="1448"/>
      <c r="F412" s="1557">
        <v>0</v>
      </c>
      <c r="G412" s="1558"/>
      <c r="H412" s="908">
        <f>F412*10</f>
        <v>0</v>
      </c>
      <c r="I412" s="173">
        <v>0</v>
      </c>
      <c r="J412" s="173">
        <v>0</v>
      </c>
      <c r="K412" s="173">
        <f>B412*0</f>
        <v>0</v>
      </c>
      <c r="L412" s="174">
        <f t="shared" si="89"/>
        <v>0</v>
      </c>
      <c r="M412" s="1539">
        <v>0</v>
      </c>
      <c r="N412" s="1540"/>
    </row>
    <row r="413" spans="1:21" ht="14" thickBot="1">
      <c r="A413" s="76" t="s">
        <v>151</v>
      </c>
      <c r="B413" s="1444">
        <f>Chino!N85</f>
        <v>3</v>
      </c>
      <c r="C413" s="1422"/>
      <c r="D413" s="1467">
        <f t="shared" si="88"/>
        <v>64049.272559999998</v>
      </c>
      <c r="E413" s="1433"/>
      <c r="F413" s="1718">
        <f>0.00014*1404</f>
        <v>0.19655999999999998</v>
      </c>
      <c r="G413" s="1719"/>
      <c r="H413" s="892">
        <f>F413*10</f>
        <v>1.9655999999999998</v>
      </c>
      <c r="I413" s="133">
        <v>0</v>
      </c>
      <c r="J413" s="133">
        <f>0.45*1404</f>
        <v>631.80000000000007</v>
      </c>
      <c r="K413" s="133">
        <f>1404*0.3</f>
        <v>421.2</v>
      </c>
      <c r="L413" s="134">
        <f t="shared" si="89"/>
        <v>1053</v>
      </c>
      <c r="M413" s="1758">
        <f t="shared" si="90"/>
        <v>10.746525290156184</v>
      </c>
      <c r="N413" s="1759"/>
    </row>
    <row r="414" spans="1:21" s="533" customFormat="1" ht="14" thickBot="1">
      <c r="A414" s="53" t="s">
        <v>60</v>
      </c>
      <c r="B414" s="1438">
        <f>SUM(B407:C413)</f>
        <v>200</v>
      </c>
      <c r="C414" s="1609"/>
      <c r="D414" s="1440">
        <f>SUM(D407:E413)</f>
        <v>2646385.86246</v>
      </c>
      <c r="E414" s="1621"/>
      <c r="F414" s="1511">
        <f>SUM(F407:G413)</f>
        <v>8.1214600000000008</v>
      </c>
      <c r="G414" s="1575"/>
      <c r="H414" s="793">
        <f>SUM(H407:H413)</f>
        <v>150.45160000000001</v>
      </c>
      <c r="I414" s="143">
        <f>SUM(I407:I413)</f>
        <v>0</v>
      </c>
      <c r="J414" s="143">
        <f>SUM(J407:J413)</f>
        <v>8271.7999999999993</v>
      </c>
      <c r="K414" s="143">
        <f>SUM(K407:K413)</f>
        <v>13241.2</v>
      </c>
      <c r="L414" s="152">
        <f>SUM(L407:L413)</f>
        <v>21513</v>
      </c>
      <c r="M414" s="1610"/>
      <c r="N414" s="1611"/>
      <c r="O414" s="534"/>
      <c r="P414" s="534"/>
      <c r="Q414" s="534"/>
      <c r="R414" s="534"/>
      <c r="S414" s="534"/>
      <c r="T414" s="534"/>
      <c r="U414" s="534"/>
    </row>
    <row r="415" spans="1:21" s="1161" customFormat="1" ht="17" thickBot="1">
      <c r="A415" s="108" t="s">
        <v>125</v>
      </c>
      <c r="B415" s="1456"/>
      <c r="C415" s="1586"/>
      <c r="D415" s="1457"/>
      <c r="E415" s="1586"/>
      <c r="F415" s="1587"/>
      <c r="G415" s="1588"/>
      <c r="H415" s="1145"/>
      <c r="I415" s="161"/>
      <c r="J415" s="161"/>
      <c r="K415" s="161"/>
      <c r="L415" s="162"/>
      <c r="M415" s="1617"/>
      <c r="N415" s="1486"/>
      <c r="O415" s="274"/>
      <c r="P415" s="274"/>
      <c r="Q415" s="274"/>
      <c r="R415" s="274"/>
      <c r="S415" s="274"/>
      <c r="T415" s="274"/>
      <c r="U415" s="274"/>
    </row>
    <row r="416" spans="1:21" ht="14" thickBot="1">
      <c r="A416" s="76" t="s">
        <v>146</v>
      </c>
      <c r="B416" s="1421">
        <f>Chino!N88</f>
        <v>0</v>
      </c>
      <c r="C416" s="1422"/>
      <c r="D416" s="1444">
        <f>F416*325851</f>
        <v>0</v>
      </c>
      <c r="E416" s="1422"/>
      <c r="F416" s="1710">
        <f>0.0425*B416</f>
        <v>0</v>
      </c>
      <c r="G416" s="1711"/>
      <c r="H416" s="811">
        <f>F416*20</f>
        <v>0</v>
      </c>
      <c r="I416" s="131">
        <f>73.34*B416</f>
        <v>0</v>
      </c>
      <c r="J416" s="131">
        <f>35.66*B416</f>
        <v>0</v>
      </c>
      <c r="K416" s="131">
        <f>B416*165</f>
        <v>0</v>
      </c>
      <c r="L416" s="132">
        <f>I416+J416+K416</f>
        <v>0</v>
      </c>
      <c r="M416" s="1758">
        <v>0</v>
      </c>
      <c r="N416" s="1759"/>
    </row>
    <row r="417" spans="1:21" s="533" customFormat="1" ht="14" thickBot="1">
      <c r="A417" s="53" t="s">
        <v>60</v>
      </c>
      <c r="B417" s="1438">
        <f>SUM(B416)</f>
        <v>0</v>
      </c>
      <c r="C417" s="1609"/>
      <c r="D417" s="1440">
        <f>SUM(D416)</f>
        <v>0</v>
      </c>
      <c r="E417" s="1609"/>
      <c r="F417" s="1618">
        <f>SUM(F416)</f>
        <v>0</v>
      </c>
      <c r="G417" s="1575"/>
      <c r="H417" s="793">
        <f>SUM(H416)</f>
        <v>0</v>
      </c>
      <c r="I417" s="136">
        <f>SUM(I416)</f>
        <v>0</v>
      </c>
      <c r="J417" s="143">
        <f>SUM(J416)</f>
        <v>0</v>
      </c>
      <c r="K417" s="143">
        <f>SUM(K416)</f>
        <v>0</v>
      </c>
      <c r="L417" s="136">
        <f>SUM(L416)</f>
        <v>0</v>
      </c>
      <c r="M417" s="1610"/>
      <c r="N417" s="1611"/>
      <c r="O417" s="534"/>
      <c r="P417" s="534"/>
      <c r="Q417" s="534"/>
      <c r="R417" s="534"/>
      <c r="S417" s="534"/>
      <c r="T417" s="534"/>
      <c r="U417" s="534"/>
    </row>
    <row r="418" spans="1:21" s="1161" customFormat="1" ht="17" thickBot="1">
      <c r="A418" s="108" t="s">
        <v>50</v>
      </c>
      <c r="B418" s="1456"/>
      <c r="C418" s="1586"/>
      <c r="D418" s="1457"/>
      <c r="E418" s="1586"/>
      <c r="F418" s="1587"/>
      <c r="G418" s="1588"/>
      <c r="H418" s="1145"/>
      <c r="I418" s="161"/>
      <c r="J418" s="161"/>
      <c r="K418" s="161"/>
      <c r="L418" s="162"/>
      <c r="M418" s="1617"/>
      <c r="N418" s="1486"/>
      <c r="O418" s="274"/>
      <c r="P418" s="274"/>
      <c r="Q418" s="274"/>
      <c r="R418" s="274"/>
      <c r="S418" s="274"/>
      <c r="T418" s="274"/>
      <c r="U418" s="274"/>
    </row>
    <row r="419" spans="1:21" hidden="1">
      <c r="A419" s="36" t="s">
        <v>26</v>
      </c>
      <c r="B419" s="1421">
        <f>Chino!N91</f>
        <v>0</v>
      </c>
      <c r="C419" s="1422"/>
      <c r="D419" s="1444">
        <f t="shared" ref="D419:D427" si="91">F419*325851</f>
        <v>0</v>
      </c>
      <c r="E419" s="1422"/>
      <c r="F419" s="1720">
        <f>0.0379*B419</f>
        <v>0</v>
      </c>
      <c r="G419" s="1721"/>
      <c r="H419" s="807">
        <f>F419*20</f>
        <v>0</v>
      </c>
      <c r="I419" s="131">
        <v>0</v>
      </c>
      <c r="J419" s="131">
        <f>35.66*B419</f>
        <v>0</v>
      </c>
      <c r="K419" s="131">
        <f>135*B419</f>
        <v>0</v>
      </c>
      <c r="L419" s="132">
        <f>SUM(I419:K419)</f>
        <v>0</v>
      </c>
      <c r="M419" s="1758">
        <v>0</v>
      </c>
      <c r="N419" s="1759"/>
    </row>
    <row r="420" spans="1:21">
      <c r="A420" s="34" t="s">
        <v>25</v>
      </c>
      <c r="B420" s="1421">
        <f>Chino!N92</f>
        <v>0</v>
      </c>
      <c r="C420" s="1422"/>
      <c r="D420" s="1444">
        <f t="shared" si="91"/>
        <v>0</v>
      </c>
      <c r="E420" s="1422"/>
      <c r="F420" s="1756">
        <f>0.0379*B420</f>
        <v>0</v>
      </c>
      <c r="G420" s="1757"/>
      <c r="H420" s="922">
        <f>F420*20</f>
        <v>0</v>
      </c>
      <c r="I420" s="131">
        <v>0</v>
      </c>
      <c r="J420" s="131">
        <f>0*B420</f>
        <v>0</v>
      </c>
      <c r="K420" s="131">
        <f>60*B420</f>
        <v>0</v>
      </c>
      <c r="L420" s="132">
        <f t="shared" ref="L420:L428" si="92">SUM(I420:K420)</f>
        <v>0</v>
      </c>
      <c r="M420" s="1758">
        <v>0</v>
      </c>
      <c r="N420" s="1759"/>
    </row>
    <row r="421" spans="1:21">
      <c r="A421" s="32" t="s">
        <v>29</v>
      </c>
      <c r="B421" s="1421">
        <f>Chino!N93</f>
        <v>101</v>
      </c>
      <c r="C421" s="1422"/>
      <c r="D421" s="1444">
        <f t="shared" si="91"/>
        <v>1398715.4175000002</v>
      </c>
      <c r="E421" s="1422"/>
      <c r="F421" s="1756">
        <f>0.0425*B421</f>
        <v>4.2925000000000004</v>
      </c>
      <c r="G421" s="1757"/>
      <c r="H421" s="922">
        <f>F421*20</f>
        <v>85.850000000000009</v>
      </c>
      <c r="I421" s="131">
        <v>0</v>
      </c>
      <c r="J421" s="131">
        <f>135*B421</f>
        <v>13635</v>
      </c>
      <c r="K421" s="131">
        <f>165*B421</f>
        <v>16665</v>
      </c>
      <c r="L421" s="132">
        <f t="shared" si="92"/>
        <v>30300</v>
      </c>
      <c r="M421" s="1758">
        <f>L421/(F421*498.5)</f>
        <v>14.160127441146969</v>
      </c>
      <c r="N421" s="1759"/>
    </row>
    <row r="422" spans="1:21">
      <c r="A422" s="32" t="s">
        <v>51</v>
      </c>
      <c r="B422" s="1421">
        <f>Chino!N94</f>
        <v>15</v>
      </c>
      <c r="C422" s="1422"/>
      <c r="D422" s="1444">
        <f t="shared" si="91"/>
        <v>599728.76549999998</v>
      </c>
      <c r="E422" s="1422"/>
      <c r="F422" s="1756">
        <f>0.1227*B422</f>
        <v>1.8405</v>
      </c>
      <c r="G422" s="1757"/>
      <c r="H422" s="922">
        <f>F422*20</f>
        <v>36.81</v>
      </c>
      <c r="I422" s="131">
        <v>0</v>
      </c>
      <c r="J422" s="131">
        <f>0*B422</f>
        <v>0</v>
      </c>
      <c r="K422" s="131">
        <f>400*B422</f>
        <v>6000</v>
      </c>
      <c r="L422" s="132">
        <f t="shared" si="92"/>
        <v>6000</v>
      </c>
      <c r="M422" s="1758">
        <f>L422/(F422*498.5)</f>
        <v>6.5395861586389161</v>
      </c>
      <c r="N422" s="1759"/>
    </row>
    <row r="423" spans="1:21">
      <c r="A423" s="34" t="s">
        <v>20</v>
      </c>
      <c r="B423" s="1421">
        <f>Chino!N95</f>
        <v>0</v>
      </c>
      <c r="C423" s="1422"/>
      <c r="D423" s="1444">
        <f t="shared" si="91"/>
        <v>0</v>
      </c>
      <c r="E423" s="1422"/>
      <c r="F423" s="1756">
        <f>0.644*B423</f>
        <v>0</v>
      </c>
      <c r="G423" s="1757"/>
      <c r="H423" s="922">
        <f>F423*5</f>
        <v>0</v>
      </c>
      <c r="I423" s="131">
        <v>0</v>
      </c>
      <c r="J423" s="131">
        <f>43.75*B423</f>
        <v>0</v>
      </c>
      <c r="K423" s="131">
        <f>625*B423</f>
        <v>0</v>
      </c>
      <c r="L423" s="132">
        <f t="shared" si="92"/>
        <v>0</v>
      </c>
      <c r="M423" s="1758">
        <v>0</v>
      </c>
      <c r="N423" s="1759"/>
    </row>
    <row r="424" spans="1:21">
      <c r="A424" s="34" t="s">
        <v>13</v>
      </c>
      <c r="B424" s="1421">
        <f>Chino!N96</f>
        <v>0</v>
      </c>
      <c r="C424" s="1422"/>
      <c r="D424" s="1444">
        <f t="shared" si="91"/>
        <v>0</v>
      </c>
      <c r="E424" s="1422"/>
      <c r="F424" s="1756">
        <f>0.0276*B424</f>
        <v>0</v>
      </c>
      <c r="G424" s="1757"/>
      <c r="H424" s="922">
        <f>F424*10</f>
        <v>0</v>
      </c>
      <c r="I424" s="131">
        <v>0</v>
      </c>
      <c r="J424" s="131">
        <f>100*B424</f>
        <v>0</v>
      </c>
      <c r="K424" s="131">
        <f>80*B424</f>
        <v>0</v>
      </c>
      <c r="L424" s="132">
        <f t="shared" si="92"/>
        <v>0</v>
      </c>
      <c r="M424" s="1758">
        <v>0</v>
      </c>
      <c r="N424" s="1759"/>
    </row>
    <row r="425" spans="1:21" hidden="1">
      <c r="A425" s="35" t="s">
        <v>47</v>
      </c>
      <c r="B425" s="1421">
        <f>Chino!N97</f>
        <v>0</v>
      </c>
      <c r="C425" s="1422"/>
      <c r="D425" s="1444">
        <f t="shared" si="91"/>
        <v>0</v>
      </c>
      <c r="E425" s="1422"/>
      <c r="F425" s="1756">
        <f>0.1534*B425</f>
        <v>0</v>
      </c>
      <c r="G425" s="1757"/>
      <c r="H425" s="922">
        <f>F425*5</f>
        <v>0</v>
      </c>
      <c r="I425" s="131">
        <v>0</v>
      </c>
      <c r="J425" s="131">
        <f>0*B425</f>
        <v>0</v>
      </c>
      <c r="K425" s="131">
        <f>150*B425</f>
        <v>0</v>
      </c>
      <c r="L425" s="132">
        <f t="shared" si="92"/>
        <v>0</v>
      </c>
      <c r="M425" s="1758">
        <v>0</v>
      </c>
      <c r="N425" s="1759"/>
    </row>
    <row r="426" spans="1:21">
      <c r="A426" s="76" t="s">
        <v>30</v>
      </c>
      <c r="B426" s="1421">
        <f>Chino!N98</f>
        <v>1</v>
      </c>
      <c r="C426" s="1422"/>
      <c r="D426" s="1444">
        <f t="shared" si="91"/>
        <v>105901.575</v>
      </c>
      <c r="E426" s="1422"/>
      <c r="F426" s="1756">
        <f>0.325*B426</f>
        <v>0.32500000000000001</v>
      </c>
      <c r="G426" s="1757"/>
      <c r="H426" s="922">
        <f>F426*10</f>
        <v>3.25</v>
      </c>
      <c r="I426" s="131">
        <v>0</v>
      </c>
      <c r="J426" s="131">
        <f>120*B426</f>
        <v>120</v>
      </c>
      <c r="K426" s="131">
        <f>200*B426</f>
        <v>200</v>
      </c>
      <c r="L426" s="132">
        <f t="shared" si="92"/>
        <v>320</v>
      </c>
      <c r="M426" s="1758">
        <f>L426/(F426*498.5)</f>
        <v>1.9751562379446028</v>
      </c>
      <c r="N426" s="1759"/>
    </row>
    <row r="427" spans="1:21">
      <c r="A427" s="76" t="s">
        <v>53</v>
      </c>
      <c r="B427" s="1421">
        <f>Chino!N99</f>
        <v>0</v>
      </c>
      <c r="C427" s="1422"/>
      <c r="D427" s="1444">
        <f t="shared" si="91"/>
        <v>0</v>
      </c>
      <c r="E427" s="1422"/>
      <c r="F427" s="1756">
        <f>0.00014*B427</f>
        <v>0</v>
      </c>
      <c r="G427" s="1757"/>
      <c r="H427" s="922">
        <f>F427*10</f>
        <v>0</v>
      </c>
      <c r="I427" s="131">
        <v>0</v>
      </c>
      <c r="J427" s="131">
        <f>0.45*B427</f>
        <v>0</v>
      </c>
      <c r="K427" s="131">
        <f>0.3*B427</f>
        <v>0</v>
      </c>
      <c r="L427" s="132">
        <f t="shared" si="92"/>
        <v>0</v>
      </c>
      <c r="M427" s="1758">
        <v>0</v>
      </c>
      <c r="N427" s="1759"/>
    </row>
    <row r="428" spans="1:21">
      <c r="A428" s="33" t="s">
        <v>56</v>
      </c>
      <c r="B428" s="1421">
        <f>Chino!N100</f>
        <v>0</v>
      </c>
      <c r="C428" s="1422"/>
      <c r="D428" s="1444">
        <f>F428*325851</f>
        <v>0</v>
      </c>
      <c r="E428" s="1422"/>
      <c r="F428" s="1756">
        <f>0.004*B428</f>
        <v>0</v>
      </c>
      <c r="G428" s="1757"/>
      <c r="H428" s="922">
        <f>F428*5</f>
        <v>0</v>
      </c>
      <c r="I428" s="131">
        <v>0</v>
      </c>
      <c r="J428" s="131">
        <f>0*B428</f>
        <v>0</v>
      </c>
      <c r="K428" s="131">
        <f>4*B428</f>
        <v>0</v>
      </c>
      <c r="L428" s="132">
        <f t="shared" si="92"/>
        <v>0</v>
      </c>
      <c r="M428" s="1758">
        <v>0</v>
      </c>
      <c r="N428" s="1759"/>
    </row>
    <row r="429" spans="1:21" hidden="1">
      <c r="A429" s="76" t="s">
        <v>122</v>
      </c>
      <c r="B429" s="1421">
        <f>Chino!N101</f>
        <v>0</v>
      </c>
      <c r="C429" s="1422"/>
      <c r="D429" s="1444">
        <f>F429*325851</f>
        <v>0</v>
      </c>
      <c r="E429" s="1422"/>
      <c r="F429" s="1756">
        <f>0.018*B429</f>
        <v>0</v>
      </c>
      <c r="G429" s="1757"/>
      <c r="H429" s="922">
        <f>F429*10</f>
        <v>0</v>
      </c>
      <c r="I429" s="131">
        <v>0</v>
      </c>
      <c r="J429" s="131">
        <f>0*B429</f>
        <v>0</v>
      </c>
      <c r="K429" s="131">
        <f>13*B429</f>
        <v>0</v>
      </c>
      <c r="L429" s="132">
        <f>SUM(I429:K429)</f>
        <v>0</v>
      </c>
      <c r="M429" s="1758">
        <v>0</v>
      </c>
      <c r="N429" s="1759"/>
    </row>
    <row r="430" spans="1:21" ht="14" thickBot="1">
      <c r="A430" s="33" t="s">
        <v>102</v>
      </c>
      <c r="B430" s="1421">
        <f>Chino!N102</f>
        <v>0</v>
      </c>
      <c r="C430" s="1422"/>
      <c r="D430" s="1444">
        <f>F430*325851</f>
        <v>0</v>
      </c>
      <c r="E430" s="1422"/>
      <c r="F430" s="1756">
        <f>0.153*B430</f>
        <v>0</v>
      </c>
      <c r="G430" s="1757"/>
      <c r="H430" s="922">
        <f>F430*5</f>
        <v>0</v>
      </c>
      <c r="I430" s="131">
        <v>0</v>
      </c>
      <c r="J430" s="131">
        <f>0*B430</f>
        <v>0</v>
      </c>
      <c r="K430" s="131">
        <f>60*B430</f>
        <v>0</v>
      </c>
      <c r="L430" s="132">
        <f>SUM(I430:K430)</f>
        <v>0</v>
      </c>
      <c r="M430" s="1758">
        <v>0</v>
      </c>
      <c r="N430" s="1759"/>
    </row>
    <row r="431" spans="1:21" s="533" customFormat="1" ht="14" thickBot="1">
      <c r="A431" s="53" t="s">
        <v>60</v>
      </c>
      <c r="B431" s="1438">
        <f>SUM(B419:C430)</f>
        <v>117</v>
      </c>
      <c r="C431" s="1609"/>
      <c r="D431" s="1440">
        <f>SUM(D419:E430)</f>
        <v>2104345.7580000004</v>
      </c>
      <c r="E431" s="1440"/>
      <c r="F431" s="1511">
        <f>SUM(F419:G430)</f>
        <v>6.4580000000000011</v>
      </c>
      <c r="G431" s="1575"/>
      <c r="H431" s="793">
        <f>SUM(H419:H430)</f>
        <v>125.91000000000001</v>
      </c>
      <c r="I431" s="136">
        <f>SUM(I419:I430)</f>
        <v>0</v>
      </c>
      <c r="J431" s="143">
        <f>SUM(J419:J430)</f>
        <v>13755</v>
      </c>
      <c r="K431" s="143">
        <f>SUM(K419:K430)</f>
        <v>22865</v>
      </c>
      <c r="L431" s="136">
        <f>SUM(L419:L430)</f>
        <v>36620</v>
      </c>
      <c r="M431" s="1610"/>
      <c r="N431" s="1611"/>
      <c r="O431" s="534"/>
      <c r="P431" s="534"/>
      <c r="Q431" s="534"/>
      <c r="R431" s="534"/>
      <c r="S431" s="534"/>
      <c r="T431" s="534"/>
      <c r="U431" s="534"/>
    </row>
    <row r="432" spans="1:21" s="91" customFormat="1" ht="17" hidden="1" thickBot="1">
      <c r="A432" s="108" t="s">
        <v>54</v>
      </c>
      <c r="B432" s="1456"/>
      <c r="C432" s="1586"/>
      <c r="D432" s="800"/>
      <c r="E432" s="799"/>
      <c r="F432" s="801"/>
      <c r="G432" s="802"/>
      <c r="H432" s="802"/>
      <c r="I432" s="161"/>
      <c r="J432" s="161"/>
      <c r="K432" s="161"/>
      <c r="L432" s="162"/>
      <c r="M432" s="845"/>
      <c r="N432" s="846"/>
      <c r="O432" s="274"/>
      <c r="P432" s="274"/>
      <c r="Q432" s="274"/>
      <c r="R432" s="274"/>
      <c r="S432" s="274"/>
      <c r="T432" s="274"/>
      <c r="U432" s="274"/>
    </row>
    <row r="433" spans="1:21" ht="14" hidden="1" thickBot="1">
      <c r="A433" s="36" t="s">
        <v>29</v>
      </c>
      <c r="B433" s="1421">
        <f>Chino!N105</f>
        <v>0</v>
      </c>
      <c r="C433" s="1422"/>
      <c r="D433" s="1444">
        <f t="shared" ref="D433:D438" si="93">F433*325851</f>
        <v>0</v>
      </c>
      <c r="E433" s="1422"/>
      <c r="F433" s="1720">
        <f>0.0425*B433</f>
        <v>0</v>
      </c>
      <c r="G433" s="1721"/>
      <c r="H433" s="807">
        <f>F433*20</f>
        <v>0</v>
      </c>
      <c r="I433" s="131">
        <v>0</v>
      </c>
      <c r="J433" s="131">
        <f>35.66*B433</f>
        <v>0</v>
      </c>
      <c r="K433" s="131">
        <f>0*B433</f>
        <v>0</v>
      </c>
      <c r="L433" s="132">
        <f t="shared" ref="L433:L438" si="94">SUM(I433:K433)</f>
        <v>0</v>
      </c>
      <c r="M433" s="1758">
        <v>0</v>
      </c>
      <c r="N433" s="1759"/>
    </row>
    <row r="434" spans="1:21" ht="14" hidden="1" thickBot="1">
      <c r="A434" s="34" t="s">
        <v>51</v>
      </c>
      <c r="B434" s="1421">
        <f>Chino!N106</f>
        <v>0</v>
      </c>
      <c r="C434" s="1422"/>
      <c r="D434" s="1444">
        <f t="shared" si="93"/>
        <v>0</v>
      </c>
      <c r="E434" s="1422"/>
      <c r="F434" s="1720">
        <f>0.125*B434</f>
        <v>0</v>
      </c>
      <c r="G434" s="1721"/>
      <c r="H434" s="807">
        <f>F434*20</f>
        <v>0</v>
      </c>
      <c r="I434" s="131">
        <v>0</v>
      </c>
      <c r="J434" s="131">
        <f>0*B434</f>
        <v>0</v>
      </c>
      <c r="K434" s="131">
        <f>0*B434</f>
        <v>0</v>
      </c>
      <c r="L434" s="132">
        <f t="shared" si="94"/>
        <v>0</v>
      </c>
      <c r="M434" s="1758">
        <v>0</v>
      </c>
      <c r="N434" s="1759"/>
    </row>
    <row r="435" spans="1:21" ht="14" hidden="1" thickBot="1">
      <c r="A435" s="78" t="s">
        <v>15</v>
      </c>
      <c r="B435" s="1421">
        <f>Chino!N107</f>
        <v>0</v>
      </c>
      <c r="C435" s="1422"/>
      <c r="D435" s="1536">
        <f t="shared" si="93"/>
        <v>0</v>
      </c>
      <c r="E435" s="1424"/>
      <c r="F435" s="1547">
        <f>0.1534*B435</f>
        <v>0</v>
      </c>
      <c r="G435" s="1548"/>
      <c r="H435" s="787">
        <f>F435*5</f>
        <v>0</v>
      </c>
      <c r="I435" s="150">
        <v>0</v>
      </c>
      <c r="J435" s="150">
        <f>0*B435</f>
        <v>0</v>
      </c>
      <c r="K435" s="150">
        <f>0*B435</f>
        <v>0</v>
      </c>
      <c r="L435" s="172">
        <f t="shared" si="94"/>
        <v>0</v>
      </c>
      <c r="M435" s="1539">
        <v>0</v>
      </c>
      <c r="N435" s="1540"/>
    </row>
    <row r="436" spans="1:21" ht="14" hidden="1" thickBot="1">
      <c r="A436" s="78" t="s">
        <v>30</v>
      </c>
      <c r="B436" s="1421">
        <f>Chino!N108</f>
        <v>0</v>
      </c>
      <c r="C436" s="1422"/>
      <c r="D436" s="1536">
        <f t="shared" si="93"/>
        <v>0</v>
      </c>
      <c r="E436" s="1424"/>
      <c r="F436" s="1547">
        <f>0.609*B436</f>
        <v>0</v>
      </c>
      <c r="G436" s="1548"/>
      <c r="H436" s="787">
        <f>F436*10</f>
        <v>0</v>
      </c>
      <c r="I436" s="150">
        <v>0</v>
      </c>
      <c r="J436" s="150">
        <f>0*B436</f>
        <v>0</v>
      </c>
      <c r="K436" s="150">
        <f>0*B436</f>
        <v>0</v>
      </c>
      <c r="L436" s="172">
        <f t="shared" si="94"/>
        <v>0</v>
      </c>
      <c r="M436" s="1539">
        <v>0</v>
      </c>
      <c r="N436" s="1540"/>
    </row>
    <row r="437" spans="1:21" ht="14" hidden="1" thickBot="1">
      <c r="A437" s="78" t="s">
        <v>55</v>
      </c>
      <c r="B437" s="1421">
        <f>Chino!N109</f>
        <v>0</v>
      </c>
      <c r="C437" s="1422"/>
      <c r="D437" s="1536">
        <f t="shared" si="93"/>
        <v>0</v>
      </c>
      <c r="E437" s="1424"/>
      <c r="F437" s="1537">
        <f>0.992*B437</f>
        <v>0</v>
      </c>
      <c r="G437" s="1538"/>
      <c r="H437" s="787">
        <f>F437*10</f>
        <v>0</v>
      </c>
      <c r="I437" s="150">
        <v>0</v>
      </c>
      <c r="J437" s="150">
        <f>0*B437</f>
        <v>0</v>
      </c>
      <c r="K437" s="150">
        <f>4830.23*B437</f>
        <v>0</v>
      </c>
      <c r="L437" s="172">
        <f t="shared" si="94"/>
        <v>0</v>
      </c>
      <c r="M437" s="1539" t="e">
        <f>L437/(F437*498.5)</f>
        <v>#DIV/0!</v>
      </c>
      <c r="N437" s="1540"/>
    </row>
    <row r="438" spans="1:21" ht="14" hidden="1" thickBot="1">
      <c r="A438" s="104" t="s">
        <v>150</v>
      </c>
      <c r="B438" s="1421">
        <f>Chino!N110</f>
        <v>0</v>
      </c>
      <c r="C438" s="1422"/>
      <c r="D438" s="1444">
        <f t="shared" si="93"/>
        <v>0</v>
      </c>
      <c r="E438" s="1422"/>
      <c r="F438" s="1720">
        <v>0</v>
      </c>
      <c r="G438" s="1721"/>
      <c r="H438" s="807">
        <f>F438*10</f>
        <v>0</v>
      </c>
      <c r="I438" s="131">
        <v>0</v>
      </c>
      <c r="J438" s="131">
        <v>0</v>
      </c>
      <c r="K438" s="131">
        <v>0</v>
      </c>
      <c r="L438" s="132">
        <f t="shared" si="94"/>
        <v>0</v>
      </c>
      <c r="M438" s="1758" t="e">
        <f>L438/(F438*498.5)</f>
        <v>#DIV/0!</v>
      </c>
      <c r="N438" s="1759"/>
    </row>
    <row r="439" spans="1:21" s="533" customFormat="1" ht="14" hidden="1" thickBot="1">
      <c r="A439" s="53" t="s">
        <v>60</v>
      </c>
      <c r="B439" s="1438">
        <f>SUM(B433:C438)</f>
        <v>0</v>
      </c>
      <c r="C439" s="1609"/>
      <c r="D439" s="1440">
        <f>SUM(D433:E438)</f>
        <v>0</v>
      </c>
      <c r="E439" s="1609"/>
      <c r="F439" s="1618">
        <f>SUM(F433:G438)</f>
        <v>0</v>
      </c>
      <c r="G439" s="1575"/>
      <c r="H439" s="793">
        <f>SUM(H433:H438)</f>
        <v>0</v>
      </c>
      <c r="I439" s="136">
        <f>SUM(I433:I438)</f>
        <v>0</v>
      </c>
      <c r="J439" s="136">
        <f>SUM(J433:J438)</f>
        <v>0</v>
      </c>
      <c r="K439" s="136">
        <f>SUM(K433:K438)</f>
        <v>0</v>
      </c>
      <c r="L439" s="136">
        <f>SUM(L433:L438)</f>
        <v>0</v>
      </c>
      <c r="M439" s="1610"/>
      <c r="N439" s="1611"/>
      <c r="O439" s="534"/>
      <c r="P439" s="534"/>
      <c r="Q439" s="534"/>
      <c r="R439" s="534"/>
      <c r="S439" s="534"/>
      <c r="T439" s="534"/>
      <c r="U439" s="534"/>
    </row>
    <row r="440" spans="1:21" s="1168" customFormat="1" ht="17" thickBot="1">
      <c r="A440" s="1163" t="s">
        <v>17</v>
      </c>
      <c r="B440" s="1414">
        <f>SUM(B414+B417+B431+B439)</f>
        <v>317</v>
      </c>
      <c r="C440" s="1415"/>
      <c r="D440" s="1612">
        <f>SUM(D414+D417+D431+D439)</f>
        <v>4750731.6204599999</v>
      </c>
      <c r="E440" s="1415"/>
      <c r="F440" s="1487">
        <f>SUM(F439,F414,F417,F431)</f>
        <v>14.579460000000001</v>
      </c>
      <c r="G440" s="1488"/>
      <c r="H440" s="1201">
        <f>SUM(H439,H414,H417,H431)</f>
        <v>276.36160000000001</v>
      </c>
      <c r="I440" s="1169">
        <f>SUM(I414+I417+I431+I439)</f>
        <v>0</v>
      </c>
      <c r="J440" s="1169">
        <f>SUM(J414+J417+J431+J439)</f>
        <v>22026.799999999999</v>
      </c>
      <c r="K440" s="1169">
        <f>SUM(K414+K417+K431+K439)</f>
        <v>36106.199999999997</v>
      </c>
      <c r="L440" s="1169">
        <f>SUM(L414+L417+L431+L439)</f>
        <v>58133</v>
      </c>
      <c r="M440" s="1631"/>
      <c r="N440" s="1640"/>
      <c r="O440" s="121"/>
      <c r="P440" s="121"/>
      <c r="Q440" s="121"/>
      <c r="R440" s="121"/>
      <c r="S440" s="121"/>
      <c r="T440" s="121"/>
      <c r="U440" s="121"/>
    </row>
    <row r="441" spans="1:21">
      <c r="A441" s="50"/>
      <c r="B441" s="20"/>
      <c r="C441" s="20"/>
      <c r="D441" s="20"/>
      <c r="E441" s="20"/>
      <c r="F441" s="422"/>
      <c r="G441" s="422"/>
      <c r="H441" s="422"/>
      <c r="I441" s="21"/>
      <c r="J441" s="21"/>
      <c r="K441" s="21"/>
      <c r="L441" s="21"/>
      <c r="M441" s="18"/>
      <c r="N441" s="18"/>
    </row>
    <row r="442" spans="1:21" ht="15">
      <c r="A442" s="9" t="s">
        <v>18</v>
      </c>
      <c r="B442" s="1419" t="s">
        <v>59</v>
      </c>
      <c r="C442" s="1489"/>
      <c r="D442" s="1489"/>
      <c r="E442" s="1733"/>
      <c r="F442" s="422"/>
      <c r="G442" s="422"/>
      <c r="H442" s="422"/>
      <c r="I442" s="21"/>
      <c r="J442" s="21"/>
      <c r="K442" s="21"/>
      <c r="L442" s="21"/>
      <c r="M442" s="18"/>
      <c r="N442" s="18"/>
    </row>
    <row r="443" spans="1:21">
      <c r="B443" s="1420" t="s">
        <v>19</v>
      </c>
      <c r="C443" s="1420"/>
      <c r="D443" s="1420"/>
      <c r="E443" s="1420"/>
      <c r="F443" s="422"/>
      <c r="G443" s="422"/>
      <c r="H443" s="422"/>
      <c r="I443" s="21"/>
      <c r="J443" s="21"/>
      <c r="K443" s="21"/>
      <c r="L443" s="21"/>
      <c r="M443" s="18"/>
      <c r="N443" s="18"/>
    </row>
    <row r="444" spans="1:21" ht="14" thickBot="1">
      <c r="A444" s="737"/>
      <c r="B444" s="820"/>
      <c r="C444" s="820"/>
      <c r="D444" s="820"/>
      <c r="E444" s="820"/>
      <c r="F444" s="823"/>
      <c r="G444" s="823"/>
      <c r="H444" s="823"/>
      <c r="I444" s="21"/>
      <c r="J444" s="21"/>
      <c r="K444" s="21"/>
      <c r="L444" s="21"/>
      <c r="M444" s="820"/>
      <c r="N444" s="820"/>
    </row>
    <row r="445" spans="1:21" ht="16">
      <c r="A445" s="98"/>
      <c r="B445" s="99"/>
      <c r="C445" s="99"/>
      <c r="D445" s="99"/>
      <c r="E445" s="99"/>
      <c r="F445" s="421"/>
      <c r="G445" s="421"/>
      <c r="H445" s="421"/>
      <c r="I445" s="1468" t="s">
        <v>0</v>
      </c>
      <c r="J445" s="1468"/>
      <c r="K445" s="1468"/>
      <c r="L445" s="1468"/>
      <c r="M445" s="99"/>
      <c r="N445" s="101"/>
    </row>
    <row r="446" spans="1:21" ht="16">
      <c r="A446" s="97"/>
      <c r="B446" s="1469" t="s">
        <v>1</v>
      </c>
      <c r="C446" s="1469"/>
      <c r="D446" s="1469" t="s">
        <v>2</v>
      </c>
      <c r="E446" s="1469"/>
      <c r="F446" s="1470" t="s">
        <v>3</v>
      </c>
      <c r="G446" s="1470"/>
      <c r="H446" s="794" t="s">
        <v>3</v>
      </c>
      <c r="I446" s="127" t="s">
        <v>195</v>
      </c>
      <c r="J446" s="102"/>
      <c r="K446" s="102"/>
      <c r="L446" s="128"/>
      <c r="M446" s="1469" t="s">
        <v>4</v>
      </c>
      <c r="N446" s="1526"/>
    </row>
    <row r="447" spans="1:21" ht="19" thickBot="1">
      <c r="A447" s="103" t="s">
        <v>5</v>
      </c>
      <c r="B447" s="1473" t="s">
        <v>6</v>
      </c>
      <c r="C447" s="1473"/>
      <c r="D447" s="1473" t="s">
        <v>7</v>
      </c>
      <c r="E447" s="1473"/>
      <c r="F447" s="1474" t="s">
        <v>7</v>
      </c>
      <c r="G447" s="1474"/>
      <c r="H447" s="796" t="s">
        <v>58</v>
      </c>
      <c r="I447" s="797" t="s">
        <v>196</v>
      </c>
      <c r="J447" s="795" t="s">
        <v>8</v>
      </c>
      <c r="K447" s="795" t="s">
        <v>9</v>
      </c>
      <c r="L447" s="401" t="s">
        <v>10</v>
      </c>
      <c r="M447" s="1473" t="s">
        <v>145</v>
      </c>
      <c r="N447" s="1475"/>
    </row>
    <row r="448" spans="1:21" ht="24" thickBot="1">
      <c r="A448" s="88" t="s">
        <v>131</v>
      </c>
      <c r="B448" s="1751"/>
      <c r="C448" s="1477"/>
      <c r="D448" s="1478"/>
      <c r="E448" s="1479"/>
      <c r="F448" s="1480"/>
      <c r="G448" s="1481"/>
      <c r="H448" s="819"/>
      <c r="I448" s="7"/>
      <c r="J448" s="7"/>
      <c r="K448" s="7"/>
      <c r="L448" s="8"/>
      <c r="M448" s="1764"/>
      <c r="N448" s="1765"/>
    </row>
    <row r="449" spans="1:21" s="1161" customFormat="1" ht="17" thickBot="1">
      <c r="A449" s="108" t="s">
        <v>48</v>
      </c>
      <c r="B449" s="1457"/>
      <c r="C449" s="1586"/>
      <c r="D449" s="1567"/>
      <c r="E449" s="1586"/>
      <c r="F449" s="1587"/>
      <c r="G449" s="1588"/>
      <c r="H449" s="1145"/>
      <c r="I449" s="109"/>
      <c r="J449" s="109"/>
      <c r="K449" s="109"/>
      <c r="L449" s="1141"/>
      <c r="M449" s="1617"/>
      <c r="N449" s="1486"/>
      <c r="O449" s="274"/>
      <c r="P449" s="274"/>
      <c r="Q449" s="274"/>
      <c r="R449" s="274"/>
      <c r="S449" s="274"/>
      <c r="T449" s="274"/>
      <c r="U449" s="274"/>
    </row>
    <row r="450" spans="1:21">
      <c r="A450" s="32" t="s">
        <v>28</v>
      </c>
      <c r="B450" s="1444">
        <f>Chino!N41</f>
        <v>0</v>
      </c>
      <c r="C450" s="1422"/>
      <c r="D450" s="1431">
        <f t="shared" ref="D450:D456" si="95">F450*325851</f>
        <v>0</v>
      </c>
      <c r="E450" s="1422"/>
      <c r="F450" s="1756">
        <f>0.0379*B450</f>
        <v>0</v>
      </c>
      <c r="G450" s="1757"/>
      <c r="H450" s="941">
        <f>F450*20</f>
        <v>0</v>
      </c>
      <c r="I450" s="131">
        <v>0</v>
      </c>
      <c r="J450" s="131">
        <f>0*B450</f>
        <v>0</v>
      </c>
      <c r="K450" s="131">
        <f>60*B450</f>
        <v>0</v>
      </c>
      <c r="L450" s="132">
        <f t="shared" ref="L450:L456" si="96">I450+J450+K450</f>
        <v>0</v>
      </c>
      <c r="M450" s="1758">
        <v>0</v>
      </c>
      <c r="N450" s="1759"/>
    </row>
    <row r="451" spans="1:21">
      <c r="A451" s="32" t="s">
        <v>29</v>
      </c>
      <c r="B451" s="1444">
        <f>Chino!N42</f>
        <v>178</v>
      </c>
      <c r="C451" s="1422"/>
      <c r="D451" s="1431">
        <f t="shared" si="95"/>
        <v>2465062.8149999999</v>
      </c>
      <c r="E451" s="1422"/>
      <c r="F451" s="1756">
        <f>0.0425*B451</f>
        <v>7.5650000000000004</v>
      </c>
      <c r="G451" s="1757"/>
      <c r="H451" s="941">
        <f>F451*20</f>
        <v>151.30000000000001</v>
      </c>
      <c r="I451" s="131">
        <v>0</v>
      </c>
      <c r="J451" s="131">
        <f>0*B451</f>
        <v>0</v>
      </c>
      <c r="K451" s="131">
        <f>B451*165</f>
        <v>29370</v>
      </c>
      <c r="L451" s="132">
        <f t="shared" si="96"/>
        <v>29370</v>
      </c>
      <c r="M451" s="1758">
        <f t="shared" ref="M451:M456" si="97">L451/(F451*498.5)</f>
        <v>7.7880700926308331</v>
      </c>
      <c r="N451" s="1759"/>
    </row>
    <row r="452" spans="1:21">
      <c r="A452" s="32" t="s">
        <v>33</v>
      </c>
      <c r="B452" s="1444">
        <f>Chino!N43</f>
        <v>87</v>
      </c>
      <c r="C452" s="1422"/>
      <c r="D452" s="1431">
        <f t="shared" si="95"/>
        <v>782433.42119999998</v>
      </c>
      <c r="E452" s="1422"/>
      <c r="F452" s="1756">
        <f>0.0276*B452</f>
        <v>2.4011999999999998</v>
      </c>
      <c r="G452" s="1757"/>
      <c r="H452" s="941">
        <f>F452*15</f>
        <v>36.017999999999994</v>
      </c>
      <c r="I452" s="131">
        <f>0*B452</f>
        <v>0</v>
      </c>
      <c r="J452" s="131">
        <f>0*B452</f>
        <v>0</v>
      </c>
      <c r="K452" s="131">
        <f>B452*110</f>
        <v>9570</v>
      </c>
      <c r="L452" s="132">
        <f t="shared" si="96"/>
        <v>9570</v>
      </c>
      <c r="M452" s="1758">
        <f t="shared" si="97"/>
        <v>7.994999491227305</v>
      </c>
      <c r="N452" s="1759"/>
    </row>
    <row r="453" spans="1:21">
      <c r="A453" s="32" t="s">
        <v>56</v>
      </c>
      <c r="B453" s="1444">
        <f>Chino!N44</f>
        <v>40</v>
      </c>
      <c r="C453" s="1422"/>
      <c r="D453" s="1431">
        <f t="shared" si="95"/>
        <v>52136.160000000003</v>
      </c>
      <c r="E453" s="1422"/>
      <c r="F453" s="1756">
        <f>0.004*B453</f>
        <v>0.16</v>
      </c>
      <c r="G453" s="1757"/>
      <c r="H453" s="941">
        <f>F453*5</f>
        <v>0.8</v>
      </c>
      <c r="I453" s="131">
        <f>0*B453</f>
        <v>0</v>
      </c>
      <c r="J453" s="131">
        <f>0*B453</f>
        <v>0</v>
      </c>
      <c r="K453" s="131">
        <f>B453*4</f>
        <v>160</v>
      </c>
      <c r="L453" s="132">
        <f t="shared" si="96"/>
        <v>160</v>
      </c>
      <c r="M453" s="1758">
        <f t="shared" si="97"/>
        <v>2.0060180541624875</v>
      </c>
      <c r="N453" s="1759"/>
    </row>
    <row r="454" spans="1:21">
      <c r="A454" s="78" t="s">
        <v>30</v>
      </c>
      <c r="B454" s="1435">
        <f>Chino!N45</f>
        <v>1</v>
      </c>
      <c r="C454" s="1433"/>
      <c r="D454" s="1467">
        <f t="shared" si="95"/>
        <v>105901.575</v>
      </c>
      <c r="E454" s="1433"/>
      <c r="F454" s="1718">
        <f>0.325*B454</f>
        <v>0.32500000000000001</v>
      </c>
      <c r="G454" s="1719"/>
      <c r="H454" s="944">
        <f>F454*10</f>
        <v>3.25</v>
      </c>
      <c r="I454" s="133">
        <v>0</v>
      </c>
      <c r="J454" s="133">
        <f>0*B454</f>
        <v>0</v>
      </c>
      <c r="K454" s="133">
        <f>B454*80</f>
        <v>80</v>
      </c>
      <c r="L454" s="134">
        <f t="shared" si="96"/>
        <v>80</v>
      </c>
      <c r="M454" s="1758">
        <f t="shared" si="97"/>
        <v>0.49378905948615071</v>
      </c>
      <c r="N454" s="1759"/>
    </row>
    <row r="455" spans="1:21">
      <c r="A455" s="76" t="s">
        <v>126</v>
      </c>
      <c r="B455" s="1451">
        <f>Chino!N46</f>
        <v>4</v>
      </c>
      <c r="C455" s="1448"/>
      <c r="D455" s="1447">
        <f t="shared" si="95"/>
        <v>272163.78923999995</v>
      </c>
      <c r="E455" s="1448"/>
      <c r="F455" s="1557">
        <f>0.00014*5966</f>
        <v>0.83523999999999987</v>
      </c>
      <c r="G455" s="1558"/>
      <c r="H455" s="935">
        <f>F455*10</f>
        <v>8.3523999999999994</v>
      </c>
      <c r="I455" s="173">
        <v>0</v>
      </c>
      <c r="J455" s="173">
        <v>7300</v>
      </c>
      <c r="K455" s="173">
        <f>B455*0</f>
        <v>0</v>
      </c>
      <c r="L455" s="174">
        <f t="shared" si="96"/>
        <v>7300</v>
      </c>
      <c r="M455" s="1539">
        <f t="shared" si="97"/>
        <v>17.532603557523778</v>
      </c>
      <c r="N455" s="1540"/>
    </row>
    <row r="456" spans="1:21" ht="14" thickBot="1">
      <c r="A456" s="76" t="s">
        <v>127</v>
      </c>
      <c r="B456" s="1435">
        <f>Chino!N47</f>
        <v>8</v>
      </c>
      <c r="C456" s="1433"/>
      <c r="D456" s="1432">
        <f t="shared" si="95"/>
        <v>284344.09961999999</v>
      </c>
      <c r="E456" s="1433"/>
      <c r="F456" s="1718">
        <f>0.00014*6233</f>
        <v>0.87261999999999995</v>
      </c>
      <c r="G456" s="1719"/>
      <c r="H456" s="944">
        <f>F456*10</f>
        <v>8.7261999999999986</v>
      </c>
      <c r="I456" s="133">
        <v>0</v>
      </c>
      <c r="J456" s="133">
        <f>0.3*6233</f>
        <v>1869.8999999999999</v>
      </c>
      <c r="K456" s="133">
        <f>6233*0.3</f>
        <v>1869.8999999999999</v>
      </c>
      <c r="L456" s="134">
        <f t="shared" si="96"/>
        <v>3739.7999999999997</v>
      </c>
      <c r="M456" s="1758">
        <f t="shared" si="97"/>
        <v>8.5972202321249469</v>
      </c>
      <c r="N456" s="1759"/>
    </row>
    <row r="457" spans="1:21" s="533" customFormat="1" ht="14" thickBot="1">
      <c r="A457" s="53" t="s">
        <v>60</v>
      </c>
      <c r="B457" s="1438">
        <f>SUM(B450:C456)</f>
        <v>318</v>
      </c>
      <c r="C457" s="1609"/>
      <c r="D457" s="1440">
        <f>SUM(D450:E456)</f>
        <v>3962041.8600600003</v>
      </c>
      <c r="E457" s="1609"/>
      <c r="F457" s="1512">
        <f>SUM(F450:G456)</f>
        <v>12.15906</v>
      </c>
      <c r="G457" s="1575"/>
      <c r="H457" s="793">
        <f>SUM(H450:H456)</f>
        <v>208.44660000000002</v>
      </c>
      <c r="I457" s="143">
        <f>SUM(I450:I456)</f>
        <v>0</v>
      </c>
      <c r="J457" s="143">
        <f>SUM(J450:J456)</f>
        <v>9169.9</v>
      </c>
      <c r="K457" s="143">
        <f>SUM(K450:K456)</f>
        <v>41049.9</v>
      </c>
      <c r="L457" s="152">
        <f>SUM(L450:L456)</f>
        <v>50219.8</v>
      </c>
      <c r="M457" s="1610"/>
      <c r="N457" s="1611"/>
      <c r="O457" s="534"/>
      <c r="P457" s="534"/>
      <c r="Q457" s="534"/>
      <c r="R457" s="534"/>
      <c r="S457" s="534"/>
      <c r="T457" s="534"/>
      <c r="U457" s="534"/>
    </row>
    <row r="458" spans="1:21" s="1161" customFormat="1" ht="17" thickBot="1">
      <c r="A458" s="108" t="s">
        <v>146</v>
      </c>
      <c r="B458" s="1456"/>
      <c r="C458" s="1586"/>
      <c r="D458" s="1457"/>
      <c r="E458" s="1586"/>
      <c r="F458" s="1484"/>
      <c r="G458" s="1588"/>
      <c r="H458" s="1145"/>
      <c r="I458" s="161"/>
      <c r="J458" s="161"/>
      <c r="K458" s="161"/>
      <c r="L458" s="162"/>
      <c r="M458" s="1617"/>
      <c r="N458" s="1486"/>
      <c r="O458" s="274"/>
      <c r="P458" s="274"/>
      <c r="Q458" s="274"/>
      <c r="R458" s="274"/>
      <c r="S458" s="274"/>
      <c r="T458" s="274"/>
      <c r="U458" s="274"/>
    </row>
    <row r="459" spans="1:21" ht="14" thickBot="1">
      <c r="A459" s="76" t="s">
        <v>146</v>
      </c>
      <c r="B459" s="1769">
        <f>Chino!N50</f>
        <v>235</v>
      </c>
      <c r="C459" s="1770"/>
      <c r="D459" s="1444">
        <f>F459*325851</f>
        <v>3254436.8625000003</v>
      </c>
      <c r="E459" s="1422"/>
      <c r="F459" s="1771">
        <f>0.0425*B459</f>
        <v>9.9875000000000007</v>
      </c>
      <c r="G459" s="1719"/>
      <c r="H459" s="944">
        <f>F459*20</f>
        <v>199.75</v>
      </c>
      <c r="I459" s="131">
        <f>73.34*B459</f>
        <v>17234.900000000001</v>
      </c>
      <c r="J459" s="131">
        <f>35.66*B459</f>
        <v>8380.0999999999985</v>
      </c>
      <c r="K459" s="131">
        <f>B459*165</f>
        <v>38775</v>
      </c>
      <c r="L459" s="132">
        <f>I459+J459+K459</f>
        <v>64390</v>
      </c>
      <c r="M459" s="1758">
        <f>L459/(F459*498.5)</f>
        <v>12.932916396247565</v>
      </c>
      <c r="N459" s="1759"/>
    </row>
    <row r="460" spans="1:21" s="533" customFormat="1" ht="14" thickBot="1">
      <c r="A460" s="53" t="s">
        <v>60</v>
      </c>
      <c r="B460" s="1438">
        <f>SUM(B459)</f>
        <v>235</v>
      </c>
      <c r="C460" s="1609"/>
      <c r="D460" s="1440">
        <f>SUM(D459)</f>
        <v>3254436.8625000003</v>
      </c>
      <c r="E460" s="1609"/>
      <c r="F460" s="1512">
        <f>SUM(F459)</f>
        <v>9.9875000000000007</v>
      </c>
      <c r="G460" s="1575"/>
      <c r="H460" s="793">
        <f>SUM(H459)</f>
        <v>199.75</v>
      </c>
      <c r="I460" s="136">
        <f>SUM(I459)</f>
        <v>17234.900000000001</v>
      </c>
      <c r="J460" s="143">
        <f>SUM(J459)</f>
        <v>8380.0999999999985</v>
      </c>
      <c r="K460" s="143">
        <f>SUM(K459)</f>
        <v>38775</v>
      </c>
      <c r="L460" s="136">
        <f>SUM(L459)</f>
        <v>64390</v>
      </c>
      <c r="M460" s="1610"/>
      <c r="N460" s="1611"/>
      <c r="O460" s="534"/>
      <c r="P460" s="534"/>
      <c r="Q460" s="534"/>
      <c r="R460" s="534"/>
      <c r="S460" s="534"/>
      <c r="T460" s="534"/>
      <c r="U460" s="534"/>
    </row>
    <row r="461" spans="1:21" s="1161" customFormat="1" ht="17" thickBot="1">
      <c r="A461" s="108" t="s">
        <v>50</v>
      </c>
      <c r="B461" s="1647"/>
      <c r="C461" s="1648"/>
      <c r="D461" s="1457"/>
      <c r="E461" s="1586"/>
      <c r="F461" s="1484"/>
      <c r="G461" s="1588"/>
      <c r="H461" s="1145"/>
      <c r="I461" s="161"/>
      <c r="J461" s="161"/>
      <c r="K461" s="161"/>
      <c r="L461" s="162"/>
      <c r="M461" s="1617"/>
      <c r="N461" s="1486"/>
      <c r="O461" s="274"/>
      <c r="P461" s="274"/>
      <c r="Q461" s="274"/>
      <c r="R461" s="274"/>
      <c r="S461" s="274"/>
      <c r="T461" s="274"/>
      <c r="U461" s="274"/>
    </row>
    <row r="462" spans="1:21">
      <c r="A462" s="36" t="s">
        <v>26</v>
      </c>
      <c r="B462" s="1731">
        <f>Chino!N53</f>
        <v>0</v>
      </c>
      <c r="C462" s="1732"/>
      <c r="D462" s="1444">
        <f t="shared" ref="D462:D470" si="98">F462*325851</f>
        <v>0</v>
      </c>
      <c r="E462" s="1422"/>
      <c r="F462" s="1760">
        <f>0.0379*B462</f>
        <v>0</v>
      </c>
      <c r="G462" s="1757"/>
      <c r="H462" s="941">
        <f>F462*20</f>
        <v>0</v>
      </c>
      <c r="I462" s="131">
        <v>0</v>
      </c>
      <c r="J462" s="131">
        <f>35.66*B462</f>
        <v>0</v>
      </c>
      <c r="K462" s="131">
        <f>135*B462</f>
        <v>0</v>
      </c>
      <c r="L462" s="132">
        <f>SUM(I462:K462)</f>
        <v>0</v>
      </c>
      <c r="M462" s="1758">
        <v>0</v>
      </c>
      <c r="N462" s="1759"/>
    </row>
    <row r="463" spans="1:21">
      <c r="A463" s="34" t="s">
        <v>25</v>
      </c>
      <c r="B463" s="1421">
        <f>Chino!N54</f>
        <v>0</v>
      </c>
      <c r="C463" s="1422"/>
      <c r="D463" s="1444">
        <f t="shared" si="98"/>
        <v>0</v>
      </c>
      <c r="E463" s="1422"/>
      <c r="F463" s="1760">
        <f>0.0379*B463</f>
        <v>0</v>
      </c>
      <c r="G463" s="1757"/>
      <c r="H463" s="941">
        <f>F463*20</f>
        <v>0</v>
      </c>
      <c r="I463" s="131">
        <v>0</v>
      </c>
      <c r="J463" s="131">
        <f>0*B463</f>
        <v>0</v>
      </c>
      <c r="K463" s="131">
        <f>60*B463</f>
        <v>0</v>
      </c>
      <c r="L463" s="132">
        <f t="shared" ref="L463:L471" si="99">SUM(I463:K463)</f>
        <v>0</v>
      </c>
      <c r="M463" s="1758">
        <v>0</v>
      </c>
      <c r="N463" s="1759"/>
    </row>
    <row r="464" spans="1:21">
      <c r="A464" s="32" t="s">
        <v>29</v>
      </c>
      <c r="B464" s="1421">
        <f>Chino!N55</f>
        <v>26</v>
      </c>
      <c r="C464" s="1422"/>
      <c r="D464" s="1444">
        <f t="shared" si="98"/>
        <v>360065.35499999998</v>
      </c>
      <c r="E464" s="1422"/>
      <c r="F464" s="1760">
        <f>0.0425*B464</f>
        <v>1.105</v>
      </c>
      <c r="G464" s="1757"/>
      <c r="H464" s="941">
        <f>F464*20</f>
        <v>22.1</v>
      </c>
      <c r="I464" s="131">
        <v>0</v>
      </c>
      <c r="J464" s="131">
        <f>135*B464</f>
        <v>3510</v>
      </c>
      <c r="K464" s="131">
        <f>165*B464</f>
        <v>4290</v>
      </c>
      <c r="L464" s="132">
        <f t="shared" si="99"/>
        <v>7800</v>
      </c>
      <c r="M464" s="1758">
        <f t="shared" ref="M464:M473" si="100">L464/(F464*498.5)</f>
        <v>14.160127441146971</v>
      </c>
      <c r="N464" s="1759"/>
    </row>
    <row r="465" spans="1:21">
      <c r="A465" s="32" t="s">
        <v>51</v>
      </c>
      <c r="B465" s="1421">
        <f>Chino!N56</f>
        <v>29</v>
      </c>
      <c r="C465" s="1422"/>
      <c r="D465" s="1444">
        <f t="shared" si="98"/>
        <v>1159475.6133000001</v>
      </c>
      <c r="E465" s="1422"/>
      <c r="F465" s="1760">
        <f>0.1227*B465</f>
        <v>3.5583</v>
      </c>
      <c r="G465" s="1757"/>
      <c r="H465" s="941">
        <f>F465*20</f>
        <v>71.165999999999997</v>
      </c>
      <c r="I465" s="131">
        <v>0</v>
      </c>
      <c r="J465" s="131">
        <f>0*B465</f>
        <v>0</v>
      </c>
      <c r="K465" s="131">
        <f>400*B465</f>
        <v>11600</v>
      </c>
      <c r="L465" s="132">
        <f t="shared" si="99"/>
        <v>11600</v>
      </c>
      <c r="M465" s="1758">
        <f t="shared" si="100"/>
        <v>6.5395861586389152</v>
      </c>
      <c r="N465" s="1759"/>
    </row>
    <row r="466" spans="1:21">
      <c r="A466" s="34" t="s">
        <v>20</v>
      </c>
      <c r="B466" s="1421">
        <f>Chino!N57</f>
        <v>0</v>
      </c>
      <c r="C466" s="1422"/>
      <c r="D466" s="1444">
        <f t="shared" si="98"/>
        <v>0</v>
      </c>
      <c r="E466" s="1422"/>
      <c r="F466" s="1760">
        <f>0.644*B466</f>
        <v>0</v>
      </c>
      <c r="G466" s="1757"/>
      <c r="H466" s="941">
        <f>F466*5</f>
        <v>0</v>
      </c>
      <c r="I466" s="131">
        <v>0</v>
      </c>
      <c r="J466" s="131">
        <f>43.75*B466</f>
        <v>0</v>
      </c>
      <c r="K466" s="131">
        <f>625*B466</f>
        <v>0</v>
      </c>
      <c r="L466" s="132">
        <f t="shared" si="99"/>
        <v>0</v>
      </c>
      <c r="M466" s="1758">
        <v>0</v>
      </c>
      <c r="N466" s="1759"/>
    </row>
    <row r="467" spans="1:21">
      <c r="A467" s="34" t="s">
        <v>13</v>
      </c>
      <c r="B467" s="1421">
        <f>Chino!N58</f>
        <v>3</v>
      </c>
      <c r="C467" s="1422"/>
      <c r="D467" s="1444">
        <f t="shared" si="98"/>
        <v>26980.462800000001</v>
      </c>
      <c r="E467" s="1422"/>
      <c r="F467" s="1760">
        <f>0.0276*B467</f>
        <v>8.2799999999999999E-2</v>
      </c>
      <c r="G467" s="1757"/>
      <c r="H467" s="941">
        <f>F467*10</f>
        <v>0.82799999999999996</v>
      </c>
      <c r="I467" s="131">
        <v>0</v>
      </c>
      <c r="J467" s="131">
        <f>100*B467</f>
        <v>300</v>
      </c>
      <c r="K467" s="131">
        <f>80*B467</f>
        <v>240</v>
      </c>
      <c r="L467" s="132">
        <f t="shared" si="99"/>
        <v>540</v>
      </c>
      <c r="M467" s="1758">
        <f t="shared" si="100"/>
        <v>13.082726440190136</v>
      </c>
      <c r="N467" s="1759"/>
    </row>
    <row r="468" spans="1:21">
      <c r="A468" s="35" t="s">
        <v>47</v>
      </c>
      <c r="B468" s="1421">
        <f>Chino!N59</f>
        <v>0</v>
      </c>
      <c r="C468" s="1422"/>
      <c r="D468" s="1444">
        <f t="shared" si="98"/>
        <v>0</v>
      </c>
      <c r="E468" s="1422"/>
      <c r="F468" s="1760">
        <f>0.1534*B468</f>
        <v>0</v>
      </c>
      <c r="G468" s="1757"/>
      <c r="H468" s="941">
        <f>F468*5</f>
        <v>0</v>
      </c>
      <c r="I468" s="131">
        <v>0</v>
      </c>
      <c r="J468" s="131">
        <f>0*B468</f>
        <v>0</v>
      </c>
      <c r="K468" s="131">
        <f>150*B468</f>
        <v>0</v>
      </c>
      <c r="L468" s="132">
        <f t="shared" si="99"/>
        <v>0</v>
      </c>
      <c r="M468" s="1758">
        <v>0</v>
      </c>
      <c r="N468" s="1759"/>
    </row>
    <row r="469" spans="1:21">
      <c r="A469" s="76" t="s">
        <v>30</v>
      </c>
      <c r="B469" s="1421">
        <f>Chino!N60</f>
        <v>8</v>
      </c>
      <c r="C469" s="1422"/>
      <c r="D469" s="1444">
        <f t="shared" si="98"/>
        <v>847212.6</v>
      </c>
      <c r="E469" s="1422"/>
      <c r="F469" s="1760">
        <f>0.325*B469</f>
        <v>2.6</v>
      </c>
      <c r="G469" s="1757"/>
      <c r="H469" s="941">
        <f>F469*10</f>
        <v>26</v>
      </c>
      <c r="I469" s="131">
        <v>0</v>
      </c>
      <c r="J469" s="131">
        <f>0*B469</f>
        <v>0</v>
      </c>
      <c r="K469" s="131">
        <f>669*B469</f>
        <v>5352</v>
      </c>
      <c r="L469" s="132">
        <f t="shared" si="99"/>
        <v>5352</v>
      </c>
      <c r="M469" s="1758">
        <f t="shared" si="100"/>
        <v>4.1293110099529349</v>
      </c>
      <c r="N469" s="1759"/>
    </row>
    <row r="470" spans="1:21">
      <c r="A470" s="76" t="s">
        <v>53</v>
      </c>
      <c r="B470" s="1421">
        <f>Chino!N61</f>
        <v>0</v>
      </c>
      <c r="C470" s="1422"/>
      <c r="D470" s="1444">
        <f t="shared" si="98"/>
        <v>0</v>
      </c>
      <c r="E470" s="1422"/>
      <c r="F470" s="1760">
        <f>0.00014*B470</f>
        <v>0</v>
      </c>
      <c r="G470" s="1757"/>
      <c r="H470" s="941">
        <f>F470*10</f>
        <v>0</v>
      </c>
      <c r="I470" s="131">
        <v>0</v>
      </c>
      <c r="J470" s="131">
        <f>0.3*B470</f>
        <v>0</v>
      </c>
      <c r="K470" s="131">
        <f>0.3*B470</f>
        <v>0</v>
      </c>
      <c r="L470" s="132">
        <f t="shared" si="99"/>
        <v>0</v>
      </c>
      <c r="M470" s="1758">
        <v>0</v>
      </c>
      <c r="N470" s="1759"/>
    </row>
    <row r="471" spans="1:21">
      <c r="A471" s="33" t="s">
        <v>56</v>
      </c>
      <c r="B471" s="1421">
        <f>Chino!N62</f>
        <v>0</v>
      </c>
      <c r="C471" s="1422"/>
      <c r="D471" s="1444">
        <f>F471*325851</f>
        <v>0</v>
      </c>
      <c r="E471" s="1422"/>
      <c r="F471" s="1760">
        <f>0.004*B471</f>
        <v>0</v>
      </c>
      <c r="G471" s="1757"/>
      <c r="H471" s="941">
        <f>F471*5</f>
        <v>0</v>
      </c>
      <c r="I471" s="131">
        <v>0</v>
      </c>
      <c r="J471" s="131">
        <f>0*B471</f>
        <v>0</v>
      </c>
      <c r="K471" s="131">
        <f>4*B471</f>
        <v>0</v>
      </c>
      <c r="L471" s="132">
        <f t="shared" si="99"/>
        <v>0</v>
      </c>
      <c r="M471" s="1758">
        <v>0</v>
      </c>
      <c r="N471" s="1759"/>
    </row>
    <row r="472" spans="1:21">
      <c r="A472" s="76" t="s">
        <v>122</v>
      </c>
      <c r="B472" s="1421">
        <f>Chino!N63</f>
        <v>0</v>
      </c>
      <c r="C472" s="1422"/>
      <c r="D472" s="1444">
        <f>F472*325851</f>
        <v>0</v>
      </c>
      <c r="E472" s="1422"/>
      <c r="F472" s="1760">
        <f>0.018*B472</f>
        <v>0</v>
      </c>
      <c r="G472" s="1757"/>
      <c r="H472" s="941">
        <f>F472*10</f>
        <v>0</v>
      </c>
      <c r="I472" s="131">
        <v>0</v>
      </c>
      <c r="J472" s="131">
        <f>0*B472</f>
        <v>0</v>
      </c>
      <c r="K472" s="131">
        <f>13*B472</f>
        <v>0</v>
      </c>
      <c r="L472" s="132">
        <f>SUM(I472:K472)</f>
        <v>0</v>
      </c>
      <c r="M472" s="1758">
        <v>0</v>
      </c>
      <c r="N472" s="1759"/>
    </row>
    <row r="473" spans="1:21" ht="14" thickBot="1">
      <c r="A473" s="47" t="s">
        <v>102</v>
      </c>
      <c r="B473" s="1429">
        <f>Chino!N64</f>
        <v>15</v>
      </c>
      <c r="C473" s="1430"/>
      <c r="D473" s="1768">
        <f>F473*325851</f>
        <v>747828.04499999993</v>
      </c>
      <c r="E473" s="1430"/>
      <c r="F473" s="1766">
        <f>0.153*B473</f>
        <v>2.2949999999999999</v>
      </c>
      <c r="G473" s="1763"/>
      <c r="H473" s="965">
        <f>F473*5</f>
        <v>11.475</v>
      </c>
      <c r="I473" s="148">
        <v>0</v>
      </c>
      <c r="J473" s="148">
        <f>0*B473</f>
        <v>0</v>
      </c>
      <c r="K473" s="148">
        <f>60*B473</f>
        <v>900</v>
      </c>
      <c r="L473" s="884">
        <f>SUM(I473:K473)</f>
        <v>900</v>
      </c>
      <c r="M473" s="1754">
        <f t="shared" si="100"/>
        <v>0.78667374673038737</v>
      </c>
      <c r="N473" s="1755"/>
    </row>
    <row r="474" spans="1:21" s="533" customFormat="1" ht="14" thickBot="1">
      <c r="A474" s="53" t="s">
        <v>60</v>
      </c>
      <c r="B474" s="1438">
        <f>SUM(B462:C473)</f>
        <v>81</v>
      </c>
      <c r="C474" s="1609"/>
      <c r="D474" s="1440">
        <f>SUM(D462:E473)</f>
        <v>3141562.0761000002</v>
      </c>
      <c r="E474" s="1439"/>
      <c r="F474" s="1512">
        <f>SUM(F462:G473)</f>
        <v>9.6410999999999998</v>
      </c>
      <c r="G474" s="1575"/>
      <c r="H474" s="612">
        <f>SUM(H462:H473)</f>
        <v>131.56899999999999</v>
      </c>
      <c r="I474" s="136">
        <f>SUM(I462:I473)</f>
        <v>0</v>
      </c>
      <c r="J474" s="143">
        <f>SUM(J462:J473)</f>
        <v>3810</v>
      </c>
      <c r="K474" s="143">
        <f>SUM(K462:K473)</f>
        <v>22382</v>
      </c>
      <c r="L474" s="136">
        <f>SUM(L462:L473)</f>
        <v>26192</v>
      </c>
      <c r="M474" s="1610"/>
      <c r="N474" s="1611"/>
      <c r="O474" s="534"/>
      <c r="P474" s="534"/>
      <c r="Q474" s="534"/>
      <c r="R474" s="534"/>
      <c r="S474" s="534"/>
      <c r="T474" s="534"/>
      <c r="U474" s="534"/>
    </row>
    <row r="475" spans="1:21" s="1161" customFormat="1" ht="17" thickBot="1">
      <c r="A475" s="108" t="s">
        <v>54</v>
      </c>
      <c r="B475" s="1456"/>
      <c r="C475" s="1586"/>
      <c r="D475" s="1148"/>
      <c r="E475" s="1142"/>
      <c r="F475" s="1158"/>
      <c r="G475" s="1145"/>
      <c r="H475" s="1145"/>
      <c r="I475" s="161"/>
      <c r="J475" s="161"/>
      <c r="K475" s="161"/>
      <c r="L475" s="162"/>
      <c r="M475" s="1154"/>
      <c r="N475" s="1155"/>
      <c r="O475" s="274"/>
      <c r="P475" s="274"/>
      <c r="Q475" s="274"/>
      <c r="R475" s="274"/>
      <c r="S475" s="274"/>
      <c r="T475" s="274"/>
      <c r="U475" s="274"/>
    </row>
    <row r="476" spans="1:21">
      <c r="A476" s="36" t="s">
        <v>29</v>
      </c>
      <c r="B476" s="1767">
        <f>Chino!N67</f>
        <v>0</v>
      </c>
      <c r="C476" s="1732"/>
      <c r="D476" s="1767">
        <f t="shared" ref="D476:D481" si="101">F476*325851</f>
        <v>0</v>
      </c>
      <c r="E476" s="1732"/>
      <c r="F476" s="1760">
        <f>0.0425*B476</f>
        <v>0</v>
      </c>
      <c r="G476" s="1757"/>
      <c r="H476" s="941">
        <f>F476*20</f>
        <v>0</v>
      </c>
      <c r="I476" s="131">
        <v>0</v>
      </c>
      <c r="J476" s="131">
        <f>35.66*B476</f>
        <v>0</v>
      </c>
      <c r="K476" s="131">
        <f>0*B476</f>
        <v>0</v>
      </c>
      <c r="L476" s="132">
        <f t="shared" ref="L476:L481" si="102">SUM(I476:K476)</f>
        <v>0</v>
      </c>
      <c r="M476" s="1758">
        <v>0</v>
      </c>
      <c r="N476" s="1759"/>
    </row>
    <row r="477" spans="1:21">
      <c r="A477" s="34" t="s">
        <v>51</v>
      </c>
      <c r="B477" s="1444">
        <f>Chino!N68</f>
        <v>0</v>
      </c>
      <c r="C477" s="1422"/>
      <c r="D477" s="1444">
        <f t="shared" si="101"/>
        <v>0</v>
      </c>
      <c r="E477" s="1422"/>
      <c r="F477" s="1760">
        <f>0.125*B477</f>
        <v>0</v>
      </c>
      <c r="G477" s="1757"/>
      <c r="H477" s="941">
        <f>F477*20</f>
        <v>0</v>
      </c>
      <c r="I477" s="131">
        <v>0</v>
      </c>
      <c r="J477" s="131">
        <f>0*B477</f>
        <v>0</v>
      </c>
      <c r="K477" s="131">
        <f>0*B477</f>
        <v>0</v>
      </c>
      <c r="L477" s="132">
        <f t="shared" si="102"/>
        <v>0</v>
      </c>
      <c r="M477" s="1758">
        <v>0</v>
      </c>
      <c r="N477" s="1759"/>
    </row>
    <row r="478" spans="1:21">
      <c r="A478" s="78" t="s">
        <v>15</v>
      </c>
      <c r="B478" s="1536">
        <f>Chino!N69</f>
        <v>0</v>
      </c>
      <c r="C478" s="1424"/>
      <c r="D478" s="1536">
        <f t="shared" si="101"/>
        <v>0</v>
      </c>
      <c r="E478" s="1424"/>
      <c r="F478" s="1633">
        <f>0.1534*B478</f>
        <v>0</v>
      </c>
      <c r="G478" s="1550"/>
      <c r="H478" s="930">
        <f>F478*5</f>
        <v>0</v>
      </c>
      <c r="I478" s="150">
        <v>0</v>
      </c>
      <c r="J478" s="150">
        <f>0*B478</f>
        <v>0</v>
      </c>
      <c r="K478" s="150">
        <f>0*B478</f>
        <v>0</v>
      </c>
      <c r="L478" s="172">
        <f t="shared" si="102"/>
        <v>0</v>
      </c>
      <c r="M478" s="1539">
        <v>0</v>
      </c>
      <c r="N478" s="1540"/>
    </row>
    <row r="479" spans="1:21">
      <c r="A479" s="78" t="s">
        <v>30</v>
      </c>
      <c r="B479" s="1536">
        <f>Chino!N70</f>
        <v>0</v>
      </c>
      <c r="C479" s="1424"/>
      <c r="D479" s="1536">
        <f t="shared" si="101"/>
        <v>0</v>
      </c>
      <c r="E479" s="1424"/>
      <c r="F479" s="1633">
        <f>0.609*B479</f>
        <v>0</v>
      </c>
      <c r="G479" s="1550"/>
      <c r="H479" s="930">
        <f>F479*10</f>
        <v>0</v>
      </c>
      <c r="I479" s="150">
        <v>0</v>
      </c>
      <c r="J479" s="150">
        <f>0*B479</f>
        <v>0</v>
      </c>
      <c r="K479" s="150">
        <f>0*B479</f>
        <v>0</v>
      </c>
      <c r="L479" s="172">
        <f t="shared" si="102"/>
        <v>0</v>
      </c>
      <c r="M479" s="1539">
        <v>0</v>
      </c>
      <c r="N479" s="1540"/>
    </row>
    <row r="480" spans="1:21">
      <c r="A480" s="78" t="s">
        <v>55</v>
      </c>
      <c r="B480" s="1536">
        <f>Chino!N71</f>
        <v>44</v>
      </c>
      <c r="C480" s="1424"/>
      <c r="D480" s="1536">
        <f t="shared" si="101"/>
        <v>14222744.447999999</v>
      </c>
      <c r="E480" s="1424"/>
      <c r="F480" s="1635">
        <f>0.992*B480</f>
        <v>43.647999999999996</v>
      </c>
      <c r="G480" s="1558"/>
      <c r="H480" s="930">
        <f>F480*10</f>
        <v>436.47999999999996</v>
      </c>
      <c r="I480" s="150">
        <v>0</v>
      </c>
      <c r="J480" s="150">
        <f>0*B480</f>
        <v>0</v>
      </c>
      <c r="K480" s="150">
        <f>4830.23*B480</f>
        <v>212530.12</v>
      </c>
      <c r="L480" s="172">
        <f t="shared" si="102"/>
        <v>212530.12</v>
      </c>
      <c r="M480" s="1539">
        <f>L480/(F480*498.5)</f>
        <v>9.767669945319831</v>
      </c>
      <c r="N480" s="1540"/>
    </row>
    <row r="481" spans="1:21" s="66" customFormat="1" ht="14" thickBot="1">
      <c r="A481" s="47" t="s">
        <v>121</v>
      </c>
      <c r="B481" s="1768">
        <f>Chino!N72</f>
        <v>1</v>
      </c>
      <c r="C481" s="1430"/>
      <c r="D481" s="1444">
        <f t="shared" si="101"/>
        <v>1018538.5387799999</v>
      </c>
      <c r="E481" s="1422"/>
      <c r="F481" s="1760">
        <f>0.00014*22327</f>
        <v>3.1257799999999998</v>
      </c>
      <c r="G481" s="1757"/>
      <c r="H481" s="941">
        <f>F481*10</f>
        <v>31.257799999999996</v>
      </c>
      <c r="I481" s="131">
        <v>0</v>
      </c>
      <c r="J481" s="131">
        <v>0</v>
      </c>
      <c r="K481" s="131">
        <f>0.75*22327</f>
        <v>16745.25</v>
      </c>
      <c r="L481" s="132">
        <f t="shared" si="102"/>
        <v>16745.25</v>
      </c>
      <c r="M481" s="1758">
        <f>L481/(F481*498.5)</f>
        <v>10.746525290156184</v>
      </c>
      <c r="N481" s="1759"/>
      <c r="O481" s="1222"/>
      <c r="P481" s="1222"/>
      <c r="Q481" s="1222"/>
      <c r="R481" s="1222"/>
      <c r="S481" s="1222"/>
      <c r="T481" s="1222"/>
      <c r="U481" s="1222"/>
    </row>
    <row r="482" spans="1:21" s="535" customFormat="1" ht="14" thickBot="1">
      <c r="A482" s="53" t="s">
        <v>60</v>
      </c>
      <c r="B482" s="1438">
        <f>SUM(B476:C481)</f>
        <v>45</v>
      </c>
      <c r="C482" s="1609"/>
      <c r="D482" s="1440">
        <f>SUM(D476:E481)</f>
        <v>15241282.986779999</v>
      </c>
      <c r="E482" s="1609"/>
      <c r="F482" s="1512">
        <f>SUM(F476:G481)</f>
        <v>46.773779999999995</v>
      </c>
      <c r="G482" s="1575"/>
      <c r="H482" s="471">
        <f>SUM(H476:H481)</f>
        <v>467.73779999999994</v>
      </c>
      <c r="I482" s="136">
        <f>SUM(I476:I481)</f>
        <v>0</v>
      </c>
      <c r="J482" s="136">
        <f>SUM(J476:J481)</f>
        <v>0</v>
      </c>
      <c r="K482" s="136">
        <f>SUM(K476:K481)</f>
        <v>229275.37</v>
      </c>
      <c r="L482" s="136">
        <f>SUM(L476:L481)</f>
        <v>229275.37</v>
      </c>
      <c r="M482" s="1610"/>
      <c r="N482" s="1611"/>
      <c r="O482" s="746"/>
      <c r="P482" s="746"/>
      <c r="Q482" s="746"/>
      <c r="R482" s="746"/>
      <c r="S482" s="746"/>
      <c r="T482" s="746"/>
      <c r="U482" s="746"/>
    </row>
    <row r="483" spans="1:21" s="1202" customFormat="1" ht="17" thickBot="1">
      <c r="A483" s="1163" t="s">
        <v>17</v>
      </c>
      <c r="B483" s="1612">
        <f>SUM(B457+B460+B474+B482)</f>
        <v>679</v>
      </c>
      <c r="C483" s="1415"/>
      <c r="D483" s="1416">
        <f>SUM(D457+D460+D474+D482)</f>
        <v>25599323.785439998</v>
      </c>
      <c r="E483" s="1415"/>
      <c r="F483" s="1487">
        <f>SUM(F482,F457,F460,F474)</f>
        <v>78.56143999999999</v>
      </c>
      <c r="G483" s="1488"/>
      <c r="H483" s="1164">
        <f>SUM(H482,H457,H460,H474)</f>
        <v>1007.5033999999999</v>
      </c>
      <c r="I483" s="1169">
        <f>SUM(I457+I460+I474+I482)</f>
        <v>17234.900000000001</v>
      </c>
      <c r="J483" s="1169">
        <f>SUM(J457+J460+J474+J482)</f>
        <v>21360</v>
      </c>
      <c r="K483" s="1169">
        <f>SUM(K457+K460+K474+K482)</f>
        <v>331482.27</v>
      </c>
      <c r="L483" s="1169">
        <f>SUM(L457+L460+L474+L482)</f>
        <v>370077.17</v>
      </c>
      <c r="M483" s="1631"/>
      <c r="N483" s="1640"/>
      <c r="O483" s="1222"/>
      <c r="P483" s="1222"/>
      <c r="Q483" s="1222"/>
      <c r="R483" s="1222"/>
      <c r="S483" s="1222"/>
      <c r="T483" s="1222"/>
      <c r="U483" s="1222"/>
    </row>
    <row r="484" spans="1:21" s="66" customFormat="1">
      <c r="A484" s="50"/>
      <c r="B484" s="20"/>
      <c r="C484" s="20"/>
      <c r="D484" s="20"/>
      <c r="E484" s="20"/>
      <c r="F484" s="422"/>
      <c r="G484" s="422"/>
      <c r="H484" s="422"/>
      <c r="I484" s="21"/>
      <c r="J484" s="21"/>
      <c r="K484" s="21"/>
      <c r="L484" s="21"/>
      <c r="M484" s="18"/>
      <c r="N484" s="18"/>
      <c r="O484" s="1222"/>
      <c r="P484" s="1222"/>
      <c r="Q484" s="1222"/>
      <c r="R484" s="1222"/>
      <c r="S484" s="1222"/>
      <c r="T484" s="1222"/>
      <c r="U484" s="1222"/>
    </row>
    <row r="485" spans="1:21" s="66" customFormat="1" ht="15">
      <c r="A485" s="9" t="s">
        <v>18</v>
      </c>
      <c r="B485" s="1419" t="s">
        <v>59</v>
      </c>
      <c r="C485" s="1489"/>
      <c r="D485" s="1489"/>
      <c r="E485" s="1733"/>
      <c r="F485" s="422"/>
      <c r="G485" s="422"/>
      <c r="H485" s="422"/>
      <c r="I485" s="21"/>
      <c r="J485" s="21"/>
      <c r="K485" s="21"/>
      <c r="L485" s="21"/>
      <c r="M485" s="18"/>
      <c r="N485" s="18"/>
      <c r="O485" s="1222"/>
      <c r="P485" s="1222"/>
      <c r="Q485" s="1222"/>
      <c r="R485" s="1222"/>
      <c r="S485" s="1222"/>
      <c r="T485" s="1222"/>
      <c r="U485" s="1222"/>
    </row>
    <row r="486" spans="1:21" s="66" customFormat="1">
      <c r="A486"/>
      <c r="B486" s="1420" t="s">
        <v>19</v>
      </c>
      <c r="C486" s="1420"/>
      <c r="D486" s="1420"/>
      <c r="E486" s="1420"/>
      <c r="F486" s="422"/>
      <c r="G486" s="422"/>
      <c r="H486" s="422"/>
      <c r="I486" s="21"/>
      <c r="J486" s="21"/>
      <c r="K486" s="21"/>
      <c r="L486" s="21"/>
      <c r="M486" s="18"/>
      <c r="N486" s="18"/>
      <c r="O486" s="1222"/>
      <c r="P486" s="1222"/>
      <c r="Q486" s="1222"/>
      <c r="R486" s="1222"/>
      <c r="S486" s="1222"/>
      <c r="T486" s="1222"/>
      <c r="U486" s="1222"/>
    </row>
    <row r="487" spans="1:21" s="66" customFormat="1" ht="14" thickBot="1">
      <c r="A487" s="737"/>
      <c r="B487" s="820"/>
      <c r="C487" s="820"/>
      <c r="D487" s="820"/>
      <c r="E487" s="820"/>
      <c r="F487" s="823"/>
      <c r="G487" s="823"/>
      <c r="H487" s="823"/>
      <c r="I487" s="21"/>
      <c r="J487" s="21"/>
      <c r="K487" s="21"/>
      <c r="L487" s="21"/>
      <c r="M487" s="820"/>
      <c r="N487" s="820"/>
      <c r="O487" s="1222"/>
      <c r="P487" s="1222"/>
      <c r="Q487" s="1222"/>
      <c r="R487" s="1222"/>
      <c r="S487" s="1222"/>
      <c r="T487" s="1222"/>
      <c r="U487" s="1222"/>
    </row>
    <row r="488" spans="1:21" ht="16">
      <c r="A488" s="98"/>
      <c r="B488" s="99"/>
      <c r="C488" s="99"/>
      <c r="D488" s="99"/>
      <c r="E488" s="99"/>
      <c r="F488" s="421"/>
      <c r="G488" s="421"/>
      <c r="H488" s="421"/>
      <c r="I488" s="1468" t="s">
        <v>0</v>
      </c>
      <c r="J488" s="1468"/>
      <c r="K488" s="1468"/>
      <c r="L488" s="1468"/>
      <c r="M488" s="99"/>
      <c r="N488" s="101"/>
    </row>
    <row r="489" spans="1:21" ht="16">
      <c r="A489" s="97"/>
      <c r="B489" s="1469" t="s">
        <v>1</v>
      </c>
      <c r="C489" s="1469"/>
      <c r="D489" s="1469" t="s">
        <v>2</v>
      </c>
      <c r="E489" s="1469"/>
      <c r="F489" s="1470" t="s">
        <v>3</v>
      </c>
      <c r="G489" s="1470"/>
      <c r="H489" s="794" t="s">
        <v>3</v>
      </c>
      <c r="I489" s="127" t="s">
        <v>195</v>
      </c>
      <c r="J489" s="102"/>
      <c r="K489" s="102"/>
      <c r="L489" s="128"/>
      <c r="M489" s="1469" t="s">
        <v>4</v>
      </c>
      <c r="N489" s="1526"/>
    </row>
    <row r="490" spans="1:21" ht="19" thickBot="1">
      <c r="A490" s="103" t="s">
        <v>5</v>
      </c>
      <c r="B490" s="1473" t="s">
        <v>6</v>
      </c>
      <c r="C490" s="1473"/>
      <c r="D490" s="1473" t="s">
        <v>7</v>
      </c>
      <c r="E490" s="1473"/>
      <c r="F490" s="1474" t="s">
        <v>7</v>
      </c>
      <c r="G490" s="1474"/>
      <c r="H490" s="796" t="s">
        <v>58</v>
      </c>
      <c r="I490" s="797" t="s">
        <v>196</v>
      </c>
      <c r="J490" s="795" t="s">
        <v>8</v>
      </c>
      <c r="K490" s="795" t="s">
        <v>9</v>
      </c>
      <c r="L490" s="401" t="s">
        <v>10</v>
      </c>
      <c r="M490" s="1473" t="s">
        <v>145</v>
      </c>
      <c r="N490" s="1475"/>
    </row>
    <row r="491" spans="1:21" ht="24" thickBot="1">
      <c r="A491" s="88" t="s">
        <v>132</v>
      </c>
      <c r="B491" s="1764"/>
      <c r="C491" s="1477"/>
      <c r="D491" s="1478"/>
      <c r="E491" s="1479"/>
      <c r="F491" s="1480"/>
      <c r="G491" s="1481"/>
      <c r="H491" s="819"/>
      <c r="I491" s="7"/>
      <c r="J491" s="7"/>
      <c r="K491" s="7"/>
      <c r="L491" s="8"/>
      <c r="M491" s="1764"/>
      <c r="N491" s="1765"/>
    </row>
    <row r="492" spans="1:21" s="1161" customFormat="1" ht="17" thickBot="1">
      <c r="A492" s="108" t="s">
        <v>48</v>
      </c>
      <c r="B492" s="1567"/>
      <c r="C492" s="1586"/>
      <c r="D492" s="1567"/>
      <c r="E492" s="1586"/>
      <c r="F492" s="1587"/>
      <c r="G492" s="1588"/>
      <c r="H492" s="1145"/>
      <c r="I492" s="109"/>
      <c r="J492" s="109"/>
      <c r="K492" s="109"/>
      <c r="L492" s="1141"/>
      <c r="M492" s="1617"/>
      <c r="N492" s="1486"/>
      <c r="O492" s="274"/>
      <c r="P492" s="274"/>
      <c r="Q492" s="274"/>
      <c r="R492" s="274"/>
      <c r="S492" s="274"/>
      <c r="T492" s="274"/>
      <c r="U492" s="274"/>
    </row>
    <row r="493" spans="1:21" s="121" customFormat="1">
      <c r="A493" s="33" t="s">
        <v>28</v>
      </c>
      <c r="B493" s="1467">
        <f>Chino!N6</f>
        <v>6</v>
      </c>
      <c r="C493" s="1433"/>
      <c r="D493" s="1467">
        <f t="shared" ref="D493:D499" si="103">F493*325851</f>
        <v>74098.517400000012</v>
      </c>
      <c r="E493" s="1433"/>
      <c r="F493" s="1718">
        <f>0.0379*B493</f>
        <v>0.22740000000000002</v>
      </c>
      <c r="G493" s="1719"/>
      <c r="H493" s="944">
        <f>F493*20</f>
        <v>4.548</v>
      </c>
      <c r="I493" s="133">
        <v>0</v>
      </c>
      <c r="J493" s="133">
        <f>0*B493</f>
        <v>0</v>
      </c>
      <c r="K493" s="133">
        <f>60*B493</f>
        <v>360</v>
      </c>
      <c r="L493" s="134">
        <f t="shared" ref="L493:L499" si="104">I493+J493+K493</f>
        <v>360</v>
      </c>
      <c r="M493" s="1748">
        <f t="shared" ref="M493:M499" si="105">L493/(F493*427)</f>
        <v>3.7075256591671661</v>
      </c>
      <c r="N493" s="1815"/>
    </row>
    <row r="494" spans="1:21">
      <c r="A494" s="32" t="s">
        <v>29</v>
      </c>
      <c r="B494" s="1421">
        <f>Chino!N7</f>
        <v>0</v>
      </c>
      <c r="C494" s="1422"/>
      <c r="D494" s="1431">
        <f t="shared" si="103"/>
        <v>0</v>
      </c>
      <c r="E494" s="1422"/>
      <c r="F494" s="1756">
        <f>0.0425*B494</f>
        <v>0</v>
      </c>
      <c r="G494" s="1757"/>
      <c r="H494" s="941">
        <f>F494*20</f>
        <v>0</v>
      </c>
      <c r="I494" s="131">
        <v>0</v>
      </c>
      <c r="J494" s="131">
        <f>0*B494</f>
        <v>0</v>
      </c>
      <c r="K494" s="131">
        <f>B494*165</f>
        <v>0</v>
      </c>
      <c r="L494" s="132">
        <f t="shared" si="104"/>
        <v>0</v>
      </c>
      <c r="M494" s="1758">
        <v>0</v>
      </c>
      <c r="N494" s="1759"/>
    </row>
    <row r="495" spans="1:21">
      <c r="A495" s="32" t="s">
        <v>33</v>
      </c>
      <c r="B495" s="1421">
        <f>Chino!N8</f>
        <v>170</v>
      </c>
      <c r="C495" s="1422"/>
      <c r="D495" s="1431">
        <f t="shared" si="103"/>
        <v>1528892.892</v>
      </c>
      <c r="E495" s="1422"/>
      <c r="F495" s="1756">
        <f>0.0276*B495</f>
        <v>4.6920000000000002</v>
      </c>
      <c r="G495" s="1757"/>
      <c r="H495" s="941">
        <f>F495*15</f>
        <v>70.38</v>
      </c>
      <c r="I495" s="131">
        <f>0*B495</f>
        <v>0</v>
      </c>
      <c r="J495" s="131">
        <f>0*B495</f>
        <v>0</v>
      </c>
      <c r="K495" s="131">
        <f>B495*110</f>
        <v>18700</v>
      </c>
      <c r="L495" s="132">
        <f t="shared" si="104"/>
        <v>18700</v>
      </c>
      <c r="M495" s="1758">
        <f t="shared" si="105"/>
        <v>9.3337406238332825</v>
      </c>
      <c r="N495" s="1759"/>
    </row>
    <row r="496" spans="1:21">
      <c r="A496" s="32" t="s">
        <v>56</v>
      </c>
      <c r="B496" s="1421">
        <f>Chino!N9</f>
        <v>22</v>
      </c>
      <c r="C496" s="1422"/>
      <c r="D496" s="1431">
        <f>F496*325851</f>
        <v>28674.887999999999</v>
      </c>
      <c r="E496" s="1422"/>
      <c r="F496" s="1756">
        <f>0.004*B496</f>
        <v>8.7999999999999995E-2</v>
      </c>
      <c r="G496" s="1757"/>
      <c r="H496" s="941">
        <f>F496*5</f>
        <v>0.43999999999999995</v>
      </c>
      <c r="I496" s="131">
        <f>0*B496</f>
        <v>0</v>
      </c>
      <c r="J496" s="131">
        <f>0*B496</f>
        <v>0</v>
      </c>
      <c r="K496" s="131">
        <f>B496*4</f>
        <v>88</v>
      </c>
      <c r="L496" s="132">
        <f>I496+J496+K496</f>
        <v>88</v>
      </c>
      <c r="M496" s="1758">
        <f>L496/(F496*427)</f>
        <v>2.3419203747072599</v>
      </c>
      <c r="N496" s="1759"/>
    </row>
    <row r="497" spans="1:21">
      <c r="A497" s="78" t="s">
        <v>30</v>
      </c>
      <c r="B497" s="1421">
        <f>Chino!N10</f>
        <v>0</v>
      </c>
      <c r="C497" s="1422"/>
      <c r="D497" s="1431">
        <f t="shared" si="103"/>
        <v>0</v>
      </c>
      <c r="E497" s="1422"/>
      <c r="F497" s="1756">
        <f>0.325*B497</f>
        <v>0</v>
      </c>
      <c r="G497" s="1757"/>
      <c r="H497" s="941">
        <f>F497*10</f>
        <v>0</v>
      </c>
      <c r="I497" s="131">
        <v>0</v>
      </c>
      <c r="J497" s="131">
        <f>160*B497</f>
        <v>0</v>
      </c>
      <c r="K497" s="131">
        <f>B497*80</f>
        <v>0</v>
      </c>
      <c r="L497" s="132">
        <f t="shared" si="104"/>
        <v>0</v>
      </c>
      <c r="M497" s="1758">
        <v>0</v>
      </c>
      <c r="N497" s="1759"/>
    </row>
    <row r="498" spans="1:21">
      <c r="A498" s="33" t="s">
        <v>57</v>
      </c>
      <c r="B498" s="1421">
        <f>Chino!N11</f>
        <v>0</v>
      </c>
      <c r="C498" s="1422"/>
      <c r="D498" s="1431">
        <f t="shared" si="103"/>
        <v>0</v>
      </c>
      <c r="E498" s="1422"/>
      <c r="F498" s="1718">
        <f>0.00014*B498</f>
        <v>0</v>
      </c>
      <c r="G498" s="1719"/>
      <c r="H498" s="941">
        <f>F498*10</f>
        <v>0</v>
      </c>
      <c r="I498" s="131">
        <v>0</v>
      </c>
      <c r="J498" s="131">
        <f>2*B498</f>
        <v>0</v>
      </c>
      <c r="K498" s="131">
        <f>B498*0</f>
        <v>0</v>
      </c>
      <c r="L498" s="132">
        <f t="shared" si="104"/>
        <v>0</v>
      </c>
      <c r="M498" s="1758">
        <v>0</v>
      </c>
      <c r="N498" s="1759"/>
    </row>
    <row r="499" spans="1:21" ht="14" thickBot="1">
      <c r="A499" s="33" t="s">
        <v>82</v>
      </c>
      <c r="B499" s="1421">
        <f>Chino!N12</f>
        <v>3</v>
      </c>
      <c r="C499" s="1422"/>
      <c r="D499" s="1444">
        <f t="shared" si="103"/>
        <v>101046.39509999999</v>
      </c>
      <c r="E499" s="1422"/>
      <c r="F499" s="1756">
        <f>0.00014*2215</f>
        <v>0.31009999999999999</v>
      </c>
      <c r="G499" s="1757"/>
      <c r="H499" s="941">
        <f>F499*10</f>
        <v>3.101</v>
      </c>
      <c r="I499" s="131">
        <v>0</v>
      </c>
      <c r="J499" s="131">
        <f>0.3*2215</f>
        <v>664.5</v>
      </c>
      <c r="K499" s="131">
        <f>2215*0.3</f>
        <v>664.5</v>
      </c>
      <c r="L499" s="132">
        <f t="shared" si="104"/>
        <v>1329</v>
      </c>
      <c r="M499" s="1758">
        <f t="shared" si="105"/>
        <v>10.036801605888257</v>
      </c>
      <c r="N499" s="1759"/>
    </row>
    <row r="500" spans="1:21" s="533" customFormat="1" ht="14" thickBot="1">
      <c r="A500" s="53" t="s">
        <v>60</v>
      </c>
      <c r="B500" s="1438">
        <f>SUM(B493:C499)</f>
        <v>201</v>
      </c>
      <c r="C500" s="1609"/>
      <c r="D500" s="1440">
        <f>SUM(D493:E499)</f>
        <v>1732712.6925000001</v>
      </c>
      <c r="E500" s="1609"/>
      <c r="F500" s="1512">
        <f>SUM(F493:G499)</f>
        <v>5.3175000000000008</v>
      </c>
      <c r="G500" s="1575"/>
      <c r="H500" s="793">
        <f>SUM(H493:H499)</f>
        <v>78.468999999999994</v>
      </c>
      <c r="I500" s="143">
        <f>SUM(I493:I499)</f>
        <v>0</v>
      </c>
      <c r="J500" s="143">
        <f>SUM(J493:J499)</f>
        <v>664.5</v>
      </c>
      <c r="K500" s="143">
        <f>SUM(K493:K499)</f>
        <v>19812.5</v>
      </c>
      <c r="L500" s="152">
        <f>SUM(L493:L499)</f>
        <v>20477</v>
      </c>
      <c r="M500" s="1657"/>
      <c r="N500" s="1622"/>
      <c r="O500" s="534"/>
      <c r="P500" s="534"/>
      <c r="Q500" s="534"/>
      <c r="R500" s="534"/>
      <c r="S500" s="534"/>
      <c r="T500" s="534"/>
      <c r="U500" s="534"/>
    </row>
    <row r="501" spans="1:21" s="1161" customFormat="1" ht="17" thickBot="1">
      <c r="A501" s="1246" t="s">
        <v>147</v>
      </c>
      <c r="B501" s="1456"/>
      <c r="C501" s="1586"/>
      <c r="D501" s="1457"/>
      <c r="E501" s="1586"/>
      <c r="F501" s="1484"/>
      <c r="G501" s="1588"/>
      <c r="H501" s="1145"/>
      <c r="I501" s="161"/>
      <c r="J501" s="161"/>
      <c r="K501" s="161"/>
      <c r="L501" s="162"/>
      <c r="M501" s="1617"/>
      <c r="N501" s="1486"/>
      <c r="O501" s="1368"/>
      <c r="P501" s="274"/>
      <c r="Q501" s="274"/>
      <c r="R501" s="274"/>
      <c r="S501" s="274"/>
      <c r="T501" s="274"/>
      <c r="U501" s="274"/>
    </row>
    <row r="502" spans="1:21" ht="14" thickBot="1">
      <c r="A502" s="76" t="s">
        <v>147</v>
      </c>
      <c r="B502" s="1769">
        <f>Chino!N15</f>
        <v>28</v>
      </c>
      <c r="C502" s="1770"/>
      <c r="D502" s="1444">
        <f>F502*325851</f>
        <v>345793.08120000007</v>
      </c>
      <c r="E502" s="1422"/>
      <c r="F502" s="1760">
        <f>0.0379*B502</f>
        <v>1.0612000000000001</v>
      </c>
      <c r="G502" s="1757"/>
      <c r="H502" s="941">
        <f>F502*20</f>
        <v>21.224000000000004</v>
      </c>
      <c r="I502" s="131">
        <f>73.34*B502</f>
        <v>2053.52</v>
      </c>
      <c r="J502" s="131">
        <f>35.66*B502</f>
        <v>998.4799999999999</v>
      </c>
      <c r="K502" s="131">
        <f>B502*60</f>
        <v>1680</v>
      </c>
      <c r="L502" s="132">
        <f>I502+J502+K502</f>
        <v>4732</v>
      </c>
      <c r="M502" s="1758">
        <f>L502/(F502*427)</f>
        <v>10.442863939987516</v>
      </c>
      <c r="N502" s="1759"/>
    </row>
    <row r="503" spans="1:21" s="533" customFormat="1" ht="14" thickBot="1">
      <c r="A503" s="53" t="s">
        <v>60</v>
      </c>
      <c r="B503" s="1438">
        <f>SUM(B502)</f>
        <v>28</v>
      </c>
      <c r="C503" s="1609"/>
      <c r="D503" s="1440">
        <f>SUM(D502)</f>
        <v>345793.08120000007</v>
      </c>
      <c r="E503" s="1609"/>
      <c r="F503" s="1512">
        <f>SUM(F502)</f>
        <v>1.0612000000000001</v>
      </c>
      <c r="G503" s="1575"/>
      <c r="H503" s="793">
        <f>SUM(H502)</f>
        <v>21.224000000000004</v>
      </c>
      <c r="I503" s="136">
        <f>SUM(I502)</f>
        <v>2053.52</v>
      </c>
      <c r="J503" s="136">
        <f>SUM(J502)</f>
        <v>998.4799999999999</v>
      </c>
      <c r="K503" s="136">
        <f>SUM(K502)</f>
        <v>1680</v>
      </c>
      <c r="L503" s="136">
        <f>SUM(L502)</f>
        <v>4732</v>
      </c>
      <c r="M503" s="1657"/>
      <c r="N503" s="1622"/>
      <c r="O503" s="534"/>
      <c r="P503" s="534"/>
      <c r="Q503" s="534"/>
      <c r="R503" s="534"/>
      <c r="S503" s="534"/>
      <c r="T503" s="534"/>
      <c r="U503" s="534"/>
    </row>
    <row r="504" spans="1:21" s="1161" customFormat="1" ht="17" thickBot="1">
      <c r="A504" s="108" t="s">
        <v>50</v>
      </c>
      <c r="B504" s="1456"/>
      <c r="C504" s="1586"/>
      <c r="D504" s="1457"/>
      <c r="E504" s="1586"/>
      <c r="F504" s="1484"/>
      <c r="G504" s="1588"/>
      <c r="H504" s="1145"/>
      <c r="I504" s="161"/>
      <c r="J504" s="161"/>
      <c r="K504" s="161"/>
      <c r="L504" s="162"/>
      <c r="M504" s="1617"/>
      <c r="N504" s="1486"/>
      <c r="O504" s="274"/>
      <c r="P504" s="274"/>
      <c r="Q504" s="274"/>
      <c r="R504" s="274"/>
      <c r="S504" s="274"/>
      <c r="T504" s="274"/>
      <c r="U504" s="274"/>
    </row>
    <row r="505" spans="1:21">
      <c r="A505" s="36" t="s">
        <v>26</v>
      </c>
      <c r="B505" s="1731">
        <f>Chino!N18</f>
        <v>0</v>
      </c>
      <c r="C505" s="1732"/>
      <c r="D505" s="1444">
        <f t="shared" ref="D505:D513" si="106">F505*325851</f>
        <v>0</v>
      </c>
      <c r="E505" s="1422"/>
      <c r="F505" s="1760">
        <f>0.0379*B505</f>
        <v>0</v>
      </c>
      <c r="G505" s="1757"/>
      <c r="H505" s="941">
        <f>F505*20</f>
        <v>0</v>
      </c>
      <c r="I505" s="131">
        <v>0</v>
      </c>
      <c r="J505" s="131">
        <f>35.66*B505</f>
        <v>0</v>
      </c>
      <c r="K505" s="131">
        <f>135*B505</f>
        <v>0</v>
      </c>
      <c r="L505" s="132">
        <f>SUM(I505:K505)</f>
        <v>0</v>
      </c>
      <c r="M505" s="1792">
        <v>0</v>
      </c>
      <c r="N505" s="1793"/>
    </row>
    <row r="506" spans="1:21">
      <c r="A506" s="34" t="s">
        <v>25</v>
      </c>
      <c r="B506" s="1421">
        <f>Chino!N19</f>
        <v>0</v>
      </c>
      <c r="C506" s="1422"/>
      <c r="D506" s="1444">
        <f t="shared" si="106"/>
        <v>0</v>
      </c>
      <c r="E506" s="1422"/>
      <c r="F506" s="1760">
        <f>0.0379*B506</f>
        <v>0</v>
      </c>
      <c r="G506" s="1757"/>
      <c r="H506" s="941">
        <f>F506*20</f>
        <v>0</v>
      </c>
      <c r="I506" s="131">
        <v>0</v>
      </c>
      <c r="J506" s="131">
        <f>0*B506</f>
        <v>0</v>
      </c>
      <c r="K506" s="131">
        <f>135*B506</f>
        <v>0</v>
      </c>
      <c r="L506" s="132">
        <f t="shared" ref="L506:L521" si="107">SUM(I506:K506)</f>
        <v>0</v>
      </c>
      <c r="M506" s="1758">
        <v>0</v>
      </c>
      <c r="N506" s="1759"/>
    </row>
    <row r="507" spans="1:21">
      <c r="A507" s="32" t="s">
        <v>29</v>
      </c>
      <c r="B507" s="1421">
        <f>Chino!N20</f>
        <v>158</v>
      </c>
      <c r="C507" s="1422"/>
      <c r="D507" s="1444">
        <f t="shared" si="106"/>
        <v>2188089.4650000003</v>
      </c>
      <c r="E507" s="1422"/>
      <c r="F507" s="1760">
        <f>0.0425*B507</f>
        <v>6.7150000000000007</v>
      </c>
      <c r="G507" s="1757"/>
      <c r="H507" s="941">
        <f>F507*20</f>
        <v>134.30000000000001</v>
      </c>
      <c r="I507" s="131">
        <v>0</v>
      </c>
      <c r="J507" s="131">
        <f>135*B507</f>
        <v>21330</v>
      </c>
      <c r="K507" s="131">
        <f>165*B507</f>
        <v>26070</v>
      </c>
      <c r="L507" s="132">
        <f t="shared" si="107"/>
        <v>47400</v>
      </c>
      <c r="M507" s="1758">
        <f t="shared" ref="M507:M513" si="108">L507/(F507*427)</f>
        <v>16.531202644992423</v>
      </c>
      <c r="N507" s="1759"/>
    </row>
    <row r="508" spans="1:21">
      <c r="A508" s="32" t="s">
        <v>51</v>
      </c>
      <c r="B508" s="1421">
        <f>Chino!N21</f>
        <v>90</v>
      </c>
      <c r="C508" s="1422"/>
      <c r="D508" s="1444">
        <f t="shared" si="106"/>
        <v>3598372.5930000003</v>
      </c>
      <c r="E508" s="1422"/>
      <c r="F508" s="1760">
        <f>0.1227*B508</f>
        <v>11.043000000000001</v>
      </c>
      <c r="G508" s="1757"/>
      <c r="H508" s="941">
        <f>F508*20</f>
        <v>220.86</v>
      </c>
      <c r="I508" s="131">
        <v>0</v>
      </c>
      <c r="J508" s="131">
        <f>0*B508</f>
        <v>0</v>
      </c>
      <c r="K508" s="131">
        <f>400*B508</f>
        <v>36000</v>
      </c>
      <c r="L508" s="132">
        <f t="shared" si="107"/>
        <v>36000</v>
      </c>
      <c r="M508" s="1758">
        <f t="shared" si="108"/>
        <v>7.6346222484344244</v>
      </c>
      <c r="N508" s="1759"/>
    </row>
    <row r="509" spans="1:21">
      <c r="A509" s="34" t="s">
        <v>20</v>
      </c>
      <c r="B509" s="1421">
        <f>Chino!N22</f>
        <v>0</v>
      </c>
      <c r="C509" s="1422"/>
      <c r="D509" s="1444">
        <f t="shared" si="106"/>
        <v>0</v>
      </c>
      <c r="E509" s="1422"/>
      <c r="F509" s="1760">
        <f>0.644*B509</f>
        <v>0</v>
      </c>
      <c r="G509" s="1757"/>
      <c r="H509" s="941">
        <f>F509*5</f>
        <v>0</v>
      </c>
      <c r="I509" s="131">
        <v>0</v>
      </c>
      <c r="J509" s="131">
        <f>175*B509</f>
        <v>0</v>
      </c>
      <c r="K509" s="131">
        <f>625*B509</f>
        <v>0</v>
      </c>
      <c r="L509" s="132">
        <f t="shared" si="107"/>
        <v>0</v>
      </c>
      <c r="M509" s="1758">
        <v>0</v>
      </c>
      <c r="N509" s="1759"/>
    </row>
    <row r="510" spans="1:21">
      <c r="A510" s="34" t="s">
        <v>13</v>
      </c>
      <c r="B510" s="1421">
        <f>Chino!N23</f>
        <v>0</v>
      </c>
      <c r="C510" s="1422"/>
      <c r="D510" s="1444">
        <f t="shared" si="106"/>
        <v>0</v>
      </c>
      <c r="E510" s="1422"/>
      <c r="F510" s="1760">
        <f>0.0276*B510</f>
        <v>0</v>
      </c>
      <c r="G510" s="1757"/>
      <c r="H510" s="941">
        <f>F510*15</f>
        <v>0</v>
      </c>
      <c r="I510" s="131">
        <v>0</v>
      </c>
      <c r="J510" s="131">
        <f>290*B510</f>
        <v>0</v>
      </c>
      <c r="K510" s="131">
        <f>130*B510</f>
        <v>0</v>
      </c>
      <c r="L510" s="132">
        <f t="shared" si="107"/>
        <v>0</v>
      </c>
      <c r="M510" s="1758">
        <v>0</v>
      </c>
      <c r="N510" s="1759"/>
    </row>
    <row r="511" spans="1:21">
      <c r="A511" s="35" t="s">
        <v>47</v>
      </c>
      <c r="B511" s="1421">
        <f>Chino!N24</f>
        <v>0</v>
      </c>
      <c r="C511" s="1422"/>
      <c r="D511" s="1444">
        <f t="shared" si="106"/>
        <v>0</v>
      </c>
      <c r="E511" s="1422"/>
      <c r="F511" s="1760">
        <f>0.1534*B511</f>
        <v>0</v>
      </c>
      <c r="G511" s="1757"/>
      <c r="H511" s="941">
        <f>F511*5</f>
        <v>0</v>
      </c>
      <c r="I511" s="131">
        <v>0</v>
      </c>
      <c r="J511" s="131">
        <f>0*B511</f>
        <v>0</v>
      </c>
      <c r="K511" s="131">
        <f>150*B511</f>
        <v>0</v>
      </c>
      <c r="L511" s="132">
        <f t="shared" si="107"/>
        <v>0</v>
      </c>
      <c r="M511" s="1758">
        <v>0</v>
      </c>
      <c r="N511" s="1759"/>
    </row>
    <row r="512" spans="1:21">
      <c r="A512" s="76" t="s">
        <v>30</v>
      </c>
      <c r="B512" s="1421">
        <f>Chino!N25</f>
        <v>0</v>
      </c>
      <c r="C512" s="1422"/>
      <c r="D512" s="1444">
        <f t="shared" si="106"/>
        <v>0</v>
      </c>
      <c r="E512" s="1422"/>
      <c r="F512" s="1760">
        <f>0.325*B512</f>
        <v>0</v>
      </c>
      <c r="G512" s="1757"/>
      <c r="H512" s="941">
        <f>F512*10</f>
        <v>0</v>
      </c>
      <c r="I512" s="131">
        <v>0</v>
      </c>
      <c r="J512" s="131">
        <f>0*B512</f>
        <v>0</v>
      </c>
      <c r="K512" s="131">
        <f>630*B512</f>
        <v>0</v>
      </c>
      <c r="L512" s="132">
        <f t="shared" si="107"/>
        <v>0</v>
      </c>
      <c r="M512" s="1758">
        <v>0</v>
      </c>
      <c r="N512" s="1759"/>
    </row>
    <row r="513" spans="1:21">
      <c r="A513" s="33" t="s">
        <v>83</v>
      </c>
      <c r="B513" s="1421">
        <f>Chino!N26</f>
        <v>2</v>
      </c>
      <c r="C513" s="1422"/>
      <c r="D513" s="1444">
        <f t="shared" si="106"/>
        <v>1386821.8559999997</v>
      </c>
      <c r="E513" s="1422"/>
      <c r="F513" s="1760">
        <f>0.00014*30400</f>
        <v>4.2559999999999993</v>
      </c>
      <c r="G513" s="1757"/>
      <c r="H513" s="941">
        <f>F513*10</f>
        <v>42.559999999999995</v>
      </c>
      <c r="I513" s="131">
        <v>0</v>
      </c>
      <c r="J513" s="131">
        <f>0.3*30400</f>
        <v>9120</v>
      </c>
      <c r="K513" s="131">
        <f>0.3*30400</f>
        <v>9120</v>
      </c>
      <c r="L513" s="132">
        <f t="shared" si="107"/>
        <v>18240</v>
      </c>
      <c r="M513" s="1758">
        <f t="shared" si="108"/>
        <v>10.036801605888259</v>
      </c>
      <c r="N513" s="1759"/>
    </row>
    <row r="514" spans="1:21" ht="14" thickBot="1">
      <c r="A514" s="47" t="s">
        <v>56</v>
      </c>
      <c r="B514" s="1421">
        <f>Chino!N29</f>
        <v>0</v>
      </c>
      <c r="C514" s="1422"/>
      <c r="D514" s="1444">
        <f>F514*325851</f>
        <v>0</v>
      </c>
      <c r="E514" s="1422"/>
      <c r="F514" s="1760">
        <f>0.004*B514</f>
        <v>0</v>
      </c>
      <c r="G514" s="1757"/>
      <c r="H514" s="941">
        <f>F514*5</f>
        <v>0</v>
      </c>
      <c r="I514" s="131">
        <v>0</v>
      </c>
      <c r="J514" s="131">
        <f>0*B514</f>
        <v>0</v>
      </c>
      <c r="K514" s="131">
        <f>4*B514</f>
        <v>0</v>
      </c>
      <c r="L514" s="132">
        <f t="shared" si="107"/>
        <v>0</v>
      </c>
      <c r="M514" s="1758">
        <v>0</v>
      </c>
      <c r="N514" s="1759"/>
    </row>
    <row r="515" spans="1:21" s="533" customFormat="1" ht="14" thickBot="1">
      <c r="A515" s="53" t="s">
        <v>60</v>
      </c>
      <c r="B515" s="1438">
        <f>SUM(B505:C514)</f>
        <v>250</v>
      </c>
      <c r="C515" s="1609"/>
      <c r="D515" s="1440">
        <f>SUM(D505:E514)</f>
        <v>7173283.9139999999</v>
      </c>
      <c r="E515" s="1609"/>
      <c r="F515" s="1512">
        <f>SUM(F505:G514)</f>
        <v>22.014000000000003</v>
      </c>
      <c r="G515" s="1575"/>
      <c r="H515" s="793">
        <f>SUM(H505:H514)</f>
        <v>397.72</v>
      </c>
      <c r="I515" s="136">
        <f>SUM(I505:I514)</f>
        <v>0</v>
      </c>
      <c r="J515" s="136">
        <f>SUM(J505:J514)</f>
        <v>30450</v>
      </c>
      <c r="K515" s="136">
        <f>SUM(K505:K514)</f>
        <v>71190</v>
      </c>
      <c r="L515" s="136">
        <f>SUM(L505:L514)</f>
        <v>101640</v>
      </c>
      <c r="M515" s="1657"/>
      <c r="N515" s="1622"/>
      <c r="O515" s="534"/>
      <c r="P515" s="534"/>
      <c r="Q515" s="534"/>
      <c r="R515" s="534"/>
      <c r="S515" s="534"/>
      <c r="T515" s="534"/>
      <c r="U515" s="534"/>
    </row>
    <row r="516" spans="1:21" s="1161" customFormat="1" ht="17" thickBot="1">
      <c r="A516" s="108" t="s">
        <v>54</v>
      </c>
      <c r="B516" s="1456"/>
      <c r="C516" s="1586"/>
      <c r="D516" s="1141"/>
      <c r="E516" s="1142"/>
      <c r="F516" s="1158"/>
      <c r="G516" s="1145"/>
      <c r="H516" s="1145"/>
      <c r="I516" s="161"/>
      <c r="J516" s="161"/>
      <c r="K516" s="161"/>
      <c r="L516" s="162"/>
      <c r="M516" s="1154"/>
      <c r="N516" s="1155"/>
      <c r="O516" s="274"/>
      <c r="P516" s="274"/>
      <c r="Q516" s="274"/>
      <c r="R516" s="274"/>
      <c r="S516" s="274"/>
      <c r="T516" s="274"/>
      <c r="U516" s="274"/>
    </row>
    <row r="517" spans="1:21">
      <c r="A517" s="36" t="s">
        <v>29</v>
      </c>
      <c r="B517" s="1731">
        <f>Chino!N30</f>
        <v>0</v>
      </c>
      <c r="C517" s="1732"/>
      <c r="D517" s="1767">
        <f>F517*325851</f>
        <v>0</v>
      </c>
      <c r="E517" s="1732"/>
      <c r="F517" s="1760">
        <f>0.0425*B517</f>
        <v>0</v>
      </c>
      <c r="G517" s="1757"/>
      <c r="H517" s="941">
        <f>F517*20</f>
        <v>0</v>
      </c>
      <c r="I517" s="131">
        <v>0</v>
      </c>
      <c r="J517" s="131">
        <f>35.66*B517</f>
        <v>0</v>
      </c>
      <c r="K517" s="131">
        <f>630*B517</f>
        <v>0</v>
      </c>
      <c r="L517" s="132">
        <f t="shared" si="107"/>
        <v>0</v>
      </c>
      <c r="M517" s="1758">
        <v>0</v>
      </c>
      <c r="N517" s="1759"/>
    </row>
    <row r="518" spans="1:21">
      <c r="A518" s="34" t="s">
        <v>51</v>
      </c>
      <c r="B518" s="1421">
        <f>Chino!N31</f>
        <v>51</v>
      </c>
      <c r="C518" s="1422"/>
      <c r="D518" s="1444">
        <f>F518*325851</f>
        <v>2039077.8026999999</v>
      </c>
      <c r="E518" s="1422"/>
      <c r="F518" s="1760">
        <f>0.1227*B518</f>
        <v>6.2576999999999998</v>
      </c>
      <c r="G518" s="1757"/>
      <c r="H518" s="941">
        <f>F518*20</f>
        <v>125.154</v>
      </c>
      <c r="I518" s="131">
        <v>0</v>
      </c>
      <c r="J518" s="131">
        <f>0*B518</f>
        <v>0</v>
      </c>
      <c r="K518" s="131">
        <f>1225*B518</f>
        <v>62475</v>
      </c>
      <c r="L518" s="132">
        <f t="shared" si="107"/>
        <v>62475</v>
      </c>
      <c r="M518" s="1758">
        <f>L518/(F518*427)</f>
        <v>23.381030635830427</v>
      </c>
      <c r="N518" s="1759"/>
    </row>
    <row r="519" spans="1:21">
      <c r="A519" s="34" t="s">
        <v>15</v>
      </c>
      <c r="B519" s="1421">
        <f>Chino!N32</f>
        <v>42</v>
      </c>
      <c r="C519" s="1422"/>
      <c r="D519" s="1444">
        <f>F519*325851</f>
        <v>2099392.8228000002</v>
      </c>
      <c r="E519" s="1422"/>
      <c r="F519" s="1760">
        <f>0.1534*B519</f>
        <v>6.4428000000000001</v>
      </c>
      <c r="G519" s="1757"/>
      <c r="H519" s="941">
        <f>F519*5</f>
        <v>32.213999999999999</v>
      </c>
      <c r="I519" s="131">
        <v>0</v>
      </c>
      <c r="J519" s="131">
        <f>0*B519</f>
        <v>0</v>
      </c>
      <c r="K519" s="131">
        <f>380*B519</f>
        <v>15960</v>
      </c>
      <c r="L519" s="132">
        <f t="shared" si="107"/>
        <v>15960</v>
      </c>
      <c r="M519" s="1758">
        <f>L519/(F519*427)</f>
        <v>5.8013672906698748</v>
      </c>
      <c r="N519" s="1759"/>
    </row>
    <row r="520" spans="1:21">
      <c r="A520" s="34" t="s">
        <v>30</v>
      </c>
      <c r="B520" s="1421">
        <f>Chino!N33</f>
        <v>0</v>
      </c>
      <c r="C520" s="1422"/>
      <c r="D520" s="1444">
        <f>F520*325851</f>
        <v>0</v>
      </c>
      <c r="E520" s="1422"/>
      <c r="F520" s="1760">
        <f>0.466*B520</f>
        <v>0</v>
      </c>
      <c r="G520" s="1757"/>
      <c r="H520" s="941">
        <f>F520*10</f>
        <v>0</v>
      </c>
      <c r="I520" s="131">
        <v>0</v>
      </c>
      <c r="J520" s="131">
        <f>0*B520</f>
        <v>0</v>
      </c>
      <c r="K520" s="131">
        <f>1004*B520</f>
        <v>0</v>
      </c>
      <c r="L520" s="132">
        <f t="shared" si="107"/>
        <v>0</v>
      </c>
      <c r="M520" s="1758">
        <v>0</v>
      </c>
      <c r="N520" s="1759"/>
    </row>
    <row r="521" spans="1:21" ht="14" thickBot="1">
      <c r="A521" s="37" t="s">
        <v>55</v>
      </c>
      <c r="B521" s="1429">
        <f>Chino!N34</f>
        <v>0</v>
      </c>
      <c r="C521" s="1430"/>
      <c r="D521" s="1444">
        <f>F521*325851</f>
        <v>0</v>
      </c>
      <c r="E521" s="1422"/>
      <c r="F521" s="1771">
        <f>0.823*B521</f>
        <v>0</v>
      </c>
      <c r="G521" s="1719"/>
      <c r="H521" s="941">
        <f>F521*10</f>
        <v>0</v>
      </c>
      <c r="I521" s="131">
        <v>0</v>
      </c>
      <c r="J521" s="131">
        <f>0*B521</f>
        <v>0</v>
      </c>
      <c r="K521" s="131">
        <f>3124*B521</f>
        <v>0</v>
      </c>
      <c r="L521" s="132">
        <f t="shared" si="107"/>
        <v>0</v>
      </c>
      <c r="M521" s="1758">
        <v>0</v>
      </c>
      <c r="N521" s="1759"/>
    </row>
    <row r="522" spans="1:21" s="533" customFormat="1" ht="14" thickBot="1">
      <c r="A522" s="693" t="s">
        <v>60</v>
      </c>
      <c r="B522" s="1564">
        <f>SUM(B517:C521)</f>
        <v>93</v>
      </c>
      <c r="C522" s="1740"/>
      <c r="D522" s="1452">
        <f>SUM(D517:E521)</f>
        <v>4138470.6255000001</v>
      </c>
      <c r="E522" s="1740"/>
      <c r="F522" s="1785">
        <f>SUM(F517:G521)</f>
        <v>12.7005</v>
      </c>
      <c r="G522" s="1554"/>
      <c r="H522" s="824">
        <f>SUM(H517:H521)</f>
        <v>157.36799999999999</v>
      </c>
      <c r="I522" s="515">
        <f>SUM(I517:I521)</f>
        <v>0</v>
      </c>
      <c r="J522" s="515">
        <f>SUM(J517:J521)</f>
        <v>0</v>
      </c>
      <c r="K522" s="515">
        <f>SUM(K517:K521)</f>
        <v>78435</v>
      </c>
      <c r="L522" s="515">
        <f>SUM(L517:L521)</f>
        <v>78435</v>
      </c>
      <c r="M522" s="1772"/>
      <c r="N522" s="1773"/>
      <c r="O522" s="534"/>
      <c r="P522" s="534"/>
      <c r="Q522" s="534"/>
      <c r="R522" s="534"/>
      <c r="S522" s="534"/>
      <c r="T522" s="534"/>
      <c r="U522" s="534"/>
    </row>
    <row r="523" spans="1:21" s="1168" customFormat="1" ht="17" thickBot="1">
      <c r="A523" s="1182" t="s">
        <v>17</v>
      </c>
      <c r="B523" s="1416">
        <f>SUM(B500+B503+B515+B522)</f>
        <v>572</v>
      </c>
      <c r="C523" s="1415"/>
      <c r="D523" s="1416">
        <f>SUM(D500+D503+D515+D522)</f>
        <v>13390260.313200001</v>
      </c>
      <c r="E523" s="1415"/>
      <c r="F523" s="1613">
        <f>SUM(F500+F503+F515+F522)</f>
        <v>41.093200000000003</v>
      </c>
      <c r="G523" s="1488"/>
      <c r="H523" s="1201">
        <f>SUM(H500+H503+H515+H522)</f>
        <v>654.78099999999995</v>
      </c>
      <c r="I523" s="1169">
        <f>SUM(I500+I503+I515+I522)</f>
        <v>2053.52</v>
      </c>
      <c r="J523" s="1169">
        <f>SUM(J500+J503+J515+J522)</f>
        <v>32112.98</v>
      </c>
      <c r="K523" s="1169">
        <f>SUM(K500+K503+K515+K522)</f>
        <v>171117.5</v>
      </c>
      <c r="L523" s="1169">
        <f>SUM(L500+L503+L515+L522)</f>
        <v>205284</v>
      </c>
      <c r="M523" s="1631"/>
      <c r="N523" s="1640"/>
      <c r="O523" s="121"/>
      <c r="P523" s="121"/>
      <c r="Q523" s="121"/>
      <c r="R523" s="121"/>
      <c r="S523" s="121"/>
      <c r="T523" s="121"/>
      <c r="U523" s="121"/>
    </row>
    <row r="524" spans="1:21">
      <c r="A524" s="50"/>
      <c r="B524" s="20"/>
      <c r="C524" s="20"/>
      <c r="D524" s="20"/>
      <c r="E524" s="20"/>
      <c r="F524" s="422"/>
      <c r="G524" s="422"/>
      <c r="H524" s="422"/>
      <c r="I524" s="21"/>
      <c r="J524" s="21"/>
      <c r="K524" s="21"/>
      <c r="L524" s="21"/>
      <c r="M524" s="18"/>
      <c r="N524" s="18"/>
    </row>
    <row r="525" spans="1:21" ht="15">
      <c r="A525" s="9" t="s">
        <v>18</v>
      </c>
      <c r="B525" s="1695" t="s">
        <v>59</v>
      </c>
      <c r="C525" s="1566"/>
      <c r="D525" s="1566"/>
      <c r="E525" s="1821"/>
      <c r="F525" s="422"/>
      <c r="G525" s="422"/>
      <c r="H525" s="422"/>
      <c r="I525" s="21"/>
      <c r="J525" s="21"/>
      <c r="K525" s="21"/>
      <c r="L525" s="21"/>
      <c r="M525" s="18"/>
      <c r="N525" s="18"/>
    </row>
    <row r="526" spans="1:21">
      <c r="B526" s="1420" t="s">
        <v>19</v>
      </c>
      <c r="C526" s="1420"/>
      <c r="D526" s="1420"/>
      <c r="E526" s="1420"/>
      <c r="F526" s="422"/>
      <c r="G526" s="422"/>
      <c r="H526" s="422"/>
      <c r="I526" s="21"/>
      <c r="J526" s="21"/>
      <c r="K526" s="21"/>
      <c r="L526" s="21"/>
      <c r="M526" s="18"/>
      <c r="N526" s="18"/>
    </row>
    <row r="527" spans="1:21" ht="14" thickBot="1">
      <c r="A527" s="737"/>
      <c r="B527" s="820"/>
      <c r="C527" s="820"/>
      <c r="D527" s="820"/>
      <c r="E527" s="820"/>
      <c r="F527" s="823"/>
      <c r="G527" s="823"/>
      <c r="H527" s="823"/>
      <c r="I527" s="21"/>
      <c r="J527" s="21"/>
      <c r="K527" s="21"/>
      <c r="L527" s="21"/>
      <c r="M527" s="820"/>
      <c r="N527" s="820"/>
    </row>
    <row r="528" spans="1:21" s="363" customFormat="1" ht="16">
      <c r="A528" s="98"/>
      <c r="B528" s="414"/>
      <c r="C528" s="414"/>
      <c r="D528" s="414"/>
      <c r="E528" s="414"/>
      <c r="F528" s="491"/>
      <c r="G528" s="491"/>
      <c r="H528" s="491"/>
      <c r="I528" s="1722" t="s">
        <v>0</v>
      </c>
      <c r="J528" s="1722"/>
      <c r="K528" s="1722"/>
      <c r="L528" s="1722"/>
      <c r="M528" s="414"/>
      <c r="N528" s="492"/>
      <c r="O528" s="1398"/>
      <c r="P528" s="1398"/>
      <c r="Q528" s="1398"/>
      <c r="R528" s="1398"/>
      <c r="S528" s="1398"/>
      <c r="T528" s="1398"/>
      <c r="U528" s="1398"/>
    </row>
    <row r="529" spans="1:21" ht="16">
      <c r="A529" s="97"/>
      <c r="B529" s="102" t="s">
        <v>1</v>
      </c>
      <c r="C529" s="102"/>
      <c r="D529" s="102" t="s">
        <v>2</v>
      </c>
      <c r="E529" s="102"/>
      <c r="F529" s="488" t="s">
        <v>3</v>
      </c>
      <c r="G529" s="488"/>
      <c r="H529" s="488" t="s">
        <v>3</v>
      </c>
      <c r="I529" s="127" t="s">
        <v>195</v>
      </c>
      <c r="J529" s="349"/>
      <c r="K529" s="349"/>
      <c r="L529" s="128"/>
      <c r="M529" s="102" t="s">
        <v>4</v>
      </c>
      <c r="N529" s="490"/>
      <c r="Q529" s="1222"/>
    </row>
    <row r="530" spans="1:21" s="3" customFormat="1" ht="19" thickBot="1">
      <c r="A530" s="103" t="s">
        <v>5</v>
      </c>
      <c r="B530" s="1473" t="s">
        <v>6</v>
      </c>
      <c r="C530" s="1473"/>
      <c r="D530" s="1473" t="s">
        <v>7</v>
      </c>
      <c r="E530" s="1473"/>
      <c r="F530" s="1474" t="s">
        <v>7</v>
      </c>
      <c r="G530" s="1474"/>
      <c r="H530" s="439" t="s">
        <v>58</v>
      </c>
      <c r="I530" s="398" t="s">
        <v>196</v>
      </c>
      <c r="J530" s="397" t="s">
        <v>8</v>
      </c>
      <c r="K530" s="397" t="s">
        <v>9</v>
      </c>
      <c r="L530" s="401" t="s">
        <v>10</v>
      </c>
      <c r="M530" s="1473" t="s">
        <v>145</v>
      </c>
      <c r="N530" s="1475"/>
      <c r="O530" s="1222"/>
      <c r="P530" s="1222"/>
      <c r="Q530" s="1222"/>
      <c r="R530" s="1222"/>
      <c r="S530" s="1222"/>
      <c r="T530" s="1222"/>
      <c r="U530" s="1222"/>
    </row>
    <row r="531" spans="1:21" ht="24" thickBot="1">
      <c r="A531" s="88" t="s">
        <v>133</v>
      </c>
      <c r="B531" s="1761"/>
      <c r="C531" s="1761"/>
      <c r="D531" s="1761"/>
      <c r="E531" s="1761"/>
      <c r="F531" s="1776"/>
      <c r="G531" s="1776"/>
      <c r="H531" s="450"/>
      <c r="I531" s="489"/>
      <c r="J531" s="16"/>
      <c r="K531" s="16"/>
      <c r="L531" s="12"/>
      <c r="M531" s="1761"/>
      <c r="N531" s="1818"/>
    </row>
    <row r="532" spans="1:21" s="1161" customFormat="1" ht="17" thickBot="1">
      <c r="A532" s="1214" t="s">
        <v>48</v>
      </c>
      <c r="B532" s="1809"/>
      <c r="C532" s="1810"/>
      <c r="D532" s="1811"/>
      <c r="E532" s="1812"/>
      <c r="F532" s="1813"/>
      <c r="G532" s="1814"/>
      <c r="H532" s="1215"/>
      <c r="I532" s="1216"/>
      <c r="J532" s="1216"/>
      <c r="K532" s="1216"/>
      <c r="L532" s="1217"/>
      <c r="M532" s="1816"/>
      <c r="N532" s="1817"/>
      <c r="O532" s="274"/>
      <c r="P532" s="274"/>
      <c r="Q532" s="274"/>
      <c r="R532" s="274"/>
      <c r="S532" s="274"/>
      <c r="T532" s="274"/>
      <c r="U532" s="274"/>
    </row>
    <row r="533" spans="1:21">
      <c r="A533" s="85" t="s">
        <v>28</v>
      </c>
      <c r="B533" s="1794">
        <f>[1]Chino!$N$4</f>
        <v>11</v>
      </c>
      <c r="C533" s="1466"/>
      <c r="D533" s="1795">
        <f>F533*325851</f>
        <v>124377.32670000002</v>
      </c>
      <c r="E533" s="1466"/>
      <c r="F533" s="1826">
        <f>0.0347*B533</f>
        <v>0.38170000000000004</v>
      </c>
      <c r="G533" s="1797"/>
      <c r="H533" s="949">
        <f>F533*20</f>
        <v>7.6340000000000003</v>
      </c>
      <c r="I533" s="523">
        <v>0</v>
      </c>
      <c r="J533" s="523">
        <v>0</v>
      </c>
      <c r="K533" s="523">
        <f>60*B533</f>
        <v>660</v>
      </c>
      <c r="L533" s="523">
        <f>I533+J533+K533</f>
        <v>660</v>
      </c>
      <c r="M533" s="1798">
        <f>L533/(F533*427)</f>
        <v>4.0494300427214869</v>
      </c>
      <c r="N533" s="1799"/>
    </row>
    <row r="534" spans="1:21">
      <c r="A534" s="34" t="s">
        <v>29</v>
      </c>
      <c r="B534" s="1444">
        <f>[1]Chino!$N$5</f>
        <v>0</v>
      </c>
      <c r="C534" s="1422"/>
      <c r="D534" s="1431">
        <f t="shared" ref="D534:D551" si="109">F534*325851</f>
        <v>0</v>
      </c>
      <c r="E534" s="1422"/>
      <c r="F534" s="1756">
        <f>0.0425*B534</f>
        <v>0</v>
      </c>
      <c r="G534" s="1757"/>
      <c r="H534" s="895">
        <f>F534*20</f>
        <v>0</v>
      </c>
      <c r="I534" s="131">
        <v>0</v>
      </c>
      <c r="J534" s="131">
        <v>0</v>
      </c>
      <c r="K534" s="131">
        <f>B534*265</f>
        <v>0</v>
      </c>
      <c r="L534" s="132">
        <f>I534+J534+K534</f>
        <v>0</v>
      </c>
      <c r="M534" s="1758">
        <v>0</v>
      </c>
      <c r="N534" s="1759"/>
    </row>
    <row r="535" spans="1:21">
      <c r="A535" s="34" t="s">
        <v>33</v>
      </c>
      <c r="B535" s="1444">
        <f>[1]Chino!$N$7</f>
        <v>146</v>
      </c>
      <c r="C535" s="1422"/>
      <c r="D535" s="1431">
        <f t="shared" si="109"/>
        <v>4024781.2116</v>
      </c>
      <c r="E535" s="1422"/>
      <c r="F535" s="1756">
        <f>0.0846*B535</f>
        <v>12.351599999999999</v>
      </c>
      <c r="G535" s="1757"/>
      <c r="H535" s="941">
        <f>F535*15</f>
        <v>185.274</v>
      </c>
      <c r="I535" s="131">
        <v>0</v>
      </c>
      <c r="J535" s="131">
        <v>0</v>
      </c>
      <c r="K535" s="131">
        <f>B535*110</f>
        <v>16060</v>
      </c>
      <c r="L535" s="132">
        <f>I535+J535+K535</f>
        <v>16060</v>
      </c>
      <c r="M535" s="1758">
        <f>L535/(F535*427)</f>
        <v>3.0450501325980919</v>
      </c>
      <c r="N535" s="1759"/>
    </row>
    <row r="536" spans="1:21">
      <c r="A536" s="34" t="s">
        <v>24</v>
      </c>
      <c r="B536" s="1444">
        <f>[1]Chino!$N$8</f>
        <v>0</v>
      </c>
      <c r="C536" s="1422"/>
      <c r="D536" s="1431">
        <f t="shared" si="109"/>
        <v>0</v>
      </c>
      <c r="E536" s="1422"/>
      <c r="F536" s="1756">
        <f>0.004*B536</f>
        <v>0</v>
      </c>
      <c r="G536" s="1757"/>
      <c r="H536" s="941">
        <f>F536*5</f>
        <v>0</v>
      </c>
      <c r="I536" s="131">
        <v>0</v>
      </c>
      <c r="J536" s="131">
        <v>0</v>
      </c>
      <c r="K536" s="131">
        <f>B536*4</f>
        <v>0</v>
      </c>
      <c r="L536" s="131">
        <f>I536+J536+K536</f>
        <v>0</v>
      </c>
      <c r="M536" s="1758">
        <v>0</v>
      </c>
      <c r="N536" s="1759"/>
    </row>
    <row r="537" spans="1:21">
      <c r="A537" s="35" t="s">
        <v>72</v>
      </c>
      <c r="B537" s="1444">
        <f>[1]Chino!$N$10</f>
        <v>2</v>
      </c>
      <c r="C537" s="1422"/>
      <c r="D537" s="1431">
        <f t="shared" si="109"/>
        <v>423606.3</v>
      </c>
      <c r="E537" s="1422"/>
      <c r="F537" s="1756">
        <f>0.65*B537</f>
        <v>1.3</v>
      </c>
      <c r="G537" s="1757"/>
      <c r="H537" s="941">
        <f>F537*10</f>
        <v>13</v>
      </c>
      <c r="I537" s="131">
        <v>0</v>
      </c>
      <c r="J537" s="131">
        <f>160*B537</f>
        <v>320</v>
      </c>
      <c r="K537" s="131">
        <f>80*B537</f>
        <v>160</v>
      </c>
      <c r="L537" s="131">
        <f>K537+J537+I537</f>
        <v>480</v>
      </c>
      <c r="M537" s="1758">
        <f>L537/(F537*427)</f>
        <v>0.86470906143037285</v>
      </c>
      <c r="N537" s="1759"/>
    </row>
    <row r="538" spans="1:21" ht="14" thickBot="1">
      <c r="A538" s="47" t="s">
        <v>73</v>
      </c>
      <c r="B538" s="1768">
        <f>[1]Chino!$N$11</f>
        <v>28</v>
      </c>
      <c r="C538" s="1430"/>
      <c r="D538" s="1734">
        <f t="shared" si="109"/>
        <v>5930488.2000000002</v>
      </c>
      <c r="E538" s="1430"/>
      <c r="F538" s="1766">
        <f>0.65*B538</f>
        <v>18.2</v>
      </c>
      <c r="G538" s="1763"/>
      <c r="H538" s="965">
        <f>F538*10</f>
        <v>182</v>
      </c>
      <c r="I538" s="148">
        <v>0</v>
      </c>
      <c r="J538" s="148">
        <v>0</v>
      </c>
      <c r="K538" s="148">
        <f>240*B538</f>
        <v>6720</v>
      </c>
      <c r="L538" s="148">
        <f>K538+J538+I538</f>
        <v>6720</v>
      </c>
      <c r="M538" s="1754">
        <f>L538/(F538*427)</f>
        <v>0.86470906143037296</v>
      </c>
      <c r="N538" s="1755"/>
    </row>
    <row r="539" spans="1:21" s="533" customFormat="1" ht="14" thickBot="1">
      <c r="A539" s="538" t="s">
        <v>60</v>
      </c>
      <c r="B539" s="1827">
        <f>SUM(B533:C538)</f>
        <v>187</v>
      </c>
      <c r="C539" s="1780"/>
      <c r="D539" s="1779">
        <f>SUM(D533:E538)</f>
        <v>10503253.0383</v>
      </c>
      <c r="E539" s="1780"/>
      <c r="F539" s="1781">
        <f>SUM(F533:G538)</f>
        <v>32.2333</v>
      </c>
      <c r="G539" s="1782"/>
      <c r="H539" s="634">
        <f>SUM(H533:H538)</f>
        <v>387.90800000000002</v>
      </c>
      <c r="I539" s="537">
        <f>SUM(I533:I538)</f>
        <v>0</v>
      </c>
      <c r="J539" s="537">
        <f>SUM(J533:J538)</f>
        <v>320</v>
      </c>
      <c r="K539" s="537">
        <f>SUM(K533:K538)</f>
        <v>23600</v>
      </c>
      <c r="L539" s="537">
        <f>SUM(L533:L538)</f>
        <v>23920</v>
      </c>
      <c r="M539" s="1783"/>
      <c r="N539" s="1784"/>
      <c r="O539" s="534"/>
      <c r="P539" s="534"/>
      <c r="Q539" s="534"/>
      <c r="R539" s="534"/>
      <c r="S539" s="534"/>
      <c r="T539" s="534"/>
      <c r="U539" s="534"/>
    </row>
    <row r="540" spans="1:21" s="1161" customFormat="1" ht="17" thickBot="1">
      <c r="A540" s="1246" t="s">
        <v>147</v>
      </c>
      <c r="B540" s="1612"/>
      <c r="C540" s="1682"/>
      <c r="D540" s="1416"/>
      <c r="E540" s="1682"/>
      <c r="F540" s="1613"/>
      <c r="G540" s="1488"/>
      <c r="H540" s="1201"/>
      <c r="I540" s="1175"/>
      <c r="J540" s="1175"/>
      <c r="K540" s="1175"/>
      <c r="L540" s="1247"/>
      <c r="M540" s="1631"/>
      <c r="N540" s="1640"/>
      <c r="O540" s="274"/>
      <c r="P540" s="274"/>
      <c r="Q540" s="274"/>
      <c r="R540" s="274"/>
      <c r="S540" s="274"/>
      <c r="T540" s="274"/>
      <c r="U540" s="274"/>
    </row>
    <row r="541" spans="1:21" ht="14" thickBot="1">
      <c r="A541" s="84" t="s">
        <v>31</v>
      </c>
      <c r="B541" s="1806">
        <f>[1]Chino!$N$6</f>
        <v>944</v>
      </c>
      <c r="C541" s="1805"/>
      <c r="D541" s="1804">
        <f>F541*325851</f>
        <v>10673836.036799999</v>
      </c>
      <c r="E541" s="1805"/>
      <c r="F541" s="1828">
        <f>0.0347*B541</f>
        <v>32.756799999999998</v>
      </c>
      <c r="G541" s="1829"/>
      <c r="H541" s="971">
        <f>F541*20</f>
        <v>655.13599999999997</v>
      </c>
      <c r="I541" s="524">
        <f>73.34*B541</f>
        <v>69232.960000000006</v>
      </c>
      <c r="J541" s="524">
        <f>35.66*B541</f>
        <v>33663.039999999994</v>
      </c>
      <c r="K541" s="524">
        <f>B541*60</f>
        <v>56640</v>
      </c>
      <c r="L541" s="525">
        <f>I541+J541+K541</f>
        <v>159536</v>
      </c>
      <c r="M541" s="1830">
        <f>L541/(F541*427)</f>
        <v>11.405894620332189</v>
      </c>
      <c r="N541" s="1831"/>
    </row>
    <row r="542" spans="1:21" s="533" customFormat="1" ht="14" thickBot="1">
      <c r="A542" s="539" t="s">
        <v>60</v>
      </c>
      <c r="B542" s="1827">
        <f>SUM(B541)</f>
        <v>944</v>
      </c>
      <c r="C542" s="1780"/>
      <c r="D542" s="1779">
        <f>SUM(D541)</f>
        <v>10673836.036799999</v>
      </c>
      <c r="E542" s="1780"/>
      <c r="F542" s="1781">
        <f>SUM(F541)</f>
        <v>32.756799999999998</v>
      </c>
      <c r="G542" s="1782"/>
      <c r="H542" s="634">
        <f>SUM(H541)</f>
        <v>655.13599999999997</v>
      </c>
      <c r="I542" s="537">
        <f>SUM(I541)</f>
        <v>69232.960000000006</v>
      </c>
      <c r="J542" s="537">
        <f>SUM(J541)</f>
        <v>33663.039999999994</v>
      </c>
      <c r="K542" s="537">
        <f>SUM(K541)</f>
        <v>56640</v>
      </c>
      <c r="L542" s="537">
        <f>SUM(L541)</f>
        <v>159536</v>
      </c>
      <c r="M542" s="1783"/>
      <c r="N542" s="1784"/>
      <c r="O542" s="534"/>
      <c r="P542" s="534"/>
      <c r="Q542" s="534"/>
      <c r="R542" s="534"/>
      <c r="S542" s="534"/>
      <c r="T542" s="534"/>
      <c r="U542" s="534"/>
    </row>
    <row r="543" spans="1:21" s="1161" customFormat="1" ht="17" thickBot="1">
      <c r="A543" s="1252" t="s">
        <v>50</v>
      </c>
      <c r="B543" s="1612"/>
      <c r="C543" s="1682"/>
      <c r="D543" s="1416"/>
      <c r="E543" s="1682"/>
      <c r="F543" s="1613"/>
      <c r="G543" s="1488"/>
      <c r="H543" s="1201"/>
      <c r="I543" s="1169"/>
      <c r="J543" s="1169"/>
      <c r="K543" s="1169"/>
      <c r="L543" s="1169"/>
      <c r="M543" s="1631"/>
      <c r="N543" s="1640"/>
      <c r="O543" s="274"/>
      <c r="P543" s="274"/>
      <c r="Q543" s="274"/>
      <c r="R543" s="274"/>
      <c r="S543" s="274"/>
      <c r="T543" s="274"/>
      <c r="U543" s="274"/>
    </row>
    <row r="544" spans="1:21">
      <c r="A544" s="85" t="s">
        <v>26</v>
      </c>
      <c r="B544" s="1823">
        <f>[1]Chino!$N$13</f>
        <v>0</v>
      </c>
      <c r="C544" s="1824"/>
      <c r="D544" s="1825">
        <f t="shared" si="109"/>
        <v>0</v>
      </c>
      <c r="E544" s="1824"/>
      <c r="F544" s="1819">
        <f>0.0278*B544</f>
        <v>0</v>
      </c>
      <c r="G544" s="1820"/>
      <c r="H544" s="972">
        <f>F544*20</f>
        <v>0</v>
      </c>
      <c r="I544" s="235">
        <v>0</v>
      </c>
      <c r="J544" s="235">
        <f>15*B544</f>
        <v>0</v>
      </c>
      <c r="K544" s="235">
        <f>135*B544</f>
        <v>0</v>
      </c>
      <c r="L544" s="526">
        <f>SUM(I544:K544)</f>
        <v>0</v>
      </c>
      <c r="M544" s="1807">
        <v>0</v>
      </c>
      <c r="N544" s="1808"/>
    </row>
    <row r="545" spans="1:21">
      <c r="A545" s="34" t="s">
        <v>25</v>
      </c>
      <c r="B545" s="1444">
        <f>[1]Chino!$N$14</f>
        <v>0</v>
      </c>
      <c r="C545" s="1422"/>
      <c r="D545" s="1431">
        <f t="shared" si="109"/>
        <v>0</v>
      </c>
      <c r="E545" s="1422"/>
      <c r="F545" s="1760">
        <f>0.0347*B545</f>
        <v>0</v>
      </c>
      <c r="G545" s="1757"/>
      <c r="H545" s="895">
        <f>F545*20</f>
        <v>0</v>
      </c>
      <c r="I545" s="131">
        <v>0</v>
      </c>
      <c r="J545" s="131">
        <f>15*B545</f>
        <v>0</v>
      </c>
      <c r="K545" s="131">
        <f>135*B545</f>
        <v>0</v>
      </c>
      <c r="L545" s="131">
        <f t="shared" ref="L545:L551" si="110">SUM(I545:K545)</f>
        <v>0</v>
      </c>
      <c r="M545" s="1758">
        <v>0</v>
      </c>
      <c r="N545" s="1759"/>
    </row>
    <row r="546" spans="1:21">
      <c r="A546" s="34" t="s">
        <v>32</v>
      </c>
      <c r="B546" s="1444">
        <f>[1]Chino!$N$15</f>
        <v>0</v>
      </c>
      <c r="C546" s="1422"/>
      <c r="D546" s="1431">
        <f t="shared" si="109"/>
        <v>0</v>
      </c>
      <c r="E546" s="1422"/>
      <c r="F546" s="1760">
        <f>0.0425*B546</f>
        <v>0</v>
      </c>
      <c r="G546" s="1757"/>
      <c r="H546" s="941">
        <f>F546*20</f>
        <v>0</v>
      </c>
      <c r="I546" s="131">
        <v>0</v>
      </c>
      <c r="J546" s="131">
        <f>45*B546</f>
        <v>0</v>
      </c>
      <c r="K546" s="131">
        <f>165*B546</f>
        <v>0</v>
      </c>
      <c r="L546" s="131">
        <f t="shared" si="110"/>
        <v>0</v>
      </c>
      <c r="M546" s="1758">
        <v>0</v>
      </c>
      <c r="N546" s="1759"/>
    </row>
    <row r="547" spans="1:21">
      <c r="A547" s="34" t="s">
        <v>27</v>
      </c>
      <c r="B547" s="1444">
        <f>[1]Chino!$N$16</f>
        <v>1</v>
      </c>
      <c r="C547" s="1422"/>
      <c r="D547" s="1431">
        <f t="shared" si="109"/>
        <v>39916.747499999998</v>
      </c>
      <c r="E547" s="1422"/>
      <c r="F547" s="1760">
        <f>0.1225*B547</f>
        <v>0.1225</v>
      </c>
      <c r="G547" s="1757"/>
      <c r="H547" s="941">
        <f>F547*20</f>
        <v>2.4500000000000002</v>
      </c>
      <c r="I547" s="131">
        <v>0</v>
      </c>
      <c r="J547" s="131">
        <v>0</v>
      </c>
      <c r="K547" s="131">
        <f>400*B547</f>
        <v>400</v>
      </c>
      <c r="L547" s="131">
        <f t="shared" si="110"/>
        <v>400</v>
      </c>
      <c r="M547" s="1758">
        <f>L547/(F547*427)</f>
        <v>7.6470869378196245</v>
      </c>
      <c r="N547" s="1759"/>
    </row>
    <row r="548" spans="1:21">
      <c r="A548" s="34" t="s">
        <v>20</v>
      </c>
      <c r="B548" s="1444">
        <f>[1]Chino!$N$17</f>
        <v>1</v>
      </c>
      <c r="C548" s="1422"/>
      <c r="D548" s="1431">
        <f t="shared" si="109"/>
        <v>209848.04399999999</v>
      </c>
      <c r="E548" s="1422"/>
      <c r="F548" s="1760">
        <f>0.644*B548</f>
        <v>0.64400000000000002</v>
      </c>
      <c r="G548" s="1757"/>
      <c r="H548" s="941">
        <f>F548*5</f>
        <v>3.22</v>
      </c>
      <c r="I548" s="131">
        <v>0</v>
      </c>
      <c r="J548" s="131">
        <v>0</v>
      </c>
      <c r="K548" s="131">
        <f>625*B548</f>
        <v>625</v>
      </c>
      <c r="L548" s="131">
        <f t="shared" si="110"/>
        <v>625</v>
      </c>
      <c r="M548" s="1758">
        <f>L548/(F548*427)</f>
        <v>2.2728264506087537</v>
      </c>
      <c r="N548" s="1759"/>
    </row>
    <row r="549" spans="1:21">
      <c r="A549" s="34" t="s">
        <v>33</v>
      </c>
      <c r="B549" s="1444">
        <f>[1]Chino!$N$18</f>
        <v>24</v>
      </c>
      <c r="C549" s="1422"/>
      <c r="D549" s="1431">
        <f t="shared" si="109"/>
        <v>661607.8703999999</v>
      </c>
      <c r="E549" s="1422"/>
      <c r="F549" s="1760">
        <f>0.0846*B549</f>
        <v>2.0303999999999998</v>
      </c>
      <c r="G549" s="1757"/>
      <c r="H549" s="941">
        <f>F549*15</f>
        <v>30.455999999999996</v>
      </c>
      <c r="I549" s="131">
        <v>0</v>
      </c>
      <c r="J549" s="131">
        <f>70*B549</f>
        <v>1680</v>
      </c>
      <c r="K549" s="131">
        <f>130*B549</f>
        <v>3120</v>
      </c>
      <c r="L549" s="131">
        <f t="shared" si="110"/>
        <v>4800</v>
      </c>
      <c r="M549" s="1758">
        <f>L549/(F549*427)</f>
        <v>5.5364547865419862</v>
      </c>
      <c r="N549" s="1759"/>
    </row>
    <row r="550" spans="1:21">
      <c r="A550" s="34" t="s">
        <v>15</v>
      </c>
      <c r="B550" s="1444">
        <f>[1]Chino!$N$19</f>
        <v>0</v>
      </c>
      <c r="C550" s="1422"/>
      <c r="D550" s="1431">
        <f t="shared" si="109"/>
        <v>0</v>
      </c>
      <c r="E550" s="1422"/>
      <c r="F550" s="1760">
        <f>0.1534*B550</f>
        <v>0</v>
      </c>
      <c r="G550" s="1757"/>
      <c r="H550" s="941">
        <f>F550*5</f>
        <v>0</v>
      </c>
      <c r="I550" s="131">
        <v>0</v>
      </c>
      <c r="J550" s="131">
        <v>0</v>
      </c>
      <c r="K550" s="131">
        <f>150*B550</f>
        <v>0</v>
      </c>
      <c r="L550" s="131">
        <f t="shared" si="110"/>
        <v>0</v>
      </c>
      <c r="M550" s="1758">
        <v>0</v>
      </c>
      <c r="N550" s="1759"/>
    </row>
    <row r="551" spans="1:21" ht="14" thickBot="1">
      <c r="A551" s="327" t="s">
        <v>89</v>
      </c>
      <c r="B551" s="1768">
        <f>[1]Chino!$N$20</f>
        <v>2</v>
      </c>
      <c r="C551" s="1430"/>
      <c r="D551" s="1734">
        <f t="shared" si="109"/>
        <v>423606.3</v>
      </c>
      <c r="E551" s="1430"/>
      <c r="F551" s="1766">
        <f>0.65*B551</f>
        <v>1.3</v>
      </c>
      <c r="G551" s="1763"/>
      <c r="H551" s="965">
        <f>F551*10</f>
        <v>13</v>
      </c>
      <c r="I551" s="148">
        <v>0</v>
      </c>
      <c r="J551" s="148">
        <v>0</v>
      </c>
      <c r="K551" s="148">
        <f>630*B551</f>
        <v>1260</v>
      </c>
      <c r="L551" s="148">
        <f t="shared" si="110"/>
        <v>1260</v>
      </c>
      <c r="M551" s="1754">
        <f>L551/(F551*427)</f>
        <v>2.2698612862547289</v>
      </c>
      <c r="N551" s="1755"/>
    </row>
    <row r="552" spans="1:21" s="533" customFormat="1" ht="14" thickBot="1">
      <c r="A552" s="538" t="s">
        <v>60</v>
      </c>
      <c r="B552" s="1827">
        <f>SUM(B544:C551)</f>
        <v>28</v>
      </c>
      <c r="C552" s="1780"/>
      <c r="D552" s="1779">
        <f>SUM(D542:E551)</f>
        <v>12008814.9987</v>
      </c>
      <c r="E552" s="1780"/>
      <c r="F552" s="1781">
        <f>SUM(F542:G551)</f>
        <v>36.853699999999996</v>
      </c>
      <c r="G552" s="1782"/>
      <c r="H552" s="536">
        <f>SUM(H542:H551)</f>
        <v>704.26200000000006</v>
      </c>
      <c r="I552" s="537">
        <f>SUM(I542:I551)</f>
        <v>69232.960000000006</v>
      </c>
      <c r="J552" s="537">
        <f>SUM(J542:J551)</f>
        <v>35343.039999999994</v>
      </c>
      <c r="K552" s="537">
        <f>SUM(K542:K551)</f>
        <v>62045</v>
      </c>
      <c r="L552" s="537">
        <f>SUM(L542:L551)</f>
        <v>166621</v>
      </c>
      <c r="M552" s="1783"/>
      <c r="N552" s="1784"/>
      <c r="O552" s="534"/>
      <c r="P552" s="534"/>
      <c r="Q552" s="534"/>
      <c r="R552" s="534"/>
      <c r="S552" s="534"/>
      <c r="T552" s="534"/>
      <c r="U552" s="534"/>
    </row>
    <row r="553" spans="1:21" s="1161" customFormat="1" ht="17" thickBot="1">
      <c r="A553" s="1163" t="s">
        <v>17</v>
      </c>
      <c r="B553" s="1612">
        <f>SUM(B552,B539,B542)</f>
        <v>1159</v>
      </c>
      <c r="C553" s="1682"/>
      <c r="D553" s="1416">
        <f>SUM(D552,D539,D542)</f>
        <v>33185904.073799998</v>
      </c>
      <c r="E553" s="1682"/>
      <c r="F553" s="1613">
        <f>SUM(F552,F539,F542)</f>
        <v>101.84379999999999</v>
      </c>
      <c r="G553" s="1488"/>
      <c r="H553" s="1164">
        <f>SUM(H552,H539,H542)</f>
        <v>1747.306</v>
      </c>
      <c r="I553" s="1169">
        <f>I539+I542+I552</f>
        <v>138465.92000000001</v>
      </c>
      <c r="J553" s="1169">
        <f>J539+J542+J552</f>
        <v>69326.079999999987</v>
      </c>
      <c r="K553" s="1169">
        <f>K539+K542+K552</f>
        <v>142285</v>
      </c>
      <c r="L553" s="1169">
        <f>L539+L542+L552</f>
        <v>350077</v>
      </c>
      <c r="M553" s="1631"/>
      <c r="N553" s="1640"/>
      <c r="O553" s="274"/>
      <c r="P553" s="274"/>
      <c r="Q553" s="274"/>
      <c r="R553" s="274"/>
      <c r="S553" s="274"/>
      <c r="T553" s="274"/>
      <c r="U553" s="274"/>
    </row>
    <row r="554" spans="1:21">
      <c r="A554" s="738"/>
      <c r="B554" s="1852"/>
      <c r="C554" s="1852"/>
      <c r="D554" s="1852"/>
      <c r="E554" s="1852"/>
      <c r="F554" s="1716"/>
      <c r="G554" s="1716"/>
      <c r="H554" s="451"/>
      <c r="I554" s="324"/>
      <c r="J554" s="324"/>
      <c r="K554" s="325"/>
      <c r="L554" s="324"/>
      <c r="M554" s="1851"/>
      <c r="N554" s="1851"/>
      <c r="O554" s="1222"/>
    </row>
    <row r="555" spans="1:21">
      <c r="A555" s="562" t="s">
        <v>18</v>
      </c>
      <c r="B555" s="1696" t="s">
        <v>59</v>
      </c>
      <c r="C555" s="1696"/>
      <c r="D555" s="1696"/>
      <c r="E555" s="1696"/>
      <c r="F555" s="452"/>
      <c r="G555" s="452"/>
      <c r="H555" s="452"/>
      <c r="I555" s="3"/>
      <c r="J555" s="3"/>
      <c r="K555" s="3"/>
      <c r="L555" s="3"/>
      <c r="M555" s="3"/>
      <c r="N555" s="3"/>
    </row>
    <row r="556" spans="1:21" ht="15">
      <c r="A556" s="9"/>
      <c r="B556" s="1822" t="s">
        <v>19</v>
      </c>
      <c r="C556" s="1559"/>
      <c r="D556" s="1559"/>
      <c r="E556" s="1420"/>
    </row>
    <row r="557" spans="1:21" ht="16" thickBot="1">
      <c r="A557" s="984"/>
      <c r="B557" s="558"/>
      <c r="C557" s="554"/>
      <c r="D557" s="554"/>
      <c r="E557" s="557"/>
    </row>
    <row r="558" spans="1:21" s="363" customFormat="1" ht="16">
      <c r="A558" s="98"/>
      <c r="B558" s="1853"/>
      <c r="C558" s="1853"/>
      <c r="D558" s="1853"/>
      <c r="E558" s="1853"/>
      <c r="F558" s="421"/>
      <c r="G558" s="421"/>
      <c r="H558" s="421"/>
      <c r="I558" s="1468" t="s">
        <v>0</v>
      </c>
      <c r="J558" s="1468"/>
      <c r="K558" s="1468"/>
      <c r="L558" s="1468"/>
      <c r="M558" s="99"/>
      <c r="N558" s="101"/>
      <c r="O558" s="1398"/>
      <c r="P558" s="1398"/>
      <c r="Q558" s="1398"/>
      <c r="R558" s="1398"/>
      <c r="S558" s="1398"/>
      <c r="T558" s="1398"/>
      <c r="U558" s="1398"/>
    </row>
    <row r="559" spans="1:21" ht="16">
      <c r="A559" s="97"/>
      <c r="B559" s="102" t="s">
        <v>1</v>
      </c>
      <c r="C559" s="102"/>
      <c r="D559" s="102" t="s">
        <v>2</v>
      </c>
      <c r="E559" s="102"/>
      <c r="F559" s="488" t="s">
        <v>3</v>
      </c>
      <c r="G559" s="488"/>
      <c r="H559" s="488" t="s">
        <v>3</v>
      </c>
      <c r="I559" s="127" t="s">
        <v>195</v>
      </c>
      <c r="J559" s="102"/>
      <c r="K559" s="102"/>
      <c r="L559" s="128"/>
      <c r="M559" s="102" t="s">
        <v>4</v>
      </c>
      <c r="N559" s="490"/>
    </row>
    <row r="560" spans="1:21" ht="19" thickBot="1">
      <c r="A560" s="103" t="s">
        <v>5</v>
      </c>
      <c r="B560" s="1473" t="s">
        <v>6</v>
      </c>
      <c r="C560" s="1473"/>
      <c r="D560" s="1473" t="s">
        <v>7</v>
      </c>
      <c r="E560" s="1473"/>
      <c r="F560" s="1474" t="s">
        <v>7</v>
      </c>
      <c r="G560" s="1474"/>
      <c r="H560" s="439" t="s">
        <v>58</v>
      </c>
      <c r="I560" s="398" t="s">
        <v>196</v>
      </c>
      <c r="J560" s="397" t="s">
        <v>8</v>
      </c>
      <c r="K560" s="397" t="s">
        <v>9</v>
      </c>
      <c r="L560" s="401" t="s">
        <v>10</v>
      </c>
      <c r="M560" s="1527" t="s">
        <v>145</v>
      </c>
      <c r="N560" s="1475"/>
    </row>
    <row r="561" spans="1:21" ht="24" thickBot="1">
      <c r="A561" s="88" t="s">
        <v>134</v>
      </c>
      <c r="B561" s="1761"/>
      <c r="C561" s="1761"/>
      <c r="D561" s="1761"/>
      <c r="E561" s="1761"/>
      <c r="F561" s="1776"/>
      <c r="G561" s="1776"/>
      <c r="H561" s="450"/>
      <c r="I561" s="81"/>
      <c r="J561" s="15"/>
      <c r="K561" s="15"/>
      <c r="L561" s="15"/>
      <c r="M561" s="1761"/>
      <c r="N561" s="1818"/>
    </row>
    <row r="562" spans="1:21" s="1161" customFormat="1" ht="17" thickBot="1">
      <c r="A562" s="108" t="s">
        <v>61</v>
      </c>
      <c r="B562" s="1836"/>
      <c r="C562" s="1837"/>
      <c r="D562" s="1849"/>
      <c r="E562" s="1850"/>
      <c r="F562" s="1777"/>
      <c r="G562" s="1778"/>
      <c r="H562" s="1221"/>
      <c r="I562" s="1216"/>
      <c r="J562" s="1216"/>
      <c r="K562" s="1216"/>
      <c r="L562" s="1217"/>
      <c r="M562" s="1774"/>
      <c r="N562" s="1775"/>
      <c r="O562" s="274"/>
      <c r="P562" s="274"/>
      <c r="Q562" s="274"/>
      <c r="R562" s="274"/>
      <c r="S562" s="274"/>
      <c r="T562" s="274"/>
      <c r="U562" s="274"/>
    </row>
    <row r="563" spans="1:21">
      <c r="A563" s="85" t="s">
        <v>62</v>
      </c>
      <c r="B563" s="1794">
        <v>0</v>
      </c>
      <c r="C563" s="1466"/>
      <c r="D563" s="1795">
        <f>F563*325851</f>
        <v>0</v>
      </c>
      <c r="E563" s="1466"/>
      <c r="F563" s="1826">
        <f>0.0347*B563</f>
        <v>0</v>
      </c>
      <c r="G563" s="1797"/>
      <c r="H563" s="949">
        <f>F563*20</f>
        <v>0</v>
      </c>
      <c r="I563" s="523">
        <v>0</v>
      </c>
      <c r="J563" s="523">
        <f>B563*6.5</f>
        <v>0</v>
      </c>
      <c r="K563" s="523">
        <f>B563*60</f>
        <v>0</v>
      </c>
      <c r="L563" s="527">
        <f>I563+J563+K563</f>
        <v>0</v>
      </c>
      <c r="M563" s="1798">
        <v>0</v>
      </c>
      <c r="N563" s="1799"/>
    </row>
    <row r="564" spans="1:21">
      <c r="A564" s="32" t="s">
        <v>63</v>
      </c>
      <c r="B564" s="1444">
        <v>0</v>
      </c>
      <c r="C564" s="1743"/>
      <c r="D564" s="1431">
        <f>F564*325851</f>
        <v>0</v>
      </c>
      <c r="E564" s="1422"/>
      <c r="F564" s="1756">
        <f>0.0347*B564</f>
        <v>0</v>
      </c>
      <c r="G564" s="1757"/>
      <c r="H564" s="895">
        <f>F564*20</f>
        <v>0</v>
      </c>
      <c r="I564" s="131">
        <v>0</v>
      </c>
      <c r="J564" s="131">
        <v>0</v>
      </c>
      <c r="K564" s="131">
        <f>B564*6.5</f>
        <v>0</v>
      </c>
      <c r="L564" s="131">
        <f>I564+J564+K564</f>
        <v>0</v>
      </c>
      <c r="M564" s="1758">
        <v>0</v>
      </c>
      <c r="N564" s="1759"/>
    </row>
    <row r="565" spans="1:21">
      <c r="A565" s="32" t="s">
        <v>64</v>
      </c>
      <c r="B565" s="1444">
        <v>33</v>
      </c>
      <c r="C565" s="1743"/>
      <c r="D565" s="1431">
        <f>F565*325851</f>
        <v>373131.98009999999</v>
      </c>
      <c r="E565" s="1422"/>
      <c r="F565" s="1756">
        <f>0.0347*B565</f>
        <v>1.1451</v>
      </c>
      <c r="G565" s="1757"/>
      <c r="H565" s="941">
        <f>F565*20</f>
        <v>22.902000000000001</v>
      </c>
      <c r="I565" s="131">
        <v>0</v>
      </c>
      <c r="J565" s="131">
        <f>B565*1</f>
        <v>33</v>
      </c>
      <c r="K565" s="131">
        <f>B565*60</f>
        <v>1980</v>
      </c>
      <c r="L565" s="131">
        <f>I565+J565+K565</f>
        <v>2013</v>
      </c>
      <c r="M565" s="1758">
        <f>L565/(F565*427)</f>
        <v>4.1169205434335119</v>
      </c>
      <c r="N565" s="1759"/>
    </row>
    <row r="566" spans="1:21" ht="14" thickBot="1">
      <c r="A566" s="326" t="s">
        <v>13</v>
      </c>
      <c r="B566" s="1768">
        <v>128</v>
      </c>
      <c r="C566" s="1745"/>
      <c r="D566" s="1734">
        <f>F566*325851</f>
        <v>1151166.4128</v>
      </c>
      <c r="E566" s="1430"/>
      <c r="F566" s="1766">
        <f>0.0276*B566</f>
        <v>3.5327999999999999</v>
      </c>
      <c r="G566" s="1763"/>
      <c r="H566" s="965">
        <f>F566*15</f>
        <v>52.991999999999997</v>
      </c>
      <c r="I566" s="148">
        <v>0</v>
      </c>
      <c r="J566" s="148">
        <f>B566*1</f>
        <v>128</v>
      </c>
      <c r="K566" s="148">
        <f>B566*110</f>
        <v>14080</v>
      </c>
      <c r="L566" s="148">
        <f>I566+J566+K566</f>
        <v>14208</v>
      </c>
      <c r="M566" s="1754">
        <f>L566/(F566*427)</f>
        <v>9.4185928113226769</v>
      </c>
      <c r="N566" s="1755"/>
    </row>
    <row r="567" spans="1:21" s="533" customFormat="1" ht="14" thickBot="1">
      <c r="A567" s="539" t="s">
        <v>60</v>
      </c>
      <c r="B567" s="1827">
        <f>SUM(B563:C566)</f>
        <v>161</v>
      </c>
      <c r="C567" s="1847"/>
      <c r="D567" s="1779">
        <f>SUM(D563:E566)</f>
        <v>1524298.3929000001</v>
      </c>
      <c r="E567" s="1780"/>
      <c r="F567" s="1781">
        <f>SUM(F563:G566)</f>
        <v>4.6779000000000002</v>
      </c>
      <c r="G567" s="1782"/>
      <c r="H567" s="536">
        <f>SUM(H563:H566)</f>
        <v>75.894000000000005</v>
      </c>
      <c r="I567" s="537">
        <f>SUM(I563:I566)</f>
        <v>0</v>
      </c>
      <c r="J567" s="537">
        <f>SUM(J563:J566)</f>
        <v>161</v>
      </c>
      <c r="K567" s="537">
        <f>SUM(K563:K566)</f>
        <v>16060</v>
      </c>
      <c r="L567" s="537">
        <f>SUM(L563:L566)</f>
        <v>16221</v>
      </c>
      <c r="M567" s="1783"/>
      <c r="N567" s="1784"/>
      <c r="O567" s="534"/>
      <c r="P567" s="534"/>
      <c r="Q567" s="534"/>
      <c r="R567" s="534"/>
      <c r="S567" s="534"/>
      <c r="T567" s="534"/>
      <c r="U567" s="534"/>
    </row>
    <row r="568" spans="1:21" s="1161" customFormat="1" ht="17" thickBot="1">
      <c r="A568" s="1246" t="s">
        <v>147</v>
      </c>
      <c r="B568" s="1612"/>
      <c r="C568" s="1682"/>
      <c r="D568" s="1416"/>
      <c r="E568" s="1682"/>
      <c r="F568" s="1613"/>
      <c r="G568" s="1488"/>
      <c r="H568" s="1201"/>
      <c r="I568" s="1169"/>
      <c r="J568" s="1169"/>
      <c r="K568" s="1169"/>
      <c r="L568" s="1169"/>
      <c r="M568" s="1631"/>
      <c r="N568" s="1640"/>
      <c r="O568" s="274"/>
      <c r="P568" s="274"/>
      <c r="Q568" s="274"/>
      <c r="R568" s="274"/>
      <c r="S568" s="274"/>
      <c r="T568" s="274"/>
      <c r="U568" s="274"/>
    </row>
    <row r="569" spans="1:21" ht="14" thickBot="1">
      <c r="A569" s="84" t="s">
        <v>11</v>
      </c>
      <c r="B569" s="1841">
        <v>145</v>
      </c>
      <c r="C569" s="1842"/>
      <c r="D569" s="1843">
        <f>F569*325851</f>
        <v>1639519.3065000002</v>
      </c>
      <c r="E569" s="1842"/>
      <c r="F569" s="1832">
        <f>0.0347*B569</f>
        <v>5.0315000000000003</v>
      </c>
      <c r="G569" s="1833"/>
      <c r="H569" s="973">
        <f>F569*20</f>
        <v>100.63000000000001</v>
      </c>
      <c r="I569" s="337">
        <v>0</v>
      </c>
      <c r="J569" s="337">
        <f>B569*105</f>
        <v>15225</v>
      </c>
      <c r="K569" s="337">
        <f>B569*60</f>
        <v>8700</v>
      </c>
      <c r="L569" s="528">
        <f>I569+J569+K569</f>
        <v>23925</v>
      </c>
      <c r="M569" s="1834">
        <f>L569/(F569*427)</f>
        <v>11.135932617484089</v>
      </c>
      <c r="N569" s="1835"/>
    </row>
    <row r="570" spans="1:21" s="533" customFormat="1" ht="14" thickBot="1">
      <c r="A570" s="539" t="s">
        <v>60</v>
      </c>
      <c r="B570" s="1846">
        <f>SUM(B569)</f>
        <v>145</v>
      </c>
      <c r="C570" s="1847"/>
      <c r="D570" s="1779">
        <f>SUM(D569)</f>
        <v>1639519.3065000002</v>
      </c>
      <c r="E570" s="1780"/>
      <c r="F570" s="1781">
        <f>SUM(F569)</f>
        <v>5.0315000000000003</v>
      </c>
      <c r="G570" s="1782"/>
      <c r="H570" s="1107">
        <f>SUM(H569)</f>
        <v>100.63000000000001</v>
      </c>
      <c r="I570" s="537">
        <f>SUM(I569)</f>
        <v>0</v>
      </c>
      <c r="J570" s="537">
        <f>SUM(J569)</f>
        <v>15225</v>
      </c>
      <c r="K570" s="537">
        <f>SUM(K569)</f>
        <v>8700</v>
      </c>
      <c r="L570" s="537">
        <f>SUM(L569)</f>
        <v>23925</v>
      </c>
      <c r="M570" s="1783"/>
      <c r="N570" s="1784"/>
      <c r="O570" s="534"/>
      <c r="P570" s="534"/>
      <c r="Q570" s="534"/>
      <c r="R570" s="534"/>
      <c r="S570" s="534"/>
      <c r="T570" s="534"/>
      <c r="U570" s="534"/>
    </row>
    <row r="571" spans="1:21" s="1161" customFormat="1" ht="17" thickBot="1">
      <c r="A571" s="1257" t="s">
        <v>50</v>
      </c>
      <c r="B571" s="1612"/>
      <c r="C571" s="1803"/>
      <c r="D571" s="1612"/>
      <c r="E571" s="1803"/>
      <c r="F571" s="1613"/>
      <c r="G571" s="1613"/>
      <c r="H571" s="1243"/>
      <c r="I571" s="1247"/>
      <c r="J571" s="1247"/>
      <c r="K571" s="1247"/>
      <c r="L571" s="1247"/>
      <c r="M571" s="1639"/>
      <c r="N571" s="1640"/>
      <c r="O571" s="274"/>
      <c r="P571" s="274"/>
      <c r="Q571" s="274"/>
      <c r="R571" s="274"/>
      <c r="S571" s="274"/>
      <c r="T571" s="274"/>
      <c r="U571" s="274"/>
    </row>
    <row r="572" spans="1:21">
      <c r="A572" s="85" t="s">
        <v>66</v>
      </c>
      <c r="B572" s="1794">
        <v>0</v>
      </c>
      <c r="C572" s="1466"/>
      <c r="D572" s="1795">
        <f t="shared" ref="D572:D577" si="111">F572*325851</f>
        <v>0</v>
      </c>
      <c r="E572" s="1466"/>
      <c r="F572" s="1796">
        <f>0.0347*B572</f>
        <v>0</v>
      </c>
      <c r="G572" s="1797"/>
      <c r="H572" s="949">
        <f>F572*20</f>
        <v>0</v>
      </c>
      <c r="I572" s="523">
        <v>0</v>
      </c>
      <c r="J572" s="523">
        <v>0</v>
      </c>
      <c r="K572" s="523">
        <v>0</v>
      </c>
      <c r="L572" s="527">
        <v>0</v>
      </c>
      <c r="M572" s="1798">
        <v>0</v>
      </c>
      <c r="N572" s="1799"/>
    </row>
    <row r="573" spans="1:21">
      <c r="A573" s="34" t="s">
        <v>68</v>
      </c>
      <c r="B573" s="1696">
        <v>0</v>
      </c>
      <c r="C573" s="1743"/>
      <c r="D573" s="1431">
        <f t="shared" si="111"/>
        <v>0</v>
      </c>
      <c r="E573" s="1422"/>
      <c r="F573" s="1760">
        <f>0.644*B573</f>
        <v>0</v>
      </c>
      <c r="G573" s="1757"/>
      <c r="H573" s="895">
        <f>F573*5</f>
        <v>0</v>
      </c>
      <c r="I573" s="131">
        <v>0</v>
      </c>
      <c r="J573" s="131">
        <v>0</v>
      </c>
      <c r="K573" s="131">
        <v>0</v>
      </c>
      <c r="L573" s="131">
        <v>0</v>
      </c>
      <c r="M573" s="1758">
        <v>0</v>
      </c>
      <c r="N573" s="1759"/>
    </row>
    <row r="574" spans="1:21">
      <c r="A574" s="34" t="s">
        <v>13</v>
      </c>
      <c r="B574" s="1696">
        <v>0</v>
      </c>
      <c r="C574" s="1743"/>
      <c r="D574" s="1431">
        <f t="shared" si="111"/>
        <v>0</v>
      </c>
      <c r="E574" s="1422"/>
      <c r="F574" s="1760">
        <f>0.0276*B574</f>
        <v>0</v>
      </c>
      <c r="G574" s="1757"/>
      <c r="H574" s="941">
        <f>F574*15</f>
        <v>0</v>
      </c>
      <c r="I574" s="131">
        <v>0</v>
      </c>
      <c r="J574" s="131">
        <v>0</v>
      </c>
      <c r="K574" s="131">
        <v>0</v>
      </c>
      <c r="L574" s="131">
        <f>I574+J574+K574</f>
        <v>0</v>
      </c>
      <c r="M574" s="1758">
        <v>0</v>
      </c>
      <c r="N574" s="1759"/>
    </row>
    <row r="575" spans="1:21">
      <c r="A575" s="34" t="s">
        <v>15</v>
      </c>
      <c r="B575" s="1696">
        <v>0</v>
      </c>
      <c r="C575" s="1743"/>
      <c r="D575" s="1431">
        <f t="shared" si="111"/>
        <v>0</v>
      </c>
      <c r="E575" s="1422"/>
      <c r="F575" s="1760">
        <f>0.1534*B575</f>
        <v>0</v>
      </c>
      <c r="G575" s="1757"/>
      <c r="H575" s="941">
        <f>F575*5</f>
        <v>0</v>
      </c>
      <c r="I575" s="131">
        <v>0</v>
      </c>
      <c r="J575" s="131">
        <v>0</v>
      </c>
      <c r="K575" s="131">
        <v>0</v>
      </c>
      <c r="L575" s="131">
        <f>I575+J575+K575</f>
        <v>0</v>
      </c>
      <c r="M575" s="1758">
        <v>0</v>
      </c>
      <c r="N575" s="1759"/>
    </row>
    <row r="576" spans="1:21">
      <c r="A576" s="35" t="s">
        <v>16</v>
      </c>
      <c r="B576" s="1696">
        <v>0</v>
      </c>
      <c r="C576" s="1743"/>
      <c r="D576" s="1431">
        <f t="shared" si="111"/>
        <v>0</v>
      </c>
      <c r="E576" s="1422"/>
      <c r="F576" s="1760">
        <f>0.004*B576</f>
        <v>0</v>
      </c>
      <c r="G576" s="1757"/>
      <c r="H576" s="941">
        <f>F576*5</f>
        <v>0</v>
      </c>
      <c r="I576" s="131">
        <v>0</v>
      </c>
      <c r="J576" s="131">
        <v>0</v>
      </c>
      <c r="K576" s="131">
        <v>0</v>
      </c>
      <c r="L576" s="131">
        <f>I576+J576+K576</f>
        <v>0</v>
      </c>
      <c r="M576" s="1758">
        <v>0</v>
      </c>
      <c r="N576" s="1759"/>
    </row>
    <row r="577" spans="1:21" ht="14" thickBot="1">
      <c r="A577" s="327" t="s">
        <v>89</v>
      </c>
      <c r="B577" s="1761">
        <v>0</v>
      </c>
      <c r="C577" s="1745"/>
      <c r="D577" s="1734">
        <f t="shared" si="111"/>
        <v>0</v>
      </c>
      <c r="E577" s="1430"/>
      <c r="F577" s="1766">
        <f>0.65*B577</f>
        <v>0</v>
      </c>
      <c r="G577" s="1763"/>
      <c r="H577" s="965">
        <f>F577*10</f>
        <v>0</v>
      </c>
      <c r="I577" s="148">
        <v>0</v>
      </c>
      <c r="J577" s="148">
        <v>0</v>
      </c>
      <c r="K577" s="148">
        <v>0</v>
      </c>
      <c r="L577" s="148">
        <f>I577+J577+K577</f>
        <v>0</v>
      </c>
      <c r="M577" s="1754">
        <v>0</v>
      </c>
      <c r="N577" s="1755"/>
    </row>
    <row r="578" spans="1:21" s="533" customFormat="1" ht="14" thickBot="1">
      <c r="A578" s="538" t="s">
        <v>60</v>
      </c>
      <c r="B578" s="1846">
        <f>SUM(B572:C577)</f>
        <v>0</v>
      </c>
      <c r="C578" s="1847"/>
      <c r="D578" s="1779">
        <f>SUM(D572:E577)</f>
        <v>0</v>
      </c>
      <c r="E578" s="1780"/>
      <c r="F578" s="1781">
        <f>SUM(F572:G577)</f>
        <v>0</v>
      </c>
      <c r="G578" s="1782"/>
      <c r="H578" s="536">
        <f>SUM(H572:H577)</f>
        <v>0</v>
      </c>
      <c r="I578" s="537">
        <f>SUM(I572:I577)</f>
        <v>0</v>
      </c>
      <c r="J578" s="537">
        <f>SUM(J572:J577)</f>
        <v>0</v>
      </c>
      <c r="K578" s="537">
        <f>SUM(K572:K577)</f>
        <v>0</v>
      </c>
      <c r="L578" s="537">
        <f>SUM(L572:L577)</f>
        <v>0</v>
      </c>
      <c r="M578" s="1783"/>
      <c r="N578" s="1784"/>
      <c r="O578" s="534"/>
      <c r="P578" s="534"/>
      <c r="Q578" s="534"/>
      <c r="R578" s="534"/>
      <c r="S578" s="534"/>
      <c r="T578" s="534"/>
      <c r="U578" s="534"/>
    </row>
    <row r="579" spans="1:21" s="1168" customFormat="1" ht="14" thickBot="1">
      <c r="A579" s="1203" t="s">
        <v>17</v>
      </c>
      <c r="B579" s="1800">
        <f>B567+B570+B578</f>
        <v>306</v>
      </c>
      <c r="C579" s="1801"/>
      <c r="D579" s="1800">
        <f>SUM(D578,D567,D570)</f>
        <v>3163817.6994000003</v>
      </c>
      <c r="E579" s="1801"/>
      <c r="F579" s="1802">
        <f>SUM(F578,F567,F570)</f>
        <v>9.7094000000000005</v>
      </c>
      <c r="G579" s="1802"/>
      <c r="H579" s="1258">
        <f>SUM(H567,H570,H578)</f>
        <v>176.524</v>
      </c>
      <c r="I579" s="1204">
        <f>I567+I570+I578</f>
        <v>0</v>
      </c>
      <c r="J579" s="1204">
        <f>J567+J570+J578</f>
        <v>15386</v>
      </c>
      <c r="K579" s="1204">
        <f>K567+K570+K578</f>
        <v>24760</v>
      </c>
      <c r="L579" s="1204">
        <f>L567+L570+L578</f>
        <v>40146</v>
      </c>
      <c r="M579" s="1844"/>
      <c r="N579" s="1845"/>
      <c r="O579" s="121"/>
      <c r="P579" s="121"/>
      <c r="Q579" s="121"/>
      <c r="R579" s="121"/>
      <c r="S579" s="121"/>
      <c r="T579" s="121"/>
      <c r="U579" s="121"/>
    </row>
    <row r="580" spans="1:21">
      <c r="A580" s="738"/>
      <c r="B580" s="1838"/>
      <c r="C580" s="1839"/>
      <c r="D580" s="1838"/>
      <c r="E580" s="1839"/>
      <c r="F580" s="1840"/>
      <c r="G580" s="1840"/>
      <c r="H580" s="453"/>
      <c r="I580" s="407"/>
      <c r="J580" s="328"/>
      <c r="K580" s="328"/>
      <c r="L580" s="328"/>
      <c r="M580" s="1848"/>
      <c r="N580" s="1848"/>
    </row>
    <row r="581" spans="1:21" ht="14" thickBot="1">
      <c r="A581" s="737"/>
      <c r="B581" s="3"/>
      <c r="C581" s="3"/>
      <c r="D581" s="3"/>
      <c r="E581" s="3"/>
      <c r="F581" s="452"/>
      <c r="G581" s="452"/>
      <c r="H581" s="452"/>
      <c r="I581" s="3"/>
      <c r="J581" s="3"/>
      <c r="K581" s="3"/>
      <c r="L581" s="3"/>
      <c r="M581" s="3"/>
      <c r="N581" s="3"/>
    </row>
    <row r="582" spans="1:21" ht="24" thickBot="1">
      <c r="A582" s="88" t="s">
        <v>135</v>
      </c>
      <c r="B582" s="1751"/>
      <c r="C582" s="1477"/>
      <c r="D582" s="1478"/>
      <c r="E582" s="1479"/>
      <c r="F582" s="1480"/>
      <c r="G582" s="1481"/>
      <c r="H582" s="442"/>
      <c r="I582" s="7"/>
      <c r="J582" s="7"/>
      <c r="K582" s="7"/>
      <c r="L582" s="8"/>
      <c r="M582" s="1764"/>
      <c r="N582" s="1765"/>
    </row>
    <row r="583" spans="1:21" s="1161" customFormat="1" ht="17" thickBot="1">
      <c r="A583" s="108" t="s">
        <v>61</v>
      </c>
      <c r="B583" s="1457"/>
      <c r="C583" s="1586"/>
      <c r="D583" s="1567"/>
      <c r="E583" s="1586"/>
      <c r="F583" s="1587"/>
      <c r="G583" s="1588"/>
      <c r="H583" s="1145"/>
      <c r="I583" s="109"/>
      <c r="J583" s="109"/>
      <c r="K583" s="109"/>
      <c r="L583" s="1141"/>
      <c r="M583" s="1617"/>
      <c r="N583" s="1486"/>
      <c r="O583" s="274"/>
      <c r="P583" s="274"/>
      <c r="Q583" s="274"/>
      <c r="R583" s="274"/>
      <c r="S583" s="274"/>
      <c r="T583" s="274"/>
      <c r="U583" s="274"/>
    </row>
    <row r="584" spans="1:21">
      <c r="A584" s="32" t="s">
        <v>62</v>
      </c>
      <c r="B584" s="1696">
        <v>236</v>
      </c>
      <c r="C584" s="1743"/>
      <c r="D584" s="1431">
        <f>F584*325851</f>
        <v>2668459.0091999997</v>
      </c>
      <c r="E584" s="1422"/>
      <c r="F584" s="1756">
        <f>0.0347*B584</f>
        <v>8.1891999999999996</v>
      </c>
      <c r="G584" s="1757"/>
      <c r="H584" s="941">
        <f>F584*20</f>
        <v>163.78399999999999</v>
      </c>
      <c r="I584" s="131">
        <v>0</v>
      </c>
      <c r="J584" s="131">
        <f>B584*6.5</f>
        <v>1534</v>
      </c>
      <c r="K584" s="131">
        <f>B584*60</f>
        <v>14160</v>
      </c>
      <c r="L584" s="131">
        <f>I584+J584+K584</f>
        <v>15694</v>
      </c>
      <c r="M584" s="1758">
        <f>L584/(F584*427)</f>
        <v>4.4881182973496481</v>
      </c>
      <c r="N584" s="1759"/>
    </row>
    <row r="585" spans="1:21">
      <c r="A585" s="32" t="s">
        <v>63</v>
      </c>
      <c r="B585" s="1696">
        <v>2</v>
      </c>
      <c r="C585" s="1743"/>
      <c r="D585" s="1431">
        <f>F585*325851</f>
        <v>22614.059400000002</v>
      </c>
      <c r="E585" s="1422"/>
      <c r="F585" s="1756">
        <f>0.0347*B585</f>
        <v>6.9400000000000003E-2</v>
      </c>
      <c r="G585" s="1757"/>
      <c r="H585" s="941">
        <f>F585*20</f>
        <v>1.3880000000000001</v>
      </c>
      <c r="I585" s="131">
        <v>0</v>
      </c>
      <c r="J585" s="131">
        <f>B585*11</f>
        <v>22</v>
      </c>
      <c r="K585" s="131">
        <f>B585*60</f>
        <v>120</v>
      </c>
      <c r="L585" s="131">
        <f>I585+J585+K585</f>
        <v>142</v>
      </c>
      <c r="M585" s="1758">
        <f>L585/(F585*427)</f>
        <v>4.7918255505537592</v>
      </c>
      <c r="N585" s="1759"/>
    </row>
    <row r="586" spans="1:21">
      <c r="A586" s="32" t="s">
        <v>64</v>
      </c>
      <c r="B586" s="1696">
        <v>44</v>
      </c>
      <c r="C586" s="1743"/>
      <c r="D586" s="1431">
        <f>F586*325851</f>
        <v>497509.30680000008</v>
      </c>
      <c r="E586" s="1422"/>
      <c r="F586" s="1756">
        <f>0.0347*B586</f>
        <v>1.5268000000000002</v>
      </c>
      <c r="G586" s="1757"/>
      <c r="H586" s="941">
        <f>F586*20</f>
        <v>30.536000000000001</v>
      </c>
      <c r="I586" s="131">
        <v>0</v>
      </c>
      <c r="J586" s="131">
        <f>B586*1</f>
        <v>44</v>
      </c>
      <c r="K586" s="131">
        <f>B586*60</f>
        <v>2640</v>
      </c>
      <c r="L586" s="131">
        <f>I586+J586+K586</f>
        <v>2684</v>
      </c>
      <c r="M586" s="1758">
        <f>L586/(F586*427)</f>
        <v>4.116920543433511</v>
      </c>
      <c r="N586" s="1759"/>
    </row>
    <row r="587" spans="1:21">
      <c r="A587" s="34" t="s">
        <v>13</v>
      </c>
      <c r="B587" s="1696">
        <v>195</v>
      </c>
      <c r="C587" s="1743"/>
      <c r="D587" s="1431">
        <f>F587*325851</f>
        <v>1753730.0819999999</v>
      </c>
      <c r="E587" s="1422"/>
      <c r="F587" s="1756">
        <f>0.0276*B587</f>
        <v>5.3819999999999997</v>
      </c>
      <c r="G587" s="1757"/>
      <c r="H587" s="941">
        <f>F587*15</f>
        <v>80.72999999999999</v>
      </c>
      <c r="I587" s="131">
        <v>0</v>
      </c>
      <c r="J587" s="131">
        <f>B587*1</f>
        <v>195</v>
      </c>
      <c r="K587" s="131">
        <f>B587*110</f>
        <v>21450</v>
      </c>
      <c r="L587" s="131">
        <f>I587+J587+K587</f>
        <v>21645</v>
      </c>
      <c r="M587" s="1758">
        <f>L587/(F587*427)</f>
        <v>9.4185928113226751</v>
      </c>
      <c r="N587" s="1759"/>
    </row>
    <row r="588" spans="1:21" ht="14" thickBot="1">
      <c r="A588" s="35" t="s">
        <v>14</v>
      </c>
      <c r="B588" s="1696">
        <v>6</v>
      </c>
      <c r="C588" s="1743"/>
      <c r="D588" s="1444">
        <f>46.8*B588*365</f>
        <v>102491.99999999999</v>
      </c>
      <c r="E588" s="1422"/>
      <c r="F588" s="1756">
        <f>D588/325900</f>
        <v>0.31448910708806377</v>
      </c>
      <c r="G588" s="1757"/>
      <c r="H588" s="941">
        <f>F588*5</f>
        <v>1.5724455354403188</v>
      </c>
      <c r="I588" s="131">
        <v>0</v>
      </c>
      <c r="J588" s="131">
        <v>1219</v>
      </c>
      <c r="K588" s="131">
        <v>0</v>
      </c>
      <c r="L588" s="131">
        <f>I588+J588+K588</f>
        <v>1219</v>
      </c>
      <c r="M588" s="1758">
        <f>L588/(F588*427)</f>
        <v>9.0775828873740405</v>
      </c>
      <c r="N588" s="1759"/>
    </row>
    <row r="589" spans="1:21" s="533" customFormat="1" ht="14" thickBot="1">
      <c r="A589" s="693" t="s">
        <v>60</v>
      </c>
      <c r="B589" s="1452">
        <f>SUM(B584:C588)</f>
        <v>483</v>
      </c>
      <c r="C589" s="1740"/>
      <c r="D589" s="1694">
        <f>SUM(D584:E588)</f>
        <v>5044804.4573999997</v>
      </c>
      <c r="E589" s="1740"/>
      <c r="F589" s="1785">
        <f>SUM(F584:G588)</f>
        <v>15.481889107088062</v>
      </c>
      <c r="G589" s="1554"/>
      <c r="H589" s="1085">
        <f>SUM(H584:H588)</f>
        <v>278.01044553544028</v>
      </c>
      <c r="I589" s="515">
        <f>SUM(I584:I588)</f>
        <v>0</v>
      </c>
      <c r="J589" s="515">
        <f>SUM(J584:J588)</f>
        <v>3014</v>
      </c>
      <c r="K589" s="515">
        <f>SUM(K584:K588)</f>
        <v>38370</v>
      </c>
      <c r="L589" s="515">
        <f>SUM(L584:L588)</f>
        <v>41384</v>
      </c>
      <c r="M589" s="1772"/>
      <c r="N589" s="1773"/>
      <c r="O589" s="534"/>
      <c r="P589" s="534"/>
      <c r="Q589" s="534"/>
      <c r="R589" s="534"/>
      <c r="S589" s="534"/>
      <c r="T589" s="534"/>
      <c r="U589" s="534"/>
    </row>
    <row r="590" spans="1:21" s="1161" customFormat="1" ht="17" thickBot="1">
      <c r="A590" s="1256" t="s">
        <v>147</v>
      </c>
      <c r="B590" s="1457"/>
      <c r="C590" s="1457"/>
      <c r="D590" s="1457"/>
      <c r="E590" s="1457"/>
      <c r="F590" s="1484"/>
      <c r="G590" s="1484"/>
      <c r="H590" s="1158"/>
      <c r="I590" s="162"/>
      <c r="J590" s="162"/>
      <c r="K590" s="162"/>
      <c r="L590" s="162"/>
      <c r="M590" s="1485"/>
      <c r="N590" s="1486"/>
      <c r="O590" s="274"/>
      <c r="P590" s="274"/>
      <c r="Q590" s="274"/>
      <c r="R590" s="274"/>
      <c r="S590" s="274"/>
      <c r="T590" s="274"/>
      <c r="U590" s="274"/>
    </row>
    <row r="591" spans="1:21" ht="14" thickBot="1">
      <c r="A591" s="34" t="s">
        <v>11</v>
      </c>
      <c r="B591" s="1696">
        <v>8</v>
      </c>
      <c r="C591" s="1743"/>
      <c r="D591" s="1431">
        <f>F591*325851</f>
        <v>90456.237600000008</v>
      </c>
      <c r="E591" s="1422"/>
      <c r="F591" s="1760">
        <f>0.0347*B591</f>
        <v>0.27760000000000001</v>
      </c>
      <c r="G591" s="1757"/>
      <c r="H591" s="941">
        <f>F591*20</f>
        <v>5.5520000000000005</v>
      </c>
      <c r="I591" s="131">
        <v>0</v>
      </c>
      <c r="J591" s="131">
        <f>B591*105</f>
        <v>840</v>
      </c>
      <c r="K591" s="131">
        <f>B591*60</f>
        <v>480</v>
      </c>
      <c r="L591" s="132">
        <f>I591+J591+K591</f>
        <v>1320</v>
      </c>
      <c r="M591" s="1758">
        <f>L591/(F591*427)</f>
        <v>11.135932617484089</v>
      </c>
      <c r="N591" s="1759"/>
    </row>
    <row r="592" spans="1:21" s="533" customFormat="1" ht="14" thickBot="1">
      <c r="A592" s="53" t="s">
        <v>60</v>
      </c>
      <c r="B592" s="1440">
        <f>SUM(B591)</f>
        <v>8</v>
      </c>
      <c r="C592" s="1609"/>
      <c r="D592" s="1441">
        <f>SUM(D591)</f>
        <v>90456.237600000008</v>
      </c>
      <c r="E592" s="1609"/>
      <c r="F592" s="1512">
        <f>SUM(F591)</f>
        <v>0.27760000000000001</v>
      </c>
      <c r="G592" s="1575"/>
      <c r="H592" s="612">
        <f>SUM(H591)</f>
        <v>5.5520000000000005</v>
      </c>
      <c r="I592" s="136">
        <f>SUM(I591)</f>
        <v>0</v>
      </c>
      <c r="J592" s="136">
        <f>SUM(J591)</f>
        <v>840</v>
      </c>
      <c r="K592" s="136">
        <f>SUM(K591)</f>
        <v>480</v>
      </c>
      <c r="L592" s="136">
        <f>SUM(L591)</f>
        <v>1320</v>
      </c>
      <c r="M592" s="1657"/>
      <c r="N592" s="1622"/>
      <c r="O592" s="534"/>
      <c r="P592" s="534"/>
      <c r="Q592" s="534"/>
      <c r="R592" s="534"/>
      <c r="S592" s="534"/>
      <c r="T592" s="534"/>
      <c r="U592" s="534"/>
    </row>
    <row r="593" spans="1:21" s="1161" customFormat="1" ht="17" thickBot="1">
      <c r="A593" s="108" t="s">
        <v>50</v>
      </c>
      <c r="B593" s="1457"/>
      <c r="C593" s="1586"/>
      <c r="D593" s="1567"/>
      <c r="E593" s="1586"/>
      <c r="F593" s="1484"/>
      <c r="G593" s="1588"/>
      <c r="H593" s="1145"/>
      <c r="I593" s="161"/>
      <c r="J593" s="161"/>
      <c r="K593" s="161"/>
      <c r="L593" s="162"/>
      <c r="M593" s="1617"/>
      <c r="N593" s="1486"/>
      <c r="O593" s="274"/>
      <c r="P593" s="274"/>
      <c r="Q593" s="274"/>
      <c r="R593" s="274"/>
      <c r="S593" s="274"/>
      <c r="T593" s="274"/>
      <c r="U593" s="274"/>
    </row>
    <row r="594" spans="1:21">
      <c r="A594" s="34" t="s">
        <v>67</v>
      </c>
      <c r="B594" s="1696">
        <v>0</v>
      </c>
      <c r="C594" s="1743"/>
      <c r="D594" s="1431">
        <f t="shared" ref="D594:D599" si="112">F594*325851</f>
        <v>0</v>
      </c>
      <c r="E594" s="1422"/>
      <c r="F594" s="1760">
        <f>0.0347*B594</f>
        <v>0</v>
      </c>
      <c r="G594" s="1757"/>
      <c r="H594" s="941">
        <f>F594*20</f>
        <v>0</v>
      </c>
      <c r="I594" s="131">
        <v>0</v>
      </c>
      <c r="J594" s="131">
        <v>0</v>
      </c>
      <c r="K594" s="131">
        <f>B594*60</f>
        <v>0</v>
      </c>
      <c r="L594" s="131">
        <v>0</v>
      </c>
      <c r="M594" s="1792">
        <v>0</v>
      </c>
      <c r="N594" s="1793"/>
    </row>
    <row r="595" spans="1:21">
      <c r="A595" s="34" t="s">
        <v>20</v>
      </c>
      <c r="B595" s="1696">
        <v>0</v>
      </c>
      <c r="C595" s="1743"/>
      <c r="D595" s="1431">
        <f t="shared" si="112"/>
        <v>0</v>
      </c>
      <c r="E595" s="1422"/>
      <c r="F595" s="1760">
        <f>0.644*B595</f>
        <v>0</v>
      </c>
      <c r="G595" s="1757"/>
      <c r="H595" s="941">
        <f>F595*5</f>
        <v>0</v>
      </c>
      <c r="I595" s="131">
        <v>0</v>
      </c>
      <c r="J595" s="131">
        <v>0</v>
      </c>
      <c r="K595" s="131">
        <v>0</v>
      </c>
      <c r="L595" s="131">
        <v>0</v>
      </c>
      <c r="M595" s="1758">
        <v>0</v>
      </c>
      <c r="N595" s="1759"/>
    </row>
    <row r="596" spans="1:21">
      <c r="A596" s="34" t="s">
        <v>13</v>
      </c>
      <c r="B596" s="1696">
        <v>18</v>
      </c>
      <c r="C596" s="1743"/>
      <c r="D596" s="1431">
        <f t="shared" si="112"/>
        <v>161882.77679999999</v>
      </c>
      <c r="E596" s="1422"/>
      <c r="F596" s="1760">
        <f>0.0276*B596</f>
        <v>0.49680000000000002</v>
      </c>
      <c r="G596" s="1757"/>
      <c r="H596" s="941">
        <f>F596*15</f>
        <v>7.452</v>
      </c>
      <c r="I596" s="131">
        <v>0</v>
      </c>
      <c r="J596" s="131">
        <v>0</v>
      </c>
      <c r="K596" s="131">
        <f>B596*250</f>
        <v>4500</v>
      </c>
      <c r="L596" s="131">
        <f>I596+J596+K596</f>
        <v>4500</v>
      </c>
      <c r="M596" s="1758">
        <f>L596/(F596*427)</f>
        <v>21.213046872348368</v>
      </c>
      <c r="N596" s="1759"/>
    </row>
    <row r="597" spans="1:21">
      <c r="A597" s="35" t="s">
        <v>15</v>
      </c>
      <c r="B597" s="1696">
        <v>0</v>
      </c>
      <c r="C597" s="1743"/>
      <c r="D597" s="1431">
        <f t="shared" si="112"/>
        <v>0</v>
      </c>
      <c r="E597" s="1422"/>
      <c r="F597" s="1760">
        <f>0.1534*B597</f>
        <v>0</v>
      </c>
      <c r="G597" s="1757"/>
      <c r="H597" s="941">
        <f>F597*5</f>
        <v>0</v>
      </c>
      <c r="I597" s="131">
        <v>0</v>
      </c>
      <c r="J597" s="131">
        <v>0</v>
      </c>
      <c r="K597" s="131">
        <v>0</v>
      </c>
      <c r="L597" s="131">
        <f>I597+J597+K597</f>
        <v>0</v>
      </c>
      <c r="M597" s="1758">
        <v>0</v>
      </c>
      <c r="N597" s="1759"/>
    </row>
    <row r="598" spans="1:21">
      <c r="A598" s="35" t="s">
        <v>16</v>
      </c>
      <c r="B598" s="1696">
        <v>0</v>
      </c>
      <c r="C598" s="1743"/>
      <c r="D598" s="1431">
        <f t="shared" si="112"/>
        <v>0</v>
      </c>
      <c r="E598" s="1422"/>
      <c r="F598" s="1760">
        <f>0.004*B598</f>
        <v>0</v>
      </c>
      <c r="G598" s="1757"/>
      <c r="H598" s="941">
        <f>F598*5</f>
        <v>0</v>
      </c>
      <c r="I598" s="131">
        <v>0</v>
      </c>
      <c r="J598" s="131">
        <v>0</v>
      </c>
      <c r="K598" s="131">
        <v>0</v>
      </c>
      <c r="L598" s="131">
        <f>I598+J598+K598</f>
        <v>0</v>
      </c>
      <c r="M598" s="1758">
        <v>0</v>
      </c>
      <c r="N598" s="1759"/>
    </row>
    <row r="599" spans="1:21" ht="14" thickBot="1">
      <c r="A599" s="34" t="s">
        <v>12</v>
      </c>
      <c r="B599" s="1696">
        <v>0</v>
      </c>
      <c r="C599" s="1743"/>
      <c r="D599" s="1431">
        <f t="shared" si="112"/>
        <v>0</v>
      </c>
      <c r="E599" s="1422"/>
      <c r="F599" s="1760">
        <f>3.2*B599</f>
        <v>0</v>
      </c>
      <c r="G599" s="1757"/>
      <c r="H599" s="941">
        <f>F599*5</f>
        <v>0</v>
      </c>
      <c r="I599" s="131">
        <v>0</v>
      </c>
      <c r="J599" s="131">
        <v>0</v>
      </c>
      <c r="K599" s="131">
        <v>0</v>
      </c>
      <c r="L599" s="131">
        <v>0</v>
      </c>
      <c r="M599" s="1758">
        <v>0</v>
      </c>
      <c r="N599" s="1759"/>
    </row>
    <row r="600" spans="1:21" s="533" customFormat="1" ht="14" thickBot="1">
      <c r="A600" s="53" t="s">
        <v>60</v>
      </c>
      <c r="B600" s="1440">
        <f>SUM(B594:C599)</f>
        <v>18</v>
      </c>
      <c r="C600" s="1609"/>
      <c r="D600" s="1441">
        <f>SUM(D593:E599)</f>
        <v>161882.77679999999</v>
      </c>
      <c r="E600" s="1609"/>
      <c r="F600" s="1512">
        <f>SUM(F593:G599)</f>
        <v>0.49680000000000002</v>
      </c>
      <c r="G600" s="1575"/>
      <c r="H600" s="470">
        <f>SUM(H594:H599)</f>
        <v>7.452</v>
      </c>
      <c r="I600" s="152">
        <f>SUM(I594:I599)</f>
        <v>0</v>
      </c>
      <c r="J600" s="152">
        <f>SUM(J594:J599)</f>
        <v>0</v>
      </c>
      <c r="K600" s="152">
        <f>SUM(K594:K599)</f>
        <v>4500</v>
      </c>
      <c r="L600" s="152">
        <f>SUM(L594:L599)</f>
        <v>4500</v>
      </c>
      <c r="M600" s="1657"/>
      <c r="N600" s="1622"/>
      <c r="O600" s="534"/>
      <c r="P600" s="534"/>
      <c r="Q600" s="534"/>
      <c r="R600" s="534"/>
      <c r="S600" s="534"/>
      <c r="T600" s="534"/>
      <c r="U600" s="534"/>
    </row>
    <row r="601" spans="1:21" s="1161" customFormat="1" ht="17" thickBot="1">
      <c r="A601" s="1186" t="s">
        <v>17</v>
      </c>
      <c r="B601" s="1663">
        <f>B600+B589+B592</f>
        <v>509</v>
      </c>
      <c r="C601" s="1684"/>
      <c r="D601" s="1665">
        <f>SUM(D600,D592,D589)</f>
        <v>5297143.4717999995</v>
      </c>
      <c r="E601" s="1684"/>
      <c r="F601" s="1791">
        <f>SUM(F600,F592,F589)</f>
        <v>16.256289107088062</v>
      </c>
      <c r="G601" s="1667"/>
      <c r="H601" s="1254">
        <f>SUM(H589,H592,H600)</f>
        <v>291.0144455354403</v>
      </c>
      <c r="I601" s="1188">
        <f>I589+I592+I600</f>
        <v>0</v>
      </c>
      <c r="J601" s="1188">
        <f>J589+J592+J600</f>
        <v>3854</v>
      </c>
      <c r="K601" s="1188">
        <f>K589+K592+K600</f>
        <v>43350</v>
      </c>
      <c r="L601" s="1188">
        <f>L589+L592+L600</f>
        <v>47204</v>
      </c>
      <c r="M601" s="1668"/>
      <c r="N601" s="1669"/>
      <c r="O601" s="274"/>
      <c r="P601" s="274"/>
      <c r="Q601" s="274"/>
      <c r="R601" s="274"/>
      <c r="S601" s="274"/>
      <c r="T601" s="274"/>
      <c r="U601" s="274"/>
    </row>
    <row r="603" spans="1:21" ht="15">
      <c r="A603" s="9" t="s">
        <v>18</v>
      </c>
      <c r="B603" s="1695" t="s">
        <v>59</v>
      </c>
      <c r="C603" s="1566"/>
      <c r="D603" s="1566"/>
      <c r="E603" s="1821"/>
    </row>
    <row r="604" spans="1:21">
      <c r="B604" s="1420" t="s">
        <v>19</v>
      </c>
      <c r="C604" s="1420"/>
      <c r="D604" s="1420"/>
      <c r="E604" s="1420"/>
    </row>
    <row r="605" spans="1:21" ht="14" thickBot="1">
      <c r="B605" s="557"/>
      <c r="C605" s="557"/>
      <c r="D605" s="557"/>
      <c r="E605" s="557"/>
    </row>
    <row r="606" spans="1:21" s="363" customFormat="1" ht="16">
      <c r="A606" s="98"/>
      <c r="B606" s="99"/>
      <c r="C606" s="99"/>
      <c r="D606" s="99"/>
      <c r="E606" s="99"/>
      <c r="F606" s="421"/>
      <c r="G606" s="421"/>
      <c r="H606" s="421"/>
      <c r="I606" s="1468" t="s">
        <v>0</v>
      </c>
      <c r="J606" s="1468"/>
      <c r="K606" s="1468"/>
      <c r="L606" s="1468"/>
      <c r="M606" s="99"/>
      <c r="N606" s="101"/>
      <c r="O606" s="1398"/>
      <c r="P606" s="1398"/>
      <c r="Q606" s="1398"/>
      <c r="R606" s="1398"/>
      <c r="S606" s="1398"/>
      <c r="T606" s="1398"/>
      <c r="U606" s="1398"/>
    </row>
    <row r="607" spans="1:21" ht="16">
      <c r="A607" s="97"/>
      <c r="B607" s="1469" t="s">
        <v>1</v>
      </c>
      <c r="C607" s="1469"/>
      <c r="D607" s="1469" t="s">
        <v>2</v>
      </c>
      <c r="E607" s="1469"/>
      <c r="F607" s="1470" t="s">
        <v>3</v>
      </c>
      <c r="G607" s="1470"/>
      <c r="H607" s="438" t="s">
        <v>3</v>
      </c>
      <c r="I607" s="127" t="s">
        <v>195</v>
      </c>
      <c r="J607" s="102"/>
      <c r="K607" s="102"/>
      <c r="L607" s="128"/>
      <c r="M607" s="1469" t="s">
        <v>4</v>
      </c>
      <c r="N607" s="1526"/>
    </row>
    <row r="608" spans="1:21" ht="19" thickBot="1">
      <c r="A608" s="103" t="s">
        <v>5</v>
      </c>
      <c r="B608" s="1473" t="s">
        <v>6</v>
      </c>
      <c r="C608" s="1473"/>
      <c r="D608" s="1473" t="s">
        <v>7</v>
      </c>
      <c r="E608" s="1473"/>
      <c r="F608" s="1474" t="s">
        <v>7</v>
      </c>
      <c r="G608" s="1474"/>
      <c r="H608" s="439" t="s">
        <v>58</v>
      </c>
      <c r="I608" s="398" t="s">
        <v>196</v>
      </c>
      <c r="J608" s="397" t="s">
        <v>8</v>
      </c>
      <c r="K608" s="397" t="s">
        <v>9</v>
      </c>
      <c r="L608" s="401" t="s">
        <v>10</v>
      </c>
      <c r="M608" s="1473" t="s">
        <v>145</v>
      </c>
      <c r="N608" s="1475"/>
    </row>
    <row r="609" spans="1:21" ht="24" thickBot="1">
      <c r="A609" s="88" t="s">
        <v>136</v>
      </c>
      <c r="B609" s="1751"/>
      <c r="C609" s="1477"/>
      <c r="D609" s="1478"/>
      <c r="E609" s="1479"/>
      <c r="F609" s="1480"/>
      <c r="G609" s="1481"/>
      <c r="H609" s="442"/>
      <c r="I609" s="7"/>
      <c r="J609" s="7"/>
      <c r="K609" s="7"/>
      <c r="L609" s="8"/>
      <c r="M609" s="1764"/>
      <c r="N609" s="1765"/>
    </row>
    <row r="610" spans="1:21" s="1161" customFormat="1" ht="17" thickBot="1">
      <c r="A610" s="108" t="s">
        <v>61</v>
      </c>
      <c r="B610" s="1457"/>
      <c r="C610" s="1586"/>
      <c r="D610" s="1567"/>
      <c r="E610" s="1586"/>
      <c r="F610" s="1587"/>
      <c r="G610" s="1588"/>
      <c r="H610" s="1145"/>
      <c r="I610" s="109"/>
      <c r="J610" s="109"/>
      <c r="K610" s="109"/>
      <c r="L610" s="1141"/>
      <c r="M610" s="1617"/>
      <c r="N610" s="1486"/>
      <c r="O610" s="274"/>
      <c r="P610" s="274"/>
      <c r="Q610" s="274"/>
      <c r="R610" s="274"/>
      <c r="S610" s="274"/>
      <c r="T610" s="274"/>
      <c r="U610" s="274"/>
    </row>
    <row r="611" spans="1:21">
      <c r="A611" s="32" t="s">
        <v>62</v>
      </c>
      <c r="B611" s="1696">
        <v>287</v>
      </c>
      <c r="C611" s="1743"/>
      <c r="D611" s="1431">
        <f>F611*325851</f>
        <v>3245117.5238999999</v>
      </c>
      <c r="E611" s="1422"/>
      <c r="F611" s="1756">
        <f>0.0347*B611</f>
        <v>9.9588999999999999</v>
      </c>
      <c r="G611" s="1757"/>
      <c r="H611" s="941">
        <f>F611*20</f>
        <v>199.178</v>
      </c>
      <c r="I611" s="131">
        <v>0</v>
      </c>
      <c r="J611" s="131">
        <v>574</v>
      </c>
      <c r="K611" s="131">
        <v>17220</v>
      </c>
      <c r="L611" s="131">
        <f>I611+J611+K611</f>
        <v>17794</v>
      </c>
      <c r="M611" s="1758">
        <v>4.7</v>
      </c>
      <c r="N611" s="1759"/>
    </row>
    <row r="612" spans="1:21">
      <c r="A612" s="32" t="s">
        <v>63</v>
      </c>
      <c r="B612" s="1696">
        <v>2</v>
      </c>
      <c r="C612" s="1743"/>
      <c r="D612" s="1431">
        <f>F612*325851</f>
        <v>22614.059400000002</v>
      </c>
      <c r="E612" s="1422"/>
      <c r="F612" s="1756">
        <f>0.0347*B612</f>
        <v>6.9400000000000003E-2</v>
      </c>
      <c r="G612" s="1757"/>
      <c r="H612" s="941">
        <f>F612*20</f>
        <v>1.3880000000000001</v>
      </c>
      <c r="I612" s="131">
        <v>0</v>
      </c>
      <c r="J612" s="131">
        <v>22</v>
      </c>
      <c r="K612" s="131">
        <v>120</v>
      </c>
      <c r="L612" s="131">
        <f>I612+J612+K612</f>
        <v>142</v>
      </c>
      <c r="M612" s="1758">
        <v>3.4</v>
      </c>
      <c r="N612" s="1759"/>
    </row>
    <row r="613" spans="1:21">
      <c r="A613" s="78" t="s">
        <v>273</v>
      </c>
      <c r="B613" s="1696">
        <v>130</v>
      </c>
      <c r="C613" s="1743"/>
      <c r="D613" s="1431">
        <f>F613*325851</f>
        <v>1469913.861</v>
      </c>
      <c r="E613" s="1422"/>
      <c r="F613" s="1756">
        <f>0.0347*B613</f>
        <v>4.5110000000000001</v>
      </c>
      <c r="G613" s="1757"/>
      <c r="H613" s="941">
        <f>F613*20</f>
        <v>90.22</v>
      </c>
      <c r="I613" s="131">
        <v>0</v>
      </c>
      <c r="J613" s="131">
        <v>130</v>
      </c>
      <c r="K613" s="131">
        <v>7800</v>
      </c>
      <c r="L613" s="131">
        <f>I613+J613+K613</f>
        <v>7930</v>
      </c>
      <c r="M613" s="1758">
        <v>4.5999999999999996</v>
      </c>
      <c r="N613" s="1759"/>
    </row>
    <row r="614" spans="1:21">
      <c r="A614" s="34" t="s">
        <v>13</v>
      </c>
      <c r="B614" s="1696">
        <v>130</v>
      </c>
      <c r="C614" s="1743"/>
      <c r="D614" s="1431">
        <f>F614*325851</f>
        <v>1169153.388</v>
      </c>
      <c r="E614" s="1422"/>
      <c r="F614" s="1760">
        <f>0.0276*B614</f>
        <v>3.5880000000000001</v>
      </c>
      <c r="G614" s="1757"/>
      <c r="H614" s="941">
        <f>F614*15</f>
        <v>53.82</v>
      </c>
      <c r="I614" s="131">
        <v>0</v>
      </c>
      <c r="J614" s="131">
        <v>130</v>
      </c>
      <c r="K614" s="131">
        <v>14300</v>
      </c>
      <c r="L614" s="131">
        <f>I614+J614+K614</f>
        <v>14430</v>
      </c>
      <c r="M614" s="1758">
        <v>5.7</v>
      </c>
      <c r="N614" s="1759"/>
    </row>
    <row r="615" spans="1:21" ht="14" thickBot="1">
      <c r="A615" s="35" t="s">
        <v>14</v>
      </c>
      <c r="B615" s="1696">
        <v>23</v>
      </c>
      <c r="C615" s="1743"/>
      <c r="D615" s="1431">
        <v>802854</v>
      </c>
      <c r="E615" s="1422"/>
      <c r="F615" s="1760">
        <v>2.46</v>
      </c>
      <c r="G615" s="1757"/>
      <c r="H615" s="941">
        <f>F615*5</f>
        <v>12.3</v>
      </c>
      <c r="I615" s="131">
        <v>0</v>
      </c>
      <c r="J615" s="131">
        <v>1219</v>
      </c>
      <c r="K615" s="131">
        <v>0</v>
      </c>
      <c r="L615" s="131">
        <f>I615+J615+K615</f>
        <v>1219</v>
      </c>
      <c r="M615" s="1758">
        <v>2.4</v>
      </c>
      <c r="N615" s="1759"/>
    </row>
    <row r="616" spans="1:21" s="533" customFormat="1" ht="14" thickBot="1">
      <c r="A616" s="53" t="s">
        <v>60</v>
      </c>
      <c r="B616" s="1440">
        <f>SUM(B611:C615)</f>
        <v>572</v>
      </c>
      <c r="C616" s="1609"/>
      <c r="D616" s="1441">
        <f>SUM(D611:E615)</f>
        <v>6709652.8322999999</v>
      </c>
      <c r="E616" s="1609"/>
      <c r="F616" s="1512">
        <f>SUM(F611:G615)</f>
        <v>20.587300000000003</v>
      </c>
      <c r="G616" s="1575"/>
      <c r="H616" s="612">
        <f>SUM(H611:H615)</f>
        <v>356.90600000000001</v>
      </c>
      <c r="I616" s="136">
        <f>SUM(I611:I615)</f>
        <v>0</v>
      </c>
      <c r="J616" s="136">
        <f>SUM(J611:J615)</f>
        <v>2075</v>
      </c>
      <c r="K616" s="136">
        <f>SUM(K611:K615)</f>
        <v>39440</v>
      </c>
      <c r="L616" s="136">
        <f>SUM(L611:L615)</f>
        <v>41515</v>
      </c>
      <c r="M616" s="1657"/>
      <c r="N616" s="1622"/>
      <c r="O616" s="534"/>
      <c r="P616" s="534"/>
      <c r="Q616" s="534"/>
      <c r="R616" s="534"/>
      <c r="S616" s="534"/>
      <c r="T616" s="534"/>
      <c r="U616" s="534"/>
    </row>
    <row r="617" spans="1:21" s="1161" customFormat="1" ht="17" thickBot="1">
      <c r="A617" s="1246" t="s">
        <v>147</v>
      </c>
      <c r="B617" s="1457"/>
      <c r="C617" s="1586"/>
      <c r="D617" s="1567"/>
      <c r="E617" s="1586"/>
      <c r="F617" s="1484"/>
      <c r="G617" s="1588"/>
      <c r="H617" s="1145"/>
      <c r="I617" s="161"/>
      <c r="J617" s="161"/>
      <c r="K617" s="161"/>
      <c r="L617" s="162"/>
      <c r="M617" s="1617"/>
      <c r="N617" s="1486"/>
      <c r="O617" s="274"/>
      <c r="P617" s="274"/>
      <c r="Q617" s="274"/>
      <c r="R617" s="274"/>
      <c r="S617" s="274"/>
      <c r="T617" s="274"/>
      <c r="U617" s="274"/>
    </row>
    <row r="618" spans="1:21" ht="14" thickBot="1">
      <c r="A618" s="34" t="s">
        <v>11</v>
      </c>
      <c r="B618" s="1444">
        <v>106</v>
      </c>
      <c r="C618" s="1743"/>
      <c r="D618" s="1431">
        <f>F618*325851</f>
        <v>1198545.1482000002</v>
      </c>
      <c r="E618" s="1422"/>
      <c r="F618" s="1760">
        <f>0.0347*B618</f>
        <v>3.6782000000000004</v>
      </c>
      <c r="G618" s="1757"/>
      <c r="H618" s="941">
        <f>F618*20</f>
        <v>73.564000000000007</v>
      </c>
      <c r="I618" s="131">
        <v>0</v>
      </c>
      <c r="J618" s="131">
        <v>3604</v>
      </c>
      <c r="K618" s="131">
        <v>6360</v>
      </c>
      <c r="L618" s="131">
        <f>I618+J618+K618</f>
        <v>9964</v>
      </c>
      <c r="M618" s="1758">
        <v>4.2</v>
      </c>
      <c r="N618" s="1759"/>
    </row>
    <row r="619" spans="1:21" s="533" customFormat="1" ht="14" thickBot="1">
      <c r="A619" s="53" t="s">
        <v>60</v>
      </c>
      <c r="B619" s="1440">
        <f>SUM(B618)</f>
        <v>106</v>
      </c>
      <c r="C619" s="1439"/>
      <c r="D619" s="1441">
        <f>SUM(D618)</f>
        <v>1198545.1482000002</v>
      </c>
      <c r="E619" s="1439"/>
      <c r="F619" s="1512">
        <f>SUM(F618)</f>
        <v>3.6782000000000004</v>
      </c>
      <c r="G619" s="1575"/>
      <c r="H619" s="612">
        <f>SUM(H618)</f>
        <v>73.564000000000007</v>
      </c>
      <c r="I619" s="136">
        <f>SUM(I618)</f>
        <v>0</v>
      </c>
      <c r="J619" s="136">
        <f>SUM(J618)</f>
        <v>3604</v>
      </c>
      <c r="K619" s="136">
        <f>SUM(K618)</f>
        <v>6360</v>
      </c>
      <c r="L619" s="136">
        <f>SUM(L618)</f>
        <v>9964</v>
      </c>
      <c r="M619" s="1657"/>
      <c r="N619" s="1790"/>
      <c r="O619" s="534"/>
      <c r="P619" s="534"/>
      <c r="Q619" s="534"/>
      <c r="R619" s="534"/>
      <c r="S619" s="534"/>
      <c r="T619" s="534"/>
      <c r="U619" s="534"/>
    </row>
    <row r="620" spans="1:21" s="1161" customFormat="1" ht="17" thickBot="1">
      <c r="A620" s="108" t="s">
        <v>50</v>
      </c>
      <c r="B620" s="1457"/>
      <c r="C620" s="1586"/>
      <c r="D620" s="1567"/>
      <c r="E620" s="1586"/>
      <c r="F620" s="1484"/>
      <c r="G620" s="1588"/>
      <c r="H620" s="1145"/>
      <c r="I620" s="161"/>
      <c r="J620" s="161"/>
      <c r="K620" s="161"/>
      <c r="L620" s="162"/>
      <c r="M620" s="1617"/>
      <c r="N620" s="1486"/>
      <c r="O620" s="274"/>
      <c r="P620" s="274"/>
      <c r="Q620" s="274"/>
      <c r="R620" s="274"/>
      <c r="S620" s="274"/>
      <c r="T620" s="274"/>
      <c r="U620" s="274"/>
    </row>
    <row r="621" spans="1:21">
      <c r="A621" s="34" t="s">
        <v>13</v>
      </c>
      <c r="B621" s="1696">
        <v>18</v>
      </c>
      <c r="C621" s="1743"/>
      <c r="D621" s="1431">
        <f>F621*325851</f>
        <v>161882.77679999999</v>
      </c>
      <c r="E621" s="1422"/>
      <c r="F621" s="1760">
        <f>0.0276*B621</f>
        <v>0.49680000000000002</v>
      </c>
      <c r="G621" s="1757"/>
      <c r="H621" s="941">
        <f>F621*15</f>
        <v>7.452</v>
      </c>
      <c r="I621" s="131">
        <v>0</v>
      </c>
      <c r="J621" s="131">
        <v>0</v>
      </c>
      <c r="K621" s="131">
        <v>4500</v>
      </c>
      <c r="L621" s="131">
        <f>I621+J621+K621</f>
        <v>4500</v>
      </c>
      <c r="M621" s="1758">
        <v>5.0999999999999996</v>
      </c>
      <c r="N621" s="1759"/>
    </row>
    <row r="622" spans="1:21">
      <c r="A622" s="35" t="s">
        <v>70</v>
      </c>
      <c r="B622" s="1696">
        <v>2</v>
      </c>
      <c r="C622" s="1743"/>
      <c r="D622" s="1431">
        <f>F622*325851</f>
        <v>99971.086800000005</v>
      </c>
      <c r="E622" s="1422"/>
      <c r="F622" s="1760">
        <f>0.1534*B622</f>
        <v>0.30680000000000002</v>
      </c>
      <c r="G622" s="1757"/>
      <c r="H622" s="941">
        <f>F622*5</f>
        <v>1.534</v>
      </c>
      <c r="I622" s="131">
        <v>0</v>
      </c>
      <c r="J622" s="131">
        <v>0</v>
      </c>
      <c r="K622" s="131">
        <v>200</v>
      </c>
      <c r="L622" s="131">
        <f>I622+J622+K622</f>
        <v>200</v>
      </c>
      <c r="M622" s="1758">
        <v>1.6</v>
      </c>
      <c r="N622" s="1759"/>
    </row>
    <row r="623" spans="1:21">
      <c r="A623" s="35" t="s">
        <v>71</v>
      </c>
      <c r="B623" s="1696">
        <v>24</v>
      </c>
      <c r="C623" s="1743"/>
      <c r="D623" s="1431">
        <f>F623*325851</f>
        <v>1199653.0416000001</v>
      </c>
      <c r="E623" s="1422"/>
      <c r="F623" s="1760">
        <f>0.1534*B623</f>
        <v>3.6816000000000004</v>
      </c>
      <c r="G623" s="1757"/>
      <c r="H623" s="941">
        <f>F623*5</f>
        <v>18.408000000000001</v>
      </c>
      <c r="I623" s="131">
        <v>0</v>
      </c>
      <c r="J623" s="131">
        <v>2400</v>
      </c>
      <c r="K623" s="131">
        <v>2400</v>
      </c>
      <c r="L623" s="131">
        <f>I623+J623+K623</f>
        <v>4800</v>
      </c>
      <c r="M623" s="1758">
        <v>3.1</v>
      </c>
      <c r="N623" s="1759"/>
    </row>
    <row r="624" spans="1:21" ht="14" thickBot="1">
      <c r="A624" s="35" t="s">
        <v>16</v>
      </c>
      <c r="B624" s="1696">
        <v>0</v>
      </c>
      <c r="C624" s="1743"/>
      <c r="D624" s="1431">
        <f>F624*325851</f>
        <v>0</v>
      </c>
      <c r="E624" s="1422"/>
      <c r="F624" s="1760">
        <f>0.004*B624</f>
        <v>0</v>
      </c>
      <c r="G624" s="1757"/>
      <c r="H624" s="941">
        <f>F624*5</f>
        <v>0</v>
      </c>
      <c r="I624" s="131">
        <v>0</v>
      </c>
      <c r="J624" s="131">
        <v>0</v>
      </c>
      <c r="K624" s="131">
        <v>0</v>
      </c>
      <c r="L624" s="131">
        <f>I624+J624+K624</f>
        <v>0</v>
      </c>
      <c r="M624" s="1758">
        <v>0</v>
      </c>
      <c r="N624" s="1759"/>
    </row>
    <row r="625" spans="1:21" s="533" customFormat="1" ht="14" thickBot="1">
      <c r="A625" s="53" t="s">
        <v>60</v>
      </c>
      <c r="B625" s="1440">
        <f>SUM(B621:C624)</f>
        <v>44</v>
      </c>
      <c r="C625" s="1609"/>
      <c r="D625" s="1441">
        <f>SUM(D621:E624)</f>
        <v>1461506.9052000002</v>
      </c>
      <c r="E625" s="1609"/>
      <c r="F625" s="1512">
        <f>SUM(F621:G624)</f>
        <v>4.4852000000000007</v>
      </c>
      <c r="G625" s="1575"/>
      <c r="H625" s="470">
        <f>SUM(H621:H624)</f>
        <v>27.394000000000002</v>
      </c>
      <c r="I625" s="143">
        <f>SUM(I621:I624)</f>
        <v>0</v>
      </c>
      <c r="J625" s="143">
        <f>SUM(J621:J624)</f>
        <v>2400</v>
      </c>
      <c r="K625" s="378">
        <f>SUM(K621:K624)</f>
        <v>7100</v>
      </c>
      <c r="L625" s="143">
        <f>SUM(L621:L624)</f>
        <v>9500</v>
      </c>
      <c r="M625" s="1657"/>
      <c r="N625" s="1622"/>
      <c r="O625" s="534"/>
      <c r="P625" s="534"/>
      <c r="Q625" s="534"/>
      <c r="R625" s="534"/>
      <c r="S625" s="534"/>
      <c r="T625" s="534"/>
      <c r="U625" s="534"/>
    </row>
    <row r="626" spans="1:21" s="1161" customFormat="1" ht="17" thickBot="1">
      <c r="A626" s="1186" t="s">
        <v>17</v>
      </c>
      <c r="B626" s="1663">
        <f>B616+B619+B625</f>
        <v>722</v>
      </c>
      <c r="C626" s="1684"/>
      <c r="D626" s="1665">
        <f>SUM(D625,D616,D619)</f>
        <v>9369704.8857000005</v>
      </c>
      <c r="E626" s="1684"/>
      <c r="F626" s="1791">
        <f>SUM(F625,F616,F619)</f>
        <v>28.750700000000005</v>
      </c>
      <c r="G626" s="1667"/>
      <c r="H626" s="1254">
        <f>H616+H619+H625</f>
        <v>457.86400000000003</v>
      </c>
      <c r="I626" s="1188">
        <f>I616+I619+I625</f>
        <v>0</v>
      </c>
      <c r="J626" s="1188">
        <f>J616+J619+J625</f>
        <v>8079</v>
      </c>
      <c r="K626" s="1188">
        <f>K616+K619+K625</f>
        <v>52900</v>
      </c>
      <c r="L626" s="1188">
        <f>L616+L619+L625</f>
        <v>60979</v>
      </c>
      <c r="M626" s="1668"/>
      <c r="N626" s="1669"/>
      <c r="O626" s="274"/>
      <c r="P626" s="274"/>
      <c r="Q626" s="274"/>
      <c r="R626" s="274"/>
      <c r="S626" s="274"/>
      <c r="T626" s="274"/>
      <c r="U626" s="274"/>
    </row>
    <row r="627" spans="1:21">
      <c r="A627" s="680"/>
      <c r="B627" s="3"/>
      <c r="C627" s="3"/>
      <c r="D627" s="3"/>
      <c r="E627" s="3"/>
      <c r="F627" s="452"/>
      <c r="G627" s="452"/>
      <c r="H627" s="452"/>
      <c r="I627" s="3"/>
      <c r="J627" s="3"/>
      <c r="K627" s="3"/>
      <c r="L627" s="3"/>
      <c r="M627" s="3"/>
      <c r="N627" s="680"/>
    </row>
    <row r="628" spans="1:21" ht="14" thickBot="1">
      <c r="A628" s="737"/>
      <c r="B628" s="3"/>
      <c r="C628" s="3"/>
      <c r="D628" s="3"/>
      <c r="E628" s="3"/>
      <c r="F628" s="452"/>
      <c r="G628" s="452"/>
      <c r="H628" s="452"/>
      <c r="I628" s="3"/>
      <c r="J628" s="3"/>
      <c r="K628" s="3"/>
      <c r="L628" s="3"/>
      <c r="M628" s="3"/>
      <c r="N628" s="737"/>
    </row>
    <row r="629" spans="1:21" ht="24" thickBot="1">
      <c r="A629" s="88" t="s">
        <v>137</v>
      </c>
      <c r="B629" s="16"/>
      <c r="C629" s="12"/>
      <c r="D629" s="11"/>
      <c r="E629" s="12"/>
      <c r="F629" s="427"/>
      <c r="G629" s="429"/>
      <c r="H629" s="429"/>
      <c r="I629" s="15"/>
      <c r="J629" s="15"/>
      <c r="K629" s="15"/>
      <c r="L629" s="15"/>
      <c r="M629" s="16"/>
      <c r="N629" s="17"/>
    </row>
    <row r="630" spans="1:21" s="1161" customFormat="1" ht="17" thickBot="1">
      <c r="A630" s="108" t="s">
        <v>61</v>
      </c>
      <c r="B630" s="1457"/>
      <c r="C630" s="1586"/>
      <c r="D630" s="1567"/>
      <c r="E630" s="1586"/>
      <c r="F630" s="1587"/>
      <c r="G630" s="1588"/>
      <c r="H630" s="1145"/>
      <c r="I630" s="109"/>
      <c r="J630" s="109"/>
      <c r="K630" s="109"/>
      <c r="L630" s="1141"/>
      <c r="M630" s="1617"/>
      <c r="N630" s="1486"/>
      <c r="O630" s="274"/>
      <c r="P630" s="274"/>
      <c r="Q630" s="274"/>
      <c r="R630" s="274"/>
      <c r="S630" s="274"/>
      <c r="T630" s="274"/>
      <c r="U630" s="274"/>
    </row>
    <row r="631" spans="1:21">
      <c r="A631" s="32" t="s">
        <v>62</v>
      </c>
      <c r="B631" s="1696">
        <v>370</v>
      </c>
      <c r="C631" s="1743"/>
      <c r="D631" s="1431">
        <f>F631*325851</f>
        <v>4183600.9890000001</v>
      </c>
      <c r="E631" s="1422"/>
      <c r="F631" s="1756">
        <f>0.0347*B631</f>
        <v>12.839</v>
      </c>
      <c r="G631" s="1757"/>
      <c r="H631" s="941">
        <f>F631*20</f>
        <v>256.78000000000003</v>
      </c>
      <c r="I631" s="131">
        <v>0</v>
      </c>
      <c r="J631" s="131">
        <v>740</v>
      </c>
      <c r="K631" s="131">
        <v>22200</v>
      </c>
      <c r="L631" s="131">
        <f>I631+J631+K631</f>
        <v>22940</v>
      </c>
      <c r="M631" s="1758">
        <v>4.7</v>
      </c>
      <c r="N631" s="1759"/>
    </row>
    <row r="632" spans="1:21">
      <c r="A632" s="32" t="s">
        <v>63</v>
      </c>
      <c r="B632" s="1696">
        <v>33</v>
      </c>
      <c r="C632" s="1743"/>
      <c r="D632" s="1431">
        <f>F632*325851</f>
        <v>373131.98009999999</v>
      </c>
      <c r="E632" s="1422"/>
      <c r="F632" s="1756">
        <f>0.0347*B632</f>
        <v>1.1451</v>
      </c>
      <c r="G632" s="1757"/>
      <c r="H632" s="941">
        <f>F632*20</f>
        <v>22.902000000000001</v>
      </c>
      <c r="I632" s="131">
        <v>0</v>
      </c>
      <c r="J632" s="131">
        <v>363</v>
      </c>
      <c r="K632" s="131">
        <v>1980</v>
      </c>
      <c r="L632" s="131">
        <f>I632+J632+K632</f>
        <v>2343</v>
      </c>
      <c r="M632" s="1758">
        <v>5.6</v>
      </c>
      <c r="N632" s="1759"/>
    </row>
    <row r="633" spans="1:21">
      <c r="A633" s="32" t="s">
        <v>64</v>
      </c>
      <c r="B633" s="1696">
        <v>14</v>
      </c>
      <c r="C633" s="1743"/>
      <c r="D633" s="1431">
        <f>F633*325851</f>
        <v>158298.41580000002</v>
      </c>
      <c r="E633" s="1422"/>
      <c r="F633" s="1756">
        <f>0.0347*B633</f>
        <v>0.48580000000000001</v>
      </c>
      <c r="G633" s="1757"/>
      <c r="H633" s="941">
        <f>F633*20</f>
        <v>9.7160000000000011</v>
      </c>
      <c r="I633" s="131">
        <v>0</v>
      </c>
      <c r="J633" s="131">
        <v>14</v>
      </c>
      <c r="K633" s="131">
        <v>840</v>
      </c>
      <c r="L633" s="131">
        <f>I633+J633+K633</f>
        <v>854</v>
      </c>
      <c r="M633" s="1758">
        <v>5.0999999999999996</v>
      </c>
      <c r="N633" s="1759"/>
    </row>
    <row r="634" spans="1:21">
      <c r="A634" s="34" t="s">
        <v>13</v>
      </c>
      <c r="B634" s="1696">
        <v>127</v>
      </c>
      <c r="C634" s="1743"/>
      <c r="D634" s="1431">
        <f>F634*325851</f>
        <v>1142172.9251999999</v>
      </c>
      <c r="E634" s="1422"/>
      <c r="F634" s="1756">
        <f>0.0276*B634</f>
        <v>3.5051999999999999</v>
      </c>
      <c r="G634" s="1757"/>
      <c r="H634" s="941">
        <f>F634*15</f>
        <v>52.577999999999996</v>
      </c>
      <c r="I634" s="131">
        <v>0</v>
      </c>
      <c r="J634" s="131">
        <v>127</v>
      </c>
      <c r="K634" s="131">
        <v>13970</v>
      </c>
      <c r="L634" s="131">
        <f>I634+J634+K634</f>
        <v>14097</v>
      </c>
      <c r="M634" s="1758">
        <v>5.8</v>
      </c>
      <c r="N634" s="1759"/>
    </row>
    <row r="635" spans="1:21" ht="14" thickBot="1">
      <c r="A635" s="34" t="s">
        <v>14</v>
      </c>
      <c r="B635" s="1696">
        <v>25</v>
      </c>
      <c r="C635" s="1743"/>
      <c r="D635" s="1444">
        <v>1246986</v>
      </c>
      <c r="E635" s="1422"/>
      <c r="F635" s="1756">
        <v>3.83</v>
      </c>
      <c r="G635" s="1757"/>
      <c r="H635" s="941">
        <f>F635*5</f>
        <v>19.149999999999999</v>
      </c>
      <c r="I635" s="131">
        <v>0</v>
      </c>
      <c r="J635" s="131">
        <v>1325</v>
      </c>
      <c r="K635" s="131">
        <v>0</v>
      </c>
      <c r="L635" s="131">
        <f>I635+J635+K635</f>
        <v>1325</v>
      </c>
      <c r="M635" s="1758">
        <v>2.4</v>
      </c>
      <c r="N635" s="1759"/>
    </row>
    <row r="636" spans="1:21" s="533" customFormat="1" ht="14" thickBot="1">
      <c r="A636" s="53" t="s">
        <v>60</v>
      </c>
      <c r="B636" s="1440">
        <f>SUM(B631:C635)</f>
        <v>569</v>
      </c>
      <c r="C636" s="1609"/>
      <c r="D636" s="1441">
        <f>SUM(D631:E635)</f>
        <v>7104190.3101000004</v>
      </c>
      <c r="E636" s="1609"/>
      <c r="F636" s="1512">
        <f>SUM(F631:G635)</f>
        <v>21.805099999999996</v>
      </c>
      <c r="G636" s="1575"/>
      <c r="H636" s="612">
        <f>SUM(H631:H635)</f>
        <v>361.12599999999998</v>
      </c>
      <c r="I636" s="136">
        <f>SUM(I631:I635)</f>
        <v>0</v>
      </c>
      <c r="J636" s="136">
        <f>SUM(J631:J635)</f>
        <v>2569</v>
      </c>
      <c r="K636" s="136">
        <f>SUM(K631:K635)</f>
        <v>38990</v>
      </c>
      <c r="L636" s="136">
        <f>SUM(L631:L635)</f>
        <v>41559</v>
      </c>
      <c r="M636" s="1657"/>
      <c r="N636" s="1622"/>
      <c r="O636" s="534"/>
      <c r="P636" s="534"/>
      <c r="Q636" s="534"/>
      <c r="R636" s="534"/>
      <c r="S636" s="534"/>
      <c r="T636" s="534"/>
      <c r="U636" s="534"/>
    </row>
    <row r="637" spans="1:21" s="1161" customFormat="1" ht="17" thickBot="1">
      <c r="A637" s="1246" t="s">
        <v>147</v>
      </c>
      <c r="B637" s="1457"/>
      <c r="C637" s="1586"/>
      <c r="D637" s="1567"/>
      <c r="E637" s="1586"/>
      <c r="F637" s="1484"/>
      <c r="G637" s="1588"/>
      <c r="H637" s="1145"/>
      <c r="I637" s="161"/>
      <c r="J637" s="161"/>
      <c r="K637" s="161"/>
      <c r="L637" s="162"/>
      <c r="M637" s="1617"/>
      <c r="N637" s="1486"/>
      <c r="O637" s="274"/>
      <c r="P637" s="274"/>
      <c r="Q637" s="274"/>
      <c r="R637" s="274"/>
      <c r="S637" s="274"/>
      <c r="T637" s="274"/>
      <c r="U637" s="274"/>
    </row>
    <row r="638" spans="1:21" ht="14" thickBot="1">
      <c r="A638" s="34" t="s">
        <v>11</v>
      </c>
      <c r="B638" s="1696">
        <v>158</v>
      </c>
      <c r="C638" s="1743"/>
      <c r="D638" s="1431">
        <f>F638*325851</f>
        <v>1786510.6926000002</v>
      </c>
      <c r="E638" s="1422"/>
      <c r="F638" s="1760">
        <f>0.0347*B638</f>
        <v>5.4826000000000006</v>
      </c>
      <c r="G638" s="1757"/>
      <c r="H638" s="941">
        <f>F638*20</f>
        <v>109.65200000000002</v>
      </c>
      <c r="I638" s="131">
        <v>0</v>
      </c>
      <c r="J638" s="131">
        <v>5372</v>
      </c>
      <c r="K638" s="131">
        <v>9480</v>
      </c>
      <c r="L638" s="131">
        <f>I638+J638+K638</f>
        <v>14852</v>
      </c>
      <c r="M638" s="1758">
        <v>4.2</v>
      </c>
      <c r="N638" s="1759"/>
    </row>
    <row r="639" spans="1:21" s="533" customFormat="1" ht="14" thickBot="1">
      <c r="A639" s="53" t="s">
        <v>60</v>
      </c>
      <c r="B639" s="1440">
        <f>SUM(B638)</f>
        <v>158</v>
      </c>
      <c r="C639" s="1609"/>
      <c r="D639" s="1441">
        <f>SUM(D638)</f>
        <v>1786510.6926000002</v>
      </c>
      <c r="E639" s="1609"/>
      <c r="F639" s="1512">
        <f>SUM(F638)</f>
        <v>5.4826000000000006</v>
      </c>
      <c r="G639" s="1575"/>
      <c r="H639" s="612">
        <f>SUM(H638)</f>
        <v>109.65200000000002</v>
      </c>
      <c r="I639" s="136">
        <f>SUM(I638)</f>
        <v>0</v>
      </c>
      <c r="J639" s="136">
        <f>SUM(J638)</f>
        <v>5372</v>
      </c>
      <c r="K639" s="136">
        <f>SUM(K638)</f>
        <v>9480</v>
      </c>
      <c r="L639" s="136">
        <f>SUM(L638)</f>
        <v>14852</v>
      </c>
      <c r="M639" s="1657"/>
      <c r="N639" s="1622"/>
      <c r="O639" s="534"/>
      <c r="P639" s="534"/>
      <c r="Q639" s="534"/>
      <c r="R639" s="534"/>
      <c r="S639" s="534"/>
      <c r="T639" s="534"/>
      <c r="U639" s="534"/>
    </row>
    <row r="640" spans="1:21" s="1161" customFormat="1" ht="17" thickBot="1">
      <c r="A640" s="108" t="s">
        <v>50</v>
      </c>
      <c r="B640" s="1457"/>
      <c r="C640" s="1586"/>
      <c r="D640" s="1567"/>
      <c r="E640" s="1586"/>
      <c r="F640" s="1484"/>
      <c r="G640" s="1588"/>
      <c r="H640" s="1145"/>
      <c r="I640" s="161"/>
      <c r="J640" s="161"/>
      <c r="K640" s="161"/>
      <c r="L640" s="162"/>
      <c r="M640" s="1617"/>
      <c r="N640" s="1486"/>
      <c r="O640" s="274"/>
      <c r="P640" s="274"/>
      <c r="Q640" s="274"/>
      <c r="R640" s="274"/>
      <c r="S640" s="274"/>
      <c r="T640" s="274"/>
      <c r="U640" s="274"/>
    </row>
    <row r="641" spans="1:21">
      <c r="A641" s="34" t="s">
        <v>13</v>
      </c>
      <c r="B641" s="1419">
        <v>42</v>
      </c>
      <c r="C641" s="1786"/>
      <c r="D641" s="1431">
        <f>F641*325851</f>
        <v>377726.4792</v>
      </c>
      <c r="E641" s="1422"/>
      <c r="F641" s="1760">
        <f>0.0276*B641</f>
        <v>1.1592</v>
      </c>
      <c r="G641" s="1757"/>
      <c r="H641" s="941">
        <f>F641*15</f>
        <v>17.388000000000002</v>
      </c>
      <c r="I641" s="175">
        <v>0</v>
      </c>
      <c r="J641" s="175">
        <v>0</v>
      </c>
      <c r="K641" s="175">
        <v>10500</v>
      </c>
      <c r="L641" s="131">
        <f>I641+J641+K641</f>
        <v>10500</v>
      </c>
      <c r="M641" s="1758">
        <v>5</v>
      </c>
      <c r="N641" s="1759"/>
    </row>
    <row r="642" spans="1:21">
      <c r="A642" s="34" t="s">
        <v>15</v>
      </c>
      <c r="B642" s="1419">
        <v>9</v>
      </c>
      <c r="C642" s="1786"/>
      <c r="D642" s="1431">
        <f>F642*325851</f>
        <v>449869.89060000004</v>
      </c>
      <c r="E642" s="1422"/>
      <c r="F642" s="1760">
        <f>0.1534*B642</f>
        <v>1.3806</v>
      </c>
      <c r="G642" s="1757"/>
      <c r="H642" s="941">
        <f>F642*5</f>
        <v>6.9030000000000005</v>
      </c>
      <c r="I642" s="131">
        <v>0</v>
      </c>
      <c r="J642" s="175">
        <v>900</v>
      </c>
      <c r="K642" s="175">
        <v>900</v>
      </c>
      <c r="L642" s="131">
        <f>I642+J642+K642</f>
        <v>1800</v>
      </c>
      <c r="M642" s="1758">
        <v>3.1</v>
      </c>
      <c r="N642" s="1759"/>
    </row>
    <row r="643" spans="1:21">
      <c r="A643" s="35" t="s">
        <v>16</v>
      </c>
      <c r="B643" s="1419">
        <v>65</v>
      </c>
      <c r="C643" s="1786"/>
      <c r="D643" s="1431">
        <f>F643*325851</f>
        <v>84721.260000000009</v>
      </c>
      <c r="E643" s="1422"/>
      <c r="F643" s="1760">
        <f>0.004*B643</f>
        <v>0.26</v>
      </c>
      <c r="G643" s="1757"/>
      <c r="H643" s="941">
        <f>F643*5</f>
        <v>1.3</v>
      </c>
      <c r="I643" s="175">
        <v>0</v>
      </c>
      <c r="J643" s="175">
        <v>0</v>
      </c>
      <c r="K643" s="175">
        <v>3250</v>
      </c>
      <c r="L643" s="131">
        <f>I643+J643+K643</f>
        <v>3250</v>
      </c>
      <c r="M643" s="1758">
        <v>0.6</v>
      </c>
      <c r="N643" s="1759"/>
    </row>
    <row r="644" spans="1:21">
      <c r="A644" s="35" t="s">
        <v>12</v>
      </c>
      <c r="B644" s="1419">
        <v>4</v>
      </c>
      <c r="C644" s="1786"/>
      <c r="D644" s="1431">
        <f>F644*325851</f>
        <v>4170892.8000000003</v>
      </c>
      <c r="E644" s="1422"/>
      <c r="F644" s="1760">
        <f>3.2*B644</f>
        <v>12.8</v>
      </c>
      <c r="G644" s="1757"/>
      <c r="H644" s="941">
        <f>F644*5</f>
        <v>64</v>
      </c>
      <c r="I644" s="131">
        <v>0</v>
      </c>
      <c r="J644" s="175">
        <v>0</v>
      </c>
      <c r="K644" s="175">
        <v>8000</v>
      </c>
      <c r="L644" s="131">
        <f>I644+J644+K644</f>
        <v>8000</v>
      </c>
      <c r="M644" s="1758">
        <v>1.5</v>
      </c>
      <c r="N644" s="1759"/>
    </row>
    <row r="645" spans="1:21" ht="14" thickBot="1">
      <c r="A645" s="34" t="s">
        <v>21</v>
      </c>
      <c r="B645" s="1761" t="s">
        <v>22</v>
      </c>
      <c r="C645" s="1745"/>
      <c r="D645" s="1787" t="s">
        <v>22</v>
      </c>
      <c r="E645" s="1422"/>
      <c r="F645" s="1766" t="s">
        <v>22</v>
      </c>
      <c r="G645" s="1763"/>
      <c r="H645" s="941" t="s">
        <v>22</v>
      </c>
      <c r="I645" s="131" t="s">
        <v>22</v>
      </c>
      <c r="J645" s="131" t="s">
        <v>22</v>
      </c>
      <c r="K645" s="131" t="s">
        <v>22</v>
      </c>
      <c r="L645" s="131" t="s">
        <v>22</v>
      </c>
      <c r="M645" s="1788" t="s">
        <v>22</v>
      </c>
      <c r="N645" s="1789"/>
    </row>
    <row r="646" spans="1:21" s="533" customFormat="1" ht="14" thickBot="1">
      <c r="A646" s="53" t="s">
        <v>60</v>
      </c>
      <c r="B646" s="1440">
        <f>SUM(B641:C645)</f>
        <v>120</v>
      </c>
      <c r="C646" s="1609"/>
      <c r="D646" s="1441">
        <f>SUM(D641:E645)</f>
        <v>5083210.4298</v>
      </c>
      <c r="E646" s="1609"/>
      <c r="F646" s="1512">
        <f>SUM(F641:G645)</f>
        <v>15.599800000000002</v>
      </c>
      <c r="G646" s="1575"/>
      <c r="H646" s="471">
        <f>SUM(H641:H645)</f>
        <v>89.591000000000008</v>
      </c>
      <c r="I646" s="136">
        <f>SUM(I641:I645)</f>
        <v>0</v>
      </c>
      <c r="J646" s="136">
        <f>SUM(J641:J645)</f>
        <v>900</v>
      </c>
      <c r="K646" s="136">
        <f>SUM(K641:K645)</f>
        <v>22650</v>
      </c>
      <c r="L646" s="136">
        <f>SUM(L641:L645)</f>
        <v>23550</v>
      </c>
      <c r="M646" s="1657"/>
      <c r="N646" s="1622"/>
      <c r="O646" s="534"/>
      <c r="P646" s="534"/>
      <c r="Q646" s="534"/>
      <c r="R646" s="534"/>
      <c r="S646" s="534"/>
      <c r="T646" s="534"/>
      <c r="U646" s="534"/>
    </row>
    <row r="647" spans="1:21" s="1161" customFormat="1" ht="17" thickBot="1">
      <c r="A647" s="1186" t="s">
        <v>17</v>
      </c>
      <c r="B647" s="1663">
        <f>B636+B639+B646</f>
        <v>847</v>
      </c>
      <c r="C647" s="1664"/>
      <c r="D647" s="1665">
        <f>SUM(D646,D639,D636)</f>
        <v>13973911.432500001</v>
      </c>
      <c r="E647" s="1664"/>
      <c r="F647" s="1487">
        <f>SUM(F646,F639,F636)</f>
        <v>42.887500000000003</v>
      </c>
      <c r="G647" s="1488"/>
      <c r="H647" s="1259">
        <f>SUM(H636,H639,H646)</f>
        <v>560.36900000000003</v>
      </c>
      <c r="I647" s="1188">
        <f>I636+I639+I646</f>
        <v>0</v>
      </c>
      <c r="J647" s="1188">
        <f>J636+J639+J646</f>
        <v>8841</v>
      </c>
      <c r="K647" s="1188">
        <f>K636+K639+K646</f>
        <v>71120</v>
      </c>
      <c r="L647" s="1188">
        <f>L636+L639+L646</f>
        <v>79961</v>
      </c>
      <c r="M647" s="1668"/>
      <c r="N647" s="1669"/>
      <c r="O647" s="274"/>
      <c r="P647" s="274"/>
      <c r="Q647" s="274"/>
      <c r="R647" s="274"/>
      <c r="S647" s="274"/>
      <c r="T647" s="274"/>
      <c r="U647" s="274"/>
    </row>
    <row r="648" spans="1:21">
      <c r="A648" s="680"/>
    </row>
    <row r="649" spans="1:21" ht="15">
      <c r="A649" s="9" t="s">
        <v>18</v>
      </c>
      <c r="B649" s="1695" t="s">
        <v>59</v>
      </c>
      <c r="C649" s="1566"/>
      <c r="D649" s="1566"/>
      <c r="E649" s="1821"/>
    </row>
    <row r="650" spans="1:21">
      <c r="B650" s="1420" t="s">
        <v>19</v>
      </c>
      <c r="C650" s="1420"/>
      <c r="D650" s="1420"/>
      <c r="E650" s="1420"/>
    </row>
  </sheetData>
  <mergeCells count="2295">
    <mergeCell ref="B76:C76"/>
    <mergeCell ref="D76:E76"/>
    <mergeCell ref="F76:G76"/>
    <mergeCell ref="M76:N76"/>
    <mergeCell ref="B78:E78"/>
    <mergeCell ref="B79:E79"/>
    <mergeCell ref="B71:C71"/>
    <mergeCell ref="D71:E71"/>
    <mergeCell ref="F71:G71"/>
    <mergeCell ref="M71:N71"/>
    <mergeCell ref="B72:C72"/>
    <mergeCell ref="D72:E72"/>
    <mergeCell ref="F72:G72"/>
    <mergeCell ref="M72:N72"/>
    <mergeCell ref="B73:C73"/>
    <mergeCell ref="D73:E73"/>
    <mergeCell ref="F73:G73"/>
    <mergeCell ref="B74:C74"/>
    <mergeCell ref="D74:E74"/>
    <mergeCell ref="F74:G74"/>
    <mergeCell ref="M74:N74"/>
    <mergeCell ref="B75:C75"/>
    <mergeCell ref="D75:E75"/>
    <mergeCell ref="F75:G75"/>
    <mergeCell ref="M75:N75"/>
    <mergeCell ref="B66:C66"/>
    <mergeCell ref="D66:E66"/>
    <mergeCell ref="F66:G66"/>
    <mergeCell ref="M66:N66"/>
    <mergeCell ref="B67:C67"/>
    <mergeCell ref="D67:E67"/>
    <mergeCell ref="F67:G67"/>
    <mergeCell ref="M67:N67"/>
    <mergeCell ref="B68:C68"/>
    <mergeCell ref="D68:E68"/>
    <mergeCell ref="F68:G68"/>
    <mergeCell ref="M68:N68"/>
    <mergeCell ref="B69:C69"/>
    <mergeCell ref="D69:E69"/>
    <mergeCell ref="F69:G69"/>
    <mergeCell ref="M69:N69"/>
    <mergeCell ref="B70:C70"/>
    <mergeCell ref="D70:E70"/>
    <mergeCell ref="F70:G70"/>
    <mergeCell ref="M70:N70"/>
    <mergeCell ref="B61:C61"/>
    <mergeCell ref="D61:E61"/>
    <mergeCell ref="F61:G61"/>
    <mergeCell ref="M61:N61"/>
    <mergeCell ref="B62:C62"/>
    <mergeCell ref="D62:E62"/>
    <mergeCell ref="F62:G62"/>
    <mergeCell ref="M62:N62"/>
    <mergeCell ref="B63:C63"/>
    <mergeCell ref="D63:E63"/>
    <mergeCell ref="F63:G63"/>
    <mergeCell ref="M63:N63"/>
    <mergeCell ref="B64:C64"/>
    <mergeCell ref="D64:E64"/>
    <mergeCell ref="F64:G64"/>
    <mergeCell ref="M64:N64"/>
    <mergeCell ref="B65:C65"/>
    <mergeCell ref="D65:E65"/>
    <mergeCell ref="F65:G65"/>
    <mergeCell ref="M65:N65"/>
    <mergeCell ref="B56:C56"/>
    <mergeCell ref="D56:E56"/>
    <mergeCell ref="F56:G56"/>
    <mergeCell ref="M56:N56"/>
    <mergeCell ref="B57:C57"/>
    <mergeCell ref="D57:E57"/>
    <mergeCell ref="F57:G57"/>
    <mergeCell ref="M57:N57"/>
    <mergeCell ref="B58:C58"/>
    <mergeCell ref="D58:E58"/>
    <mergeCell ref="F58:G58"/>
    <mergeCell ref="M58:N58"/>
    <mergeCell ref="B59:C59"/>
    <mergeCell ref="D59:E59"/>
    <mergeCell ref="F59:G59"/>
    <mergeCell ref="M59:N59"/>
    <mergeCell ref="B60:C60"/>
    <mergeCell ref="D60:E60"/>
    <mergeCell ref="F60:G60"/>
    <mergeCell ref="B51:C51"/>
    <mergeCell ref="D51:E51"/>
    <mergeCell ref="F51:G51"/>
    <mergeCell ref="M51:N51"/>
    <mergeCell ref="B52:C52"/>
    <mergeCell ref="D52:E52"/>
    <mergeCell ref="F52:G52"/>
    <mergeCell ref="M52:N52"/>
    <mergeCell ref="B53:C53"/>
    <mergeCell ref="D53:E53"/>
    <mergeCell ref="F53:G53"/>
    <mergeCell ref="M53:N53"/>
    <mergeCell ref="B54:C54"/>
    <mergeCell ref="D54:E54"/>
    <mergeCell ref="F54:G54"/>
    <mergeCell ref="B55:C55"/>
    <mergeCell ref="D55:E55"/>
    <mergeCell ref="F55:G55"/>
    <mergeCell ref="M55:N55"/>
    <mergeCell ref="B46:C46"/>
    <mergeCell ref="D46:E46"/>
    <mergeCell ref="F46:G46"/>
    <mergeCell ref="M46:N46"/>
    <mergeCell ref="B47:C47"/>
    <mergeCell ref="D47:E47"/>
    <mergeCell ref="F47:G47"/>
    <mergeCell ref="M47:N47"/>
    <mergeCell ref="B48:C48"/>
    <mergeCell ref="D48:E48"/>
    <mergeCell ref="F48:G48"/>
    <mergeCell ref="M48:N48"/>
    <mergeCell ref="B49:C49"/>
    <mergeCell ref="D49:E49"/>
    <mergeCell ref="F49:G49"/>
    <mergeCell ref="M49:N49"/>
    <mergeCell ref="B50:C50"/>
    <mergeCell ref="D50:E50"/>
    <mergeCell ref="F50:G50"/>
    <mergeCell ref="M50:N50"/>
    <mergeCell ref="I41:L41"/>
    <mergeCell ref="B42:C42"/>
    <mergeCell ref="D42:E42"/>
    <mergeCell ref="F42:G42"/>
    <mergeCell ref="M42:N42"/>
    <mergeCell ref="B43:C43"/>
    <mergeCell ref="D43:E43"/>
    <mergeCell ref="F43:G43"/>
    <mergeCell ref="M43:N43"/>
    <mergeCell ref="B44:C44"/>
    <mergeCell ref="D44:E44"/>
    <mergeCell ref="F44:G44"/>
    <mergeCell ref="M44:N44"/>
    <mergeCell ref="B45:C45"/>
    <mergeCell ref="D45:E45"/>
    <mergeCell ref="F45:G45"/>
    <mergeCell ref="M45:N45"/>
    <mergeCell ref="D325:E325"/>
    <mergeCell ref="F325:G325"/>
    <mergeCell ref="M325:N325"/>
    <mergeCell ref="B326:C326"/>
    <mergeCell ref="D326:E326"/>
    <mergeCell ref="F326:G326"/>
    <mergeCell ref="M326:N326"/>
    <mergeCell ref="B324:C324"/>
    <mergeCell ref="D324:E324"/>
    <mergeCell ref="F324:G324"/>
    <mergeCell ref="M324:N324"/>
    <mergeCell ref="B321:C321"/>
    <mergeCell ref="B323:C323"/>
    <mergeCell ref="D323:E323"/>
    <mergeCell ref="F323:G323"/>
    <mergeCell ref="M323:N323"/>
    <mergeCell ref="B316:C316"/>
    <mergeCell ref="D316:E316"/>
    <mergeCell ref="F316:G316"/>
    <mergeCell ref="M316:N316"/>
    <mergeCell ref="B317:C317"/>
    <mergeCell ref="D317:E317"/>
    <mergeCell ref="F317:G317"/>
    <mergeCell ref="M317:N317"/>
    <mergeCell ref="B137:C137"/>
    <mergeCell ref="D137:E137"/>
    <mergeCell ref="F137:G137"/>
    <mergeCell ref="M137:N137"/>
    <mergeCell ref="B555:E555"/>
    <mergeCell ref="B177:C177"/>
    <mergeCell ref="D177:E177"/>
    <mergeCell ref="F177:G177"/>
    <mergeCell ref="M177:N177"/>
    <mergeCell ref="B328:E328"/>
    <mergeCell ref="B329:E329"/>
    <mergeCell ref="B319:C319"/>
    <mergeCell ref="D319:E319"/>
    <mergeCell ref="F319:G319"/>
    <mergeCell ref="M319:N319"/>
    <mergeCell ref="B320:C320"/>
    <mergeCell ref="D320:E320"/>
    <mergeCell ref="F320:G320"/>
    <mergeCell ref="M320:N320"/>
    <mergeCell ref="B325:C325"/>
    <mergeCell ref="B314:C314"/>
    <mergeCell ref="D314:E314"/>
    <mergeCell ref="F314:G314"/>
    <mergeCell ref="M314:N314"/>
    <mergeCell ref="B315:C315"/>
    <mergeCell ref="D315:E315"/>
    <mergeCell ref="F315:G315"/>
    <mergeCell ref="M315:N315"/>
    <mergeCell ref="B322:C322"/>
    <mergeCell ref="D322:E322"/>
    <mergeCell ref="F322:G322"/>
    <mergeCell ref="M322:N322"/>
    <mergeCell ref="B312:C312"/>
    <mergeCell ref="D312:E312"/>
    <mergeCell ref="F312:G312"/>
    <mergeCell ref="M312:N312"/>
    <mergeCell ref="B313:C313"/>
    <mergeCell ref="D313:E313"/>
    <mergeCell ref="F313:G313"/>
    <mergeCell ref="M313:N313"/>
    <mergeCell ref="D321:E321"/>
    <mergeCell ref="F321:G321"/>
    <mergeCell ref="M321:N321"/>
    <mergeCell ref="B318:C318"/>
    <mergeCell ref="D318:E318"/>
    <mergeCell ref="F318:G318"/>
    <mergeCell ref="M318:N318"/>
    <mergeCell ref="B310:C310"/>
    <mergeCell ref="D310:E310"/>
    <mergeCell ref="F310:G310"/>
    <mergeCell ref="M310:N310"/>
    <mergeCell ref="B311:C311"/>
    <mergeCell ref="D311:E311"/>
    <mergeCell ref="F311:G311"/>
    <mergeCell ref="M311:N311"/>
    <mergeCell ref="B308:C308"/>
    <mergeCell ref="D308:E308"/>
    <mergeCell ref="F308:G308"/>
    <mergeCell ref="M308:N308"/>
    <mergeCell ref="B309:C309"/>
    <mergeCell ref="D309:E309"/>
    <mergeCell ref="F309:G309"/>
    <mergeCell ref="M309:N309"/>
    <mergeCell ref="M306:N306"/>
    <mergeCell ref="B307:C307"/>
    <mergeCell ref="D307:E307"/>
    <mergeCell ref="F307:G307"/>
    <mergeCell ref="M307:N307"/>
    <mergeCell ref="B304:C304"/>
    <mergeCell ref="D304:E304"/>
    <mergeCell ref="F304:G304"/>
    <mergeCell ref="M304:N304"/>
    <mergeCell ref="B305:C305"/>
    <mergeCell ref="D305:E305"/>
    <mergeCell ref="F305:G305"/>
    <mergeCell ref="M305:N305"/>
    <mergeCell ref="D302:E302"/>
    <mergeCell ref="F302:G302"/>
    <mergeCell ref="M302:N302"/>
    <mergeCell ref="I289:L289"/>
    <mergeCell ref="B290:C290"/>
    <mergeCell ref="D290:E290"/>
    <mergeCell ref="F290:G290"/>
    <mergeCell ref="M290:N290"/>
    <mergeCell ref="B291:C291"/>
    <mergeCell ref="D291:E291"/>
    <mergeCell ref="F291:G291"/>
    <mergeCell ref="M291:N291"/>
    <mergeCell ref="B298:C298"/>
    <mergeCell ref="D298:E298"/>
    <mergeCell ref="F298:G298"/>
    <mergeCell ref="M298:N298"/>
    <mergeCell ref="B300:C300"/>
    <mergeCell ref="D300:E300"/>
    <mergeCell ref="F300:G300"/>
    <mergeCell ref="M300:N300"/>
    <mergeCell ref="B296:C296"/>
    <mergeCell ref="D296:E296"/>
    <mergeCell ref="F296:G296"/>
    <mergeCell ref="D394:E394"/>
    <mergeCell ref="F394:G394"/>
    <mergeCell ref="M394:N394"/>
    <mergeCell ref="B391:C391"/>
    <mergeCell ref="D391:E391"/>
    <mergeCell ref="F391:G391"/>
    <mergeCell ref="M391:N391"/>
    <mergeCell ref="B392:C392"/>
    <mergeCell ref="D392:E392"/>
    <mergeCell ref="F392:G392"/>
    <mergeCell ref="M392:N392"/>
    <mergeCell ref="M387:N387"/>
    <mergeCell ref="B388:C388"/>
    <mergeCell ref="D388:E388"/>
    <mergeCell ref="F388:G388"/>
    <mergeCell ref="M388:N388"/>
    <mergeCell ref="B383:C383"/>
    <mergeCell ref="D383:E383"/>
    <mergeCell ref="F383:G383"/>
    <mergeCell ref="M383:N383"/>
    <mergeCell ref="B372:C372"/>
    <mergeCell ref="D372:E372"/>
    <mergeCell ref="F372:G372"/>
    <mergeCell ref="M372:N372"/>
    <mergeCell ref="F339:G339"/>
    <mergeCell ref="M339:N339"/>
    <mergeCell ref="B340:C340"/>
    <mergeCell ref="D340:E340"/>
    <mergeCell ref="F340:G340"/>
    <mergeCell ref="M340:N340"/>
    <mergeCell ref="B341:C341"/>
    <mergeCell ref="M296:N296"/>
    <mergeCell ref="B297:C297"/>
    <mergeCell ref="D297:E297"/>
    <mergeCell ref="F297:G297"/>
    <mergeCell ref="M297:N297"/>
    <mergeCell ref="B294:C294"/>
    <mergeCell ref="D294:E294"/>
    <mergeCell ref="F294:G294"/>
    <mergeCell ref="M294:N294"/>
    <mergeCell ref="B295:C295"/>
    <mergeCell ref="D295:E295"/>
    <mergeCell ref="F295:G295"/>
    <mergeCell ref="B301:C301"/>
    <mergeCell ref="D301:E301"/>
    <mergeCell ref="F301:G301"/>
    <mergeCell ref="M301:N301"/>
    <mergeCell ref="B303:C303"/>
    <mergeCell ref="D303:E303"/>
    <mergeCell ref="F303:G303"/>
    <mergeCell ref="M303:N303"/>
    <mergeCell ref="B302:C302"/>
    <mergeCell ref="F380:G380"/>
    <mergeCell ref="M381:N381"/>
    <mergeCell ref="B382:C382"/>
    <mergeCell ref="D382:E382"/>
    <mergeCell ref="F382:G382"/>
    <mergeCell ref="M382:N382"/>
    <mergeCell ref="B377:C377"/>
    <mergeCell ref="D377:E377"/>
    <mergeCell ref="F377:G377"/>
    <mergeCell ref="M377:N377"/>
    <mergeCell ref="B378:C378"/>
    <mergeCell ref="B292:C292"/>
    <mergeCell ref="D292:E292"/>
    <mergeCell ref="F292:G292"/>
    <mergeCell ref="M292:N292"/>
    <mergeCell ref="B293:C293"/>
    <mergeCell ref="D293:E293"/>
    <mergeCell ref="F293:G293"/>
    <mergeCell ref="M293:N293"/>
    <mergeCell ref="M295:N295"/>
    <mergeCell ref="B299:C299"/>
    <mergeCell ref="D299:E299"/>
    <mergeCell ref="F299:G299"/>
    <mergeCell ref="M299:N299"/>
    <mergeCell ref="B306:C306"/>
    <mergeCell ref="D306:E306"/>
    <mergeCell ref="F306:G306"/>
    <mergeCell ref="M373:N373"/>
    <mergeCell ref="B371:C371"/>
    <mergeCell ref="D371:E371"/>
    <mergeCell ref="F371:G371"/>
    <mergeCell ref="M371:N371"/>
    <mergeCell ref="M513:N513"/>
    <mergeCell ref="B512:C512"/>
    <mergeCell ref="D512:E512"/>
    <mergeCell ref="F512:G512"/>
    <mergeCell ref="M512:N512"/>
    <mergeCell ref="B510:C510"/>
    <mergeCell ref="B390:C390"/>
    <mergeCell ref="D390:E390"/>
    <mergeCell ref="F390:G390"/>
    <mergeCell ref="M390:N390"/>
    <mergeCell ref="M510:N510"/>
    <mergeCell ref="M491:N491"/>
    <mergeCell ref="M507:N507"/>
    <mergeCell ref="M504:N504"/>
    <mergeCell ref="M506:N506"/>
    <mergeCell ref="M511:N511"/>
    <mergeCell ref="F508:G508"/>
    <mergeCell ref="M508:N508"/>
    <mergeCell ref="F509:G509"/>
    <mergeCell ref="M489:N489"/>
    <mergeCell ref="B490:C490"/>
    <mergeCell ref="D490:E490"/>
    <mergeCell ref="F490:G490"/>
    <mergeCell ref="M490:N490"/>
    <mergeCell ref="M496:N496"/>
    <mergeCell ref="B499:C499"/>
    <mergeCell ref="D499:E499"/>
    <mergeCell ref="F499:G499"/>
    <mergeCell ref="M499:N499"/>
    <mergeCell ref="M509:N509"/>
    <mergeCell ref="I488:L488"/>
    <mergeCell ref="F500:G500"/>
    <mergeCell ref="B376:C376"/>
    <mergeCell ref="D376:E376"/>
    <mergeCell ref="F376:G376"/>
    <mergeCell ref="M376:N376"/>
    <mergeCell ref="B374:C374"/>
    <mergeCell ref="D374:E374"/>
    <mergeCell ref="F374:G374"/>
    <mergeCell ref="M374:N374"/>
    <mergeCell ref="B375:C375"/>
    <mergeCell ref="D375:E375"/>
    <mergeCell ref="F375:G375"/>
    <mergeCell ref="M375:N375"/>
    <mergeCell ref="M380:N380"/>
    <mergeCell ref="F378:G378"/>
    <mergeCell ref="D378:E378"/>
    <mergeCell ref="B389:C389"/>
    <mergeCell ref="D389:E389"/>
    <mergeCell ref="F389:G389"/>
    <mergeCell ref="M389:N389"/>
    <mergeCell ref="B387:C387"/>
    <mergeCell ref="D387:E387"/>
    <mergeCell ref="F387:G387"/>
    <mergeCell ref="F381:G381"/>
    <mergeCell ref="M378:N378"/>
    <mergeCell ref="B384:C384"/>
    <mergeCell ref="D384:E384"/>
    <mergeCell ref="F384:G384"/>
    <mergeCell ref="M384:N384"/>
    <mergeCell ref="B381:C381"/>
    <mergeCell ref="D381:E381"/>
    <mergeCell ref="B380:C380"/>
    <mergeCell ref="D380:E380"/>
    <mergeCell ref="D507:E507"/>
    <mergeCell ref="F507:G507"/>
    <mergeCell ref="B505:C505"/>
    <mergeCell ref="D505:E505"/>
    <mergeCell ref="F506:G506"/>
    <mergeCell ref="B506:C506"/>
    <mergeCell ref="D506:E506"/>
    <mergeCell ref="B508:C508"/>
    <mergeCell ref="D508:E508"/>
    <mergeCell ref="B385:C385"/>
    <mergeCell ref="D385:E385"/>
    <mergeCell ref="F385:G385"/>
    <mergeCell ref="M385:N385"/>
    <mergeCell ref="B386:C386"/>
    <mergeCell ref="D386:E386"/>
    <mergeCell ref="F386:G386"/>
    <mergeCell ref="M386:N386"/>
    <mergeCell ref="B397:C397"/>
    <mergeCell ref="D397:E397"/>
    <mergeCell ref="F397:G397"/>
    <mergeCell ref="M397:N397"/>
    <mergeCell ref="F393:G393"/>
    <mergeCell ref="M393:N393"/>
    <mergeCell ref="B399:E399"/>
    <mergeCell ref="B400:E400"/>
    <mergeCell ref="B396:C396"/>
    <mergeCell ref="D396:E396"/>
    <mergeCell ref="F396:G396"/>
    <mergeCell ref="M396:N396"/>
    <mergeCell ref="B393:C393"/>
    <mergeCell ref="D393:E393"/>
    <mergeCell ref="B394:C394"/>
    <mergeCell ref="F646:G646"/>
    <mergeCell ref="M646:N646"/>
    <mergeCell ref="B530:C530"/>
    <mergeCell ref="M554:N554"/>
    <mergeCell ref="B554:C554"/>
    <mergeCell ref="B626:C626"/>
    <mergeCell ref="D626:E626"/>
    <mergeCell ref="B580:C580"/>
    <mergeCell ref="M612:N612"/>
    <mergeCell ref="B620:C620"/>
    <mergeCell ref="D620:E620"/>
    <mergeCell ref="F620:G620"/>
    <mergeCell ref="M620:N620"/>
    <mergeCell ref="F586:G586"/>
    <mergeCell ref="D594:E594"/>
    <mergeCell ref="B593:C593"/>
    <mergeCell ref="B550:C550"/>
    <mergeCell ref="D550:E550"/>
    <mergeCell ref="D554:E554"/>
    <mergeCell ref="F554:G554"/>
    <mergeCell ref="B552:C552"/>
    <mergeCell ref="D552:E552"/>
    <mergeCell ref="F552:G552"/>
    <mergeCell ref="F550:G550"/>
    <mergeCell ref="F584:G584"/>
    <mergeCell ref="F597:G597"/>
    <mergeCell ref="M597:N597"/>
    <mergeCell ref="B596:C596"/>
    <mergeCell ref="D596:E596"/>
    <mergeCell ref="D582:E582"/>
    <mergeCell ref="F582:G582"/>
    <mergeCell ref="B558:E558"/>
    <mergeCell ref="D481:E481"/>
    <mergeCell ref="F481:G481"/>
    <mergeCell ref="D551:E551"/>
    <mergeCell ref="F551:G551"/>
    <mergeCell ref="M579:N579"/>
    <mergeCell ref="B570:C570"/>
    <mergeCell ref="B578:C578"/>
    <mergeCell ref="D578:E578"/>
    <mergeCell ref="F578:G578"/>
    <mergeCell ref="M580:N580"/>
    <mergeCell ref="B481:C481"/>
    <mergeCell ref="M481:N481"/>
    <mergeCell ref="B516:C516"/>
    <mergeCell ref="B517:C517"/>
    <mergeCell ref="D517:E517"/>
    <mergeCell ref="D514:E514"/>
    <mergeCell ref="F514:G514"/>
    <mergeCell ref="B515:C515"/>
    <mergeCell ref="D510:E510"/>
    <mergeCell ref="F510:G510"/>
    <mergeCell ref="F511:G511"/>
    <mergeCell ref="F560:G560"/>
    <mergeCell ref="D566:E566"/>
    <mergeCell ref="B567:C567"/>
    <mergeCell ref="M561:N561"/>
    <mergeCell ref="D562:E562"/>
    <mergeCell ref="B566:C566"/>
    <mergeCell ref="B564:C564"/>
    <mergeCell ref="B491:C491"/>
    <mergeCell ref="D491:E491"/>
    <mergeCell ref="F491:G491"/>
    <mergeCell ref="D564:E564"/>
    <mergeCell ref="F564:G564"/>
    <mergeCell ref="D580:E580"/>
    <mergeCell ref="F580:G580"/>
    <mergeCell ref="M640:N640"/>
    <mergeCell ref="B639:C639"/>
    <mergeCell ref="D639:E639"/>
    <mergeCell ref="F639:G639"/>
    <mergeCell ref="M639:N639"/>
    <mergeCell ref="D588:E588"/>
    <mergeCell ref="B594:C594"/>
    <mergeCell ref="B611:C611"/>
    <mergeCell ref="M615:N615"/>
    <mergeCell ref="B612:C612"/>
    <mergeCell ref="F626:G626"/>
    <mergeCell ref="M626:N626"/>
    <mergeCell ref="B615:C615"/>
    <mergeCell ref="D615:E615"/>
    <mergeCell ref="B601:C601"/>
    <mergeCell ref="D601:E601"/>
    <mergeCell ref="B592:C592"/>
    <mergeCell ref="D592:E592"/>
    <mergeCell ref="F592:G592"/>
    <mergeCell ref="M592:N592"/>
    <mergeCell ref="B588:C588"/>
    <mergeCell ref="B576:C576"/>
    <mergeCell ref="F574:G574"/>
    <mergeCell ref="D574:E574"/>
    <mergeCell ref="M570:N570"/>
    <mergeCell ref="B569:C569"/>
    <mergeCell ref="D569:E569"/>
    <mergeCell ref="B582:C582"/>
    <mergeCell ref="F565:G565"/>
    <mergeCell ref="M520:N520"/>
    <mergeCell ref="F519:G519"/>
    <mergeCell ref="M519:N519"/>
    <mergeCell ref="B518:C518"/>
    <mergeCell ref="F518:G518"/>
    <mergeCell ref="B514:C514"/>
    <mergeCell ref="D515:E515"/>
    <mergeCell ref="F515:G515"/>
    <mergeCell ref="M515:N515"/>
    <mergeCell ref="F569:G569"/>
    <mergeCell ref="M569:N569"/>
    <mergeCell ref="D571:E571"/>
    <mergeCell ref="F571:G571"/>
    <mergeCell ref="M571:N571"/>
    <mergeCell ref="D576:E576"/>
    <mergeCell ref="F576:G576"/>
    <mergeCell ref="D570:E570"/>
    <mergeCell ref="F570:G570"/>
    <mergeCell ref="M552:N552"/>
    <mergeCell ref="D567:E567"/>
    <mergeCell ref="F567:G567"/>
    <mergeCell ref="M567:N567"/>
    <mergeCell ref="F568:G568"/>
    <mergeCell ref="M568:N568"/>
    <mergeCell ref="B563:C563"/>
    <mergeCell ref="D563:E563"/>
    <mergeCell ref="F563:G563"/>
    <mergeCell ref="M563:N563"/>
    <mergeCell ref="M560:N560"/>
    <mergeCell ref="B562:C562"/>
    <mergeCell ref="B560:C560"/>
    <mergeCell ref="D560:E560"/>
    <mergeCell ref="B649:E649"/>
    <mergeCell ref="D553:E553"/>
    <mergeCell ref="F553:G553"/>
    <mergeCell ref="M553:N553"/>
    <mergeCell ref="B551:C551"/>
    <mergeCell ref="B509:C509"/>
    <mergeCell ref="D509:E509"/>
    <mergeCell ref="B533:C533"/>
    <mergeCell ref="D533:E533"/>
    <mergeCell ref="F533:G533"/>
    <mergeCell ref="M534:N534"/>
    <mergeCell ref="M535:N535"/>
    <mergeCell ref="M538:N538"/>
    <mergeCell ref="B536:C536"/>
    <mergeCell ref="D536:E536"/>
    <mergeCell ref="F536:G536"/>
    <mergeCell ref="M536:N536"/>
    <mergeCell ref="B539:C539"/>
    <mergeCell ref="B537:C537"/>
    <mergeCell ref="B538:C538"/>
    <mergeCell ref="D537:E537"/>
    <mergeCell ref="F541:G541"/>
    <mergeCell ref="M541:N541"/>
    <mergeCell ref="B542:C542"/>
    <mergeCell ref="M564:N564"/>
    <mergeCell ref="M514:N514"/>
    <mergeCell ref="F539:G539"/>
    <mergeCell ref="M539:N539"/>
    <mergeCell ref="B540:C540"/>
    <mergeCell ref="D540:E540"/>
    <mergeCell ref="F540:G540"/>
    <mergeCell ref="M540:N540"/>
    <mergeCell ref="B650:E650"/>
    <mergeCell ref="B556:E556"/>
    <mergeCell ref="B603:E603"/>
    <mergeCell ref="B604:E604"/>
    <mergeCell ref="B492:C492"/>
    <mergeCell ref="D492:E492"/>
    <mergeCell ref="B495:C495"/>
    <mergeCell ref="D495:E495"/>
    <mergeCell ref="B553:C553"/>
    <mergeCell ref="D535:E535"/>
    <mergeCell ref="F492:G492"/>
    <mergeCell ref="B493:C493"/>
    <mergeCell ref="D493:E493"/>
    <mergeCell ref="F493:G493"/>
    <mergeCell ref="B494:C494"/>
    <mergeCell ref="D494:E494"/>
    <mergeCell ref="F494:G494"/>
    <mergeCell ref="F495:G495"/>
    <mergeCell ref="B497:C497"/>
    <mergeCell ref="D497:E497"/>
    <mergeCell ref="F497:G497"/>
    <mergeCell ref="B498:C498"/>
    <mergeCell ref="B544:C544"/>
    <mergeCell ref="D544:E544"/>
    <mergeCell ref="B534:C534"/>
    <mergeCell ref="D534:E534"/>
    <mergeCell ref="F534:G534"/>
    <mergeCell ref="B535:C535"/>
    <mergeCell ref="F535:G535"/>
    <mergeCell ref="B546:C546"/>
    <mergeCell ref="D546:E546"/>
    <mergeCell ref="F537:G537"/>
    <mergeCell ref="M492:N492"/>
    <mergeCell ref="M493:N493"/>
    <mergeCell ref="M494:N494"/>
    <mergeCell ref="M495:N495"/>
    <mergeCell ref="M497:N497"/>
    <mergeCell ref="M532:N532"/>
    <mergeCell ref="M531:N531"/>
    <mergeCell ref="M502:N502"/>
    <mergeCell ref="M498:N498"/>
    <mergeCell ref="M505:N505"/>
    <mergeCell ref="F544:G544"/>
    <mergeCell ref="B501:C501"/>
    <mergeCell ref="M501:N501"/>
    <mergeCell ref="B500:C500"/>
    <mergeCell ref="D500:E500"/>
    <mergeCell ref="D501:E501"/>
    <mergeCell ref="M500:N500"/>
    <mergeCell ref="D498:E498"/>
    <mergeCell ref="F498:G498"/>
    <mergeCell ref="B520:C520"/>
    <mergeCell ref="D520:E520"/>
    <mergeCell ref="F520:G520"/>
    <mergeCell ref="B503:C503"/>
    <mergeCell ref="D503:E503"/>
    <mergeCell ref="F503:G503"/>
    <mergeCell ref="M503:N503"/>
    <mergeCell ref="B525:E525"/>
    <mergeCell ref="D519:E519"/>
    <mergeCell ref="B511:C511"/>
    <mergeCell ref="D511:E511"/>
    <mergeCell ref="B513:C513"/>
    <mergeCell ref="D513:E513"/>
    <mergeCell ref="M544:N544"/>
    <mergeCell ref="B548:C548"/>
    <mergeCell ref="D548:E548"/>
    <mergeCell ref="F548:G548"/>
    <mergeCell ref="M548:N548"/>
    <mergeCell ref="D547:E547"/>
    <mergeCell ref="F547:G547"/>
    <mergeCell ref="B489:C489"/>
    <mergeCell ref="D489:E489"/>
    <mergeCell ref="F489:G489"/>
    <mergeCell ref="B532:C532"/>
    <mergeCell ref="D532:E532"/>
    <mergeCell ref="F532:G532"/>
    <mergeCell ref="B531:C531"/>
    <mergeCell ref="D531:E531"/>
    <mergeCell ref="F531:G531"/>
    <mergeCell ref="B502:C502"/>
    <mergeCell ref="F543:G543"/>
    <mergeCell ref="B522:C522"/>
    <mergeCell ref="D522:E522"/>
    <mergeCell ref="F522:G522"/>
    <mergeCell ref="D518:E518"/>
    <mergeCell ref="M523:N523"/>
    <mergeCell ref="B521:C521"/>
    <mergeCell ref="D521:E521"/>
    <mergeCell ref="F521:G521"/>
    <mergeCell ref="M521:N521"/>
    <mergeCell ref="B496:C496"/>
    <mergeCell ref="D496:E496"/>
    <mergeCell ref="F496:G496"/>
    <mergeCell ref="B543:C543"/>
    <mergeCell ref="D543:E543"/>
    <mergeCell ref="D530:E530"/>
    <mergeCell ref="F530:G530"/>
    <mergeCell ref="M530:N530"/>
    <mergeCell ref="F566:G566"/>
    <mergeCell ref="M566:N566"/>
    <mergeCell ref="M551:N551"/>
    <mergeCell ref="M537:N537"/>
    <mergeCell ref="B571:C571"/>
    <mergeCell ref="M543:N543"/>
    <mergeCell ref="M550:N550"/>
    <mergeCell ref="B573:C573"/>
    <mergeCell ref="D573:E573"/>
    <mergeCell ref="B575:C575"/>
    <mergeCell ref="D575:E575"/>
    <mergeCell ref="F575:G575"/>
    <mergeCell ref="M575:N575"/>
    <mergeCell ref="B574:C574"/>
    <mergeCell ref="M533:N533"/>
    <mergeCell ref="B547:C547"/>
    <mergeCell ref="D541:E541"/>
    <mergeCell ref="B549:C549"/>
    <mergeCell ref="D549:E549"/>
    <mergeCell ref="F549:G549"/>
    <mergeCell ref="M549:N549"/>
    <mergeCell ref="M545:N545"/>
    <mergeCell ref="D538:E538"/>
    <mergeCell ref="B541:C541"/>
    <mergeCell ref="F538:G538"/>
    <mergeCell ref="D539:E539"/>
    <mergeCell ref="M574:N574"/>
    <mergeCell ref="B568:C568"/>
    <mergeCell ref="D568:E568"/>
    <mergeCell ref="M565:N565"/>
    <mergeCell ref="B565:C565"/>
    <mergeCell ref="D565:E565"/>
    <mergeCell ref="D593:E593"/>
    <mergeCell ref="F594:G594"/>
    <mergeCell ref="M594:N594"/>
    <mergeCell ref="F593:G593"/>
    <mergeCell ref="M593:N593"/>
    <mergeCell ref="B585:C585"/>
    <mergeCell ref="F573:G573"/>
    <mergeCell ref="M573:N573"/>
    <mergeCell ref="B572:C572"/>
    <mergeCell ref="D572:E572"/>
    <mergeCell ref="F572:G572"/>
    <mergeCell ref="M572:N572"/>
    <mergeCell ref="M576:N576"/>
    <mergeCell ref="B579:C579"/>
    <mergeCell ref="D579:E579"/>
    <mergeCell ref="B577:C577"/>
    <mergeCell ref="M577:N577"/>
    <mergeCell ref="D577:E577"/>
    <mergeCell ref="M578:N578"/>
    <mergeCell ref="F579:G579"/>
    <mergeCell ref="F577:G577"/>
    <mergeCell ref="M582:N582"/>
    <mergeCell ref="F585:G585"/>
    <mergeCell ref="F601:G601"/>
    <mergeCell ref="M601:N601"/>
    <mergeCell ref="B598:C598"/>
    <mergeCell ref="D598:E598"/>
    <mergeCell ref="B600:C600"/>
    <mergeCell ref="D600:E600"/>
    <mergeCell ref="F600:G600"/>
    <mergeCell ref="M600:N600"/>
    <mergeCell ref="F598:G598"/>
    <mergeCell ref="M598:N598"/>
    <mergeCell ref="M599:N599"/>
    <mergeCell ref="F599:G599"/>
    <mergeCell ref="D599:E599"/>
    <mergeCell ref="D595:E595"/>
    <mergeCell ref="B597:C597"/>
    <mergeCell ref="D597:E597"/>
    <mergeCell ref="D585:E585"/>
    <mergeCell ref="M624:N624"/>
    <mergeCell ref="B614:C614"/>
    <mergeCell ref="D614:E614"/>
    <mergeCell ref="B619:C619"/>
    <mergeCell ref="D619:E619"/>
    <mergeCell ref="F619:G619"/>
    <mergeCell ref="B616:C616"/>
    <mergeCell ref="D616:E616"/>
    <mergeCell ref="B618:C618"/>
    <mergeCell ref="D617:E617"/>
    <mergeCell ref="M625:N625"/>
    <mergeCell ref="I606:L606"/>
    <mergeCell ref="B607:C607"/>
    <mergeCell ref="D607:E607"/>
    <mergeCell ref="F607:G607"/>
    <mergeCell ref="B617:C617"/>
    <mergeCell ref="F612:G612"/>
    <mergeCell ref="M619:N619"/>
    <mergeCell ref="F614:G614"/>
    <mergeCell ref="B613:C613"/>
    <mergeCell ref="M607:N607"/>
    <mergeCell ref="B608:C608"/>
    <mergeCell ref="D608:E608"/>
    <mergeCell ref="D613:E613"/>
    <mergeCell ref="B609:C609"/>
    <mergeCell ref="D609:E609"/>
    <mergeCell ref="F609:G609"/>
    <mergeCell ref="D612:E612"/>
    <mergeCell ref="M623:N623"/>
    <mergeCell ref="B621:C621"/>
    <mergeCell ref="D621:E621"/>
    <mergeCell ref="F621:G621"/>
    <mergeCell ref="M621:N621"/>
    <mergeCell ref="B622:C622"/>
    <mergeCell ref="D622:E622"/>
    <mergeCell ref="F622:G622"/>
    <mergeCell ref="M622:N622"/>
    <mergeCell ref="M617:N617"/>
    <mergeCell ref="B647:C647"/>
    <mergeCell ref="D647:E647"/>
    <mergeCell ref="F647:G647"/>
    <mergeCell ref="M647:N647"/>
    <mergeCell ref="B645:C645"/>
    <mergeCell ref="D645:E645"/>
    <mergeCell ref="F645:G645"/>
    <mergeCell ref="M645:N645"/>
    <mergeCell ref="B646:C646"/>
    <mergeCell ref="D646:E646"/>
    <mergeCell ref="D637:E637"/>
    <mergeCell ref="F637:G637"/>
    <mergeCell ref="B638:C638"/>
    <mergeCell ref="D638:E638"/>
    <mergeCell ref="B640:C640"/>
    <mergeCell ref="D640:E640"/>
    <mergeCell ref="B623:C623"/>
    <mergeCell ref="D623:E623"/>
    <mergeCell ref="F623:G623"/>
    <mergeCell ref="B625:C625"/>
    <mergeCell ref="D625:E625"/>
    <mergeCell ref="F625:G625"/>
    <mergeCell ref="B624:C624"/>
    <mergeCell ref="D624:E624"/>
    <mergeCell ref="F624:G624"/>
    <mergeCell ref="M644:N644"/>
    <mergeCell ref="B610:C610"/>
    <mergeCell ref="D610:E610"/>
    <mergeCell ref="F610:G610"/>
    <mergeCell ref="B644:C644"/>
    <mergeCell ref="D644:E644"/>
    <mergeCell ref="F644:G644"/>
    <mergeCell ref="D643:E643"/>
    <mergeCell ref="F643:G643"/>
    <mergeCell ref="B632:C632"/>
    <mergeCell ref="D636:E636"/>
    <mergeCell ref="D632:E632"/>
    <mergeCell ref="B631:C631"/>
    <mergeCell ref="D631:E631"/>
    <mergeCell ref="F631:G631"/>
    <mergeCell ref="F613:G613"/>
    <mergeCell ref="D611:E611"/>
    <mergeCell ref="F611:G611"/>
    <mergeCell ref="D618:E618"/>
    <mergeCell ref="F618:G618"/>
    <mergeCell ref="F617:G617"/>
    <mergeCell ref="F636:G636"/>
    <mergeCell ref="M636:N636"/>
    <mergeCell ref="F642:G642"/>
    <mergeCell ref="M642:N642"/>
    <mergeCell ref="D642:E642"/>
    <mergeCell ref="M637:N637"/>
    <mergeCell ref="F638:G638"/>
    <mergeCell ref="F632:G632"/>
    <mergeCell ref="B636:C636"/>
    <mergeCell ref="B643:C643"/>
    <mergeCell ref="M643:N643"/>
    <mergeCell ref="B641:C641"/>
    <mergeCell ref="D641:E641"/>
    <mergeCell ref="F641:G641"/>
    <mergeCell ref="M641:N641"/>
    <mergeCell ref="B642:C642"/>
    <mergeCell ref="F640:G640"/>
    <mergeCell ref="B637:C637"/>
    <mergeCell ref="M632:N632"/>
    <mergeCell ref="M631:N631"/>
    <mergeCell ref="M638:N638"/>
    <mergeCell ref="B633:C633"/>
    <mergeCell ref="D633:E633"/>
    <mergeCell ref="F633:G633"/>
    <mergeCell ref="M633:N633"/>
    <mergeCell ref="B634:C634"/>
    <mergeCell ref="D634:E634"/>
    <mergeCell ref="F635:G635"/>
    <mergeCell ref="M635:N635"/>
    <mergeCell ref="F634:G634"/>
    <mergeCell ref="M634:N634"/>
    <mergeCell ref="B635:C635"/>
    <mergeCell ref="D635:E635"/>
    <mergeCell ref="B599:C599"/>
    <mergeCell ref="B587:C587"/>
    <mergeCell ref="D587:E587"/>
    <mergeCell ref="F587:G587"/>
    <mergeCell ref="M589:N589"/>
    <mergeCell ref="D590:E590"/>
    <mergeCell ref="M591:N591"/>
    <mergeCell ref="F595:G595"/>
    <mergeCell ref="M595:N595"/>
    <mergeCell ref="B595:C595"/>
    <mergeCell ref="B630:C630"/>
    <mergeCell ref="D630:E630"/>
    <mergeCell ref="F630:G630"/>
    <mergeCell ref="M630:N630"/>
    <mergeCell ref="M587:N587"/>
    <mergeCell ref="F590:G590"/>
    <mergeCell ref="M610:N610"/>
    <mergeCell ref="M618:N618"/>
    <mergeCell ref="M613:N613"/>
    <mergeCell ref="B583:C583"/>
    <mergeCell ref="D583:E583"/>
    <mergeCell ref="F583:G583"/>
    <mergeCell ref="M583:N583"/>
    <mergeCell ref="B591:C591"/>
    <mergeCell ref="D591:E591"/>
    <mergeCell ref="B586:C586"/>
    <mergeCell ref="B584:C584"/>
    <mergeCell ref="M588:N588"/>
    <mergeCell ref="F589:G589"/>
    <mergeCell ref="F591:G591"/>
    <mergeCell ref="M616:N616"/>
    <mergeCell ref="F615:G615"/>
    <mergeCell ref="M611:N611"/>
    <mergeCell ref="F608:G608"/>
    <mergeCell ref="M608:N608"/>
    <mergeCell ref="M614:N614"/>
    <mergeCell ref="F616:G616"/>
    <mergeCell ref="F596:G596"/>
    <mergeCell ref="M596:N596"/>
    <mergeCell ref="D586:E586"/>
    <mergeCell ref="M586:N586"/>
    <mergeCell ref="B590:C590"/>
    <mergeCell ref="B589:C589"/>
    <mergeCell ref="D589:E589"/>
    <mergeCell ref="M590:N590"/>
    <mergeCell ref="F588:G588"/>
    <mergeCell ref="M609:N609"/>
    <mergeCell ref="M585:N585"/>
    <mergeCell ref="M584:N584"/>
    <mergeCell ref="D584:E584"/>
    <mergeCell ref="M522:N522"/>
    <mergeCell ref="B523:C523"/>
    <mergeCell ref="D523:E523"/>
    <mergeCell ref="F523:G523"/>
    <mergeCell ref="M562:N562"/>
    <mergeCell ref="B561:C561"/>
    <mergeCell ref="D561:E561"/>
    <mergeCell ref="F561:G561"/>
    <mergeCell ref="F562:G562"/>
    <mergeCell ref="B507:C507"/>
    <mergeCell ref="F505:G505"/>
    <mergeCell ref="D502:E502"/>
    <mergeCell ref="F502:G502"/>
    <mergeCell ref="F501:G501"/>
    <mergeCell ref="B526:E526"/>
    <mergeCell ref="M547:N547"/>
    <mergeCell ref="D542:E542"/>
    <mergeCell ref="F542:G542"/>
    <mergeCell ref="M542:N542"/>
    <mergeCell ref="M518:N518"/>
    <mergeCell ref="B519:C519"/>
    <mergeCell ref="B504:C504"/>
    <mergeCell ref="D504:E504"/>
    <mergeCell ref="F504:G504"/>
    <mergeCell ref="F546:G546"/>
    <mergeCell ref="M546:N546"/>
    <mergeCell ref="B545:C545"/>
    <mergeCell ref="D545:E545"/>
    <mergeCell ref="F545:G545"/>
    <mergeCell ref="F513:G513"/>
    <mergeCell ref="F517:G517"/>
    <mergeCell ref="M517:N517"/>
    <mergeCell ref="I445:L445"/>
    <mergeCell ref="B446:C446"/>
    <mergeCell ref="D446:E446"/>
    <mergeCell ref="F446:G446"/>
    <mergeCell ref="M446:N446"/>
    <mergeCell ref="B447:C447"/>
    <mergeCell ref="D447:E447"/>
    <mergeCell ref="F447:G447"/>
    <mergeCell ref="M447:N447"/>
    <mergeCell ref="B450:C450"/>
    <mergeCell ref="D450:E450"/>
    <mergeCell ref="F450:G450"/>
    <mergeCell ref="M450:N450"/>
    <mergeCell ref="B451:C451"/>
    <mergeCell ref="D451:E451"/>
    <mergeCell ref="F451:G451"/>
    <mergeCell ref="M451:N451"/>
    <mergeCell ref="B448:C448"/>
    <mergeCell ref="D448:E448"/>
    <mergeCell ref="F448:G448"/>
    <mergeCell ref="M448:N448"/>
    <mergeCell ref="B449:C449"/>
    <mergeCell ref="D449:E449"/>
    <mergeCell ref="F449:G449"/>
    <mergeCell ref="M449:N449"/>
    <mergeCell ref="B454:C454"/>
    <mergeCell ref="D454:E454"/>
    <mergeCell ref="F454:G454"/>
    <mergeCell ref="M454:N454"/>
    <mergeCell ref="B455:C455"/>
    <mergeCell ref="D455:E455"/>
    <mergeCell ref="F455:G455"/>
    <mergeCell ref="M455:N455"/>
    <mergeCell ref="B452:C452"/>
    <mergeCell ref="D452:E452"/>
    <mergeCell ref="F452:G452"/>
    <mergeCell ref="M452:N452"/>
    <mergeCell ref="B453:C453"/>
    <mergeCell ref="D453:E453"/>
    <mergeCell ref="F453:G453"/>
    <mergeCell ref="M453:N453"/>
    <mergeCell ref="B458:C458"/>
    <mergeCell ref="D458:E458"/>
    <mergeCell ref="F458:G458"/>
    <mergeCell ref="M458:N458"/>
    <mergeCell ref="B459:C459"/>
    <mergeCell ref="D459:E459"/>
    <mergeCell ref="F459:G459"/>
    <mergeCell ref="M459:N459"/>
    <mergeCell ref="B456:C456"/>
    <mergeCell ref="D456:E456"/>
    <mergeCell ref="F456:G456"/>
    <mergeCell ref="M456:N456"/>
    <mergeCell ref="B457:C457"/>
    <mergeCell ref="D457:E457"/>
    <mergeCell ref="F457:G457"/>
    <mergeCell ref="M457:N457"/>
    <mergeCell ref="B462:C462"/>
    <mergeCell ref="D462:E462"/>
    <mergeCell ref="F462:G462"/>
    <mergeCell ref="M462:N462"/>
    <mergeCell ref="B463:C463"/>
    <mergeCell ref="D463:E463"/>
    <mergeCell ref="F463:G463"/>
    <mergeCell ref="M463:N463"/>
    <mergeCell ref="B460:C460"/>
    <mergeCell ref="D460:E460"/>
    <mergeCell ref="F460:G460"/>
    <mergeCell ref="M460:N460"/>
    <mergeCell ref="B461:C461"/>
    <mergeCell ref="D461:E461"/>
    <mergeCell ref="F461:G461"/>
    <mergeCell ref="M461:N461"/>
    <mergeCell ref="D466:E466"/>
    <mergeCell ref="F466:G466"/>
    <mergeCell ref="M466:N466"/>
    <mergeCell ref="B467:C467"/>
    <mergeCell ref="D467:E467"/>
    <mergeCell ref="F467:G467"/>
    <mergeCell ref="M467:N467"/>
    <mergeCell ref="M471:N471"/>
    <mergeCell ref="B464:C464"/>
    <mergeCell ref="D464:E464"/>
    <mergeCell ref="F464:G464"/>
    <mergeCell ref="M464:N464"/>
    <mergeCell ref="B465:C465"/>
    <mergeCell ref="D465:E465"/>
    <mergeCell ref="F465:G465"/>
    <mergeCell ref="M465:N465"/>
    <mergeCell ref="B466:C466"/>
    <mergeCell ref="M479:N479"/>
    <mergeCell ref="B480:C480"/>
    <mergeCell ref="D480:E480"/>
    <mergeCell ref="F480:G480"/>
    <mergeCell ref="M480:N480"/>
    <mergeCell ref="B473:C473"/>
    <mergeCell ref="D473:E473"/>
    <mergeCell ref="M469:N469"/>
    <mergeCell ref="B470:C470"/>
    <mergeCell ref="D470:E470"/>
    <mergeCell ref="F470:G470"/>
    <mergeCell ref="M470:N470"/>
    <mergeCell ref="B471:C471"/>
    <mergeCell ref="D471:E471"/>
    <mergeCell ref="F471:G471"/>
    <mergeCell ref="B468:C468"/>
    <mergeCell ref="D468:E468"/>
    <mergeCell ref="F468:G468"/>
    <mergeCell ref="M468:N468"/>
    <mergeCell ref="B469:C469"/>
    <mergeCell ref="D469:E469"/>
    <mergeCell ref="F469:G469"/>
    <mergeCell ref="M472:N472"/>
    <mergeCell ref="B472:C472"/>
    <mergeCell ref="D472:E472"/>
    <mergeCell ref="F472:G472"/>
    <mergeCell ref="F483:G483"/>
    <mergeCell ref="M483:N483"/>
    <mergeCell ref="B477:C477"/>
    <mergeCell ref="D477:E477"/>
    <mergeCell ref="F477:G477"/>
    <mergeCell ref="M477:N477"/>
    <mergeCell ref="B478:C478"/>
    <mergeCell ref="D478:E478"/>
    <mergeCell ref="F478:G478"/>
    <mergeCell ref="M478:N478"/>
    <mergeCell ref="F473:G473"/>
    <mergeCell ref="M473:N473"/>
    <mergeCell ref="B485:E485"/>
    <mergeCell ref="B486:E486"/>
    <mergeCell ref="B482:C482"/>
    <mergeCell ref="D482:E482"/>
    <mergeCell ref="F482:G482"/>
    <mergeCell ref="M482:N482"/>
    <mergeCell ref="B483:C483"/>
    <mergeCell ref="D483:E483"/>
    <mergeCell ref="B474:C474"/>
    <mergeCell ref="D474:E474"/>
    <mergeCell ref="F474:G474"/>
    <mergeCell ref="M474:N474"/>
    <mergeCell ref="B475:C475"/>
    <mergeCell ref="B476:C476"/>
    <mergeCell ref="M476:N476"/>
    <mergeCell ref="D476:E476"/>
    <mergeCell ref="F476:G476"/>
    <mergeCell ref="B479:C479"/>
    <mergeCell ref="D479:E479"/>
    <mergeCell ref="F479:G479"/>
    <mergeCell ref="I402:L402"/>
    <mergeCell ref="B403:C403"/>
    <mergeCell ref="D403:E403"/>
    <mergeCell ref="F403:G403"/>
    <mergeCell ref="M403:N403"/>
    <mergeCell ref="B404:C404"/>
    <mergeCell ref="D404:E404"/>
    <mergeCell ref="F404:G404"/>
    <mergeCell ref="M404:N404"/>
    <mergeCell ref="B405:C405"/>
    <mergeCell ref="D405:E405"/>
    <mergeCell ref="F405:G405"/>
    <mergeCell ref="M405:N405"/>
    <mergeCell ref="B406:C406"/>
    <mergeCell ref="D406:E406"/>
    <mergeCell ref="F406:G406"/>
    <mergeCell ref="M406:N406"/>
    <mergeCell ref="B407:C407"/>
    <mergeCell ref="D407:E407"/>
    <mergeCell ref="F407:G407"/>
    <mergeCell ref="M407:N407"/>
    <mergeCell ref="B408:C408"/>
    <mergeCell ref="D408:E408"/>
    <mergeCell ref="F408:G408"/>
    <mergeCell ref="M408:N408"/>
    <mergeCell ref="B409:C409"/>
    <mergeCell ref="D409:E409"/>
    <mergeCell ref="F409:G409"/>
    <mergeCell ref="M409:N409"/>
    <mergeCell ref="B410:C410"/>
    <mergeCell ref="D410:E410"/>
    <mergeCell ref="F410:G410"/>
    <mergeCell ref="M410:N410"/>
    <mergeCell ref="B411:C411"/>
    <mergeCell ref="D411:E411"/>
    <mergeCell ref="F411:G411"/>
    <mergeCell ref="M411:N411"/>
    <mergeCell ref="B412:C412"/>
    <mergeCell ref="D412:E412"/>
    <mergeCell ref="F412:G412"/>
    <mergeCell ref="M412:N412"/>
    <mergeCell ref="B413:C413"/>
    <mergeCell ref="D413:E413"/>
    <mergeCell ref="F413:G413"/>
    <mergeCell ref="M413:N413"/>
    <mergeCell ref="B414:C414"/>
    <mergeCell ref="D414:E414"/>
    <mergeCell ref="F414:G414"/>
    <mergeCell ref="M414:N414"/>
    <mergeCell ref="B415:C415"/>
    <mergeCell ref="D415:E415"/>
    <mergeCell ref="F415:G415"/>
    <mergeCell ref="M415:N415"/>
    <mergeCell ref="B416:C416"/>
    <mergeCell ref="D416:E416"/>
    <mergeCell ref="F416:G416"/>
    <mergeCell ref="M416:N416"/>
    <mergeCell ref="B417:C417"/>
    <mergeCell ref="D417:E417"/>
    <mergeCell ref="F417:G417"/>
    <mergeCell ref="M417:N417"/>
    <mergeCell ref="B418:C418"/>
    <mergeCell ref="D418:E418"/>
    <mergeCell ref="F418:G418"/>
    <mergeCell ref="M418:N418"/>
    <mergeCell ref="B419:C419"/>
    <mergeCell ref="D419:E419"/>
    <mergeCell ref="F419:G419"/>
    <mergeCell ref="M419:N419"/>
    <mergeCell ref="B420:C420"/>
    <mergeCell ref="D420:E420"/>
    <mergeCell ref="F420:G420"/>
    <mergeCell ref="M420:N420"/>
    <mergeCell ref="B421:C421"/>
    <mergeCell ref="D421:E421"/>
    <mergeCell ref="F421:G421"/>
    <mergeCell ref="M421:N421"/>
    <mergeCell ref="B422:C422"/>
    <mergeCell ref="D422:E422"/>
    <mergeCell ref="F422:G422"/>
    <mergeCell ref="M422:N422"/>
    <mergeCell ref="B423:C423"/>
    <mergeCell ref="D423:E423"/>
    <mergeCell ref="F423:G423"/>
    <mergeCell ref="M423:N423"/>
    <mergeCell ref="B424:C424"/>
    <mergeCell ref="D424:E424"/>
    <mergeCell ref="F424:G424"/>
    <mergeCell ref="M424:N424"/>
    <mergeCell ref="B425:C425"/>
    <mergeCell ref="D425:E425"/>
    <mergeCell ref="F425:G425"/>
    <mergeCell ref="M425:N425"/>
    <mergeCell ref="B426:C426"/>
    <mergeCell ref="D426:E426"/>
    <mergeCell ref="F426:G426"/>
    <mergeCell ref="M426:N426"/>
    <mergeCell ref="B427:C427"/>
    <mergeCell ref="D427:E427"/>
    <mergeCell ref="F427:G427"/>
    <mergeCell ref="M427:N427"/>
    <mergeCell ref="B428:C428"/>
    <mergeCell ref="D428:E428"/>
    <mergeCell ref="F428:G428"/>
    <mergeCell ref="M428:N428"/>
    <mergeCell ref="B429:C429"/>
    <mergeCell ref="D429:E429"/>
    <mergeCell ref="F429:G429"/>
    <mergeCell ref="M429:N429"/>
    <mergeCell ref="B430:C430"/>
    <mergeCell ref="D430:E430"/>
    <mergeCell ref="F430:G430"/>
    <mergeCell ref="M430:N430"/>
    <mergeCell ref="B431:C431"/>
    <mergeCell ref="D431:E431"/>
    <mergeCell ref="F431:G431"/>
    <mergeCell ref="M431:N431"/>
    <mergeCell ref="B432:C432"/>
    <mergeCell ref="B433:C433"/>
    <mergeCell ref="D433:E433"/>
    <mergeCell ref="F433:G433"/>
    <mergeCell ref="M433:N433"/>
    <mergeCell ref="B434:C434"/>
    <mergeCell ref="D434:E434"/>
    <mergeCell ref="F434:G434"/>
    <mergeCell ref="M434:N434"/>
    <mergeCell ref="B435:C435"/>
    <mergeCell ref="D435:E435"/>
    <mergeCell ref="F435:G435"/>
    <mergeCell ref="M435:N435"/>
    <mergeCell ref="B436:C436"/>
    <mergeCell ref="D436:E436"/>
    <mergeCell ref="F436:G436"/>
    <mergeCell ref="M436:N436"/>
    <mergeCell ref="B437:C437"/>
    <mergeCell ref="D437:E437"/>
    <mergeCell ref="F437:G437"/>
    <mergeCell ref="M437:N437"/>
    <mergeCell ref="B438:C438"/>
    <mergeCell ref="D438:E438"/>
    <mergeCell ref="F438:G438"/>
    <mergeCell ref="M438:N438"/>
    <mergeCell ref="B439:C439"/>
    <mergeCell ref="D439:E439"/>
    <mergeCell ref="F439:G439"/>
    <mergeCell ref="M439:N439"/>
    <mergeCell ref="B440:C440"/>
    <mergeCell ref="D440:E440"/>
    <mergeCell ref="F440:G440"/>
    <mergeCell ref="M440:N440"/>
    <mergeCell ref="B442:E442"/>
    <mergeCell ref="B443:E443"/>
    <mergeCell ref="I331:L331"/>
    <mergeCell ref="B332:C332"/>
    <mergeCell ref="D332:E332"/>
    <mergeCell ref="F332:G332"/>
    <mergeCell ref="M332:N332"/>
    <mergeCell ref="B333:C333"/>
    <mergeCell ref="D333:E333"/>
    <mergeCell ref="F333:G333"/>
    <mergeCell ref="M333:N333"/>
    <mergeCell ref="B334:C334"/>
    <mergeCell ref="D334:E334"/>
    <mergeCell ref="F334:G334"/>
    <mergeCell ref="M334:N334"/>
    <mergeCell ref="B335:C335"/>
    <mergeCell ref="D335:E335"/>
    <mergeCell ref="F335:G335"/>
    <mergeCell ref="M335:N335"/>
    <mergeCell ref="B336:C336"/>
    <mergeCell ref="D336:E336"/>
    <mergeCell ref="F336:G336"/>
    <mergeCell ref="M336:N336"/>
    <mergeCell ref="B337:C337"/>
    <mergeCell ref="D337:E337"/>
    <mergeCell ref="F337:G337"/>
    <mergeCell ref="M337:N337"/>
    <mergeCell ref="B338:C338"/>
    <mergeCell ref="D338:E338"/>
    <mergeCell ref="F338:G338"/>
    <mergeCell ref="M338:N338"/>
    <mergeCell ref="B339:C339"/>
    <mergeCell ref="D339:E339"/>
    <mergeCell ref="D341:E341"/>
    <mergeCell ref="F341:G341"/>
    <mergeCell ref="M341:N341"/>
    <mergeCell ref="B343:C343"/>
    <mergeCell ref="D343:E343"/>
    <mergeCell ref="F343:G343"/>
    <mergeCell ref="M343:N343"/>
    <mergeCell ref="B344:C344"/>
    <mergeCell ref="D344:E344"/>
    <mergeCell ref="F344:G344"/>
    <mergeCell ref="M344:N344"/>
    <mergeCell ref="B342:C342"/>
    <mergeCell ref="D342:E342"/>
    <mergeCell ref="F342:G342"/>
    <mergeCell ref="M342:N342"/>
    <mergeCell ref="B345:C345"/>
    <mergeCell ref="D345:E345"/>
    <mergeCell ref="F345:G345"/>
    <mergeCell ref="M345:N345"/>
    <mergeCell ref="B347:C347"/>
    <mergeCell ref="D347:E347"/>
    <mergeCell ref="F347:G347"/>
    <mergeCell ref="M347:N347"/>
    <mergeCell ref="B346:C346"/>
    <mergeCell ref="D346:E346"/>
    <mergeCell ref="B348:C348"/>
    <mergeCell ref="D348:E348"/>
    <mergeCell ref="F348:G348"/>
    <mergeCell ref="M348:N348"/>
    <mergeCell ref="B349:C349"/>
    <mergeCell ref="D349:E349"/>
    <mergeCell ref="F349:G349"/>
    <mergeCell ref="M349:N349"/>
    <mergeCell ref="F346:G346"/>
    <mergeCell ref="M346:N346"/>
    <mergeCell ref="B350:C350"/>
    <mergeCell ref="D350:E350"/>
    <mergeCell ref="F350:G350"/>
    <mergeCell ref="M350:N350"/>
    <mergeCell ref="B351:C351"/>
    <mergeCell ref="D351:E351"/>
    <mergeCell ref="F351:G351"/>
    <mergeCell ref="M351:N351"/>
    <mergeCell ref="F355:G355"/>
    <mergeCell ref="M355:N355"/>
    <mergeCell ref="B352:C352"/>
    <mergeCell ref="D352:E352"/>
    <mergeCell ref="F352:G352"/>
    <mergeCell ref="M352:N352"/>
    <mergeCell ref="B353:C353"/>
    <mergeCell ref="D353:E353"/>
    <mergeCell ref="F353:G353"/>
    <mergeCell ref="M353:N353"/>
    <mergeCell ref="B354:C354"/>
    <mergeCell ref="D354:E354"/>
    <mergeCell ref="F354:G354"/>
    <mergeCell ref="M354:N354"/>
    <mergeCell ref="B355:C355"/>
    <mergeCell ref="D355:E355"/>
    <mergeCell ref="B365:E365"/>
    <mergeCell ref="B366:E366"/>
    <mergeCell ref="B358:C358"/>
    <mergeCell ref="D358:E358"/>
    <mergeCell ref="F358:G358"/>
    <mergeCell ref="M358:N358"/>
    <mergeCell ref="B362:C362"/>
    <mergeCell ref="D362:E362"/>
    <mergeCell ref="F362:G362"/>
    <mergeCell ref="M362:N362"/>
    <mergeCell ref="B363:C363"/>
    <mergeCell ref="D363:E363"/>
    <mergeCell ref="F363:G363"/>
    <mergeCell ref="M363:N363"/>
    <mergeCell ref="B356:C356"/>
    <mergeCell ref="D356:E356"/>
    <mergeCell ref="F356:G356"/>
    <mergeCell ref="M356:N356"/>
    <mergeCell ref="B360:C360"/>
    <mergeCell ref="D360:E360"/>
    <mergeCell ref="F360:G360"/>
    <mergeCell ref="M360:N360"/>
    <mergeCell ref="B395:C395"/>
    <mergeCell ref="D395:E395"/>
    <mergeCell ref="F395:G395"/>
    <mergeCell ref="M395:N395"/>
    <mergeCell ref="B379:C379"/>
    <mergeCell ref="D379:E379"/>
    <mergeCell ref="F379:G379"/>
    <mergeCell ref="M379:N379"/>
    <mergeCell ref="B359:C359"/>
    <mergeCell ref="D359:E359"/>
    <mergeCell ref="F359:G359"/>
    <mergeCell ref="M359:N359"/>
    <mergeCell ref="B361:C361"/>
    <mergeCell ref="D361:E361"/>
    <mergeCell ref="F361:G361"/>
    <mergeCell ref="M361:N361"/>
    <mergeCell ref="B357:C357"/>
    <mergeCell ref="D357:E357"/>
    <mergeCell ref="F357:G357"/>
    <mergeCell ref="M357:N357"/>
    <mergeCell ref="I368:L368"/>
    <mergeCell ref="B369:C369"/>
    <mergeCell ref="D369:E369"/>
    <mergeCell ref="F369:G369"/>
    <mergeCell ref="M369:N369"/>
    <mergeCell ref="B370:C370"/>
    <mergeCell ref="D370:E370"/>
    <mergeCell ref="F370:G370"/>
    <mergeCell ref="M370:N370"/>
    <mergeCell ref="B373:C373"/>
    <mergeCell ref="D373:E373"/>
    <mergeCell ref="F373:G373"/>
    <mergeCell ref="I245:L245"/>
    <mergeCell ref="B246:C246"/>
    <mergeCell ref="D246:E246"/>
    <mergeCell ref="F246:G246"/>
    <mergeCell ref="M246:N246"/>
    <mergeCell ref="B247:C247"/>
    <mergeCell ref="D247:E247"/>
    <mergeCell ref="F247:G247"/>
    <mergeCell ref="M247:N247"/>
    <mergeCell ref="B248:C248"/>
    <mergeCell ref="D248:E248"/>
    <mergeCell ref="F248:G248"/>
    <mergeCell ref="M248:N248"/>
    <mergeCell ref="B249:C249"/>
    <mergeCell ref="D249:E249"/>
    <mergeCell ref="F249:G249"/>
    <mergeCell ref="M249:N249"/>
    <mergeCell ref="B250:C250"/>
    <mergeCell ref="D250:E250"/>
    <mergeCell ref="F250:G250"/>
    <mergeCell ref="M250:N250"/>
    <mergeCell ref="B251:C251"/>
    <mergeCell ref="D251:E251"/>
    <mergeCell ref="F251:G251"/>
    <mergeCell ref="M251:N251"/>
    <mergeCell ref="B252:C252"/>
    <mergeCell ref="D252:E252"/>
    <mergeCell ref="F252:G252"/>
    <mergeCell ref="M252:N252"/>
    <mergeCell ref="B253:C253"/>
    <mergeCell ref="D253:E253"/>
    <mergeCell ref="F253:G253"/>
    <mergeCell ref="M253:N253"/>
    <mergeCell ref="B254:C254"/>
    <mergeCell ref="D254:E254"/>
    <mergeCell ref="F254:G254"/>
    <mergeCell ref="M254:N254"/>
    <mergeCell ref="B256:C256"/>
    <mergeCell ref="D256:E256"/>
    <mergeCell ref="F256:G256"/>
    <mergeCell ref="M256:N256"/>
    <mergeCell ref="B257:C257"/>
    <mergeCell ref="D257:E257"/>
    <mergeCell ref="F257:G257"/>
    <mergeCell ref="M257:N257"/>
    <mergeCell ref="B258:C258"/>
    <mergeCell ref="D258:E258"/>
    <mergeCell ref="F258:G258"/>
    <mergeCell ref="M258:N258"/>
    <mergeCell ref="B259:C259"/>
    <mergeCell ref="D259:E259"/>
    <mergeCell ref="F259:G259"/>
    <mergeCell ref="M259:N259"/>
    <mergeCell ref="B260:C260"/>
    <mergeCell ref="D260:E260"/>
    <mergeCell ref="F260:G260"/>
    <mergeCell ref="M260:N260"/>
    <mergeCell ref="B261:C261"/>
    <mergeCell ref="D261:E261"/>
    <mergeCell ref="F261:G261"/>
    <mergeCell ref="M261:N261"/>
    <mergeCell ref="B262:C262"/>
    <mergeCell ref="D262:E262"/>
    <mergeCell ref="F262:G262"/>
    <mergeCell ref="M262:N262"/>
    <mergeCell ref="B263:C263"/>
    <mergeCell ref="D263:E263"/>
    <mergeCell ref="F263:G263"/>
    <mergeCell ref="M263:N263"/>
    <mergeCell ref="B264:C264"/>
    <mergeCell ref="D264:E264"/>
    <mergeCell ref="F264:G264"/>
    <mergeCell ref="M264:N264"/>
    <mergeCell ref="B265:C265"/>
    <mergeCell ref="D265:E265"/>
    <mergeCell ref="F265:G265"/>
    <mergeCell ref="M265:N265"/>
    <mergeCell ref="B266:C266"/>
    <mergeCell ref="D266:E266"/>
    <mergeCell ref="F266:G266"/>
    <mergeCell ref="M266:N266"/>
    <mergeCell ref="B267:C267"/>
    <mergeCell ref="D267:E267"/>
    <mergeCell ref="F267:G267"/>
    <mergeCell ref="M267:N267"/>
    <mergeCell ref="B268:C268"/>
    <mergeCell ref="D268:E268"/>
    <mergeCell ref="F268:G268"/>
    <mergeCell ref="M268:N268"/>
    <mergeCell ref="B269:C269"/>
    <mergeCell ref="D269:E269"/>
    <mergeCell ref="F269:G269"/>
    <mergeCell ref="M269:N269"/>
    <mergeCell ref="B270:C270"/>
    <mergeCell ref="D270:E270"/>
    <mergeCell ref="F270:G270"/>
    <mergeCell ref="M270:N270"/>
    <mergeCell ref="F278:G278"/>
    <mergeCell ref="M278:N278"/>
    <mergeCell ref="B280:C280"/>
    <mergeCell ref="D280:E280"/>
    <mergeCell ref="F280:G280"/>
    <mergeCell ref="M280:N280"/>
    <mergeCell ref="B281:C281"/>
    <mergeCell ref="D281:E281"/>
    <mergeCell ref="F281:G281"/>
    <mergeCell ref="M281:N281"/>
    <mergeCell ref="B271:C271"/>
    <mergeCell ref="D271:E271"/>
    <mergeCell ref="F271:G271"/>
    <mergeCell ref="M271:N271"/>
    <mergeCell ref="B272:C272"/>
    <mergeCell ref="D272:E272"/>
    <mergeCell ref="F272:G272"/>
    <mergeCell ref="M272:N272"/>
    <mergeCell ref="B273:C273"/>
    <mergeCell ref="D273:E273"/>
    <mergeCell ref="F273:G273"/>
    <mergeCell ref="M273:N273"/>
    <mergeCell ref="B274:C274"/>
    <mergeCell ref="D274:E274"/>
    <mergeCell ref="F274:G274"/>
    <mergeCell ref="M274:N274"/>
    <mergeCell ref="B275:C275"/>
    <mergeCell ref="D275:E275"/>
    <mergeCell ref="F275:G275"/>
    <mergeCell ref="M275:N275"/>
    <mergeCell ref="B282:C282"/>
    <mergeCell ref="D282:E282"/>
    <mergeCell ref="F282:G282"/>
    <mergeCell ref="M282:N282"/>
    <mergeCell ref="B283:C283"/>
    <mergeCell ref="D283:E283"/>
    <mergeCell ref="F283:G283"/>
    <mergeCell ref="M283:N283"/>
    <mergeCell ref="B284:C284"/>
    <mergeCell ref="D284:E284"/>
    <mergeCell ref="F284:G284"/>
    <mergeCell ref="M284:N284"/>
    <mergeCell ref="B286:E286"/>
    <mergeCell ref="B287:E287"/>
    <mergeCell ref="B255:C255"/>
    <mergeCell ref="D255:E255"/>
    <mergeCell ref="F255:G255"/>
    <mergeCell ref="M255:N255"/>
    <mergeCell ref="B279:C279"/>
    <mergeCell ref="D279:E279"/>
    <mergeCell ref="F279:G279"/>
    <mergeCell ref="M279:N279"/>
    <mergeCell ref="B276:C276"/>
    <mergeCell ref="D276:E276"/>
    <mergeCell ref="F276:G276"/>
    <mergeCell ref="M276:N276"/>
    <mergeCell ref="B277:C277"/>
    <mergeCell ref="D277:E277"/>
    <mergeCell ref="F277:G277"/>
    <mergeCell ref="M277:N277"/>
    <mergeCell ref="B278:C278"/>
    <mergeCell ref="D278:E278"/>
    <mergeCell ref="I200:L200"/>
    <mergeCell ref="B201:C201"/>
    <mergeCell ref="D201:E201"/>
    <mergeCell ref="F201:G201"/>
    <mergeCell ref="M201:N201"/>
    <mergeCell ref="B202:C202"/>
    <mergeCell ref="D202:E202"/>
    <mergeCell ref="F202:G202"/>
    <mergeCell ref="M202:N202"/>
    <mergeCell ref="B203:C203"/>
    <mergeCell ref="D203:E203"/>
    <mergeCell ref="F203:G203"/>
    <mergeCell ref="M203:N203"/>
    <mergeCell ref="B204:C204"/>
    <mergeCell ref="D204:E204"/>
    <mergeCell ref="F204:G204"/>
    <mergeCell ref="M204:N204"/>
    <mergeCell ref="B205:C205"/>
    <mergeCell ref="D205:E205"/>
    <mergeCell ref="F205:G205"/>
    <mergeCell ref="M205:N205"/>
    <mergeCell ref="B206:C206"/>
    <mergeCell ref="D206:E206"/>
    <mergeCell ref="F206:G206"/>
    <mergeCell ref="M206:N206"/>
    <mergeCell ref="B207:C207"/>
    <mergeCell ref="D207:E207"/>
    <mergeCell ref="F207:G207"/>
    <mergeCell ref="M207:N207"/>
    <mergeCell ref="B208:C208"/>
    <mergeCell ref="D208:E208"/>
    <mergeCell ref="F208:G208"/>
    <mergeCell ref="M208:N208"/>
    <mergeCell ref="B209:C209"/>
    <mergeCell ref="D209:E209"/>
    <mergeCell ref="F209:G209"/>
    <mergeCell ref="M209:N209"/>
    <mergeCell ref="B210:C210"/>
    <mergeCell ref="D210:E210"/>
    <mergeCell ref="F210:G210"/>
    <mergeCell ref="M210:N210"/>
    <mergeCell ref="B211:C211"/>
    <mergeCell ref="D211:E211"/>
    <mergeCell ref="F211:G211"/>
    <mergeCell ref="M211:N211"/>
    <mergeCell ref="B212:C212"/>
    <mergeCell ref="D212:E212"/>
    <mergeCell ref="F212:G212"/>
    <mergeCell ref="M212:N212"/>
    <mergeCell ref="B213:C213"/>
    <mergeCell ref="D213:E213"/>
    <mergeCell ref="F213:G213"/>
    <mergeCell ref="M213:N213"/>
    <mergeCell ref="B214:C214"/>
    <mergeCell ref="D214:E214"/>
    <mergeCell ref="F214:G214"/>
    <mergeCell ref="M214:N214"/>
    <mergeCell ref="B215:C215"/>
    <mergeCell ref="D215:E215"/>
    <mergeCell ref="F215:G215"/>
    <mergeCell ref="M215:N215"/>
    <mergeCell ref="B216:C216"/>
    <mergeCell ref="D216:E216"/>
    <mergeCell ref="F216:G216"/>
    <mergeCell ref="M216:N216"/>
    <mergeCell ref="B217:C217"/>
    <mergeCell ref="D217:E217"/>
    <mergeCell ref="F217:G217"/>
    <mergeCell ref="M217:N217"/>
    <mergeCell ref="B218:C218"/>
    <mergeCell ref="D218:E218"/>
    <mergeCell ref="F218:G218"/>
    <mergeCell ref="M218:N218"/>
    <mergeCell ref="B219:C219"/>
    <mergeCell ref="D219:E219"/>
    <mergeCell ref="F219:G219"/>
    <mergeCell ref="M219:N219"/>
    <mergeCell ref="B220:C220"/>
    <mergeCell ref="D220:E220"/>
    <mergeCell ref="F220:G220"/>
    <mergeCell ref="M220:N220"/>
    <mergeCell ref="B221:C221"/>
    <mergeCell ref="D221:E221"/>
    <mergeCell ref="F221:G221"/>
    <mergeCell ref="M221:N221"/>
    <mergeCell ref="B222:C222"/>
    <mergeCell ref="D222:E222"/>
    <mergeCell ref="F222:G222"/>
    <mergeCell ref="M222:N222"/>
    <mergeCell ref="B223:C223"/>
    <mergeCell ref="D223:E223"/>
    <mergeCell ref="F223:G223"/>
    <mergeCell ref="M223:N223"/>
    <mergeCell ref="B224:C224"/>
    <mergeCell ref="D224:E224"/>
    <mergeCell ref="F224:G224"/>
    <mergeCell ref="M224:N224"/>
    <mergeCell ref="B225:C225"/>
    <mergeCell ref="D225:E225"/>
    <mergeCell ref="F225:G225"/>
    <mergeCell ref="M225:N225"/>
    <mergeCell ref="B226:C226"/>
    <mergeCell ref="D226:E226"/>
    <mergeCell ref="F226:G226"/>
    <mergeCell ref="M226:N226"/>
    <mergeCell ref="B227:C227"/>
    <mergeCell ref="D227:E227"/>
    <mergeCell ref="F227:G227"/>
    <mergeCell ref="M227:N227"/>
    <mergeCell ref="B228:C228"/>
    <mergeCell ref="D228:E228"/>
    <mergeCell ref="F228:G228"/>
    <mergeCell ref="M228:N228"/>
    <mergeCell ref="B229:C229"/>
    <mergeCell ref="D229:E229"/>
    <mergeCell ref="F229:G229"/>
    <mergeCell ref="M229:N229"/>
    <mergeCell ref="B230:C230"/>
    <mergeCell ref="D230:E230"/>
    <mergeCell ref="F230:G230"/>
    <mergeCell ref="M230:N230"/>
    <mergeCell ref="B231:C231"/>
    <mergeCell ref="D231:E231"/>
    <mergeCell ref="F231:G231"/>
    <mergeCell ref="M231:N231"/>
    <mergeCell ref="B232:C232"/>
    <mergeCell ref="D232:E232"/>
    <mergeCell ref="F232:G232"/>
    <mergeCell ref="M232:N232"/>
    <mergeCell ref="B233:C233"/>
    <mergeCell ref="D233:E233"/>
    <mergeCell ref="F233:G233"/>
    <mergeCell ref="M233:N233"/>
    <mergeCell ref="B234:C234"/>
    <mergeCell ref="D234:E234"/>
    <mergeCell ref="F234:G234"/>
    <mergeCell ref="M234:N234"/>
    <mergeCell ref="B242:E242"/>
    <mergeCell ref="B243:E243"/>
    <mergeCell ref="B236:C236"/>
    <mergeCell ref="D236:E236"/>
    <mergeCell ref="F236:G236"/>
    <mergeCell ref="M236:N236"/>
    <mergeCell ref="B237:C237"/>
    <mergeCell ref="D237:E237"/>
    <mergeCell ref="F237:G237"/>
    <mergeCell ref="M237:N237"/>
    <mergeCell ref="B238:C238"/>
    <mergeCell ref="D238:E238"/>
    <mergeCell ref="F238:G238"/>
    <mergeCell ref="M238:N238"/>
    <mergeCell ref="B239:C239"/>
    <mergeCell ref="D239:E239"/>
    <mergeCell ref="F239:G239"/>
    <mergeCell ref="M239:N239"/>
    <mergeCell ref="B240:C240"/>
    <mergeCell ref="D240:E240"/>
    <mergeCell ref="F240:G240"/>
    <mergeCell ref="M240:N240"/>
    <mergeCell ref="I161:L161"/>
    <mergeCell ref="B162:C162"/>
    <mergeCell ref="D162:E162"/>
    <mergeCell ref="F162:G162"/>
    <mergeCell ref="M162:N162"/>
    <mergeCell ref="B163:C163"/>
    <mergeCell ref="D163:E163"/>
    <mergeCell ref="F163:G163"/>
    <mergeCell ref="M163:N163"/>
    <mergeCell ref="B164:C164"/>
    <mergeCell ref="D164:E164"/>
    <mergeCell ref="F164:G164"/>
    <mergeCell ref="M164:N164"/>
    <mergeCell ref="B165:C165"/>
    <mergeCell ref="D165:E165"/>
    <mergeCell ref="F165:G165"/>
    <mergeCell ref="M165:N165"/>
    <mergeCell ref="B166:C166"/>
    <mergeCell ref="D166:E166"/>
    <mergeCell ref="F166:G166"/>
    <mergeCell ref="M166:N166"/>
    <mergeCell ref="B167:C167"/>
    <mergeCell ref="D167:E167"/>
    <mergeCell ref="F167:G167"/>
    <mergeCell ref="M167:N167"/>
    <mergeCell ref="B168:C168"/>
    <mergeCell ref="D168:E168"/>
    <mergeCell ref="F168:G168"/>
    <mergeCell ref="M168:N168"/>
    <mergeCell ref="B169:C169"/>
    <mergeCell ref="D169:E169"/>
    <mergeCell ref="F169:G169"/>
    <mergeCell ref="M169:N169"/>
    <mergeCell ref="B170:C170"/>
    <mergeCell ref="D170:E170"/>
    <mergeCell ref="F170:G170"/>
    <mergeCell ref="M170:N170"/>
    <mergeCell ref="B171:C171"/>
    <mergeCell ref="D171:E171"/>
    <mergeCell ref="F171:G171"/>
    <mergeCell ref="M171:N171"/>
    <mergeCell ref="B173:C173"/>
    <mergeCell ref="D173:E173"/>
    <mergeCell ref="F173:G173"/>
    <mergeCell ref="M173:N173"/>
    <mergeCell ref="B174:C174"/>
    <mergeCell ref="D174:E174"/>
    <mergeCell ref="F174:G174"/>
    <mergeCell ref="M174:N174"/>
    <mergeCell ref="B175:C175"/>
    <mergeCell ref="D175:E175"/>
    <mergeCell ref="F175:G175"/>
    <mergeCell ref="M175:N175"/>
    <mergeCell ref="B176:C176"/>
    <mergeCell ref="D176:E176"/>
    <mergeCell ref="F176:G176"/>
    <mergeCell ref="M176:N176"/>
    <mergeCell ref="B172:C172"/>
    <mergeCell ref="D172:E172"/>
    <mergeCell ref="F172:G172"/>
    <mergeCell ref="M172:N172"/>
    <mergeCell ref="B178:C178"/>
    <mergeCell ref="D178:E178"/>
    <mergeCell ref="F178:G178"/>
    <mergeCell ref="M178:N178"/>
    <mergeCell ref="B179:C179"/>
    <mergeCell ref="D179:E179"/>
    <mergeCell ref="F179:G179"/>
    <mergeCell ref="M179:N179"/>
    <mergeCell ref="B180:C180"/>
    <mergeCell ref="D180:E180"/>
    <mergeCell ref="F180:G180"/>
    <mergeCell ref="M180:N180"/>
    <mergeCell ref="B181:C181"/>
    <mergeCell ref="D181:E181"/>
    <mergeCell ref="F181:G181"/>
    <mergeCell ref="M181:N181"/>
    <mergeCell ref="B182:C182"/>
    <mergeCell ref="D182:E182"/>
    <mergeCell ref="F182:G182"/>
    <mergeCell ref="M182:N182"/>
    <mergeCell ref="M191:N191"/>
    <mergeCell ref="M190:N190"/>
    <mergeCell ref="B183:C183"/>
    <mergeCell ref="D183:E183"/>
    <mergeCell ref="F183:G183"/>
    <mergeCell ref="M183:N183"/>
    <mergeCell ref="B184:C184"/>
    <mergeCell ref="D184:E184"/>
    <mergeCell ref="F184:G184"/>
    <mergeCell ref="M184:N184"/>
    <mergeCell ref="B185:C185"/>
    <mergeCell ref="D185:E185"/>
    <mergeCell ref="F185:G185"/>
    <mergeCell ref="M185:N185"/>
    <mergeCell ref="B186:C186"/>
    <mergeCell ref="D186:E186"/>
    <mergeCell ref="F186:G186"/>
    <mergeCell ref="M186:N186"/>
    <mergeCell ref="B187:C187"/>
    <mergeCell ref="D187:E187"/>
    <mergeCell ref="F187:G187"/>
    <mergeCell ref="M187:N187"/>
    <mergeCell ref="F191:G191"/>
    <mergeCell ref="F190:G190"/>
    <mergeCell ref="I558:L558"/>
    <mergeCell ref="I528:L528"/>
    <mergeCell ref="B195:C195"/>
    <mergeCell ref="D195:E195"/>
    <mergeCell ref="F195:G195"/>
    <mergeCell ref="M195:N195"/>
    <mergeCell ref="B197:E197"/>
    <mergeCell ref="B198:E198"/>
    <mergeCell ref="B188:C188"/>
    <mergeCell ref="D188:E188"/>
    <mergeCell ref="F188:G188"/>
    <mergeCell ref="M188:N188"/>
    <mergeCell ref="B189:C189"/>
    <mergeCell ref="D189:E189"/>
    <mergeCell ref="F189:G189"/>
    <mergeCell ref="M189:N189"/>
    <mergeCell ref="B192:C192"/>
    <mergeCell ref="D192:E192"/>
    <mergeCell ref="F192:G192"/>
    <mergeCell ref="M192:N192"/>
    <mergeCell ref="B193:C193"/>
    <mergeCell ref="D193:E193"/>
    <mergeCell ref="F193:G193"/>
    <mergeCell ref="M193:N193"/>
    <mergeCell ref="B194:C194"/>
    <mergeCell ref="D194:E194"/>
    <mergeCell ref="F194:G194"/>
    <mergeCell ref="M194:N194"/>
    <mergeCell ref="B190:C190"/>
    <mergeCell ref="D190:E190"/>
    <mergeCell ref="B191:C191"/>
    <mergeCell ref="D191:E191"/>
    <mergeCell ref="I121:L121"/>
    <mergeCell ref="B122:C122"/>
    <mergeCell ref="D122:E122"/>
    <mergeCell ref="F122:G122"/>
    <mergeCell ref="M122:N122"/>
    <mergeCell ref="B123:C123"/>
    <mergeCell ref="D123:E123"/>
    <mergeCell ref="F123:G123"/>
    <mergeCell ref="M123:N123"/>
    <mergeCell ref="B124:C124"/>
    <mergeCell ref="D124:E124"/>
    <mergeCell ref="F124:G124"/>
    <mergeCell ref="M124:N124"/>
    <mergeCell ref="B125:C125"/>
    <mergeCell ref="D125:E125"/>
    <mergeCell ref="F125:G125"/>
    <mergeCell ref="M125:N125"/>
    <mergeCell ref="B136:C136"/>
    <mergeCell ref="D136:E136"/>
    <mergeCell ref="F136:G136"/>
    <mergeCell ref="M136:N136"/>
    <mergeCell ref="B126:C126"/>
    <mergeCell ref="D126:E126"/>
    <mergeCell ref="F126:G126"/>
    <mergeCell ref="M126:N126"/>
    <mergeCell ref="B127:C127"/>
    <mergeCell ref="D127:E127"/>
    <mergeCell ref="F127:G127"/>
    <mergeCell ref="M127:N127"/>
    <mergeCell ref="B128:C128"/>
    <mergeCell ref="D128:E128"/>
    <mergeCell ref="F128:G128"/>
    <mergeCell ref="M128:N128"/>
    <mergeCell ref="B129:C129"/>
    <mergeCell ref="D129:E129"/>
    <mergeCell ref="F129:G129"/>
    <mergeCell ref="M129:N129"/>
    <mergeCell ref="B130:C130"/>
    <mergeCell ref="D130:E130"/>
    <mergeCell ref="F130:G130"/>
    <mergeCell ref="M130:N130"/>
    <mergeCell ref="B132:C132"/>
    <mergeCell ref="D132:E132"/>
    <mergeCell ref="F132:G132"/>
    <mergeCell ref="M132:N132"/>
    <mergeCell ref="B138:C138"/>
    <mergeCell ref="D138:E138"/>
    <mergeCell ref="F138:G138"/>
    <mergeCell ref="M138:N138"/>
    <mergeCell ref="B139:C139"/>
    <mergeCell ref="D139:E139"/>
    <mergeCell ref="F139:G139"/>
    <mergeCell ref="M139:N139"/>
    <mergeCell ref="B140:C140"/>
    <mergeCell ref="D140:E140"/>
    <mergeCell ref="F140:G140"/>
    <mergeCell ref="M140:N140"/>
    <mergeCell ref="B141:C141"/>
    <mergeCell ref="D141:E141"/>
    <mergeCell ref="F141:G141"/>
    <mergeCell ref="M141:N141"/>
    <mergeCell ref="B131:C131"/>
    <mergeCell ref="D131:E131"/>
    <mergeCell ref="F131:G131"/>
    <mergeCell ref="M131:N131"/>
    <mergeCell ref="B133:C133"/>
    <mergeCell ref="D133:E133"/>
    <mergeCell ref="F133:G133"/>
    <mergeCell ref="M133:N133"/>
    <mergeCell ref="B134:C134"/>
    <mergeCell ref="D134:E134"/>
    <mergeCell ref="F134:G134"/>
    <mergeCell ref="M134:N134"/>
    <mergeCell ref="B135:C135"/>
    <mergeCell ref="D135:E135"/>
    <mergeCell ref="F135:G135"/>
    <mergeCell ref="M135:N135"/>
    <mergeCell ref="B142:C142"/>
    <mergeCell ref="D142:E142"/>
    <mergeCell ref="F142:G142"/>
    <mergeCell ref="M142:N142"/>
    <mergeCell ref="B143:C143"/>
    <mergeCell ref="D143:E143"/>
    <mergeCell ref="F143:G143"/>
    <mergeCell ref="M143:N143"/>
    <mergeCell ref="B144:C144"/>
    <mergeCell ref="D144:E144"/>
    <mergeCell ref="F144:G144"/>
    <mergeCell ref="M144:N144"/>
    <mergeCell ref="B145:C145"/>
    <mergeCell ref="D145:E145"/>
    <mergeCell ref="F145:G145"/>
    <mergeCell ref="M145:N145"/>
    <mergeCell ref="B146:C146"/>
    <mergeCell ref="D146:E146"/>
    <mergeCell ref="F146:G146"/>
    <mergeCell ref="M146:N146"/>
    <mergeCell ref="B147:C147"/>
    <mergeCell ref="D147:E147"/>
    <mergeCell ref="F147:G147"/>
    <mergeCell ref="M147:N147"/>
    <mergeCell ref="B148:C148"/>
    <mergeCell ref="D148:E148"/>
    <mergeCell ref="F148:G148"/>
    <mergeCell ref="M148:N148"/>
    <mergeCell ref="B149:C149"/>
    <mergeCell ref="D149:E149"/>
    <mergeCell ref="F149:G149"/>
    <mergeCell ref="M149:N149"/>
    <mergeCell ref="B150:C150"/>
    <mergeCell ref="D150:E150"/>
    <mergeCell ref="F150:G150"/>
    <mergeCell ref="M150:N150"/>
    <mergeCell ref="B151:C151"/>
    <mergeCell ref="D151:E151"/>
    <mergeCell ref="F151:G151"/>
    <mergeCell ref="M151:N151"/>
    <mergeCell ref="B158:E158"/>
    <mergeCell ref="B159:E159"/>
    <mergeCell ref="B152:C152"/>
    <mergeCell ref="D152:E152"/>
    <mergeCell ref="F152:G152"/>
    <mergeCell ref="M152:N152"/>
    <mergeCell ref="B153:C153"/>
    <mergeCell ref="D153:E153"/>
    <mergeCell ref="F153:G153"/>
    <mergeCell ref="M153:N153"/>
    <mergeCell ref="B154:C154"/>
    <mergeCell ref="D154:E154"/>
    <mergeCell ref="F154:G154"/>
    <mergeCell ref="M154:N154"/>
    <mergeCell ref="B155:C155"/>
    <mergeCell ref="D155:E155"/>
    <mergeCell ref="F155:G155"/>
    <mergeCell ref="M155:N155"/>
    <mergeCell ref="B156:C156"/>
    <mergeCell ref="D156:E156"/>
    <mergeCell ref="F156:G156"/>
    <mergeCell ref="M156:N156"/>
    <mergeCell ref="I81:L81"/>
    <mergeCell ref="B82:C82"/>
    <mergeCell ref="D82:E82"/>
    <mergeCell ref="F82:G82"/>
    <mergeCell ref="M82:N82"/>
    <mergeCell ref="B83:C83"/>
    <mergeCell ref="D83:E83"/>
    <mergeCell ref="F83:G83"/>
    <mergeCell ref="M83:N83"/>
    <mergeCell ref="B84:C84"/>
    <mergeCell ref="D84:E84"/>
    <mergeCell ref="F84:G84"/>
    <mergeCell ref="M84:N84"/>
    <mergeCell ref="B85:C85"/>
    <mergeCell ref="D85:E85"/>
    <mergeCell ref="F85:G85"/>
    <mergeCell ref="M85:N85"/>
    <mergeCell ref="B86:C86"/>
    <mergeCell ref="D86:E86"/>
    <mergeCell ref="F86:G86"/>
    <mergeCell ref="M86:N86"/>
    <mergeCell ref="B87:C87"/>
    <mergeCell ref="D87:E87"/>
    <mergeCell ref="F87:G87"/>
    <mergeCell ref="M87:N87"/>
    <mergeCell ref="B88:C88"/>
    <mergeCell ref="D88:E88"/>
    <mergeCell ref="F88:G88"/>
    <mergeCell ref="M88:N88"/>
    <mergeCell ref="B89:C89"/>
    <mergeCell ref="D89:E89"/>
    <mergeCell ref="F89:G89"/>
    <mergeCell ref="M89:N89"/>
    <mergeCell ref="B90:C90"/>
    <mergeCell ref="D90:E90"/>
    <mergeCell ref="F90:G90"/>
    <mergeCell ref="M90:N90"/>
    <mergeCell ref="B91:C91"/>
    <mergeCell ref="D91:E91"/>
    <mergeCell ref="F91:G91"/>
    <mergeCell ref="M91:N91"/>
    <mergeCell ref="B92:C92"/>
    <mergeCell ref="D92:E92"/>
    <mergeCell ref="F92:G92"/>
    <mergeCell ref="M92:N92"/>
    <mergeCell ref="B93:C93"/>
    <mergeCell ref="D93:E93"/>
    <mergeCell ref="F93:G93"/>
    <mergeCell ref="M93:N93"/>
    <mergeCell ref="B94:C94"/>
    <mergeCell ref="D94:E94"/>
    <mergeCell ref="F94:G94"/>
    <mergeCell ref="B95:C95"/>
    <mergeCell ref="D95:E95"/>
    <mergeCell ref="F95:G95"/>
    <mergeCell ref="M95:N95"/>
    <mergeCell ref="B96:C96"/>
    <mergeCell ref="D96:E96"/>
    <mergeCell ref="F96:G96"/>
    <mergeCell ref="M96:N96"/>
    <mergeCell ref="B97:C97"/>
    <mergeCell ref="D97:E97"/>
    <mergeCell ref="F97:G97"/>
    <mergeCell ref="M97:N97"/>
    <mergeCell ref="B98:C98"/>
    <mergeCell ref="D98:E98"/>
    <mergeCell ref="F98:G98"/>
    <mergeCell ref="M98:N98"/>
    <mergeCell ref="B99:C99"/>
    <mergeCell ref="D99:E99"/>
    <mergeCell ref="F99:G99"/>
    <mergeCell ref="M99:N99"/>
    <mergeCell ref="B100:C100"/>
    <mergeCell ref="D100:E100"/>
    <mergeCell ref="F100:G100"/>
    <mergeCell ref="B101:C101"/>
    <mergeCell ref="D101:E101"/>
    <mergeCell ref="F101:G101"/>
    <mergeCell ref="M101:N101"/>
    <mergeCell ref="B102:C102"/>
    <mergeCell ref="D102:E102"/>
    <mergeCell ref="F102:G102"/>
    <mergeCell ref="M102:N102"/>
    <mergeCell ref="B103:C103"/>
    <mergeCell ref="D103:E103"/>
    <mergeCell ref="F103:G103"/>
    <mergeCell ref="M103:N103"/>
    <mergeCell ref="B104:C104"/>
    <mergeCell ref="D104:E104"/>
    <mergeCell ref="F104:G104"/>
    <mergeCell ref="M104:N104"/>
    <mergeCell ref="B105:C105"/>
    <mergeCell ref="D105:E105"/>
    <mergeCell ref="F105:G105"/>
    <mergeCell ref="M105:N105"/>
    <mergeCell ref="B106:C106"/>
    <mergeCell ref="D106:E106"/>
    <mergeCell ref="F106:G106"/>
    <mergeCell ref="M106:N106"/>
    <mergeCell ref="B107:C107"/>
    <mergeCell ref="D107:E107"/>
    <mergeCell ref="F107:G107"/>
    <mergeCell ref="M107:N107"/>
    <mergeCell ref="B108:C108"/>
    <mergeCell ref="D108:E108"/>
    <mergeCell ref="F108:G108"/>
    <mergeCell ref="M108:N108"/>
    <mergeCell ref="B109:C109"/>
    <mergeCell ref="D109:E109"/>
    <mergeCell ref="F109:G109"/>
    <mergeCell ref="M109:N109"/>
    <mergeCell ref="B110:C110"/>
    <mergeCell ref="D110:E110"/>
    <mergeCell ref="F110:G110"/>
    <mergeCell ref="M110:N110"/>
    <mergeCell ref="B116:C116"/>
    <mergeCell ref="D116:E116"/>
    <mergeCell ref="F116:G116"/>
    <mergeCell ref="M116:N116"/>
    <mergeCell ref="B118:E118"/>
    <mergeCell ref="B119:E119"/>
    <mergeCell ref="B111:C111"/>
    <mergeCell ref="D111:E111"/>
    <mergeCell ref="F111:G111"/>
    <mergeCell ref="M111:N111"/>
    <mergeCell ref="B112:C112"/>
    <mergeCell ref="D112:E112"/>
    <mergeCell ref="F112:G112"/>
    <mergeCell ref="M112:N112"/>
    <mergeCell ref="B113:C113"/>
    <mergeCell ref="D113:E113"/>
    <mergeCell ref="F113:G113"/>
    <mergeCell ref="B114:C114"/>
    <mergeCell ref="D114:E114"/>
    <mergeCell ref="F114:G114"/>
    <mergeCell ref="M114:N114"/>
    <mergeCell ref="B115:C115"/>
    <mergeCell ref="D115:E115"/>
    <mergeCell ref="F115:G115"/>
    <mergeCell ref="M115:N115"/>
    <mergeCell ref="I1:L1"/>
    <mergeCell ref="B2:C2"/>
    <mergeCell ref="D2:E2"/>
    <mergeCell ref="F2:G2"/>
    <mergeCell ref="M2:N2"/>
    <mergeCell ref="B3:C3"/>
    <mergeCell ref="D3:E3"/>
    <mergeCell ref="F3:G3"/>
    <mergeCell ref="M3:N3"/>
    <mergeCell ref="B4:C4"/>
    <mergeCell ref="D4:E4"/>
    <mergeCell ref="F4:G4"/>
    <mergeCell ref="M4:N4"/>
    <mergeCell ref="B5:C5"/>
    <mergeCell ref="D5:E5"/>
    <mergeCell ref="F5:G5"/>
    <mergeCell ref="M5:N5"/>
    <mergeCell ref="B6:C6"/>
    <mergeCell ref="D6:E6"/>
    <mergeCell ref="F6:G6"/>
    <mergeCell ref="M6:N6"/>
    <mergeCell ref="B7:C7"/>
    <mergeCell ref="D7:E7"/>
    <mergeCell ref="F7:G7"/>
    <mergeCell ref="M7:N7"/>
    <mergeCell ref="B8:C8"/>
    <mergeCell ref="D8:E8"/>
    <mergeCell ref="F8:G8"/>
    <mergeCell ref="M8:N8"/>
    <mergeCell ref="B9:C9"/>
    <mergeCell ref="D9:E9"/>
    <mergeCell ref="F9:G9"/>
    <mergeCell ref="M9:N9"/>
    <mergeCell ref="B10:C10"/>
    <mergeCell ref="D10:E10"/>
    <mergeCell ref="F10:G10"/>
    <mergeCell ref="M10:N10"/>
    <mergeCell ref="B11:C11"/>
    <mergeCell ref="D11:E11"/>
    <mergeCell ref="F11:G11"/>
    <mergeCell ref="M11:N11"/>
    <mergeCell ref="B12:C12"/>
    <mergeCell ref="D12:E12"/>
    <mergeCell ref="F12:G12"/>
    <mergeCell ref="M12:N12"/>
    <mergeCell ref="B13:C13"/>
    <mergeCell ref="D13:E13"/>
    <mergeCell ref="F13:G13"/>
    <mergeCell ref="M13:N13"/>
    <mergeCell ref="B14:C14"/>
    <mergeCell ref="D14:E14"/>
    <mergeCell ref="F14:G14"/>
    <mergeCell ref="B15:C15"/>
    <mergeCell ref="D15:E15"/>
    <mergeCell ref="F15:G15"/>
    <mergeCell ref="M15:N15"/>
    <mergeCell ref="B16:C16"/>
    <mergeCell ref="D16:E16"/>
    <mergeCell ref="F16:G16"/>
    <mergeCell ref="M16:N16"/>
    <mergeCell ref="B17:C17"/>
    <mergeCell ref="D17:E17"/>
    <mergeCell ref="F17:G17"/>
    <mergeCell ref="M17:N17"/>
    <mergeCell ref="B18:C18"/>
    <mergeCell ref="D18:E18"/>
    <mergeCell ref="F18:G18"/>
    <mergeCell ref="M18:N18"/>
    <mergeCell ref="B20:C20"/>
    <mergeCell ref="D20:E20"/>
    <mergeCell ref="F20:G20"/>
    <mergeCell ref="M20:N20"/>
    <mergeCell ref="B21:C21"/>
    <mergeCell ref="D21:E21"/>
    <mergeCell ref="F21:G21"/>
    <mergeCell ref="B19:C19"/>
    <mergeCell ref="D19:E19"/>
    <mergeCell ref="F19:G19"/>
    <mergeCell ref="M19:N19"/>
    <mergeCell ref="B22:C22"/>
    <mergeCell ref="D22:E22"/>
    <mergeCell ref="F22:G22"/>
    <mergeCell ref="M22:N22"/>
    <mergeCell ref="B23:C23"/>
    <mergeCell ref="D23:E23"/>
    <mergeCell ref="F23:G23"/>
    <mergeCell ref="M23:N23"/>
    <mergeCell ref="B24:C24"/>
    <mergeCell ref="D24:E24"/>
    <mergeCell ref="F24:G24"/>
    <mergeCell ref="M24:N24"/>
    <mergeCell ref="B25:C25"/>
    <mergeCell ref="D25:E25"/>
    <mergeCell ref="F25:G25"/>
    <mergeCell ref="M25:N25"/>
    <mergeCell ref="B26:C26"/>
    <mergeCell ref="D26:E26"/>
    <mergeCell ref="F26:G26"/>
    <mergeCell ref="M26:N26"/>
    <mergeCell ref="B27:C27"/>
    <mergeCell ref="D27:E27"/>
    <mergeCell ref="F27:G27"/>
    <mergeCell ref="M27:N27"/>
    <mergeCell ref="B28:C28"/>
    <mergeCell ref="D28:E28"/>
    <mergeCell ref="F28:G28"/>
    <mergeCell ref="M28:N28"/>
    <mergeCell ref="B29:C29"/>
    <mergeCell ref="D29:E29"/>
    <mergeCell ref="F29:G29"/>
    <mergeCell ref="M29:N29"/>
    <mergeCell ref="B30:C30"/>
    <mergeCell ref="D30:E30"/>
    <mergeCell ref="F30:G30"/>
    <mergeCell ref="M30:N30"/>
    <mergeCell ref="B31:C31"/>
    <mergeCell ref="D31:E31"/>
    <mergeCell ref="F31:G31"/>
    <mergeCell ref="M31:N31"/>
    <mergeCell ref="B37:C37"/>
    <mergeCell ref="D37:E37"/>
    <mergeCell ref="F37:G37"/>
    <mergeCell ref="M37:N37"/>
    <mergeCell ref="B39:E39"/>
    <mergeCell ref="B40:E40"/>
    <mergeCell ref="B32:C32"/>
    <mergeCell ref="D32:E32"/>
    <mergeCell ref="F32:G32"/>
    <mergeCell ref="M32:N32"/>
    <mergeCell ref="B33:C33"/>
    <mergeCell ref="D33:E33"/>
    <mergeCell ref="F33:G33"/>
    <mergeCell ref="M33:N33"/>
    <mergeCell ref="B34:C34"/>
    <mergeCell ref="D34:E34"/>
    <mergeCell ref="F34:G34"/>
    <mergeCell ref="B35:C35"/>
    <mergeCell ref="D35:E35"/>
    <mergeCell ref="F35:G35"/>
    <mergeCell ref="M35:N35"/>
    <mergeCell ref="B36:C36"/>
    <mergeCell ref="D36:E36"/>
    <mergeCell ref="F36:G36"/>
    <mergeCell ref="M36:N36"/>
  </mergeCells>
  <phoneticPr fontId="2" type="noConversion"/>
  <printOptions horizontalCentered="1"/>
  <pageMargins left="0.25" right="0.25" top="1.5" bottom="0" header="0.6" footer="0"/>
  <pageSetup scale="45" fitToHeight="0" orientation="landscape" r:id="rId1"/>
  <headerFooter alignWithMargins="0">
    <oddHeader xml:space="preserve">&amp;C&amp;22
&amp;"Arial,Bold"City of Chino 
IEUA Regional Conservation Programs Annual Report
</oddHeader>
  </headerFooter>
  <rowBreaks count="14" manualBreakCount="14">
    <brk id="79" max="16383" man="1"/>
    <brk id="119" max="13" man="1"/>
    <brk id="159" max="13" man="1"/>
    <brk id="198" max="13" man="1"/>
    <brk id="243" max="13" man="1"/>
    <brk id="287" max="13" man="1"/>
    <brk id="329" max="13" man="1"/>
    <brk id="366" max="13" man="1"/>
    <brk id="400" max="13" man="1"/>
    <brk id="443" max="13" man="1"/>
    <brk id="486" max="13" man="1"/>
    <brk id="526" max="13" man="1"/>
    <brk id="556" max="13" man="1"/>
    <brk id="604" max="1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FFC000"/>
  </sheetPr>
  <dimension ref="A3:N459"/>
  <sheetViews>
    <sheetView zoomScale="75" zoomScaleNormal="75" zoomScaleSheetLayoutView="110" workbookViewId="0">
      <selection activeCell="K447" sqref="K447"/>
    </sheetView>
  </sheetViews>
  <sheetFormatPr baseColWidth="10" defaultColWidth="8.83203125" defaultRowHeight="13"/>
  <cols>
    <col min="1" max="1" width="48.5" bestFit="1" customWidth="1"/>
    <col min="4" max="4" width="10.5" customWidth="1"/>
    <col min="5" max="6" width="10.33203125" customWidth="1"/>
    <col min="7" max="7" width="10.5" customWidth="1"/>
    <col min="9" max="9" width="10.1640625" customWidth="1"/>
    <col min="10" max="10" width="10.1640625" bestFit="1" customWidth="1"/>
    <col min="11" max="11" width="11.1640625" bestFit="1" customWidth="1"/>
  </cols>
  <sheetData>
    <row r="3" spans="1:14" ht="14" thickBot="1">
      <c r="B3" s="43" t="s">
        <v>35</v>
      </c>
      <c r="C3" s="43" t="s">
        <v>36</v>
      </c>
      <c r="D3" s="43" t="s">
        <v>37</v>
      </c>
      <c r="E3" s="43" t="s">
        <v>38</v>
      </c>
      <c r="F3" s="43" t="s">
        <v>39</v>
      </c>
      <c r="G3" s="43" t="s">
        <v>40</v>
      </c>
      <c r="H3" s="43" t="s">
        <v>41</v>
      </c>
      <c r="I3" s="43" t="s">
        <v>42</v>
      </c>
      <c r="J3" s="43" t="s">
        <v>43</v>
      </c>
      <c r="K3" s="43" t="s">
        <v>44</v>
      </c>
      <c r="L3" s="43" t="s">
        <v>45</v>
      </c>
      <c r="M3" s="43" t="s">
        <v>46</v>
      </c>
      <c r="N3" s="43" t="s">
        <v>10</v>
      </c>
    </row>
    <row r="4" spans="1:14" ht="17" thickBot="1">
      <c r="A4" s="31" t="s">
        <v>34</v>
      </c>
      <c r="B4" s="24"/>
      <c r="C4" s="24"/>
      <c r="D4" s="22"/>
      <c r="E4" s="22"/>
      <c r="F4" s="25"/>
      <c r="G4" s="25"/>
      <c r="H4" s="22"/>
      <c r="I4" s="22"/>
      <c r="J4" s="22"/>
      <c r="K4" s="22"/>
      <c r="L4" s="24"/>
      <c r="M4" s="24"/>
      <c r="N4" s="26"/>
    </row>
    <row r="5" spans="1:14" ht="14" thickBot="1">
      <c r="A5" s="38" t="s">
        <v>48</v>
      </c>
      <c r="B5" s="39"/>
      <c r="C5" s="39"/>
      <c r="D5" s="39"/>
      <c r="E5" s="39"/>
      <c r="F5" s="39"/>
      <c r="G5" s="39"/>
      <c r="H5" s="39"/>
      <c r="I5" s="39"/>
      <c r="J5" s="39"/>
      <c r="K5" s="39"/>
      <c r="L5" s="39"/>
      <c r="M5" s="39"/>
      <c r="N5" s="40"/>
    </row>
    <row r="6" spans="1:14">
      <c r="A6" s="32" t="s">
        <v>28</v>
      </c>
      <c r="B6" s="1092">
        <v>0</v>
      </c>
      <c r="C6" s="1092">
        <v>0</v>
      </c>
      <c r="D6" s="1092">
        <v>0</v>
      </c>
      <c r="E6" s="1092">
        <v>0</v>
      </c>
      <c r="F6" s="1092">
        <v>0</v>
      </c>
      <c r="G6" s="1092">
        <v>1</v>
      </c>
      <c r="H6" s="1092">
        <v>0</v>
      </c>
      <c r="I6" s="1092">
        <v>3</v>
      </c>
      <c r="J6" s="1092">
        <v>0</v>
      </c>
      <c r="K6" s="1092">
        <v>3</v>
      </c>
      <c r="L6" s="1092">
        <v>0</v>
      </c>
      <c r="M6" s="1092">
        <v>0</v>
      </c>
      <c r="N6" s="27">
        <f t="shared" ref="N6:N26" si="0">SUM(B6:M6)</f>
        <v>7</v>
      </c>
    </row>
    <row r="7" spans="1:14">
      <c r="A7" s="32" t="s">
        <v>29</v>
      </c>
      <c r="B7" s="1092">
        <v>0</v>
      </c>
      <c r="C7" s="1092">
        <v>0</v>
      </c>
      <c r="D7" s="1092">
        <v>0</v>
      </c>
      <c r="E7" s="1092">
        <v>1</v>
      </c>
      <c r="F7" s="1092">
        <v>1</v>
      </c>
      <c r="G7" s="1092">
        <v>0</v>
      </c>
      <c r="H7" s="1092">
        <v>0</v>
      </c>
      <c r="I7" s="1092">
        <v>2</v>
      </c>
      <c r="J7" s="1092">
        <v>2</v>
      </c>
      <c r="K7" s="1092">
        <v>2</v>
      </c>
      <c r="L7" s="1092">
        <v>2</v>
      </c>
      <c r="M7" s="1092">
        <v>4</v>
      </c>
      <c r="N7" s="27">
        <f t="shared" si="0"/>
        <v>14</v>
      </c>
    </row>
    <row r="8" spans="1:14">
      <c r="A8" s="32" t="s">
        <v>33</v>
      </c>
      <c r="B8" s="1092">
        <v>8</v>
      </c>
      <c r="C8" s="1092">
        <v>0</v>
      </c>
      <c r="D8" s="1092">
        <v>26</v>
      </c>
      <c r="E8" s="1092">
        <v>33</v>
      </c>
      <c r="F8" s="1092">
        <v>22</v>
      </c>
      <c r="G8" s="1092">
        <v>10</v>
      </c>
      <c r="H8" s="1092">
        <v>26</v>
      </c>
      <c r="I8" s="1092">
        <v>14</v>
      </c>
      <c r="J8" s="1092">
        <v>13</v>
      </c>
      <c r="K8" s="1092">
        <v>43</v>
      </c>
      <c r="L8" s="1092">
        <v>14</v>
      </c>
      <c r="M8" s="1092">
        <v>31</v>
      </c>
      <c r="N8" s="27">
        <f t="shared" si="0"/>
        <v>240</v>
      </c>
    </row>
    <row r="9" spans="1:14">
      <c r="A9" s="32" t="s">
        <v>56</v>
      </c>
      <c r="B9" s="1092">
        <v>0</v>
      </c>
      <c r="C9" s="1092">
        <v>0</v>
      </c>
      <c r="D9" s="1092">
        <v>0</v>
      </c>
      <c r="E9" s="1092">
        <v>0</v>
      </c>
      <c r="F9" s="1092">
        <v>0</v>
      </c>
      <c r="G9" s="1092">
        <v>0</v>
      </c>
      <c r="H9" s="1092">
        <v>0</v>
      </c>
      <c r="I9" s="1092">
        <v>0</v>
      </c>
      <c r="J9" s="1092">
        <v>0</v>
      </c>
      <c r="K9" s="1092">
        <v>0</v>
      </c>
      <c r="L9" s="1092">
        <v>0</v>
      </c>
      <c r="M9" s="1092">
        <v>0</v>
      </c>
      <c r="N9" s="27">
        <f t="shared" si="0"/>
        <v>0</v>
      </c>
    </row>
    <row r="10" spans="1:14">
      <c r="A10" s="32" t="s">
        <v>52</v>
      </c>
      <c r="B10" s="1092">
        <v>0</v>
      </c>
      <c r="C10" s="1092">
        <v>0</v>
      </c>
      <c r="D10" s="1092">
        <v>0</v>
      </c>
      <c r="E10" s="1092">
        <v>0</v>
      </c>
      <c r="F10" s="1092">
        <v>0</v>
      </c>
      <c r="G10" s="1092">
        <v>0</v>
      </c>
      <c r="H10" s="1092">
        <v>0</v>
      </c>
      <c r="I10" s="1092">
        <v>0</v>
      </c>
      <c r="J10" s="1092">
        <v>0</v>
      </c>
      <c r="K10" s="1092">
        <v>0</v>
      </c>
      <c r="L10" s="1092">
        <v>0</v>
      </c>
      <c r="M10" s="1092">
        <v>0</v>
      </c>
      <c r="N10" s="27">
        <f>SUM(B10:M10)</f>
        <v>0</v>
      </c>
    </row>
    <row r="11" spans="1:14">
      <c r="A11" s="33" t="s">
        <v>84</v>
      </c>
      <c r="B11" s="1092">
        <v>0</v>
      </c>
      <c r="C11" s="1092">
        <v>0</v>
      </c>
      <c r="D11" s="1092">
        <v>0</v>
      </c>
      <c r="E11" s="1092">
        <v>0</v>
      </c>
      <c r="F11" s="1092">
        <v>0</v>
      </c>
      <c r="G11" s="1092">
        <v>0</v>
      </c>
      <c r="H11" s="1092">
        <v>0</v>
      </c>
      <c r="I11" s="1092">
        <v>0</v>
      </c>
      <c r="J11" s="1092">
        <v>0</v>
      </c>
      <c r="K11" s="1092">
        <v>0</v>
      </c>
      <c r="L11" s="1092">
        <v>1</v>
      </c>
      <c r="M11" s="1092">
        <v>0</v>
      </c>
      <c r="N11" s="27">
        <f>SUM(B11:M11)</f>
        <v>1</v>
      </c>
    </row>
    <row r="12" spans="1:14" ht="14" thickBot="1">
      <c r="A12" s="33" t="s">
        <v>85</v>
      </c>
      <c r="B12" s="1092">
        <v>0</v>
      </c>
      <c r="C12" s="1092">
        <v>0</v>
      </c>
      <c r="D12" s="1092">
        <v>0</v>
      </c>
      <c r="E12" s="1092">
        <v>0</v>
      </c>
      <c r="F12" s="1092">
        <v>0</v>
      </c>
      <c r="G12" s="1092">
        <v>0</v>
      </c>
      <c r="H12" s="1092">
        <v>0</v>
      </c>
      <c r="I12" s="1092">
        <v>0</v>
      </c>
      <c r="J12" s="1092">
        <v>0</v>
      </c>
      <c r="K12" s="1092">
        <v>1</v>
      </c>
      <c r="L12" s="1092">
        <v>2</v>
      </c>
      <c r="M12" s="1092">
        <v>4</v>
      </c>
      <c r="N12" s="27">
        <f>SUM(B12:M12)</f>
        <v>7</v>
      </c>
    </row>
    <row r="13" spans="1:14" ht="14" thickBot="1">
      <c r="A13" s="53" t="s">
        <v>60</v>
      </c>
      <c r="B13" s="55">
        <f>SUM(B6:B12)</f>
        <v>8</v>
      </c>
      <c r="C13" s="55">
        <f>SUM(C6:C12)</f>
        <v>0</v>
      </c>
      <c r="D13" s="55">
        <f t="shared" ref="D13:N13" si="1">SUM(D6:D12)</f>
        <v>26</v>
      </c>
      <c r="E13" s="55">
        <f t="shared" si="1"/>
        <v>34</v>
      </c>
      <c r="F13" s="55">
        <f t="shared" si="1"/>
        <v>23</v>
      </c>
      <c r="G13" s="55">
        <f t="shared" si="1"/>
        <v>11</v>
      </c>
      <c r="H13" s="55">
        <f t="shared" si="1"/>
        <v>26</v>
      </c>
      <c r="I13" s="55">
        <f t="shared" si="1"/>
        <v>19</v>
      </c>
      <c r="J13" s="55">
        <f t="shared" si="1"/>
        <v>15</v>
      </c>
      <c r="K13" s="55">
        <f t="shared" si="1"/>
        <v>49</v>
      </c>
      <c r="L13" s="55">
        <f t="shared" si="1"/>
        <v>19</v>
      </c>
      <c r="M13" s="55">
        <f t="shared" si="1"/>
        <v>39</v>
      </c>
      <c r="N13" s="54">
        <f t="shared" si="1"/>
        <v>269</v>
      </c>
    </row>
    <row r="14" spans="1:14" ht="14" thickBot="1">
      <c r="A14" s="38" t="s">
        <v>49</v>
      </c>
      <c r="B14" s="39"/>
      <c r="C14" s="39"/>
      <c r="D14" s="39"/>
      <c r="E14" s="39"/>
      <c r="F14" s="39"/>
      <c r="G14" s="39"/>
      <c r="H14" s="39"/>
      <c r="I14" s="39"/>
      <c r="J14" s="39"/>
      <c r="K14" s="39"/>
      <c r="L14" s="39"/>
      <c r="M14" s="39"/>
      <c r="N14" s="40"/>
    </row>
    <row r="15" spans="1:14" ht="14" thickBot="1">
      <c r="A15" s="33" t="s">
        <v>49</v>
      </c>
      <c r="B15" s="1092">
        <v>0</v>
      </c>
      <c r="C15" s="1092">
        <v>0</v>
      </c>
      <c r="D15" s="1092">
        <v>0</v>
      </c>
      <c r="E15" s="1092">
        <v>0</v>
      </c>
      <c r="F15" s="1092">
        <v>0</v>
      </c>
      <c r="G15" s="1092">
        <v>0</v>
      </c>
      <c r="H15" s="1092">
        <v>0</v>
      </c>
      <c r="I15" s="1092">
        <v>0</v>
      </c>
      <c r="J15" s="1092">
        <v>0</v>
      </c>
      <c r="K15" s="1092">
        <v>0</v>
      </c>
      <c r="L15" s="1092">
        <v>0</v>
      </c>
      <c r="M15" s="1092">
        <v>0</v>
      </c>
      <c r="N15" s="27">
        <f>SUM(B15:M15)</f>
        <v>0</v>
      </c>
    </row>
    <row r="16" spans="1:14" ht="14" thickBot="1">
      <c r="A16" s="53" t="s">
        <v>60</v>
      </c>
      <c r="B16" s="55">
        <f>SUM(B15)</f>
        <v>0</v>
      </c>
      <c r="C16" s="55">
        <f t="shared" ref="C16:N16" si="2">SUM(C15)</f>
        <v>0</v>
      </c>
      <c r="D16" s="55">
        <f t="shared" si="2"/>
        <v>0</v>
      </c>
      <c r="E16" s="55">
        <f t="shared" si="2"/>
        <v>0</v>
      </c>
      <c r="F16" s="55">
        <f t="shared" si="2"/>
        <v>0</v>
      </c>
      <c r="G16" s="55">
        <f t="shared" si="2"/>
        <v>0</v>
      </c>
      <c r="H16" s="55">
        <f t="shared" si="2"/>
        <v>0</v>
      </c>
      <c r="I16" s="55">
        <f t="shared" si="2"/>
        <v>0</v>
      </c>
      <c r="J16" s="55">
        <f t="shared" si="2"/>
        <v>0</v>
      </c>
      <c r="K16" s="55">
        <f t="shared" si="2"/>
        <v>0</v>
      </c>
      <c r="L16" s="55">
        <f t="shared" si="2"/>
        <v>0</v>
      </c>
      <c r="M16" s="55">
        <f t="shared" si="2"/>
        <v>0</v>
      </c>
      <c r="N16" s="54">
        <f t="shared" si="2"/>
        <v>0</v>
      </c>
    </row>
    <row r="17" spans="1:14" ht="14" thickBot="1">
      <c r="A17" s="38" t="s">
        <v>50</v>
      </c>
      <c r="B17" s="39"/>
      <c r="C17" s="39"/>
      <c r="D17" s="39"/>
      <c r="E17" s="39"/>
      <c r="F17" s="39"/>
      <c r="G17" s="39"/>
      <c r="H17" s="39"/>
      <c r="I17" s="39"/>
      <c r="J17" s="39"/>
      <c r="K17" s="39"/>
      <c r="L17" s="39"/>
      <c r="M17" s="39"/>
      <c r="N17" s="40"/>
    </row>
    <row r="18" spans="1:14">
      <c r="A18" s="34" t="s">
        <v>26</v>
      </c>
      <c r="B18" s="1092">
        <v>0</v>
      </c>
      <c r="C18" s="1092">
        <v>0</v>
      </c>
      <c r="D18" s="1092">
        <v>0</v>
      </c>
      <c r="E18" s="1092">
        <v>0</v>
      </c>
      <c r="F18" s="1092">
        <v>0</v>
      </c>
      <c r="G18" s="1092">
        <v>0</v>
      </c>
      <c r="H18" s="1092">
        <v>0</v>
      </c>
      <c r="I18" s="1092">
        <v>0</v>
      </c>
      <c r="J18" s="1092">
        <v>0</v>
      </c>
      <c r="K18" s="1092">
        <v>0</v>
      </c>
      <c r="L18" s="1092">
        <v>0</v>
      </c>
      <c r="M18" s="1092">
        <v>0</v>
      </c>
      <c r="N18" s="27">
        <f t="shared" si="0"/>
        <v>0</v>
      </c>
    </row>
    <row r="19" spans="1:14">
      <c r="A19" s="34" t="s">
        <v>25</v>
      </c>
      <c r="B19" s="1092">
        <v>0</v>
      </c>
      <c r="C19" s="1092">
        <v>0</v>
      </c>
      <c r="D19" s="1092">
        <v>0</v>
      </c>
      <c r="E19" s="1092">
        <v>0</v>
      </c>
      <c r="F19" s="1092">
        <v>0</v>
      </c>
      <c r="G19" s="1092">
        <v>0</v>
      </c>
      <c r="H19" s="1092">
        <v>0</v>
      </c>
      <c r="I19" s="1092">
        <v>0</v>
      </c>
      <c r="J19" s="1092">
        <v>0</v>
      </c>
      <c r="K19" s="1092">
        <v>0</v>
      </c>
      <c r="L19" s="1092">
        <v>0</v>
      </c>
      <c r="M19" s="1092">
        <v>0</v>
      </c>
      <c r="N19" s="27">
        <f t="shared" si="0"/>
        <v>0</v>
      </c>
    </row>
    <row r="20" spans="1:14">
      <c r="A20" s="32" t="s">
        <v>29</v>
      </c>
      <c r="B20" s="1092">
        <v>0</v>
      </c>
      <c r="C20" s="1092">
        <v>0</v>
      </c>
      <c r="D20" s="1092">
        <v>0</v>
      </c>
      <c r="E20" s="1092">
        <v>0</v>
      </c>
      <c r="F20" s="1092">
        <v>0</v>
      </c>
      <c r="G20" s="1092">
        <v>0</v>
      </c>
      <c r="H20" s="1092">
        <v>0</v>
      </c>
      <c r="I20" s="1092">
        <v>0</v>
      </c>
      <c r="J20" s="1092">
        <v>0</v>
      </c>
      <c r="K20" s="1092">
        <v>0</v>
      </c>
      <c r="L20" s="1092">
        <v>0</v>
      </c>
      <c r="M20" s="1092">
        <v>0</v>
      </c>
      <c r="N20" s="27">
        <f t="shared" si="0"/>
        <v>0</v>
      </c>
    </row>
    <row r="21" spans="1:14">
      <c r="A21" s="32" t="s">
        <v>51</v>
      </c>
      <c r="B21" s="1092">
        <v>0</v>
      </c>
      <c r="C21" s="1092">
        <v>0</v>
      </c>
      <c r="D21" s="1092">
        <v>0</v>
      </c>
      <c r="E21" s="1092">
        <v>0</v>
      </c>
      <c r="F21" s="1092">
        <v>0</v>
      </c>
      <c r="G21" s="1092">
        <v>0</v>
      </c>
      <c r="H21" s="1092">
        <v>0</v>
      </c>
      <c r="I21" s="1092">
        <v>0</v>
      </c>
      <c r="J21" s="1092">
        <v>0</v>
      </c>
      <c r="K21" s="1092">
        <v>0</v>
      </c>
      <c r="L21" s="1092">
        <v>0</v>
      </c>
      <c r="M21" s="1092">
        <v>14</v>
      </c>
      <c r="N21" s="27">
        <f t="shared" si="0"/>
        <v>14</v>
      </c>
    </row>
    <row r="22" spans="1:14">
      <c r="A22" s="34" t="s">
        <v>20</v>
      </c>
      <c r="B22" s="1092">
        <v>0</v>
      </c>
      <c r="C22" s="1092">
        <v>0</v>
      </c>
      <c r="D22" s="1092">
        <v>0</v>
      </c>
      <c r="E22" s="1092">
        <v>0</v>
      </c>
      <c r="F22" s="1092">
        <v>0</v>
      </c>
      <c r="G22" s="1092">
        <v>0</v>
      </c>
      <c r="H22" s="1092">
        <v>0</v>
      </c>
      <c r="I22" s="1092">
        <v>0</v>
      </c>
      <c r="J22" s="1092">
        <v>0</v>
      </c>
      <c r="K22" s="1092">
        <v>0</v>
      </c>
      <c r="L22" s="1092">
        <v>0</v>
      </c>
      <c r="M22" s="1092">
        <v>0</v>
      </c>
      <c r="N22" s="27">
        <f t="shared" si="0"/>
        <v>0</v>
      </c>
    </row>
    <row r="23" spans="1:14">
      <c r="A23" s="34" t="s">
        <v>204</v>
      </c>
      <c r="B23" s="1092">
        <v>0</v>
      </c>
      <c r="C23" s="1092">
        <v>0</v>
      </c>
      <c r="D23" s="1092">
        <v>0</v>
      </c>
      <c r="E23" s="1092">
        <v>0</v>
      </c>
      <c r="F23" s="1092">
        <v>0</v>
      </c>
      <c r="G23" s="1092">
        <v>0</v>
      </c>
      <c r="H23" s="1092">
        <v>0</v>
      </c>
      <c r="I23" s="1092">
        <v>0</v>
      </c>
      <c r="J23" s="1092">
        <v>0</v>
      </c>
      <c r="K23" s="1092">
        <v>0</v>
      </c>
      <c r="L23" s="1092">
        <v>0</v>
      </c>
      <c r="M23" s="1092">
        <v>0</v>
      </c>
      <c r="N23" s="27">
        <f t="shared" si="0"/>
        <v>0</v>
      </c>
    </row>
    <row r="24" spans="1:14">
      <c r="A24" s="35" t="s">
        <v>47</v>
      </c>
      <c r="B24" s="1092">
        <v>0</v>
      </c>
      <c r="C24" s="1092">
        <v>0</v>
      </c>
      <c r="D24" s="1092">
        <v>0</v>
      </c>
      <c r="E24" s="1092">
        <v>0</v>
      </c>
      <c r="F24" s="1092">
        <v>0</v>
      </c>
      <c r="G24" s="1092">
        <v>0</v>
      </c>
      <c r="H24" s="1092">
        <v>0</v>
      </c>
      <c r="I24" s="1092">
        <v>0</v>
      </c>
      <c r="J24" s="1092">
        <v>0</v>
      </c>
      <c r="K24" s="1092">
        <v>0</v>
      </c>
      <c r="L24" s="1092">
        <v>0</v>
      </c>
      <c r="M24" s="1092">
        <v>0</v>
      </c>
      <c r="N24" s="27">
        <f t="shared" si="0"/>
        <v>0</v>
      </c>
    </row>
    <row r="25" spans="1:14">
      <c r="A25" s="33" t="s">
        <v>52</v>
      </c>
      <c r="B25" s="1092">
        <v>0</v>
      </c>
      <c r="C25" s="1092">
        <v>0</v>
      </c>
      <c r="D25" s="1092">
        <v>0</v>
      </c>
      <c r="E25" s="1092">
        <v>0</v>
      </c>
      <c r="F25" s="1092">
        <v>0</v>
      </c>
      <c r="G25" s="1092">
        <v>0</v>
      </c>
      <c r="H25" s="1092">
        <v>0</v>
      </c>
      <c r="I25" s="1092">
        <v>0</v>
      </c>
      <c r="J25" s="1092">
        <v>0</v>
      </c>
      <c r="K25" s="1092">
        <v>0</v>
      </c>
      <c r="L25" s="1092">
        <v>0</v>
      </c>
      <c r="M25" s="1092">
        <v>0</v>
      </c>
      <c r="N25" s="27">
        <f t="shared" si="0"/>
        <v>0</v>
      </c>
    </row>
    <row r="26" spans="1:14">
      <c r="A26" s="33" t="s">
        <v>53</v>
      </c>
      <c r="B26" s="1092">
        <v>0</v>
      </c>
      <c r="C26" s="1092">
        <v>0</v>
      </c>
      <c r="D26" s="1092">
        <v>0</v>
      </c>
      <c r="E26" s="1092">
        <v>0</v>
      </c>
      <c r="F26" s="1092">
        <v>0</v>
      </c>
      <c r="G26" s="1092">
        <v>0</v>
      </c>
      <c r="H26" s="1092">
        <v>0</v>
      </c>
      <c r="I26" s="1092">
        <v>0</v>
      </c>
      <c r="J26" s="1092">
        <v>0</v>
      </c>
      <c r="K26" s="1092">
        <v>0</v>
      </c>
      <c r="L26" s="1092">
        <v>0</v>
      </c>
      <c r="M26" s="1092">
        <v>0</v>
      </c>
      <c r="N26" s="27">
        <f t="shared" si="0"/>
        <v>0</v>
      </c>
    </row>
    <row r="27" spans="1:14" ht="14" thickBot="1">
      <c r="A27" s="32" t="s">
        <v>56</v>
      </c>
      <c r="B27" s="1092">
        <v>0</v>
      </c>
      <c r="C27" s="1092">
        <v>0</v>
      </c>
      <c r="D27" s="1092">
        <v>0</v>
      </c>
      <c r="E27" s="1092">
        <v>0</v>
      </c>
      <c r="F27" s="1092">
        <v>0</v>
      </c>
      <c r="G27" s="1092">
        <v>0</v>
      </c>
      <c r="H27" s="1092">
        <v>0</v>
      </c>
      <c r="I27" s="1092">
        <v>0</v>
      </c>
      <c r="J27" s="1092">
        <v>0</v>
      </c>
      <c r="K27" s="1092">
        <v>0</v>
      </c>
      <c r="L27" s="1092">
        <v>0</v>
      </c>
      <c r="M27" s="1092">
        <v>0</v>
      </c>
      <c r="N27" s="27">
        <f>SUM(B27:M27)</f>
        <v>0</v>
      </c>
    </row>
    <row r="28" spans="1:14" ht="14" thickBot="1">
      <c r="A28" s="53" t="s">
        <v>60</v>
      </c>
      <c r="B28" s="55">
        <f>SUM(B18:B27)</f>
        <v>0</v>
      </c>
      <c r="C28" s="55">
        <f t="shared" ref="C28:N28" si="3">SUM(C18:C27)</f>
        <v>0</v>
      </c>
      <c r="D28" s="55">
        <f t="shared" si="3"/>
        <v>0</v>
      </c>
      <c r="E28" s="55">
        <f t="shared" si="3"/>
        <v>0</v>
      </c>
      <c r="F28" s="55">
        <f t="shared" si="3"/>
        <v>0</v>
      </c>
      <c r="G28" s="55">
        <f t="shared" si="3"/>
        <v>0</v>
      </c>
      <c r="H28" s="55">
        <f t="shared" si="3"/>
        <v>0</v>
      </c>
      <c r="I28" s="55">
        <f t="shared" si="3"/>
        <v>0</v>
      </c>
      <c r="J28" s="55">
        <f t="shared" si="3"/>
        <v>0</v>
      </c>
      <c r="K28" s="55">
        <f t="shared" si="3"/>
        <v>0</v>
      </c>
      <c r="L28" s="55">
        <f t="shared" si="3"/>
        <v>0</v>
      </c>
      <c r="M28" s="55">
        <f t="shared" si="3"/>
        <v>14</v>
      </c>
      <c r="N28" s="54">
        <f t="shared" si="3"/>
        <v>14</v>
      </c>
    </row>
    <row r="29" spans="1:14" ht="14" thickBot="1">
      <c r="A29" s="38" t="s">
        <v>54</v>
      </c>
      <c r="B29" s="41"/>
      <c r="C29" s="41"/>
      <c r="D29" s="41"/>
      <c r="E29" s="41"/>
      <c r="F29" s="41"/>
      <c r="G29" s="41"/>
      <c r="H29" s="41"/>
      <c r="I29" s="41"/>
      <c r="J29" s="41"/>
      <c r="K29" s="41"/>
      <c r="L29" s="41"/>
      <c r="M29" s="41"/>
      <c r="N29" s="42"/>
    </row>
    <row r="30" spans="1:14">
      <c r="A30" s="36" t="s">
        <v>29</v>
      </c>
      <c r="B30" s="1099">
        <v>0</v>
      </c>
      <c r="C30" s="1100">
        <v>0</v>
      </c>
      <c r="D30" s="1100">
        <v>0</v>
      </c>
      <c r="E30" s="1100">
        <v>0</v>
      </c>
      <c r="F30" s="1100">
        <v>0</v>
      </c>
      <c r="G30" s="1100">
        <v>0</v>
      </c>
      <c r="H30" s="1100">
        <v>0</v>
      </c>
      <c r="I30" s="1100">
        <v>0</v>
      </c>
      <c r="J30" s="1100">
        <v>0</v>
      </c>
      <c r="K30" s="1100">
        <v>0</v>
      </c>
      <c r="L30" s="1093">
        <v>0</v>
      </c>
      <c r="M30" s="1101">
        <v>0</v>
      </c>
      <c r="N30" s="28">
        <f>SUM(B30:M30)</f>
        <v>0</v>
      </c>
    </row>
    <row r="31" spans="1:14">
      <c r="A31" s="34" t="s">
        <v>51</v>
      </c>
      <c r="B31" s="1102">
        <v>0</v>
      </c>
      <c r="C31" s="1092">
        <v>0</v>
      </c>
      <c r="D31" s="1092">
        <v>0</v>
      </c>
      <c r="E31" s="1092">
        <v>0</v>
      </c>
      <c r="F31" s="1092">
        <v>0</v>
      </c>
      <c r="G31" s="1092">
        <v>0</v>
      </c>
      <c r="H31" s="1092">
        <v>0</v>
      </c>
      <c r="I31" s="1092">
        <v>0</v>
      </c>
      <c r="J31" s="1092">
        <v>0</v>
      </c>
      <c r="K31" s="1092">
        <v>0</v>
      </c>
      <c r="L31" s="1092">
        <v>0</v>
      </c>
      <c r="M31" s="1103">
        <v>0</v>
      </c>
      <c r="N31" s="29">
        <f>SUM(B31:M31)</f>
        <v>0</v>
      </c>
    </row>
    <row r="32" spans="1:14">
      <c r="A32" s="34" t="s">
        <v>15</v>
      </c>
      <c r="B32" s="1102">
        <v>0</v>
      </c>
      <c r="C32" s="1092">
        <v>0</v>
      </c>
      <c r="D32" s="1092">
        <v>0</v>
      </c>
      <c r="E32" s="1092">
        <v>0</v>
      </c>
      <c r="F32" s="1092">
        <v>0</v>
      </c>
      <c r="G32" s="1092">
        <v>0</v>
      </c>
      <c r="H32" s="1092">
        <v>0</v>
      </c>
      <c r="I32" s="1092">
        <v>0</v>
      </c>
      <c r="J32" s="1092">
        <v>0</v>
      </c>
      <c r="K32" s="1092">
        <v>0</v>
      </c>
      <c r="L32" s="1094">
        <v>45</v>
      </c>
      <c r="M32" s="1103">
        <v>0</v>
      </c>
      <c r="N32" s="29">
        <f>SUM(B32:M32)</f>
        <v>45</v>
      </c>
    </row>
    <row r="33" spans="1:14">
      <c r="A33" s="34" t="s">
        <v>30</v>
      </c>
      <c r="B33" s="1102">
        <v>0</v>
      </c>
      <c r="C33" s="1092">
        <v>0</v>
      </c>
      <c r="D33" s="1092">
        <v>0</v>
      </c>
      <c r="E33" s="1092">
        <v>0</v>
      </c>
      <c r="F33" s="1092">
        <v>0</v>
      </c>
      <c r="G33" s="1092">
        <v>0</v>
      </c>
      <c r="H33" s="1092">
        <v>0</v>
      </c>
      <c r="I33" s="1092">
        <v>0</v>
      </c>
      <c r="J33" s="1092">
        <v>0</v>
      </c>
      <c r="K33" s="1092">
        <v>0</v>
      </c>
      <c r="L33" s="1092">
        <v>0</v>
      </c>
      <c r="M33" s="1103">
        <v>0</v>
      </c>
      <c r="N33" s="29">
        <f>SUM(B33:M33)</f>
        <v>0</v>
      </c>
    </row>
    <row r="34" spans="1:14" ht="14" thickBot="1">
      <c r="A34" s="37" t="s">
        <v>55</v>
      </c>
      <c r="B34" s="1105">
        <v>0</v>
      </c>
      <c r="C34" s="1106">
        <v>0</v>
      </c>
      <c r="D34" s="1106">
        <v>0</v>
      </c>
      <c r="E34" s="1106">
        <v>0</v>
      </c>
      <c r="F34" s="1106">
        <v>0</v>
      </c>
      <c r="G34" s="1106">
        <v>0</v>
      </c>
      <c r="H34" s="1106">
        <v>0</v>
      </c>
      <c r="I34" s="1106">
        <v>0</v>
      </c>
      <c r="J34" s="1106">
        <v>0</v>
      </c>
      <c r="K34" s="1106">
        <v>0</v>
      </c>
      <c r="L34" s="1097">
        <v>0</v>
      </c>
      <c r="M34" s="1098">
        <v>0</v>
      </c>
      <c r="N34" s="30">
        <f>SUM(B34:M34)</f>
        <v>0</v>
      </c>
    </row>
    <row r="35" spans="1:14" ht="14" thickBot="1">
      <c r="A35" s="53" t="s">
        <v>60</v>
      </c>
      <c r="B35" s="55">
        <f>SUM(B30:B34)</f>
        <v>0</v>
      </c>
      <c r="C35" s="55">
        <f t="shared" ref="C35:N35" si="4">SUM(C30:C34)</f>
        <v>0</v>
      </c>
      <c r="D35" s="55">
        <f t="shared" si="4"/>
        <v>0</v>
      </c>
      <c r="E35" s="55">
        <f t="shared" si="4"/>
        <v>0</v>
      </c>
      <c r="F35" s="55">
        <f t="shared" si="4"/>
        <v>0</v>
      </c>
      <c r="G35" s="55">
        <f t="shared" si="4"/>
        <v>0</v>
      </c>
      <c r="H35" s="55">
        <f t="shared" si="4"/>
        <v>0</v>
      </c>
      <c r="I35" s="55">
        <f t="shared" si="4"/>
        <v>0</v>
      </c>
      <c r="J35" s="55">
        <f t="shared" si="4"/>
        <v>0</v>
      </c>
      <c r="K35" s="55">
        <f t="shared" si="4"/>
        <v>0</v>
      </c>
      <c r="L35" s="55">
        <f t="shared" si="4"/>
        <v>45</v>
      </c>
      <c r="M35" s="55">
        <f t="shared" si="4"/>
        <v>0</v>
      </c>
      <c r="N35" s="302">
        <f t="shared" si="4"/>
        <v>45</v>
      </c>
    </row>
    <row r="38" spans="1:14" ht="14" thickBot="1">
      <c r="B38" s="43" t="s">
        <v>35</v>
      </c>
      <c r="C38" s="43" t="s">
        <v>36</v>
      </c>
      <c r="D38" s="43" t="s">
        <v>37</v>
      </c>
      <c r="E38" s="43" t="s">
        <v>38</v>
      </c>
      <c r="F38" s="43" t="s">
        <v>39</v>
      </c>
      <c r="G38" s="43" t="s">
        <v>40</v>
      </c>
      <c r="H38" s="43" t="s">
        <v>41</v>
      </c>
      <c r="I38" s="43" t="s">
        <v>42</v>
      </c>
      <c r="J38" s="43" t="s">
        <v>43</v>
      </c>
      <c r="K38" s="43" t="s">
        <v>44</v>
      </c>
      <c r="L38" s="43" t="s">
        <v>45</v>
      </c>
      <c r="M38" s="43" t="s">
        <v>46</v>
      </c>
      <c r="N38" s="43" t="s">
        <v>10</v>
      </c>
    </row>
    <row r="39" spans="1:14" ht="17" thickBot="1">
      <c r="A39" s="31" t="s">
        <v>99</v>
      </c>
      <c r="B39" s="24"/>
      <c r="C39" s="24"/>
      <c r="D39" s="22"/>
      <c r="E39" s="22"/>
      <c r="F39" s="25"/>
      <c r="G39" s="25"/>
      <c r="H39" s="22"/>
      <c r="I39" s="22"/>
      <c r="J39" s="22"/>
      <c r="K39" s="22"/>
      <c r="L39" s="24"/>
      <c r="M39" s="24"/>
      <c r="N39" s="26"/>
    </row>
    <row r="40" spans="1:14" ht="14" thickBot="1">
      <c r="A40" s="38" t="s">
        <v>48</v>
      </c>
      <c r="B40" s="39"/>
      <c r="C40" s="39"/>
      <c r="D40" s="39"/>
      <c r="E40" s="39"/>
      <c r="F40" s="39"/>
      <c r="G40" s="39"/>
      <c r="H40" s="39"/>
      <c r="I40" s="39"/>
      <c r="J40" s="39"/>
      <c r="K40" s="39"/>
      <c r="L40" s="39"/>
      <c r="M40" s="39"/>
      <c r="N40" s="40"/>
    </row>
    <row r="41" spans="1:14">
      <c r="A41" s="32" t="s">
        <v>28</v>
      </c>
      <c r="B41" s="1092">
        <v>0</v>
      </c>
      <c r="C41" s="1092">
        <v>0</v>
      </c>
      <c r="D41" s="1092">
        <v>0</v>
      </c>
      <c r="E41" s="1092">
        <v>0</v>
      </c>
      <c r="F41" s="1092">
        <v>0</v>
      </c>
      <c r="G41" s="1092">
        <v>0</v>
      </c>
      <c r="H41" s="1092">
        <v>0</v>
      </c>
      <c r="I41" s="1092">
        <v>0</v>
      </c>
      <c r="J41" s="1092">
        <v>0</v>
      </c>
      <c r="K41" s="1092">
        <v>0</v>
      </c>
      <c r="L41" s="1092">
        <v>0</v>
      </c>
      <c r="M41" s="1092">
        <v>0</v>
      </c>
      <c r="N41" s="27">
        <f>SUM(B41:M41)</f>
        <v>0</v>
      </c>
    </row>
    <row r="42" spans="1:14">
      <c r="A42" s="32" t="s">
        <v>29</v>
      </c>
      <c r="B42" s="1092">
        <v>0</v>
      </c>
      <c r="C42" s="1092">
        <v>0</v>
      </c>
      <c r="D42" s="1092">
        <v>4</v>
      </c>
      <c r="E42" s="1092">
        <v>6</v>
      </c>
      <c r="F42" s="1092">
        <v>2</v>
      </c>
      <c r="G42" s="1092">
        <v>15</v>
      </c>
      <c r="H42" s="1092">
        <v>14</v>
      </c>
      <c r="I42" s="1092">
        <v>4</v>
      </c>
      <c r="J42" s="1092">
        <v>9</v>
      </c>
      <c r="K42" s="1092">
        <v>5</v>
      </c>
      <c r="L42" s="1092">
        <v>7</v>
      </c>
      <c r="M42" s="1092">
        <v>4</v>
      </c>
      <c r="N42" s="27">
        <f>SUM(B42:M42)</f>
        <v>70</v>
      </c>
    </row>
    <row r="43" spans="1:14">
      <c r="A43" s="32" t="s">
        <v>33</v>
      </c>
      <c r="B43" s="1092">
        <v>0</v>
      </c>
      <c r="C43" s="1092">
        <v>0</v>
      </c>
      <c r="D43" s="1092">
        <v>15</v>
      </c>
      <c r="E43" s="1092">
        <v>32</v>
      </c>
      <c r="F43" s="1092">
        <v>10</v>
      </c>
      <c r="G43" s="1092">
        <v>25</v>
      </c>
      <c r="H43" s="1092">
        <v>5</v>
      </c>
      <c r="I43" s="1092">
        <v>16</v>
      </c>
      <c r="J43" s="1092">
        <v>37</v>
      </c>
      <c r="K43" s="1092">
        <v>22</v>
      </c>
      <c r="L43" s="1092">
        <v>25</v>
      </c>
      <c r="M43" s="1092">
        <v>20</v>
      </c>
      <c r="N43" s="27">
        <f>SUM(B43:M43)</f>
        <v>207</v>
      </c>
    </row>
    <row r="44" spans="1:14">
      <c r="A44" s="32" t="s">
        <v>56</v>
      </c>
      <c r="B44" s="1092">
        <v>0</v>
      </c>
      <c r="C44" s="1092">
        <v>0</v>
      </c>
      <c r="D44" s="1092">
        <v>0</v>
      </c>
      <c r="E44" s="1092">
        <v>36</v>
      </c>
      <c r="F44" s="1092">
        <v>0</v>
      </c>
      <c r="G44" s="1092">
        <v>0</v>
      </c>
      <c r="H44" s="1092">
        <v>0</v>
      </c>
      <c r="I44" s="1092">
        <v>0</v>
      </c>
      <c r="J44" s="1092">
        <v>0</v>
      </c>
      <c r="K44" s="1092">
        <v>0</v>
      </c>
      <c r="L44" s="1092">
        <v>0</v>
      </c>
      <c r="M44" s="1092">
        <v>0</v>
      </c>
      <c r="N44" s="27">
        <f>SUM(B44:M44)</f>
        <v>36</v>
      </c>
    </row>
    <row r="45" spans="1:14">
      <c r="A45" s="32" t="s">
        <v>52</v>
      </c>
      <c r="B45" s="1092">
        <v>0</v>
      </c>
      <c r="C45" s="1092">
        <v>0</v>
      </c>
      <c r="D45" s="1092">
        <v>0</v>
      </c>
      <c r="E45" s="1092">
        <v>0</v>
      </c>
      <c r="F45" s="1092">
        <v>0</v>
      </c>
      <c r="G45" s="1092">
        <v>0</v>
      </c>
      <c r="H45" s="1092">
        <v>0</v>
      </c>
      <c r="I45" s="1092">
        <v>0</v>
      </c>
      <c r="J45" s="1092">
        <v>0</v>
      </c>
      <c r="K45" s="1092">
        <v>0</v>
      </c>
      <c r="L45" s="1092">
        <v>1</v>
      </c>
      <c r="M45" s="1092">
        <v>0</v>
      </c>
      <c r="N45" s="27">
        <f>SUM(B45:M45)</f>
        <v>1</v>
      </c>
    </row>
    <row r="46" spans="1:14">
      <c r="A46" s="33" t="s">
        <v>106</v>
      </c>
      <c r="B46" s="1092">
        <v>0</v>
      </c>
      <c r="C46" s="1092">
        <v>0</v>
      </c>
      <c r="D46" s="1092">
        <v>0</v>
      </c>
      <c r="E46" s="1092">
        <v>0</v>
      </c>
      <c r="F46" s="1092">
        <v>0</v>
      </c>
      <c r="G46" s="1092">
        <v>0</v>
      </c>
      <c r="H46" s="1092">
        <v>0</v>
      </c>
      <c r="I46" s="1092">
        <v>0</v>
      </c>
      <c r="J46" s="1092">
        <v>0</v>
      </c>
      <c r="K46" s="1092">
        <v>0</v>
      </c>
      <c r="L46" s="1092">
        <v>0</v>
      </c>
      <c r="M46" s="1092">
        <v>0</v>
      </c>
      <c r="N46" s="27">
        <v>16</v>
      </c>
    </row>
    <row r="47" spans="1:14" ht="14" thickBot="1">
      <c r="A47" s="33" t="s">
        <v>107</v>
      </c>
      <c r="B47" s="1092">
        <v>0</v>
      </c>
      <c r="C47" s="1092">
        <v>0</v>
      </c>
      <c r="D47" s="1092">
        <v>0</v>
      </c>
      <c r="E47" s="1092">
        <v>0</v>
      </c>
      <c r="F47" s="1092">
        <v>0</v>
      </c>
      <c r="G47" s="1092">
        <v>0</v>
      </c>
      <c r="H47" s="1092">
        <v>0</v>
      </c>
      <c r="I47" s="1092">
        <v>0</v>
      </c>
      <c r="J47" s="1092">
        <v>0</v>
      </c>
      <c r="K47" s="1092">
        <v>0</v>
      </c>
      <c r="L47" s="1092">
        <v>0</v>
      </c>
      <c r="M47" s="1092">
        <v>0</v>
      </c>
      <c r="N47" s="27">
        <v>23</v>
      </c>
    </row>
    <row r="48" spans="1:14" ht="14" thickBot="1">
      <c r="A48" s="53" t="s">
        <v>60</v>
      </c>
      <c r="B48" s="55">
        <f>SUM(B41:B47)</f>
        <v>0</v>
      </c>
      <c r="C48" s="55">
        <f>SUM(C41:C47)</f>
        <v>0</v>
      </c>
      <c r="D48" s="55">
        <f t="shared" ref="D48:N48" si="5">SUM(D41:D47)</f>
        <v>19</v>
      </c>
      <c r="E48" s="55">
        <f t="shared" si="5"/>
        <v>74</v>
      </c>
      <c r="F48" s="55">
        <f t="shared" si="5"/>
        <v>12</v>
      </c>
      <c r="G48" s="55">
        <f t="shared" si="5"/>
        <v>40</v>
      </c>
      <c r="H48" s="55">
        <f t="shared" si="5"/>
        <v>19</v>
      </c>
      <c r="I48" s="55">
        <f t="shared" si="5"/>
        <v>20</v>
      </c>
      <c r="J48" s="55">
        <f t="shared" si="5"/>
        <v>46</v>
      </c>
      <c r="K48" s="55">
        <f t="shared" si="5"/>
        <v>27</v>
      </c>
      <c r="L48" s="55">
        <f t="shared" si="5"/>
        <v>33</v>
      </c>
      <c r="M48" s="55">
        <f t="shared" si="5"/>
        <v>24</v>
      </c>
      <c r="N48" s="54">
        <f t="shared" si="5"/>
        <v>353</v>
      </c>
    </row>
    <row r="49" spans="1:14" ht="14" thickBot="1">
      <c r="A49" s="38" t="s">
        <v>49</v>
      </c>
      <c r="B49" s="39"/>
      <c r="C49" s="39"/>
      <c r="D49" s="39"/>
      <c r="E49" s="39"/>
      <c r="F49" s="39"/>
      <c r="G49" s="39"/>
      <c r="H49" s="39"/>
      <c r="I49" s="39"/>
      <c r="J49" s="39"/>
      <c r="K49" s="39"/>
      <c r="L49" s="39"/>
      <c r="M49" s="39"/>
      <c r="N49" s="40"/>
    </row>
    <row r="50" spans="1:14" ht="14" thickBot="1">
      <c r="A50" s="33" t="s">
        <v>49</v>
      </c>
      <c r="B50" s="1092">
        <v>0</v>
      </c>
      <c r="C50" s="1092">
        <v>0</v>
      </c>
      <c r="D50" s="1092">
        <v>0</v>
      </c>
      <c r="E50" s="1092">
        <v>0</v>
      </c>
      <c r="F50" s="1092">
        <v>0</v>
      </c>
      <c r="G50" s="1092">
        <v>0</v>
      </c>
      <c r="H50" s="1092">
        <v>0</v>
      </c>
      <c r="I50" s="1092">
        <v>0</v>
      </c>
      <c r="J50" s="1092">
        <v>0</v>
      </c>
      <c r="K50" s="1092">
        <v>0</v>
      </c>
      <c r="L50" s="1092">
        <v>0</v>
      </c>
      <c r="M50" s="1092">
        <v>0</v>
      </c>
      <c r="N50" s="27">
        <f>SUM(B50:M50)</f>
        <v>0</v>
      </c>
    </row>
    <row r="51" spans="1:14" ht="14" thickBot="1">
      <c r="A51" s="53" t="s">
        <v>60</v>
      </c>
      <c r="B51" s="55">
        <f>SUM(B50)</f>
        <v>0</v>
      </c>
      <c r="C51" s="55">
        <f t="shared" ref="C51:N51" si="6">SUM(C50)</f>
        <v>0</v>
      </c>
      <c r="D51" s="55">
        <f t="shared" si="6"/>
        <v>0</v>
      </c>
      <c r="E51" s="55">
        <f t="shared" si="6"/>
        <v>0</v>
      </c>
      <c r="F51" s="55">
        <f t="shared" si="6"/>
        <v>0</v>
      </c>
      <c r="G51" s="55">
        <f t="shared" si="6"/>
        <v>0</v>
      </c>
      <c r="H51" s="55">
        <f t="shared" si="6"/>
        <v>0</v>
      </c>
      <c r="I51" s="55">
        <f t="shared" si="6"/>
        <v>0</v>
      </c>
      <c r="J51" s="55">
        <f t="shared" si="6"/>
        <v>0</v>
      </c>
      <c r="K51" s="55">
        <f t="shared" si="6"/>
        <v>0</v>
      </c>
      <c r="L51" s="55">
        <f t="shared" si="6"/>
        <v>0</v>
      </c>
      <c r="M51" s="55">
        <f t="shared" si="6"/>
        <v>0</v>
      </c>
      <c r="N51" s="54">
        <f t="shared" si="6"/>
        <v>0</v>
      </c>
    </row>
    <row r="52" spans="1:14" ht="14" thickBot="1">
      <c r="A52" s="38" t="s">
        <v>50</v>
      </c>
      <c r="B52" s="276"/>
      <c r="C52" s="276"/>
      <c r="D52" s="276"/>
      <c r="E52" s="276"/>
      <c r="F52" s="276"/>
      <c r="G52" s="276"/>
      <c r="H52" s="276"/>
      <c r="I52" s="276"/>
      <c r="J52" s="276"/>
      <c r="K52" s="276"/>
      <c r="L52" s="276"/>
      <c r="M52" s="276"/>
      <c r="N52" s="40"/>
    </row>
    <row r="53" spans="1:14">
      <c r="A53" s="34" t="s">
        <v>26</v>
      </c>
      <c r="B53" s="1092">
        <v>0</v>
      </c>
      <c r="C53" s="1092">
        <v>0</v>
      </c>
      <c r="D53" s="1092">
        <v>0</v>
      </c>
      <c r="E53" s="1092">
        <v>0</v>
      </c>
      <c r="F53" s="1092">
        <v>0</v>
      </c>
      <c r="G53" s="1092">
        <v>0</v>
      </c>
      <c r="H53" s="1092">
        <v>0</v>
      </c>
      <c r="I53" s="1092">
        <v>0</v>
      </c>
      <c r="J53" s="1092">
        <v>0</v>
      </c>
      <c r="K53" s="1092">
        <v>0</v>
      </c>
      <c r="L53" s="1092">
        <v>0</v>
      </c>
      <c r="M53" s="1092">
        <v>0</v>
      </c>
      <c r="N53" s="27">
        <f t="shared" ref="N53:N61" si="7">SUM(B53:M53)</f>
        <v>0</v>
      </c>
    </row>
    <row r="54" spans="1:14">
      <c r="A54" s="34" t="s">
        <v>25</v>
      </c>
      <c r="B54" s="1092">
        <v>0</v>
      </c>
      <c r="C54" s="1092">
        <v>0</v>
      </c>
      <c r="D54" s="1092">
        <v>0</v>
      </c>
      <c r="E54" s="1092">
        <v>0</v>
      </c>
      <c r="F54" s="1092">
        <v>0</v>
      </c>
      <c r="G54" s="1092">
        <v>0</v>
      </c>
      <c r="H54" s="1092">
        <v>0</v>
      </c>
      <c r="I54" s="1092">
        <v>0</v>
      </c>
      <c r="J54" s="1092">
        <v>0</v>
      </c>
      <c r="K54" s="1092">
        <v>0</v>
      </c>
      <c r="L54" s="1092">
        <v>0</v>
      </c>
      <c r="M54" s="1092">
        <v>0</v>
      </c>
      <c r="N54" s="27">
        <f t="shared" si="7"/>
        <v>0</v>
      </c>
    </row>
    <row r="55" spans="1:14">
      <c r="A55" s="32" t="s">
        <v>29</v>
      </c>
      <c r="B55" s="1092">
        <v>0</v>
      </c>
      <c r="C55" s="1092">
        <v>384</v>
      </c>
      <c r="D55" s="1092">
        <v>0</v>
      </c>
      <c r="E55" s="1092">
        <v>0</v>
      </c>
      <c r="F55" s="1092">
        <v>0</v>
      </c>
      <c r="G55" s="1092">
        <v>0</v>
      </c>
      <c r="H55" s="1092">
        <v>2</v>
      </c>
      <c r="I55" s="1092">
        <v>0</v>
      </c>
      <c r="J55" s="1092">
        <v>0</v>
      </c>
      <c r="K55" s="1092">
        <v>0</v>
      </c>
      <c r="L55" s="1092">
        <v>1</v>
      </c>
      <c r="M55" s="1092">
        <v>0</v>
      </c>
      <c r="N55" s="27">
        <f t="shared" si="7"/>
        <v>387</v>
      </c>
    </row>
    <row r="56" spans="1:14">
      <c r="A56" s="32" t="s">
        <v>51</v>
      </c>
      <c r="B56" s="1092">
        <v>0</v>
      </c>
      <c r="C56" s="1092">
        <v>0</v>
      </c>
      <c r="D56" s="1092">
        <v>0</v>
      </c>
      <c r="E56" s="1092">
        <v>0</v>
      </c>
      <c r="F56" s="1092">
        <v>0</v>
      </c>
      <c r="G56" s="1092">
        <v>0</v>
      </c>
      <c r="H56" s="1092">
        <v>0</v>
      </c>
      <c r="I56" s="1092">
        <v>0</v>
      </c>
      <c r="J56" s="1092">
        <v>0</v>
      </c>
      <c r="K56" s="1092">
        <v>0</v>
      </c>
      <c r="L56" s="1092">
        <v>0</v>
      </c>
      <c r="M56" s="1092">
        <v>0</v>
      </c>
      <c r="N56" s="27">
        <f t="shared" si="7"/>
        <v>0</v>
      </c>
    </row>
    <row r="57" spans="1:14">
      <c r="A57" s="34" t="s">
        <v>20</v>
      </c>
      <c r="B57" s="1092">
        <v>0</v>
      </c>
      <c r="C57" s="1092">
        <v>0</v>
      </c>
      <c r="D57" s="1092">
        <v>0</v>
      </c>
      <c r="E57" s="1092">
        <v>0</v>
      </c>
      <c r="F57" s="1092">
        <v>0</v>
      </c>
      <c r="G57" s="1092">
        <v>0</v>
      </c>
      <c r="H57" s="1092">
        <v>0</v>
      </c>
      <c r="I57" s="1092">
        <v>0</v>
      </c>
      <c r="J57" s="1092">
        <v>0</v>
      </c>
      <c r="K57" s="1092">
        <v>0</v>
      </c>
      <c r="L57" s="1092">
        <v>0</v>
      </c>
      <c r="M57" s="1092">
        <v>0</v>
      </c>
      <c r="N57" s="27">
        <f t="shared" si="7"/>
        <v>0</v>
      </c>
    </row>
    <row r="58" spans="1:14">
      <c r="A58" s="34" t="s">
        <v>13</v>
      </c>
      <c r="B58" s="1092">
        <v>0</v>
      </c>
      <c r="C58" s="1092">
        <v>0</v>
      </c>
      <c r="D58" s="1092">
        <v>1</v>
      </c>
      <c r="E58" s="1092">
        <v>0</v>
      </c>
      <c r="F58" s="1092">
        <v>0</v>
      </c>
      <c r="G58" s="1092">
        <v>0</v>
      </c>
      <c r="H58" s="1092">
        <v>1</v>
      </c>
      <c r="I58" s="1092">
        <v>2</v>
      </c>
      <c r="J58" s="1092">
        <v>1</v>
      </c>
      <c r="K58" s="1092">
        <v>0</v>
      </c>
      <c r="L58" s="1092">
        <v>0</v>
      </c>
      <c r="M58" s="1092">
        <v>0</v>
      </c>
      <c r="N58" s="27">
        <f t="shared" si="7"/>
        <v>5</v>
      </c>
    </row>
    <row r="59" spans="1:14">
      <c r="A59" s="35" t="s">
        <v>47</v>
      </c>
      <c r="B59" s="1092">
        <v>0</v>
      </c>
      <c r="C59" s="1092">
        <v>0</v>
      </c>
      <c r="D59" s="1092">
        <v>0</v>
      </c>
      <c r="E59" s="1092">
        <v>0</v>
      </c>
      <c r="F59" s="1092">
        <v>0</v>
      </c>
      <c r="G59" s="1092">
        <v>0</v>
      </c>
      <c r="H59" s="1092">
        <v>0</v>
      </c>
      <c r="I59" s="1092">
        <v>0</v>
      </c>
      <c r="J59" s="1092">
        <v>0</v>
      </c>
      <c r="K59" s="1092">
        <v>0</v>
      </c>
      <c r="L59" s="1092">
        <v>0</v>
      </c>
      <c r="M59" s="1092">
        <v>0</v>
      </c>
      <c r="N59" s="27">
        <f t="shared" si="7"/>
        <v>0</v>
      </c>
    </row>
    <row r="60" spans="1:14">
      <c r="A60" s="33" t="s">
        <v>52</v>
      </c>
      <c r="B60" s="1092">
        <v>0</v>
      </c>
      <c r="C60" s="1092">
        <v>0</v>
      </c>
      <c r="D60" s="1092">
        <v>0</v>
      </c>
      <c r="E60" s="1092">
        <v>0</v>
      </c>
      <c r="F60" s="1092">
        <v>0</v>
      </c>
      <c r="G60" s="1092">
        <v>0</v>
      </c>
      <c r="H60" s="1092">
        <v>0</v>
      </c>
      <c r="I60" s="1092">
        <v>0</v>
      </c>
      <c r="J60" s="1092">
        <v>0</v>
      </c>
      <c r="K60" s="1092">
        <v>0</v>
      </c>
      <c r="L60" s="1092">
        <v>0</v>
      </c>
      <c r="M60" s="1092">
        <v>0</v>
      </c>
      <c r="N60" s="27">
        <f t="shared" si="7"/>
        <v>0</v>
      </c>
    </row>
    <row r="61" spans="1:14">
      <c r="A61" s="33" t="s">
        <v>53</v>
      </c>
      <c r="B61" s="1092">
        <v>0</v>
      </c>
      <c r="C61" s="1092">
        <v>0</v>
      </c>
      <c r="D61" s="1092">
        <v>0</v>
      </c>
      <c r="E61" s="1092">
        <v>0</v>
      </c>
      <c r="F61" s="1092">
        <v>0</v>
      </c>
      <c r="G61" s="1092">
        <v>0</v>
      </c>
      <c r="H61" s="1092">
        <v>0</v>
      </c>
      <c r="I61" s="1092">
        <v>0</v>
      </c>
      <c r="J61" s="1092">
        <v>0</v>
      </c>
      <c r="K61" s="1092">
        <v>0</v>
      </c>
      <c r="L61" s="1092">
        <v>0</v>
      </c>
      <c r="M61" s="1092">
        <v>0</v>
      </c>
      <c r="N61" s="27">
        <f t="shared" si="7"/>
        <v>0</v>
      </c>
    </row>
    <row r="62" spans="1:14">
      <c r="A62" s="32" t="s">
        <v>56</v>
      </c>
      <c r="B62" s="1092">
        <v>0</v>
      </c>
      <c r="C62" s="1092">
        <v>0</v>
      </c>
      <c r="D62" s="1092">
        <v>0</v>
      </c>
      <c r="E62" s="1092">
        <v>0</v>
      </c>
      <c r="F62" s="1092">
        <v>0</v>
      </c>
      <c r="G62" s="1092">
        <v>0</v>
      </c>
      <c r="H62" s="1092">
        <v>0</v>
      </c>
      <c r="I62" s="1092">
        <v>0</v>
      </c>
      <c r="J62" s="1092">
        <v>0</v>
      </c>
      <c r="K62" s="1092">
        <v>0</v>
      </c>
      <c r="L62" s="1092">
        <v>0</v>
      </c>
      <c r="M62" s="1092">
        <v>0</v>
      </c>
      <c r="N62" s="27">
        <f>SUM(B62:M62)</f>
        <v>0</v>
      </c>
    </row>
    <row r="63" spans="1:14">
      <c r="A63" s="78" t="s">
        <v>122</v>
      </c>
      <c r="B63" s="1092">
        <v>0</v>
      </c>
      <c r="C63" s="1092">
        <v>0</v>
      </c>
      <c r="D63" s="1092">
        <v>0</v>
      </c>
      <c r="E63" s="1092">
        <v>0</v>
      </c>
      <c r="F63" s="1092">
        <v>0</v>
      </c>
      <c r="G63" s="1092">
        <v>0</v>
      </c>
      <c r="H63" s="1092">
        <v>0</v>
      </c>
      <c r="I63" s="1092">
        <v>0</v>
      </c>
      <c r="J63" s="1092">
        <v>0</v>
      </c>
      <c r="K63" s="1092">
        <v>0</v>
      </c>
      <c r="L63" s="1092">
        <v>0</v>
      </c>
      <c r="M63" s="1092">
        <v>0</v>
      </c>
      <c r="N63" s="27">
        <f>SUM(B63:M63)</f>
        <v>0</v>
      </c>
    </row>
    <row r="64" spans="1:14" ht="14" thickBot="1">
      <c r="A64" s="32" t="s">
        <v>102</v>
      </c>
      <c r="B64" s="1092">
        <v>0</v>
      </c>
      <c r="C64" s="1092">
        <v>0</v>
      </c>
      <c r="D64" s="1092">
        <v>10</v>
      </c>
      <c r="E64" s="1092">
        <v>0</v>
      </c>
      <c r="F64" s="1092">
        <v>0</v>
      </c>
      <c r="G64" s="1092">
        <v>0</v>
      </c>
      <c r="H64" s="1092">
        <v>0</v>
      </c>
      <c r="I64" s="1092">
        <v>0</v>
      </c>
      <c r="J64" s="1092">
        <v>0</v>
      </c>
      <c r="K64" s="1092">
        <v>0</v>
      </c>
      <c r="L64" s="1092">
        <v>0</v>
      </c>
      <c r="M64" s="1092">
        <v>0</v>
      </c>
      <c r="N64" s="27">
        <f>SUM(B64:M64)</f>
        <v>10</v>
      </c>
    </row>
    <row r="65" spans="1:14" ht="14" thickBot="1">
      <c r="A65" s="53" t="s">
        <v>60</v>
      </c>
      <c r="B65" s="55">
        <f>SUM(B53:B64)</f>
        <v>0</v>
      </c>
      <c r="C65" s="55">
        <f t="shared" ref="C65:N65" si="8">SUM(C53:C64)</f>
        <v>384</v>
      </c>
      <c r="D65" s="55">
        <f t="shared" si="8"/>
        <v>11</v>
      </c>
      <c r="E65" s="55">
        <f t="shared" si="8"/>
        <v>0</v>
      </c>
      <c r="F65" s="55">
        <f t="shared" si="8"/>
        <v>0</v>
      </c>
      <c r="G65" s="55">
        <f t="shared" si="8"/>
        <v>0</v>
      </c>
      <c r="H65" s="55">
        <f t="shared" si="8"/>
        <v>3</v>
      </c>
      <c r="I65" s="55">
        <f t="shared" si="8"/>
        <v>2</v>
      </c>
      <c r="J65" s="55">
        <f t="shared" si="8"/>
        <v>1</v>
      </c>
      <c r="K65" s="55">
        <f t="shared" si="8"/>
        <v>0</v>
      </c>
      <c r="L65" s="55">
        <f t="shared" si="8"/>
        <v>1</v>
      </c>
      <c r="M65" s="55">
        <f t="shared" si="8"/>
        <v>0</v>
      </c>
      <c r="N65" s="54">
        <f t="shared" si="8"/>
        <v>402</v>
      </c>
    </row>
    <row r="66" spans="1:14" ht="14" thickBot="1">
      <c r="A66" s="38" t="s">
        <v>54</v>
      </c>
      <c r="B66" s="41"/>
      <c r="C66" s="41"/>
      <c r="D66" s="41"/>
      <c r="E66" s="41"/>
      <c r="F66" s="41"/>
      <c r="G66" s="41"/>
      <c r="H66" s="41"/>
      <c r="I66" s="41"/>
      <c r="J66" s="41"/>
      <c r="K66" s="41"/>
      <c r="L66" s="41"/>
      <c r="M66" s="41"/>
      <c r="N66" s="42"/>
    </row>
    <row r="67" spans="1:14">
      <c r="A67" s="36" t="s">
        <v>29</v>
      </c>
      <c r="B67" s="1099">
        <v>0</v>
      </c>
      <c r="C67" s="1100">
        <v>0</v>
      </c>
      <c r="D67" s="1100">
        <v>0</v>
      </c>
      <c r="E67" s="1100">
        <v>0</v>
      </c>
      <c r="F67" s="1100">
        <v>0</v>
      </c>
      <c r="G67" s="1100">
        <v>0</v>
      </c>
      <c r="H67" s="1100">
        <v>0</v>
      </c>
      <c r="I67" s="1100">
        <v>0</v>
      </c>
      <c r="J67" s="1100">
        <v>0</v>
      </c>
      <c r="K67" s="1100">
        <v>0</v>
      </c>
      <c r="L67" s="1093">
        <v>0</v>
      </c>
      <c r="M67" s="1101">
        <v>0</v>
      </c>
      <c r="N67" s="28">
        <f t="shared" ref="N67:N72" si="9">SUM(B67:M67)</f>
        <v>0</v>
      </c>
    </row>
    <row r="68" spans="1:14">
      <c r="A68" s="34" t="s">
        <v>51</v>
      </c>
      <c r="B68" s="1102">
        <v>0</v>
      </c>
      <c r="C68" s="1092">
        <v>0</v>
      </c>
      <c r="D68" s="1092">
        <v>0</v>
      </c>
      <c r="E68" s="1092">
        <v>0</v>
      </c>
      <c r="F68" s="1092">
        <v>0</v>
      </c>
      <c r="G68" s="1092">
        <v>0</v>
      </c>
      <c r="H68" s="1092">
        <v>0</v>
      </c>
      <c r="I68" s="1092">
        <v>0</v>
      </c>
      <c r="J68" s="1092">
        <v>0</v>
      </c>
      <c r="K68" s="1092">
        <v>0</v>
      </c>
      <c r="L68" s="1092">
        <v>0</v>
      </c>
      <c r="M68" s="1103">
        <v>0</v>
      </c>
      <c r="N68" s="29">
        <f t="shared" si="9"/>
        <v>0</v>
      </c>
    </row>
    <row r="69" spans="1:14">
      <c r="A69" s="34" t="s">
        <v>15</v>
      </c>
      <c r="B69" s="1102">
        <v>0</v>
      </c>
      <c r="C69" s="1092">
        <v>0</v>
      </c>
      <c r="D69" s="1092">
        <v>0</v>
      </c>
      <c r="E69" s="1092">
        <v>0</v>
      </c>
      <c r="F69" s="1092">
        <v>0</v>
      </c>
      <c r="G69" s="1092">
        <v>0</v>
      </c>
      <c r="H69" s="1092">
        <v>0</v>
      </c>
      <c r="I69" s="1092">
        <v>0</v>
      </c>
      <c r="J69" s="1092">
        <v>0</v>
      </c>
      <c r="K69" s="1092">
        <v>0</v>
      </c>
      <c r="L69" s="1094">
        <v>0</v>
      </c>
      <c r="M69" s="1103">
        <v>0</v>
      </c>
      <c r="N69" s="29">
        <f t="shared" si="9"/>
        <v>0</v>
      </c>
    </row>
    <row r="70" spans="1:14">
      <c r="A70" s="34" t="s">
        <v>30</v>
      </c>
      <c r="B70" s="1102">
        <v>0</v>
      </c>
      <c r="C70" s="1092">
        <v>0</v>
      </c>
      <c r="D70" s="1092">
        <v>0</v>
      </c>
      <c r="E70" s="1092">
        <v>0</v>
      </c>
      <c r="F70" s="1092">
        <v>0</v>
      </c>
      <c r="G70" s="1092">
        <v>0</v>
      </c>
      <c r="H70" s="1092">
        <v>0</v>
      </c>
      <c r="I70" s="1092">
        <v>0</v>
      </c>
      <c r="J70" s="1092">
        <v>0</v>
      </c>
      <c r="K70" s="1092">
        <v>0</v>
      </c>
      <c r="L70" s="1092">
        <v>0</v>
      </c>
      <c r="M70" s="1103">
        <v>0</v>
      </c>
      <c r="N70" s="29">
        <f t="shared" si="9"/>
        <v>0</v>
      </c>
    </row>
    <row r="71" spans="1:14">
      <c r="A71" s="34" t="s">
        <v>55</v>
      </c>
      <c r="B71" s="1102">
        <v>0</v>
      </c>
      <c r="C71" s="1092">
        <v>0</v>
      </c>
      <c r="D71" s="1092">
        <v>45</v>
      </c>
      <c r="E71" s="1092">
        <v>302</v>
      </c>
      <c r="F71" s="1092">
        <v>0</v>
      </c>
      <c r="G71" s="1092">
        <v>0</v>
      </c>
      <c r="H71" s="1092">
        <v>0</v>
      </c>
      <c r="I71" s="1092">
        <v>0</v>
      </c>
      <c r="J71" s="1092">
        <v>0</v>
      </c>
      <c r="K71" s="1092">
        <v>0</v>
      </c>
      <c r="L71" s="1094">
        <v>0</v>
      </c>
      <c r="M71" s="1104">
        <v>0</v>
      </c>
      <c r="N71" s="29">
        <f t="shared" si="9"/>
        <v>347</v>
      </c>
    </row>
    <row r="72" spans="1:14" s="3" customFormat="1" ht="14" thickBot="1">
      <c r="A72" s="33" t="s">
        <v>53</v>
      </c>
      <c r="B72" s="1092">
        <v>0</v>
      </c>
      <c r="C72" s="1092">
        <v>0</v>
      </c>
      <c r="D72" s="1092">
        <v>0</v>
      </c>
      <c r="E72" s="1092">
        <v>0</v>
      </c>
      <c r="F72" s="1092">
        <v>0</v>
      </c>
      <c r="G72" s="1092">
        <v>0</v>
      </c>
      <c r="H72" s="1092">
        <v>0</v>
      </c>
      <c r="I72" s="1092">
        <v>0</v>
      </c>
      <c r="J72" s="1092">
        <v>0</v>
      </c>
      <c r="K72" s="1092">
        <v>0</v>
      </c>
      <c r="L72" s="1092">
        <v>0</v>
      </c>
      <c r="M72" s="1092">
        <v>0</v>
      </c>
      <c r="N72" s="27">
        <f t="shared" si="9"/>
        <v>0</v>
      </c>
    </row>
    <row r="73" spans="1:14" ht="14" thickBot="1">
      <c r="A73" s="53" t="s">
        <v>60</v>
      </c>
      <c r="B73" s="55">
        <f>SUM(B67:B72)</f>
        <v>0</v>
      </c>
      <c r="C73" s="55">
        <f t="shared" ref="C73:N73" si="10">SUM(C67:C72)</f>
        <v>0</v>
      </c>
      <c r="D73" s="55">
        <f t="shared" si="10"/>
        <v>45</v>
      </c>
      <c r="E73" s="55">
        <f t="shared" si="10"/>
        <v>302</v>
      </c>
      <c r="F73" s="55">
        <f t="shared" si="10"/>
        <v>0</v>
      </c>
      <c r="G73" s="55">
        <f t="shared" si="10"/>
        <v>0</v>
      </c>
      <c r="H73" s="55">
        <f t="shared" si="10"/>
        <v>0</v>
      </c>
      <c r="I73" s="55">
        <f t="shared" si="10"/>
        <v>0</v>
      </c>
      <c r="J73" s="55">
        <f t="shared" si="10"/>
        <v>0</v>
      </c>
      <c r="K73" s="55">
        <f t="shared" si="10"/>
        <v>0</v>
      </c>
      <c r="L73" s="55">
        <f t="shared" si="10"/>
        <v>0</v>
      </c>
      <c r="M73" s="55">
        <f t="shared" si="10"/>
        <v>0</v>
      </c>
      <c r="N73" s="302">
        <f t="shared" si="10"/>
        <v>347</v>
      </c>
    </row>
    <row r="76" spans="1:14" ht="14" thickBot="1">
      <c r="B76" s="43" t="s">
        <v>35</v>
      </c>
      <c r="C76" s="43" t="s">
        <v>36</v>
      </c>
      <c r="D76" s="43" t="s">
        <v>37</v>
      </c>
      <c r="E76" s="43" t="s">
        <v>38</v>
      </c>
      <c r="F76" s="43" t="s">
        <v>39</v>
      </c>
      <c r="G76" s="43" t="s">
        <v>40</v>
      </c>
      <c r="H76" s="43" t="s">
        <v>41</v>
      </c>
      <c r="I76" s="43" t="s">
        <v>42</v>
      </c>
      <c r="J76" s="43" t="s">
        <v>43</v>
      </c>
      <c r="K76" s="43" t="s">
        <v>44</v>
      </c>
      <c r="L76" s="43" t="s">
        <v>45</v>
      </c>
      <c r="M76" s="43" t="s">
        <v>46</v>
      </c>
      <c r="N76" s="43" t="s">
        <v>10</v>
      </c>
    </row>
    <row r="77" spans="1:14" ht="17" thickBot="1">
      <c r="A77" s="31" t="s">
        <v>143</v>
      </c>
      <c r="B77" s="24"/>
      <c r="C77" s="24"/>
      <c r="D77" s="22"/>
      <c r="E77" s="22"/>
      <c r="F77" s="25"/>
      <c r="G77" s="25"/>
      <c r="H77" s="22"/>
      <c r="I77" s="22"/>
      <c r="J77" s="22"/>
      <c r="K77" s="22"/>
      <c r="L77" s="24"/>
      <c r="M77" s="24"/>
      <c r="N77" s="26"/>
    </row>
    <row r="78" spans="1:14" ht="14" thickBot="1">
      <c r="A78" s="38" t="s">
        <v>48</v>
      </c>
      <c r="B78" s="39"/>
      <c r="C78" s="39"/>
      <c r="D78" s="39"/>
      <c r="E78" s="39"/>
      <c r="F78" s="39"/>
      <c r="G78" s="39"/>
      <c r="H78" s="39"/>
      <c r="I78" s="39"/>
      <c r="J78" s="39"/>
      <c r="K78" s="39"/>
      <c r="L78" s="39"/>
      <c r="M78" s="39"/>
      <c r="N78" s="40"/>
    </row>
    <row r="79" spans="1:14">
      <c r="A79" s="32" t="s">
        <v>28</v>
      </c>
      <c r="B79" s="1092">
        <v>0</v>
      </c>
      <c r="C79" s="1092">
        <v>0</v>
      </c>
      <c r="D79" s="1092">
        <v>0</v>
      </c>
      <c r="E79" s="1092">
        <v>0</v>
      </c>
      <c r="F79" s="1092">
        <v>0</v>
      </c>
      <c r="G79" s="1092">
        <v>0</v>
      </c>
      <c r="H79" s="1092">
        <v>0</v>
      </c>
      <c r="I79" s="1092">
        <v>0</v>
      </c>
      <c r="J79" s="1092">
        <v>0</v>
      </c>
      <c r="K79" s="1092">
        <v>0</v>
      </c>
      <c r="L79" s="1092">
        <v>0</v>
      </c>
      <c r="M79" s="1092">
        <v>0</v>
      </c>
      <c r="N79" s="27">
        <f>SUM(B79:M79)</f>
        <v>0</v>
      </c>
    </row>
    <row r="80" spans="1:14">
      <c r="A80" s="32" t="s">
        <v>29</v>
      </c>
      <c r="B80" s="1092">
        <v>9</v>
      </c>
      <c r="C80" s="1092">
        <v>0</v>
      </c>
      <c r="D80" s="1092">
        <v>3</v>
      </c>
      <c r="E80" s="1092">
        <v>0</v>
      </c>
      <c r="F80" s="1092">
        <v>0</v>
      </c>
      <c r="G80" s="1092">
        <v>14</v>
      </c>
      <c r="H80" s="1092">
        <v>9</v>
      </c>
      <c r="I80" s="1092">
        <v>14</v>
      </c>
      <c r="J80" s="1092">
        <v>18</v>
      </c>
      <c r="K80" s="1092">
        <v>9</v>
      </c>
      <c r="L80" s="1092">
        <v>16</v>
      </c>
      <c r="M80" s="1092">
        <v>4</v>
      </c>
      <c r="N80" s="27">
        <f t="shared" ref="N80:N86" si="11">SUM(B80:M80)</f>
        <v>96</v>
      </c>
    </row>
    <row r="81" spans="1:14">
      <c r="A81" s="32" t="s">
        <v>33</v>
      </c>
      <c r="B81" s="1092">
        <v>16</v>
      </c>
      <c r="C81" s="1092">
        <v>0</v>
      </c>
      <c r="D81" s="1092">
        <v>3</v>
      </c>
      <c r="E81" s="1092">
        <v>1</v>
      </c>
      <c r="F81" s="1092">
        <v>0</v>
      </c>
      <c r="G81" s="1092">
        <v>5</v>
      </c>
      <c r="H81" s="1092">
        <v>10</v>
      </c>
      <c r="I81" s="1092">
        <v>11</v>
      </c>
      <c r="J81" s="1092">
        <v>14</v>
      </c>
      <c r="K81" s="1092">
        <v>7</v>
      </c>
      <c r="L81" s="1092">
        <v>27</v>
      </c>
      <c r="M81" s="1092">
        <v>31</v>
      </c>
      <c r="N81" s="27">
        <f t="shared" si="11"/>
        <v>125</v>
      </c>
    </row>
    <row r="82" spans="1:14">
      <c r="A82" s="32" t="s">
        <v>56</v>
      </c>
      <c r="B82" s="1092">
        <v>0</v>
      </c>
      <c r="C82" s="1092">
        <v>0</v>
      </c>
      <c r="D82" s="1092">
        <v>324</v>
      </c>
      <c r="E82" s="1092">
        <v>0</v>
      </c>
      <c r="F82" s="1092">
        <v>0</v>
      </c>
      <c r="G82" s="1092">
        <v>0</v>
      </c>
      <c r="H82" s="1092">
        <v>0</v>
      </c>
      <c r="I82" s="1092">
        <v>0</v>
      </c>
      <c r="J82" s="1092">
        <v>0</v>
      </c>
      <c r="K82" s="1092">
        <v>0</v>
      </c>
      <c r="L82" s="1092">
        <v>0</v>
      </c>
      <c r="M82" s="1092">
        <v>0</v>
      </c>
      <c r="N82" s="27">
        <f t="shared" si="11"/>
        <v>324</v>
      </c>
    </row>
    <row r="83" spans="1:14">
      <c r="A83" s="32" t="s">
        <v>52</v>
      </c>
      <c r="B83" s="1092">
        <v>0</v>
      </c>
      <c r="C83" s="1092">
        <v>0</v>
      </c>
      <c r="D83" s="1092">
        <v>0</v>
      </c>
      <c r="E83" s="1092">
        <v>0</v>
      </c>
      <c r="F83" s="1092">
        <v>0</v>
      </c>
      <c r="G83" s="1092">
        <v>0</v>
      </c>
      <c r="H83" s="1092">
        <v>0</v>
      </c>
      <c r="I83" s="1092">
        <v>0</v>
      </c>
      <c r="J83" s="1092">
        <v>0</v>
      </c>
      <c r="K83" s="1092">
        <v>0</v>
      </c>
      <c r="L83" s="1092">
        <v>0</v>
      </c>
      <c r="M83" s="1092">
        <v>1</v>
      </c>
      <c r="N83" s="27">
        <f t="shared" si="11"/>
        <v>1</v>
      </c>
    </row>
    <row r="84" spans="1:14">
      <c r="A84" s="76" t="s">
        <v>148</v>
      </c>
      <c r="B84" s="1092">
        <v>0</v>
      </c>
      <c r="C84" s="1092">
        <v>0</v>
      </c>
      <c r="D84" s="1092">
        <v>0</v>
      </c>
      <c r="E84" s="1092">
        <v>0</v>
      </c>
      <c r="F84" s="1092">
        <v>0</v>
      </c>
      <c r="G84" s="1092">
        <v>0</v>
      </c>
      <c r="H84" s="1092">
        <v>0</v>
      </c>
      <c r="I84" s="1092">
        <v>0</v>
      </c>
      <c r="J84" s="1092">
        <v>0</v>
      </c>
      <c r="K84" s="1092">
        <v>0</v>
      </c>
      <c r="L84" s="1092">
        <v>0</v>
      </c>
      <c r="M84" s="1092">
        <v>0</v>
      </c>
      <c r="N84" s="27">
        <f t="shared" si="11"/>
        <v>0</v>
      </c>
    </row>
    <row r="85" spans="1:14" ht="14" thickBot="1">
      <c r="A85" s="76" t="s">
        <v>152</v>
      </c>
      <c r="B85" s="1092">
        <v>0</v>
      </c>
      <c r="C85" s="1092">
        <v>0</v>
      </c>
      <c r="D85" s="1092">
        <v>1</v>
      </c>
      <c r="E85" s="1092">
        <v>0</v>
      </c>
      <c r="F85" s="1092">
        <v>0</v>
      </c>
      <c r="G85" s="1092">
        <v>0</v>
      </c>
      <c r="H85" s="1092">
        <v>0</v>
      </c>
      <c r="I85" s="1092">
        <v>0</v>
      </c>
      <c r="J85" s="1092">
        <v>3</v>
      </c>
      <c r="K85" s="1092">
        <v>0</v>
      </c>
      <c r="L85" s="1092">
        <v>1</v>
      </c>
      <c r="M85" s="1092">
        <v>0</v>
      </c>
      <c r="N85" s="27">
        <f t="shared" si="11"/>
        <v>5</v>
      </c>
    </row>
    <row r="86" spans="1:14" ht="14" thickBot="1">
      <c r="A86" s="53" t="s">
        <v>60</v>
      </c>
      <c r="B86" s="55">
        <f>SUM(B79:B85)</f>
        <v>25</v>
      </c>
      <c r="C86" s="55">
        <f>SUM(C79:C85)</f>
        <v>0</v>
      </c>
      <c r="D86" s="55">
        <f t="shared" ref="D86:M86" si="12">SUM(D79:D85)</f>
        <v>331</v>
      </c>
      <c r="E86" s="55">
        <f t="shared" si="12"/>
        <v>1</v>
      </c>
      <c r="F86" s="55">
        <f t="shared" si="12"/>
        <v>0</v>
      </c>
      <c r="G86" s="55">
        <f t="shared" si="12"/>
        <v>19</v>
      </c>
      <c r="H86" s="55">
        <f t="shared" si="12"/>
        <v>19</v>
      </c>
      <c r="I86" s="55">
        <f t="shared" si="12"/>
        <v>25</v>
      </c>
      <c r="J86" s="55">
        <f t="shared" si="12"/>
        <v>35</v>
      </c>
      <c r="K86" s="55">
        <f t="shared" si="12"/>
        <v>16</v>
      </c>
      <c r="L86" s="55">
        <f t="shared" si="12"/>
        <v>44</v>
      </c>
      <c r="M86" s="55">
        <f t="shared" si="12"/>
        <v>36</v>
      </c>
      <c r="N86" s="27">
        <f t="shared" si="11"/>
        <v>551</v>
      </c>
    </row>
    <row r="87" spans="1:14" ht="14" thickBot="1">
      <c r="A87" s="38" t="s">
        <v>49</v>
      </c>
      <c r="B87" s="39"/>
      <c r="C87" s="39"/>
      <c r="D87" s="39"/>
      <c r="E87" s="39"/>
      <c r="F87" s="39"/>
      <c r="G87" s="39"/>
      <c r="H87" s="39"/>
      <c r="I87" s="39"/>
      <c r="J87" s="39"/>
      <c r="K87" s="39"/>
      <c r="L87" s="39"/>
      <c r="M87" s="39"/>
      <c r="N87" s="40"/>
    </row>
    <row r="88" spans="1:14" ht="14" thickBot="1">
      <c r="A88" s="33" t="s">
        <v>49</v>
      </c>
      <c r="B88" s="1092">
        <v>0</v>
      </c>
      <c r="C88" s="1092">
        <v>0</v>
      </c>
      <c r="D88" s="1092">
        <v>0</v>
      </c>
      <c r="E88" s="1092">
        <v>0</v>
      </c>
      <c r="F88" s="1092">
        <v>0</v>
      </c>
      <c r="G88" s="1092">
        <v>0</v>
      </c>
      <c r="H88" s="1092">
        <v>0</v>
      </c>
      <c r="I88" s="1092">
        <v>0</v>
      </c>
      <c r="J88" s="1092">
        <v>0</v>
      </c>
      <c r="K88" s="1092">
        <v>0</v>
      </c>
      <c r="L88" s="1092">
        <v>0</v>
      </c>
      <c r="M88" s="1092">
        <v>0</v>
      </c>
      <c r="N88" s="27">
        <f>SUM(B88:M88)</f>
        <v>0</v>
      </c>
    </row>
    <row r="89" spans="1:14" ht="14" thickBot="1">
      <c r="A89" s="53" t="s">
        <v>60</v>
      </c>
      <c r="B89" s="55">
        <f>SUM(B88)</f>
        <v>0</v>
      </c>
      <c r="C89" s="55">
        <f t="shared" ref="C89:N89" si="13">SUM(C88)</f>
        <v>0</v>
      </c>
      <c r="D89" s="55">
        <f t="shared" si="13"/>
        <v>0</v>
      </c>
      <c r="E89" s="55">
        <f t="shared" si="13"/>
        <v>0</v>
      </c>
      <c r="F89" s="55">
        <f t="shared" si="13"/>
        <v>0</v>
      </c>
      <c r="G89" s="55">
        <f t="shared" si="13"/>
        <v>0</v>
      </c>
      <c r="H89" s="55">
        <f t="shared" si="13"/>
        <v>0</v>
      </c>
      <c r="I89" s="55">
        <f t="shared" si="13"/>
        <v>0</v>
      </c>
      <c r="J89" s="55">
        <f t="shared" si="13"/>
        <v>0</v>
      </c>
      <c r="K89" s="55">
        <f t="shared" si="13"/>
        <v>0</v>
      </c>
      <c r="L89" s="55">
        <f t="shared" si="13"/>
        <v>0</v>
      </c>
      <c r="M89" s="55">
        <f t="shared" si="13"/>
        <v>0</v>
      </c>
      <c r="N89" s="54">
        <f t="shared" si="13"/>
        <v>0</v>
      </c>
    </row>
    <row r="90" spans="1:14" ht="14" thickBot="1">
      <c r="A90" s="38" t="s">
        <v>50</v>
      </c>
      <c r="B90" s="39"/>
      <c r="C90" s="39"/>
      <c r="D90" s="39"/>
      <c r="E90" s="39"/>
      <c r="F90" s="39"/>
      <c r="G90" s="39"/>
      <c r="H90" s="39"/>
      <c r="I90" s="39"/>
      <c r="J90" s="39"/>
      <c r="K90" s="39"/>
      <c r="L90" s="39"/>
      <c r="M90" s="39"/>
      <c r="N90" s="40"/>
    </row>
    <row r="91" spans="1:14">
      <c r="A91" s="34" t="s">
        <v>26</v>
      </c>
      <c r="B91" s="1092">
        <v>0</v>
      </c>
      <c r="C91" s="1092">
        <v>0</v>
      </c>
      <c r="D91" s="1092">
        <v>0</v>
      </c>
      <c r="E91" s="1092">
        <v>0</v>
      </c>
      <c r="F91" s="1092">
        <v>0</v>
      </c>
      <c r="G91" s="1092">
        <v>0</v>
      </c>
      <c r="H91" s="1092">
        <v>0</v>
      </c>
      <c r="I91" s="1092">
        <v>0</v>
      </c>
      <c r="J91" s="1092">
        <v>0</v>
      </c>
      <c r="K91" s="1092">
        <v>0</v>
      </c>
      <c r="L91" s="1092">
        <v>0</v>
      </c>
      <c r="M91" s="1092">
        <v>0</v>
      </c>
      <c r="N91" s="27">
        <f t="shared" ref="N91:N99" si="14">SUM(B91:M91)</f>
        <v>0</v>
      </c>
    </row>
    <row r="92" spans="1:14">
      <c r="A92" s="34" t="s">
        <v>25</v>
      </c>
      <c r="B92" s="1092">
        <v>0</v>
      </c>
      <c r="C92" s="1092">
        <v>0</v>
      </c>
      <c r="D92" s="1092">
        <v>0</v>
      </c>
      <c r="E92" s="1092">
        <v>0</v>
      </c>
      <c r="F92" s="1092">
        <v>0</v>
      </c>
      <c r="G92" s="1092">
        <v>0</v>
      </c>
      <c r="H92" s="1092">
        <v>0</v>
      </c>
      <c r="I92" s="1092">
        <v>0</v>
      </c>
      <c r="J92" s="1092">
        <v>0</v>
      </c>
      <c r="K92" s="1092">
        <v>0</v>
      </c>
      <c r="L92" s="1092">
        <v>0</v>
      </c>
      <c r="M92" s="1092">
        <v>0</v>
      </c>
      <c r="N92" s="27">
        <f t="shared" si="14"/>
        <v>0</v>
      </c>
    </row>
    <row r="93" spans="1:14">
      <c r="A93" s="32" t="s">
        <v>29</v>
      </c>
      <c r="B93" s="1092">
        <v>0</v>
      </c>
      <c r="C93" s="1092">
        <v>0</v>
      </c>
      <c r="D93" s="1092">
        <v>0</v>
      </c>
      <c r="E93" s="1092">
        <v>0</v>
      </c>
      <c r="F93" s="1092">
        <v>0</v>
      </c>
      <c r="G93" s="1092">
        <v>0</v>
      </c>
      <c r="H93" s="1092">
        <v>0</v>
      </c>
      <c r="I93" s="1092">
        <v>0</v>
      </c>
      <c r="J93" s="1092">
        <v>0</v>
      </c>
      <c r="K93" s="1092">
        <v>0</v>
      </c>
      <c r="L93" s="1092">
        <v>0</v>
      </c>
      <c r="M93" s="1092">
        <v>0</v>
      </c>
      <c r="N93" s="27">
        <f t="shared" si="14"/>
        <v>0</v>
      </c>
    </row>
    <row r="94" spans="1:14">
      <c r="A94" s="32" t="s">
        <v>51</v>
      </c>
      <c r="B94" s="1092">
        <v>0</v>
      </c>
      <c r="C94" s="1092">
        <v>0</v>
      </c>
      <c r="D94" s="1092">
        <v>0</v>
      </c>
      <c r="E94" s="1092">
        <v>0</v>
      </c>
      <c r="F94" s="1092">
        <v>0</v>
      </c>
      <c r="G94" s="1092">
        <v>0</v>
      </c>
      <c r="H94" s="1092">
        <v>0</v>
      </c>
      <c r="I94" s="1092">
        <v>0</v>
      </c>
      <c r="J94" s="1092">
        <v>0</v>
      </c>
      <c r="K94" s="1092">
        <v>0</v>
      </c>
      <c r="L94" s="1092">
        <v>0</v>
      </c>
      <c r="M94" s="1092">
        <v>0</v>
      </c>
      <c r="N94" s="27">
        <f t="shared" si="14"/>
        <v>0</v>
      </c>
    </row>
    <row r="95" spans="1:14">
      <c r="A95" s="34" t="s">
        <v>20</v>
      </c>
      <c r="B95" s="1092">
        <v>0</v>
      </c>
      <c r="C95" s="1092">
        <v>0</v>
      </c>
      <c r="D95" s="1092">
        <v>0</v>
      </c>
      <c r="E95" s="1092">
        <v>0</v>
      </c>
      <c r="F95" s="1092">
        <v>0</v>
      </c>
      <c r="G95" s="1092">
        <v>0</v>
      </c>
      <c r="H95" s="1092">
        <v>0</v>
      </c>
      <c r="I95" s="1092">
        <v>0</v>
      </c>
      <c r="J95" s="1092">
        <v>0</v>
      </c>
      <c r="K95" s="1092">
        <v>0</v>
      </c>
      <c r="L95" s="1092">
        <v>0</v>
      </c>
      <c r="M95" s="1092">
        <v>0</v>
      </c>
      <c r="N95" s="27">
        <f t="shared" si="14"/>
        <v>0</v>
      </c>
    </row>
    <row r="96" spans="1:14">
      <c r="A96" s="34" t="s">
        <v>13</v>
      </c>
      <c r="B96" s="1092">
        <v>0</v>
      </c>
      <c r="C96" s="1092">
        <v>0</v>
      </c>
      <c r="D96" s="1092">
        <v>0</v>
      </c>
      <c r="E96" s="1092">
        <v>0</v>
      </c>
      <c r="F96" s="1092">
        <v>0</v>
      </c>
      <c r="G96" s="1092">
        <v>0</v>
      </c>
      <c r="H96" s="1092">
        <v>0</v>
      </c>
      <c r="I96" s="1092">
        <v>0</v>
      </c>
      <c r="J96" s="1092">
        <v>0</v>
      </c>
      <c r="K96" s="1092">
        <v>0</v>
      </c>
      <c r="L96" s="1092">
        <v>0</v>
      </c>
      <c r="M96" s="1092">
        <v>0</v>
      </c>
      <c r="N96" s="27">
        <f t="shared" si="14"/>
        <v>0</v>
      </c>
    </row>
    <row r="97" spans="1:14">
      <c r="A97" s="35" t="s">
        <v>47</v>
      </c>
      <c r="B97" s="1092">
        <v>0</v>
      </c>
      <c r="C97" s="1092">
        <v>0</v>
      </c>
      <c r="D97" s="1092">
        <v>0</v>
      </c>
      <c r="E97" s="1092">
        <v>0</v>
      </c>
      <c r="F97" s="1092">
        <v>0</v>
      </c>
      <c r="G97" s="1092">
        <v>0</v>
      </c>
      <c r="H97" s="1092">
        <v>0</v>
      </c>
      <c r="I97" s="1092">
        <v>0</v>
      </c>
      <c r="J97" s="1092">
        <v>0</v>
      </c>
      <c r="K97" s="1092">
        <v>0</v>
      </c>
      <c r="L97" s="1092">
        <v>0</v>
      </c>
      <c r="M97" s="1092">
        <v>0</v>
      </c>
      <c r="N97" s="27">
        <f t="shared" si="14"/>
        <v>0</v>
      </c>
    </row>
    <row r="98" spans="1:14">
      <c r="A98" s="76" t="s">
        <v>30</v>
      </c>
      <c r="B98" s="1092">
        <v>0</v>
      </c>
      <c r="C98" s="1092">
        <v>0</v>
      </c>
      <c r="D98" s="1092">
        <v>0</v>
      </c>
      <c r="E98" s="1092">
        <v>0</v>
      </c>
      <c r="F98" s="1092">
        <v>0</v>
      </c>
      <c r="G98" s="1092">
        <v>0</v>
      </c>
      <c r="H98" s="1092">
        <v>0</v>
      </c>
      <c r="I98" s="1092">
        <v>0</v>
      </c>
      <c r="J98" s="1092">
        <v>0</v>
      </c>
      <c r="K98" s="1092">
        <v>0</v>
      </c>
      <c r="L98" s="1092">
        <v>4</v>
      </c>
      <c r="M98" s="1092">
        <v>6</v>
      </c>
      <c r="N98" s="27">
        <f t="shared" si="14"/>
        <v>10</v>
      </c>
    </row>
    <row r="99" spans="1:14">
      <c r="A99" s="76" t="s">
        <v>150</v>
      </c>
      <c r="B99" s="1092">
        <v>0</v>
      </c>
      <c r="C99" s="1092">
        <v>0</v>
      </c>
      <c r="D99" s="1092">
        <v>0</v>
      </c>
      <c r="E99" s="1092">
        <v>0</v>
      </c>
      <c r="F99" s="1092">
        <v>0</v>
      </c>
      <c r="G99" s="1092">
        <v>0</v>
      </c>
      <c r="H99" s="1092">
        <v>0</v>
      </c>
      <c r="I99" s="1092">
        <v>0</v>
      </c>
      <c r="J99" s="1092">
        <v>0</v>
      </c>
      <c r="K99" s="1092">
        <v>0</v>
      </c>
      <c r="L99" s="1092">
        <v>0</v>
      </c>
      <c r="M99" s="1092">
        <v>0</v>
      </c>
      <c r="N99" s="27">
        <f t="shared" si="14"/>
        <v>0</v>
      </c>
    </row>
    <row r="100" spans="1:14">
      <c r="A100" s="32" t="s">
        <v>56</v>
      </c>
      <c r="B100" s="1092">
        <v>0</v>
      </c>
      <c r="C100" s="1092">
        <v>0</v>
      </c>
      <c r="D100" s="1092">
        <v>0</v>
      </c>
      <c r="E100" s="1092">
        <v>0</v>
      </c>
      <c r="F100" s="1092">
        <v>0</v>
      </c>
      <c r="G100" s="1092">
        <v>0</v>
      </c>
      <c r="H100" s="1092">
        <v>0</v>
      </c>
      <c r="I100" s="1092">
        <v>0</v>
      </c>
      <c r="J100" s="1092">
        <v>0</v>
      </c>
      <c r="K100" s="1092">
        <v>0</v>
      </c>
      <c r="L100" s="1092">
        <v>0</v>
      </c>
      <c r="M100" s="1092">
        <v>0</v>
      </c>
      <c r="N100" s="27">
        <f>SUM(B100:M100)</f>
        <v>0</v>
      </c>
    </row>
    <row r="101" spans="1:14">
      <c r="A101" s="78" t="s">
        <v>122</v>
      </c>
      <c r="B101" s="1092">
        <v>0</v>
      </c>
      <c r="C101" s="1092">
        <v>0</v>
      </c>
      <c r="D101" s="1092">
        <v>0</v>
      </c>
      <c r="E101" s="1092">
        <v>0</v>
      </c>
      <c r="F101" s="1092">
        <v>0</v>
      </c>
      <c r="G101" s="1092">
        <v>0</v>
      </c>
      <c r="H101" s="1092">
        <v>0</v>
      </c>
      <c r="I101" s="1092">
        <v>0</v>
      </c>
      <c r="J101" s="1092">
        <v>0</v>
      </c>
      <c r="K101" s="1092">
        <v>0</v>
      </c>
      <c r="L101" s="1092">
        <v>0</v>
      </c>
      <c r="M101" s="1092">
        <v>0</v>
      </c>
      <c r="N101" s="27">
        <f>SUM(B101:M101)</f>
        <v>0</v>
      </c>
    </row>
    <row r="102" spans="1:14" ht="14" thickBot="1">
      <c r="A102" s="32" t="s">
        <v>102</v>
      </c>
      <c r="B102" s="1092">
        <v>0</v>
      </c>
      <c r="C102" s="1092">
        <v>0</v>
      </c>
      <c r="D102" s="1092">
        <v>0</v>
      </c>
      <c r="E102" s="1092">
        <v>0</v>
      </c>
      <c r="F102" s="1092">
        <v>0</v>
      </c>
      <c r="G102" s="1092">
        <v>0</v>
      </c>
      <c r="H102" s="1092">
        <v>0</v>
      </c>
      <c r="I102" s="1092">
        <v>0</v>
      </c>
      <c r="J102" s="1092">
        <v>0</v>
      </c>
      <c r="K102" s="1092">
        <v>0</v>
      </c>
      <c r="L102" s="1092">
        <v>0</v>
      </c>
      <c r="M102" s="1092">
        <v>0</v>
      </c>
      <c r="N102" s="27">
        <f>SUM(B102:M102)</f>
        <v>0</v>
      </c>
    </row>
    <row r="103" spans="1:14" ht="14" thickBot="1">
      <c r="A103" s="53" t="s">
        <v>60</v>
      </c>
      <c r="B103" s="55">
        <f>SUM(B91:B102)</f>
        <v>0</v>
      </c>
      <c r="C103" s="55">
        <f t="shared" ref="C103:N103" si="15">SUM(C91:C102)</f>
        <v>0</v>
      </c>
      <c r="D103" s="55">
        <f t="shared" si="15"/>
        <v>0</v>
      </c>
      <c r="E103" s="55">
        <f t="shared" si="15"/>
        <v>0</v>
      </c>
      <c r="F103" s="55">
        <f t="shared" si="15"/>
        <v>0</v>
      </c>
      <c r="G103" s="55">
        <f t="shared" si="15"/>
        <v>0</v>
      </c>
      <c r="H103" s="55">
        <f t="shared" si="15"/>
        <v>0</v>
      </c>
      <c r="I103" s="55">
        <f t="shared" si="15"/>
        <v>0</v>
      </c>
      <c r="J103" s="55">
        <f t="shared" si="15"/>
        <v>0</v>
      </c>
      <c r="K103" s="55">
        <f t="shared" si="15"/>
        <v>0</v>
      </c>
      <c r="L103" s="55">
        <f t="shared" si="15"/>
        <v>4</v>
      </c>
      <c r="M103" s="55">
        <f t="shared" si="15"/>
        <v>6</v>
      </c>
      <c r="N103" s="54">
        <f t="shared" si="15"/>
        <v>10</v>
      </c>
    </row>
    <row r="104" spans="1:14" ht="14" thickBot="1">
      <c r="A104" s="38" t="s">
        <v>54</v>
      </c>
      <c r="B104" s="41"/>
      <c r="C104" s="41"/>
      <c r="D104" s="41"/>
      <c r="E104" s="41"/>
      <c r="F104" s="41"/>
      <c r="G104" s="41"/>
      <c r="H104" s="41"/>
      <c r="I104" s="41"/>
      <c r="J104" s="41"/>
      <c r="K104" s="41"/>
      <c r="L104" s="41"/>
      <c r="M104" s="41"/>
      <c r="N104" s="42"/>
    </row>
    <row r="105" spans="1:14">
      <c r="A105" s="36" t="s">
        <v>29</v>
      </c>
      <c r="B105" s="1093">
        <v>0</v>
      </c>
      <c r="C105" s="1093">
        <v>0</v>
      </c>
      <c r="D105" s="1093">
        <v>0</v>
      </c>
      <c r="E105" s="1093">
        <v>0</v>
      </c>
      <c r="F105" s="1093">
        <v>0</v>
      </c>
      <c r="G105" s="1093">
        <v>0</v>
      </c>
      <c r="H105" s="1093">
        <v>0</v>
      </c>
      <c r="I105" s="1093">
        <v>0</v>
      </c>
      <c r="J105" s="1093">
        <v>0</v>
      </c>
      <c r="K105" s="1093">
        <v>0</v>
      </c>
      <c r="L105" s="1093">
        <v>0</v>
      </c>
      <c r="M105" s="1093">
        <v>0</v>
      </c>
      <c r="N105" s="28">
        <f t="shared" ref="N105:N110" si="16">SUM(B105:M105)</f>
        <v>0</v>
      </c>
    </row>
    <row r="106" spans="1:14">
      <c r="A106" s="34" t="s">
        <v>51</v>
      </c>
      <c r="B106" s="1092">
        <v>0</v>
      </c>
      <c r="C106" s="1092">
        <v>0</v>
      </c>
      <c r="D106" s="1092">
        <v>0</v>
      </c>
      <c r="E106" s="1092">
        <v>0</v>
      </c>
      <c r="F106" s="1092">
        <v>0</v>
      </c>
      <c r="G106" s="1092">
        <v>0</v>
      </c>
      <c r="H106" s="1092">
        <v>0</v>
      </c>
      <c r="I106" s="1092">
        <v>0</v>
      </c>
      <c r="J106" s="1092">
        <v>0</v>
      </c>
      <c r="K106" s="1092">
        <v>0</v>
      </c>
      <c r="L106" s="1092">
        <v>0</v>
      </c>
      <c r="M106" s="1092">
        <v>0</v>
      </c>
      <c r="N106" s="29">
        <f t="shared" si="16"/>
        <v>0</v>
      </c>
    </row>
    <row r="107" spans="1:14">
      <c r="A107" s="34" t="s">
        <v>15</v>
      </c>
      <c r="B107" s="1092">
        <v>0</v>
      </c>
      <c r="C107" s="1092">
        <v>0</v>
      </c>
      <c r="D107" s="1092">
        <v>0</v>
      </c>
      <c r="E107" s="1092">
        <v>0</v>
      </c>
      <c r="F107" s="1092">
        <v>0</v>
      </c>
      <c r="G107" s="1092">
        <v>0</v>
      </c>
      <c r="H107" s="1092">
        <v>0</v>
      </c>
      <c r="I107" s="1092">
        <v>0</v>
      </c>
      <c r="J107" s="1092">
        <v>0</v>
      </c>
      <c r="K107" s="1092">
        <v>0</v>
      </c>
      <c r="L107" s="1094">
        <v>0</v>
      </c>
      <c r="M107" s="1092">
        <v>0</v>
      </c>
      <c r="N107" s="29">
        <f t="shared" si="16"/>
        <v>0</v>
      </c>
    </row>
    <row r="108" spans="1:14">
      <c r="A108" s="34" t="s">
        <v>30</v>
      </c>
      <c r="B108" s="1092">
        <v>0</v>
      </c>
      <c r="C108" s="1092">
        <v>0</v>
      </c>
      <c r="D108" s="1092">
        <v>0</v>
      </c>
      <c r="E108" s="1092">
        <v>0</v>
      </c>
      <c r="F108" s="1092">
        <v>0</v>
      </c>
      <c r="G108" s="1092">
        <v>0</v>
      </c>
      <c r="H108" s="1092">
        <v>0</v>
      </c>
      <c r="I108" s="1092">
        <v>0</v>
      </c>
      <c r="J108" s="1092">
        <v>0</v>
      </c>
      <c r="K108" s="1092">
        <v>0</v>
      </c>
      <c r="L108" s="1092">
        <v>0</v>
      </c>
      <c r="M108" s="1092">
        <v>0</v>
      </c>
      <c r="N108" s="29">
        <f t="shared" si="16"/>
        <v>0</v>
      </c>
    </row>
    <row r="109" spans="1:14">
      <c r="A109" s="32" t="s">
        <v>55</v>
      </c>
      <c r="B109" s="1094">
        <v>0</v>
      </c>
      <c r="C109" s="1094">
        <v>0</v>
      </c>
      <c r="D109" s="1095">
        <v>0</v>
      </c>
      <c r="E109" s="1094">
        <v>0</v>
      </c>
      <c r="F109" s="1094">
        <v>0</v>
      </c>
      <c r="G109" s="1094">
        <v>0</v>
      </c>
      <c r="H109" s="1094">
        <v>0</v>
      </c>
      <c r="I109" s="1094">
        <v>0</v>
      </c>
      <c r="J109" s="1094">
        <v>0</v>
      </c>
      <c r="K109" s="1094">
        <v>0</v>
      </c>
      <c r="L109" s="1094">
        <v>0</v>
      </c>
      <c r="M109" s="1094">
        <v>0</v>
      </c>
      <c r="N109" s="29">
        <f t="shared" si="16"/>
        <v>0</v>
      </c>
    </row>
    <row r="110" spans="1:14" ht="14" thickBot="1">
      <c r="A110" s="104" t="s">
        <v>150</v>
      </c>
      <c r="B110" s="1096">
        <v>0</v>
      </c>
      <c r="C110" s="1097">
        <v>0</v>
      </c>
      <c r="D110" s="1097">
        <v>0</v>
      </c>
      <c r="E110" s="1097">
        <v>0</v>
      </c>
      <c r="F110" s="1097">
        <v>0</v>
      </c>
      <c r="G110" s="1097">
        <v>0</v>
      </c>
      <c r="H110" s="1097">
        <v>0</v>
      </c>
      <c r="I110" s="1097">
        <v>0</v>
      </c>
      <c r="J110" s="1097">
        <v>0</v>
      </c>
      <c r="K110" s="1097">
        <v>0</v>
      </c>
      <c r="L110" s="1097">
        <v>0</v>
      </c>
      <c r="M110" s="1098">
        <v>0</v>
      </c>
      <c r="N110" s="29">
        <f t="shared" si="16"/>
        <v>0</v>
      </c>
    </row>
    <row r="111" spans="1:14" ht="14" thickBot="1">
      <c r="A111" s="53" t="s">
        <v>60</v>
      </c>
      <c r="B111" s="55">
        <f>SUM(B105:B110)</f>
        <v>0</v>
      </c>
      <c r="C111" s="55">
        <f>SUM(C105:C110)</f>
        <v>0</v>
      </c>
      <c r="D111" s="55">
        <f>SUM(D105:D110)</f>
        <v>0</v>
      </c>
      <c r="E111" s="55">
        <f t="shared" ref="E111:M111" si="17">SUM(E105:E110)</f>
        <v>0</v>
      </c>
      <c r="F111" s="55">
        <f t="shared" si="17"/>
        <v>0</v>
      </c>
      <c r="G111" s="55">
        <f t="shared" si="17"/>
        <v>0</v>
      </c>
      <c r="H111" s="55">
        <f t="shared" si="17"/>
        <v>0</v>
      </c>
      <c r="I111" s="55">
        <f t="shared" si="17"/>
        <v>0</v>
      </c>
      <c r="J111" s="55">
        <f t="shared" si="17"/>
        <v>0</v>
      </c>
      <c r="K111" s="55">
        <f t="shared" si="17"/>
        <v>0</v>
      </c>
      <c r="L111" s="55">
        <f t="shared" si="17"/>
        <v>0</v>
      </c>
      <c r="M111" s="55">
        <f t="shared" si="17"/>
        <v>0</v>
      </c>
      <c r="N111" s="54">
        <f>SUM(N105:N110)</f>
        <v>0</v>
      </c>
    </row>
    <row r="114" spans="1:14" ht="14" thickBot="1">
      <c r="B114" s="43" t="s">
        <v>35</v>
      </c>
      <c r="C114" s="43" t="s">
        <v>36</v>
      </c>
      <c r="D114" s="43" t="s">
        <v>37</v>
      </c>
      <c r="E114" s="43" t="s">
        <v>38</v>
      </c>
      <c r="F114" s="43" t="s">
        <v>39</v>
      </c>
      <c r="G114" s="43" t="s">
        <v>40</v>
      </c>
      <c r="H114" s="43" t="s">
        <v>41</v>
      </c>
      <c r="I114" s="43" t="s">
        <v>42</v>
      </c>
      <c r="J114" s="43" t="s">
        <v>43</v>
      </c>
      <c r="K114" s="43" t="s">
        <v>44</v>
      </c>
      <c r="L114" s="43" t="s">
        <v>45</v>
      </c>
      <c r="M114" s="43" t="s">
        <v>46</v>
      </c>
      <c r="N114" s="43" t="s">
        <v>10</v>
      </c>
    </row>
    <row r="115" spans="1:14" ht="17" thickBot="1">
      <c r="A115" s="31" t="s">
        <v>162</v>
      </c>
      <c r="B115" s="24"/>
      <c r="C115" s="24"/>
      <c r="D115" s="22"/>
      <c r="E115" s="22"/>
      <c r="F115" s="25"/>
      <c r="G115" s="25"/>
      <c r="H115" s="22"/>
      <c r="I115" s="22"/>
      <c r="J115" s="22"/>
      <c r="K115" s="22"/>
      <c r="L115" s="24"/>
      <c r="M115" s="24"/>
      <c r="N115" s="26"/>
    </row>
    <row r="116" spans="1:14" ht="14" thickBot="1">
      <c r="A116" s="38" t="s">
        <v>48</v>
      </c>
      <c r="B116" s="279"/>
      <c r="C116" s="279"/>
      <c r="D116" s="279"/>
      <c r="E116" s="279"/>
      <c r="F116" s="279"/>
      <c r="G116" s="279"/>
      <c r="H116" s="279"/>
      <c r="I116" s="279"/>
      <c r="J116" s="279"/>
      <c r="K116" s="279"/>
      <c r="L116" s="279"/>
      <c r="M116" s="279"/>
      <c r="N116" s="40"/>
    </row>
    <row r="117" spans="1:14">
      <c r="A117" s="32" t="s">
        <v>29</v>
      </c>
      <c r="B117" s="1092">
        <v>5</v>
      </c>
      <c r="C117" s="1092">
        <v>16</v>
      </c>
      <c r="D117" s="1092">
        <v>1</v>
      </c>
      <c r="E117" s="1092">
        <v>0</v>
      </c>
      <c r="F117" s="1092">
        <v>2</v>
      </c>
      <c r="G117" s="1092">
        <v>0</v>
      </c>
      <c r="H117" s="1092">
        <v>0</v>
      </c>
      <c r="I117" s="1092">
        <v>0</v>
      </c>
      <c r="J117" s="1092">
        <v>0</v>
      </c>
      <c r="K117" s="1092">
        <v>0</v>
      </c>
      <c r="L117" s="1092">
        <v>0</v>
      </c>
      <c r="M117" s="1092">
        <v>0</v>
      </c>
      <c r="N117" s="27">
        <f t="shared" ref="N117:N123" si="18">SUM(B117:M117)</f>
        <v>24</v>
      </c>
    </row>
    <row r="118" spans="1:14">
      <c r="A118" s="32" t="s">
        <v>33</v>
      </c>
      <c r="B118" s="1092">
        <v>19</v>
      </c>
      <c r="C118" s="1092">
        <v>30</v>
      </c>
      <c r="D118" s="1092">
        <v>53</v>
      </c>
      <c r="E118" s="1092">
        <v>24</v>
      </c>
      <c r="F118" s="1092">
        <v>65</v>
      </c>
      <c r="G118" s="1092">
        <v>21</v>
      </c>
      <c r="H118" s="1092">
        <v>37</v>
      </c>
      <c r="I118" s="1092">
        <v>0</v>
      </c>
      <c r="J118" s="1092">
        <v>56</v>
      </c>
      <c r="K118" s="1092">
        <v>13</v>
      </c>
      <c r="L118" s="1092">
        <v>53</v>
      </c>
      <c r="M118" s="1092">
        <v>27</v>
      </c>
      <c r="N118" s="27">
        <f t="shared" si="18"/>
        <v>398</v>
      </c>
    </row>
    <row r="119" spans="1:14">
      <c r="A119" s="32" t="s">
        <v>56</v>
      </c>
      <c r="B119" s="1092">
        <v>0</v>
      </c>
      <c r="C119" s="1092">
        <v>0</v>
      </c>
      <c r="D119" s="1092">
        <v>0</v>
      </c>
      <c r="E119" s="1092">
        <v>26</v>
      </c>
      <c r="F119" s="1092">
        <v>28</v>
      </c>
      <c r="G119" s="1092">
        <v>41</v>
      </c>
      <c r="H119" s="1092">
        <v>0</v>
      </c>
      <c r="I119" s="1092">
        <v>0</v>
      </c>
      <c r="J119" s="1092">
        <v>0</v>
      </c>
      <c r="K119" s="1092">
        <v>0</v>
      </c>
      <c r="L119" s="1092">
        <v>0</v>
      </c>
      <c r="M119" s="1092">
        <v>0</v>
      </c>
      <c r="N119" s="27">
        <f t="shared" si="18"/>
        <v>95</v>
      </c>
    </row>
    <row r="120" spans="1:14">
      <c r="A120" s="78" t="s">
        <v>30</v>
      </c>
      <c r="B120" s="1092">
        <v>0</v>
      </c>
      <c r="C120" s="1092">
        <v>0</v>
      </c>
      <c r="D120" s="1092">
        <v>0</v>
      </c>
      <c r="E120" s="1092">
        <v>0</v>
      </c>
      <c r="F120" s="1092">
        <v>0</v>
      </c>
      <c r="G120" s="1092">
        <v>0</v>
      </c>
      <c r="H120" s="1092">
        <v>0</v>
      </c>
      <c r="I120" s="1092">
        <v>0</v>
      </c>
      <c r="J120" s="1092">
        <v>0</v>
      </c>
      <c r="K120" s="1092">
        <v>0</v>
      </c>
      <c r="L120" s="1092">
        <v>0</v>
      </c>
      <c r="M120" s="1092">
        <v>1</v>
      </c>
      <c r="N120" s="27">
        <f t="shared" si="18"/>
        <v>1</v>
      </c>
    </row>
    <row r="121" spans="1:14">
      <c r="A121" s="76" t="s">
        <v>150</v>
      </c>
      <c r="B121" s="1092">
        <v>0</v>
      </c>
      <c r="C121" s="1092">
        <v>0</v>
      </c>
      <c r="D121" s="1092">
        <v>0</v>
      </c>
      <c r="E121" s="1092">
        <v>0</v>
      </c>
      <c r="F121" s="1092">
        <v>0</v>
      </c>
      <c r="G121" s="1092">
        <v>0</v>
      </c>
      <c r="H121" s="1092">
        <v>0</v>
      </c>
      <c r="I121" s="1092">
        <v>0</v>
      </c>
      <c r="J121" s="1092">
        <v>0</v>
      </c>
      <c r="K121" s="1092">
        <v>0</v>
      </c>
      <c r="L121" s="1092">
        <v>0</v>
      </c>
      <c r="M121" s="1092">
        <v>0</v>
      </c>
      <c r="N121" s="27">
        <f t="shared" si="18"/>
        <v>0</v>
      </c>
    </row>
    <row r="122" spans="1:14">
      <c r="A122" s="76" t="s">
        <v>165</v>
      </c>
      <c r="B122" s="1092">
        <v>0</v>
      </c>
      <c r="C122" s="1092">
        <v>0</v>
      </c>
      <c r="D122" s="1092">
        <v>0</v>
      </c>
      <c r="E122" s="1092">
        <v>0</v>
      </c>
      <c r="F122" s="1092">
        <v>0</v>
      </c>
      <c r="G122" s="1092">
        <v>0</v>
      </c>
      <c r="H122" s="1092">
        <v>0</v>
      </c>
      <c r="I122" s="1092">
        <v>0</v>
      </c>
      <c r="J122" s="1092">
        <v>0</v>
      </c>
      <c r="K122" s="1092">
        <v>65</v>
      </c>
      <c r="L122" s="1092">
        <v>0</v>
      </c>
      <c r="M122" s="1092">
        <v>0</v>
      </c>
      <c r="N122" s="27">
        <f t="shared" si="18"/>
        <v>65</v>
      </c>
    </row>
    <row r="123" spans="1:14" ht="14" thickBot="1">
      <c r="A123" s="76" t="s">
        <v>166</v>
      </c>
      <c r="B123" s="1092">
        <v>0</v>
      </c>
      <c r="C123" s="1092">
        <v>0</v>
      </c>
      <c r="D123" s="1092">
        <v>0</v>
      </c>
      <c r="E123" s="1092">
        <v>0</v>
      </c>
      <c r="F123" s="1092">
        <v>0</v>
      </c>
      <c r="G123" s="1092">
        <v>0</v>
      </c>
      <c r="H123" s="1092">
        <v>0</v>
      </c>
      <c r="I123" s="1092">
        <v>0</v>
      </c>
      <c r="J123" s="1092">
        <v>0</v>
      </c>
      <c r="K123" s="1092">
        <v>0</v>
      </c>
      <c r="L123" s="1092">
        <v>0</v>
      </c>
      <c r="M123" s="1092">
        <v>0</v>
      </c>
      <c r="N123" s="27">
        <f t="shared" si="18"/>
        <v>0</v>
      </c>
    </row>
    <row r="124" spans="1:14" ht="14" thickBot="1">
      <c r="A124" s="53" t="s">
        <v>60</v>
      </c>
      <c r="B124" s="55">
        <f>SUM(B117:B123)</f>
        <v>24</v>
      </c>
      <c r="C124" s="55">
        <f t="shared" ref="C124:N124" si="19">SUM(C117:C123)</f>
        <v>46</v>
      </c>
      <c r="D124" s="55">
        <f t="shared" si="19"/>
        <v>54</v>
      </c>
      <c r="E124" s="55">
        <f t="shared" si="19"/>
        <v>50</v>
      </c>
      <c r="F124" s="55">
        <f t="shared" si="19"/>
        <v>95</v>
      </c>
      <c r="G124" s="55">
        <f t="shared" si="19"/>
        <v>62</v>
      </c>
      <c r="H124" s="55">
        <f t="shared" si="19"/>
        <v>37</v>
      </c>
      <c r="I124" s="55">
        <f t="shared" si="19"/>
        <v>0</v>
      </c>
      <c r="J124" s="55">
        <f t="shared" si="19"/>
        <v>56</v>
      </c>
      <c r="K124" s="55">
        <f t="shared" si="19"/>
        <v>78</v>
      </c>
      <c r="L124" s="55">
        <f t="shared" si="19"/>
        <v>53</v>
      </c>
      <c r="M124" s="55">
        <f t="shared" si="19"/>
        <v>28</v>
      </c>
      <c r="N124" s="54">
        <f t="shared" si="19"/>
        <v>583</v>
      </c>
    </row>
    <row r="125" spans="1:14" ht="14" thickBot="1">
      <c r="A125" s="38" t="s">
        <v>49</v>
      </c>
      <c r="B125" s="39"/>
      <c r="C125" s="39"/>
      <c r="D125" s="39"/>
      <c r="E125" s="39"/>
      <c r="F125" s="39"/>
      <c r="G125" s="39"/>
      <c r="H125" s="39"/>
      <c r="I125" s="39"/>
      <c r="J125" s="39"/>
      <c r="K125" s="39"/>
      <c r="L125" s="39"/>
      <c r="M125" s="39"/>
      <c r="N125" s="40"/>
    </row>
    <row r="126" spans="1:14" ht="14" thickBot="1">
      <c r="A126" s="33" t="s">
        <v>49</v>
      </c>
      <c r="B126" s="1092"/>
      <c r="C126" s="1092"/>
      <c r="D126" s="1092"/>
      <c r="E126" s="1092"/>
      <c r="F126" s="1092"/>
      <c r="G126" s="1092"/>
      <c r="H126" s="1092"/>
      <c r="I126" s="1092"/>
      <c r="J126" s="1092"/>
      <c r="K126" s="1092"/>
      <c r="L126" s="1092"/>
      <c r="M126" s="1092"/>
      <c r="N126" s="27">
        <f>SUM(B126:M126)</f>
        <v>0</v>
      </c>
    </row>
    <row r="127" spans="1:14" ht="14" thickBot="1">
      <c r="A127" s="53" t="s">
        <v>60</v>
      </c>
      <c r="B127" s="55">
        <f>SUM(B126)</f>
        <v>0</v>
      </c>
      <c r="C127" s="55">
        <f t="shared" ref="C127:N127" si="20">SUM(C126)</f>
        <v>0</v>
      </c>
      <c r="D127" s="55">
        <f t="shared" si="20"/>
        <v>0</v>
      </c>
      <c r="E127" s="55">
        <f t="shared" si="20"/>
        <v>0</v>
      </c>
      <c r="F127" s="55">
        <f t="shared" si="20"/>
        <v>0</v>
      </c>
      <c r="G127" s="55">
        <f t="shared" si="20"/>
        <v>0</v>
      </c>
      <c r="H127" s="55">
        <f t="shared" si="20"/>
        <v>0</v>
      </c>
      <c r="I127" s="55">
        <f t="shared" si="20"/>
        <v>0</v>
      </c>
      <c r="J127" s="55">
        <f t="shared" si="20"/>
        <v>0</v>
      </c>
      <c r="K127" s="55">
        <f t="shared" si="20"/>
        <v>0</v>
      </c>
      <c r="L127" s="55">
        <f t="shared" si="20"/>
        <v>0</v>
      </c>
      <c r="M127" s="55">
        <f t="shared" si="20"/>
        <v>0</v>
      </c>
      <c r="N127" s="54">
        <f t="shared" si="20"/>
        <v>0</v>
      </c>
    </row>
    <row r="128" spans="1:14" ht="14" thickBot="1">
      <c r="A128" s="38" t="s">
        <v>50</v>
      </c>
      <c r="B128" s="39"/>
      <c r="C128" s="39"/>
      <c r="D128" s="39"/>
      <c r="E128" s="39"/>
      <c r="F128" s="39"/>
      <c r="G128" s="39"/>
      <c r="H128" s="39"/>
      <c r="I128" s="39"/>
      <c r="J128" s="39"/>
      <c r="K128" s="39"/>
      <c r="L128" s="39"/>
      <c r="M128" s="39"/>
      <c r="N128" s="40"/>
    </row>
    <row r="129" spans="1:14">
      <c r="A129" s="32" t="s">
        <v>29</v>
      </c>
      <c r="B129" s="1092">
        <v>0</v>
      </c>
      <c r="C129" s="1092">
        <v>0</v>
      </c>
      <c r="D129" s="1092">
        <v>0</v>
      </c>
      <c r="E129" s="1092">
        <v>0</v>
      </c>
      <c r="F129" s="1092">
        <v>0</v>
      </c>
      <c r="G129" s="1092">
        <v>0</v>
      </c>
      <c r="H129" s="1092">
        <v>0</v>
      </c>
      <c r="I129" s="1092">
        <v>0</v>
      </c>
      <c r="J129" s="1092">
        <v>0</v>
      </c>
      <c r="K129" s="1092">
        <v>0</v>
      </c>
      <c r="L129" s="1092">
        <v>0</v>
      </c>
      <c r="M129" s="1092">
        <v>0</v>
      </c>
      <c r="N129" s="27">
        <f t="shared" ref="N129:N135" si="21">SUM(B129:M129)</f>
        <v>0</v>
      </c>
    </row>
    <row r="130" spans="1:14">
      <c r="A130" s="32" t="s">
        <v>51</v>
      </c>
      <c r="B130" s="1092">
        <v>0</v>
      </c>
      <c r="C130" s="1092">
        <v>0</v>
      </c>
      <c r="D130" s="1092">
        <v>0</v>
      </c>
      <c r="E130" s="1092">
        <v>0</v>
      </c>
      <c r="F130" s="1092">
        <v>0</v>
      </c>
      <c r="G130" s="1092">
        <v>53</v>
      </c>
      <c r="H130" s="1092">
        <v>27</v>
      </c>
      <c r="I130" s="1092">
        <v>0</v>
      </c>
      <c r="J130" s="1092">
        <v>0</v>
      </c>
      <c r="K130" s="1092">
        <v>1</v>
      </c>
      <c r="L130" s="1092">
        <v>0</v>
      </c>
      <c r="M130" s="1092">
        <v>0</v>
      </c>
      <c r="N130" s="27">
        <f t="shared" si="21"/>
        <v>81</v>
      </c>
    </row>
    <row r="131" spans="1:14">
      <c r="A131" s="34" t="s">
        <v>20</v>
      </c>
      <c r="B131" s="1092">
        <v>0</v>
      </c>
      <c r="C131" s="1092">
        <v>0</v>
      </c>
      <c r="D131" s="1092">
        <v>0</v>
      </c>
      <c r="E131" s="1092">
        <v>0</v>
      </c>
      <c r="F131" s="1092">
        <v>0</v>
      </c>
      <c r="G131" s="1092">
        <v>0</v>
      </c>
      <c r="H131" s="1092">
        <v>0</v>
      </c>
      <c r="I131" s="1092">
        <v>0</v>
      </c>
      <c r="J131" s="1092">
        <v>0</v>
      </c>
      <c r="K131" s="1092">
        <v>0</v>
      </c>
      <c r="L131" s="1092">
        <v>1</v>
      </c>
      <c r="M131" s="1092">
        <v>0</v>
      </c>
      <c r="N131" s="27">
        <f t="shared" si="21"/>
        <v>1</v>
      </c>
    </row>
    <row r="132" spans="1:14">
      <c r="A132" s="34" t="s">
        <v>13</v>
      </c>
      <c r="B132" s="1092">
        <v>0</v>
      </c>
      <c r="C132" s="1092">
        <v>0</v>
      </c>
      <c r="D132" s="1092">
        <v>0</v>
      </c>
      <c r="E132" s="1092">
        <v>0</v>
      </c>
      <c r="F132" s="1092">
        <v>0</v>
      </c>
      <c r="G132" s="1092">
        <v>0</v>
      </c>
      <c r="H132" s="1092">
        <v>0</v>
      </c>
      <c r="I132" s="1092">
        <v>0</v>
      </c>
      <c r="J132" s="1092">
        <v>0</v>
      </c>
      <c r="K132" s="1092">
        <v>0</v>
      </c>
      <c r="L132" s="1092">
        <v>0</v>
      </c>
      <c r="M132" s="1092">
        <v>0</v>
      </c>
      <c r="N132" s="27">
        <f t="shared" si="21"/>
        <v>0</v>
      </c>
    </row>
    <row r="133" spans="1:14">
      <c r="A133" s="35" t="s">
        <v>47</v>
      </c>
      <c r="B133" s="1092">
        <v>0</v>
      </c>
      <c r="C133" s="1092">
        <v>0</v>
      </c>
      <c r="D133" s="1092">
        <v>0</v>
      </c>
      <c r="E133" s="1092">
        <v>0</v>
      </c>
      <c r="F133" s="1092">
        <v>0</v>
      </c>
      <c r="G133" s="1092">
        <v>0</v>
      </c>
      <c r="H133" s="1092">
        <v>0</v>
      </c>
      <c r="I133" s="1092">
        <v>0</v>
      </c>
      <c r="J133" s="1092">
        <v>0</v>
      </c>
      <c r="K133" s="1092">
        <v>0</v>
      </c>
      <c r="L133" s="1092">
        <v>0</v>
      </c>
      <c r="M133" s="1092">
        <v>0</v>
      </c>
      <c r="N133" s="27">
        <f t="shared" si="21"/>
        <v>0</v>
      </c>
    </row>
    <row r="134" spans="1:14">
      <c r="A134" s="76" t="s">
        <v>30</v>
      </c>
      <c r="B134" s="1092">
        <v>0</v>
      </c>
      <c r="C134" s="1092">
        <v>0</v>
      </c>
      <c r="D134" s="1092">
        <v>0</v>
      </c>
      <c r="E134" s="1092">
        <v>0</v>
      </c>
      <c r="F134" s="1092">
        <v>0</v>
      </c>
      <c r="G134" s="1092">
        <v>0</v>
      </c>
      <c r="H134" s="1092">
        <v>0</v>
      </c>
      <c r="I134" s="1092">
        <v>0</v>
      </c>
      <c r="J134" s="1092">
        <v>0</v>
      </c>
      <c r="K134" s="1092">
        <v>0</v>
      </c>
      <c r="L134" s="1092">
        <v>0</v>
      </c>
      <c r="M134" s="1092">
        <v>0</v>
      </c>
      <c r="N134" s="27">
        <f t="shared" si="21"/>
        <v>0</v>
      </c>
    </row>
    <row r="135" spans="1:14">
      <c r="A135" s="76" t="s">
        <v>150</v>
      </c>
      <c r="B135" s="1092">
        <v>0</v>
      </c>
      <c r="C135" s="1092">
        <v>0</v>
      </c>
      <c r="D135" s="1092">
        <v>0</v>
      </c>
      <c r="E135" s="1092">
        <v>0</v>
      </c>
      <c r="F135" s="1092">
        <v>0</v>
      </c>
      <c r="G135" s="1092">
        <v>0</v>
      </c>
      <c r="H135" s="1092">
        <v>0</v>
      </c>
      <c r="I135" s="1092">
        <v>0</v>
      </c>
      <c r="J135" s="1092">
        <v>0</v>
      </c>
      <c r="K135" s="1092">
        <v>0</v>
      </c>
      <c r="L135" s="1092">
        <v>0</v>
      </c>
      <c r="M135" s="1092">
        <v>0</v>
      </c>
      <c r="N135" s="27">
        <f t="shared" si="21"/>
        <v>0</v>
      </c>
    </row>
    <row r="136" spans="1:14">
      <c r="A136" s="32" t="s">
        <v>56</v>
      </c>
      <c r="B136" s="1092">
        <v>0</v>
      </c>
      <c r="C136" s="1092">
        <v>0</v>
      </c>
      <c r="D136" s="1092">
        <v>0</v>
      </c>
      <c r="E136" s="1092">
        <v>0</v>
      </c>
      <c r="F136" s="1092">
        <v>0</v>
      </c>
      <c r="G136" s="1092">
        <v>0</v>
      </c>
      <c r="H136" s="1092">
        <v>0</v>
      </c>
      <c r="I136" s="1092">
        <v>0</v>
      </c>
      <c r="J136" s="1092">
        <v>0</v>
      </c>
      <c r="K136" s="1092">
        <v>0</v>
      </c>
      <c r="L136" s="1092">
        <v>0</v>
      </c>
      <c r="M136" s="1092">
        <v>0</v>
      </c>
      <c r="N136" s="27">
        <f>SUM(B136:M136)</f>
        <v>0</v>
      </c>
    </row>
    <row r="137" spans="1:14">
      <c r="A137" s="78" t="s">
        <v>122</v>
      </c>
      <c r="B137" s="1092">
        <v>0</v>
      </c>
      <c r="C137" s="1092">
        <v>0</v>
      </c>
      <c r="D137" s="1092">
        <v>0</v>
      </c>
      <c r="E137" s="1092">
        <v>0</v>
      </c>
      <c r="F137" s="1092">
        <v>0</v>
      </c>
      <c r="G137" s="1092">
        <v>0</v>
      </c>
      <c r="H137" s="1092">
        <v>0</v>
      </c>
      <c r="I137" s="1092">
        <v>0</v>
      </c>
      <c r="J137" s="1092">
        <v>0</v>
      </c>
      <c r="K137" s="1092">
        <v>0</v>
      </c>
      <c r="L137" s="1092">
        <v>0</v>
      </c>
      <c r="M137" s="1092">
        <v>0</v>
      </c>
      <c r="N137" s="27">
        <f>SUM(B137:M137)</f>
        <v>0</v>
      </c>
    </row>
    <row r="138" spans="1:14">
      <c r="A138" s="32" t="s">
        <v>102</v>
      </c>
      <c r="B138" s="1092">
        <v>0</v>
      </c>
      <c r="C138" s="1092">
        <v>0</v>
      </c>
      <c r="D138" s="1092">
        <v>0</v>
      </c>
      <c r="E138" s="1092">
        <v>0</v>
      </c>
      <c r="F138" s="1092">
        <v>0</v>
      </c>
      <c r="G138" s="1092">
        <v>0</v>
      </c>
      <c r="H138" s="1092">
        <v>0</v>
      </c>
      <c r="I138" s="1092">
        <v>0</v>
      </c>
      <c r="J138" s="1092">
        <v>0</v>
      </c>
      <c r="K138" s="1092">
        <v>0</v>
      </c>
      <c r="L138" s="1092">
        <v>0</v>
      </c>
      <c r="M138" s="1092">
        <v>0</v>
      </c>
      <c r="N138" s="27">
        <f>SUM(B138:M138)</f>
        <v>0</v>
      </c>
    </row>
    <row r="139" spans="1:14" ht="14" thickBot="1">
      <c r="A139" s="78" t="s">
        <v>167</v>
      </c>
      <c r="B139" s="1092">
        <v>0</v>
      </c>
      <c r="C139" s="1092">
        <v>0</v>
      </c>
      <c r="D139" s="1092">
        <v>0</v>
      </c>
      <c r="E139" s="1092">
        <v>0</v>
      </c>
      <c r="F139" s="1092">
        <v>0</v>
      </c>
      <c r="G139" s="1092">
        <v>0</v>
      </c>
      <c r="H139" s="1092">
        <v>0</v>
      </c>
      <c r="I139" s="1092">
        <v>0</v>
      </c>
      <c r="J139" s="1092">
        <v>0</v>
      </c>
      <c r="K139" s="1092">
        <v>0</v>
      </c>
      <c r="L139" s="1092">
        <v>0</v>
      </c>
      <c r="M139" s="1092">
        <v>0</v>
      </c>
      <c r="N139" s="27">
        <f>SUM(B139:M139)</f>
        <v>0</v>
      </c>
    </row>
    <row r="140" spans="1:14" ht="14" thickBot="1">
      <c r="A140" s="53" t="s">
        <v>60</v>
      </c>
      <c r="B140" s="55">
        <f>SUM(B129:B139)</f>
        <v>0</v>
      </c>
      <c r="C140" s="55">
        <f t="shared" ref="C140:N140" si="22">SUM(C129:C139)</f>
        <v>0</v>
      </c>
      <c r="D140" s="55">
        <f t="shared" si="22"/>
        <v>0</v>
      </c>
      <c r="E140" s="55">
        <f t="shared" si="22"/>
        <v>0</v>
      </c>
      <c r="F140" s="55">
        <f t="shared" si="22"/>
        <v>0</v>
      </c>
      <c r="G140" s="55">
        <f t="shared" si="22"/>
        <v>53</v>
      </c>
      <c r="H140" s="55">
        <f t="shared" si="22"/>
        <v>27</v>
      </c>
      <c r="I140" s="55">
        <f t="shared" si="22"/>
        <v>0</v>
      </c>
      <c r="J140" s="55">
        <f t="shared" si="22"/>
        <v>0</v>
      </c>
      <c r="K140" s="55">
        <f t="shared" si="22"/>
        <v>1</v>
      </c>
      <c r="L140" s="55">
        <f t="shared" si="22"/>
        <v>1</v>
      </c>
      <c r="M140" s="55">
        <f t="shared" si="22"/>
        <v>0</v>
      </c>
      <c r="N140" s="54">
        <f t="shared" si="22"/>
        <v>82</v>
      </c>
    </row>
    <row r="143" spans="1:14" ht="14" thickBot="1">
      <c r="B143" s="43" t="s">
        <v>35</v>
      </c>
      <c r="C143" s="43" t="s">
        <v>36</v>
      </c>
      <c r="D143" s="43" t="s">
        <v>37</v>
      </c>
      <c r="E143" s="43" t="s">
        <v>38</v>
      </c>
      <c r="F143" s="43" t="s">
        <v>39</v>
      </c>
      <c r="G143" s="43" t="s">
        <v>40</v>
      </c>
      <c r="H143" s="43" t="s">
        <v>41</v>
      </c>
      <c r="I143" s="43" t="s">
        <v>42</v>
      </c>
      <c r="J143" s="43" t="s">
        <v>43</v>
      </c>
      <c r="K143" s="43" t="s">
        <v>44</v>
      </c>
      <c r="L143" s="43" t="s">
        <v>45</v>
      </c>
      <c r="M143" s="43" t="s">
        <v>46</v>
      </c>
      <c r="N143" s="43" t="s">
        <v>10</v>
      </c>
    </row>
    <row r="144" spans="1:14" ht="17" thickBot="1">
      <c r="A144" s="31" t="s">
        <v>178</v>
      </c>
      <c r="B144" s="24"/>
      <c r="C144" s="24"/>
      <c r="D144" s="22"/>
      <c r="E144" s="22"/>
      <c r="F144" s="25"/>
      <c r="G144" s="25"/>
      <c r="H144" s="22"/>
      <c r="I144" s="22"/>
      <c r="J144" s="22"/>
      <c r="K144" s="22"/>
      <c r="L144" s="24"/>
      <c r="M144" s="24"/>
      <c r="N144" s="26"/>
    </row>
    <row r="145" spans="1:14" ht="14" thickBot="1">
      <c r="A145" s="38" t="s">
        <v>48</v>
      </c>
      <c r="B145" s="39"/>
      <c r="C145" s="39"/>
      <c r="D145" s="39"/>
      <c r="E145" s="39"/>
      <c r="F145" s="39"/>
      <c r="G145" s="39"/>
      <c r="H145" s="39"/>
      <c r="I145" s="39"/>
      <c r="J145" s="39"/>
      <c r="K145" s="39"/>
      <c r="L145" s="39"/>
      <c r="M145" s="39"/>
      <c r="N145" s="40"/>
    </row>
    <row r="146" spans="1:14" hidden="1">
      <c r="A146" s="32" t="s">
        <v>29</v>
      </c>
      <c r="B146" s="44"/>
      <c r="C146" s="44"/>
      <c r="D146" s="44"/>
      <c r="E146" s="44"/>
      <c r="F146" s="44"/>
      <c r="G146" s="44"/>
      <c r="H146" s="44"/>
      <c r="I146" s="44"/>
      <c r="J146" s="44"/>
      <c r="K146" s="44"/>
      <c r="L146" s="44"/>
      <c r="M146" s="44"/>
      <c r="N146" s="27">
        <f t="shared" ref="N146:N152" si="23">SUM(B146:M146)</f>
        <v>0</v>
      </c>
    </row>
    <row r="147" spans="1:14">
      <c r="A147" s="32" t="s">
        <v>33</v>
      </c>
      <c r="B147" s="1092">
        <v>10</v>
      </c>
      <c r="C147" s="1092">
        <v>21</v>
      </c>
      <c r="D147" s="1092">
        <v>5</v>
      </c>
      <c r="E147" s="1092">
        <v>23</v>
      </c>
      <c r="F147" s="1092">
        <v>8</v>
      </c>
      <c r="G147" s="1092">
        <v>36</v>
      </c>
      <c r="H147" s="1092">
        <v>25</v>
      </c>
      <c r="I147" s="1092">
        <v>21</v>
      </c>
      <c r="J147" s="1092">
        <v>28</v>
      </c>
      <c r="K147" s="1092">
        <v>21</v>
      </c>
      <c r="L147" s="1092">
        <v>17</v>
      </c>
      <c r="M147" s="1092">
        <v>17</v>
      </c>
      <c r="N147" s="27">
        <f t="shared" si="23"/>
        <v>232</v>
      </c>
    </row>
    <row r="148" spans="1:14">
      <c r="A148" s="32" t="s">
        <v>56</v>
      </c>
      <c r="B148" s="1092">
        <v>31</v>
      </c>
      <c r="C148" s="1092">
        <v>0</v>
      </c>
      <c r="D148" s="1092">
        <v>0</v>
      </c>
      <c r="E148" s="1092">
        <v>0</v>
      </c>
      <c r="F148" s="1092">
        <v>0</v>
      </c>
      <c r="G148" s="1092">
        <v>0</v>
      </c>
      <c r="H148" s="1092">
        <v>0</v>
      </c>
      <c r="I148" s="1092">
        <v>0</v>
      </c>
      <c r="J148" s="1092">
        <v>0</v>
      </c>
      <c r="K148" s="1092">
        <v>0</v>
      </c>
      <c r="L148" s="1092">
        <v>0</v>
      </c>
      <c r="M148" s="1092">
        <v>0</v>
      </c>
      <c r="N148" s="27">
        <f t="shared" si="23"/>
        <v>31</v>
      </c>
    </row>
    <row r="149" spans="1:14">
      <c r="A149" s="78" t="s">
        <v>30</v>
      </c>
      <c r="B149" s="1092">
        <v>0</v>
      </c>
      <c r="C149" s="1092">
        <v>2</v>
      </c>
      <c r="D149" s="1092">
        <v>0</v>
      </c>
      <c r="E149" s="1092">
        <v>1</v>
      </c>
      <c r="F149" s="1092">
        <v>0</v>
      </c>
      <c r="G149" s="1092">
        <v>0</v>
      </c>
      <c r="H149" s="1092">
        <v>1</v>
      </c>
      <c r="I149" s="1092">
        <v>0</v>
      </c>
      <c r="J149" s="1092">
        <v>2</v>
      </c>
      <c r="K149" s="1092">
        <v>0</v>
      </c>
      <c r="L149" s="1092">
        <v>0</v>
      </c>
      <c r="M149" s="1092">
        <v>1</v>
      </c>
      <c r="N149" s="27">
        <f t="shared" si="23"/>
        <v>7</v>
      </c>
    </row>
    <row r="150" spans="1:14" hidden="1">
      <c r="A150" s="76" t="s">
        <v>182</v>
      </c>
      <c r="B150" s="1092"/>
      <c r="C150" s="1092"/>
      <c r="D150" s="1092"/>
      <c r="E150" s="1092"/>
      <c r="F150" s="1092"/>
      <c r="G150" s="1092"/>
      <c r="H150" s="1092"/>
      <c r="I150" s="1092"/>
      <c r="J150" s="1092"/>
      <c r="K150" s="1092"/>
      <c r="L150" s="1092"/>
      <c r="M150" s="1092"/>
      <c r="N150" s="27">
        <f t="shared" si="23"/>
        <v>0</v>
      </c>
    </row>
    <row r="151" spans="1:14">
      <c r="A151" s="76" t="s">
        <v>165</v>
      </c>
      <c r="B151" s="1092">
        <v>0</v>
      </c>
      <c r="C151" s="1092">
        <v>0</v>
      </c>
      <c r="D151" s="1092">
        <v>0</v>
      </c>
      <c r="E151" s="1092">
        <v>0</v>
      </c>
      <c r="F151" s="1092">
        <v>0</v>
      </c>
      <c r="G151" s="1092">
        <v>0</v>
      </c>
      <c r="H151" s="1092">
        <v>0</v>
      </c>
      <c r="I151" s="1092">
        <v>0</v>
      </c>
      <c r="J151" s="1092">
        <v>0</v>
      </c>
      <c r="K151" s="1092">
        <v>0</v>
      </c>
      <c r="L151" s="1092">
        <v>0</v>
      </c>
      <c r="M151" s="1092">
        <v>0</v>
      </c>
      <c r="N151" s="27">
        <v>1995</v>
      </c>
    </row>
    <row r="152" spans="1:14" ht="14" thickBot="1">
      <c r="A152" s="76" t="s">
        <v>166</v>
      </c>
      <c r="B152" s="1092">
        <v>0</v>
      </c>
      <c r="C152" s="1092">
        <v>0</v>
      </c>
      <c r="D152" s="1092">
        <v>0</v>
      </c>
      <c r="E152" s="1092">
        <v>0</v>
      </c>
      <c r="F152" s="1092">
        <v>0</v>
      </c>
      <c r="G152" s="1092">
        <v>0</v>
      </c>
      <c r="H152" s="1092">
        <v>0</v>
      </c>
      <c r="I152" s="1092">
        <v>0</v>
      </c>
      <c r="J152" s="1092">
        <v>0</v>
      </c>
      <c r="K152" s="1092">
        <v>0</v>
      </c>
      <c r="L152" s="1092">
        <v>0</v>
      </c>
      <c r="M152" s="1092">
        <v>0</v>
      </c>
      <c r="N152" s="27">
        <f t="shared" si="23"/>
        <v>0</v>
      </c>
    </row>
    <row r="153" spans="1:14" ht="14" thickBot="1">
      <c r="A153" s="53" t="s">
        <v>60</v>
      </c>
      <c r="B153" s="55">
        <f>SUM(B146:B152)</f>
        <v>41</v>
      </c>
      <c r="C153" s="55">
        <f t="shared" ref="C153:N153" si="24">SUM(C146:C152)</f>
        <v>23</v>
      </c>
      <c r="D153" s="55">
        <f t="shared" si="24"/>
        <v>5</v>
      </c>
      <c r="E153" s="55">
        <f t="shared" si="24"/>
        <v>24</v>
      </c>
      <c r="F153" s="55">
        <f t="shared" si="24"/>
        <v>8</v>
      </c>
      <c r="G153" s="55">
        <f t="shared" si="24"/>
        <v>36</v>
      </c>
      <c r="H153" s="55">
        <f t="shared" si="24"/>
        <v>26</v>
      </c>
      <c r="I153" s="55">
        <f t="shared" si="24"/>
        <v>21</v>
      </c>
      <c r="J153" s="55">
        <f t="shared" si="24"/>
        <v>30</v>
      </c>
      <c r="K153" s="55">
        <f t="shared" si="24"/>
        <v>21</v>
      </c>
      <c r="L153" s="55">
        <f t="shared" si="24"/>
        <v>17</v>
      </c>
      <c r="M153" s="55">
        <f t="shared" si="24"/>
        <v>18</v>
      </c>
      <c r="N153" s="54">
        <f t="shared" si="24"/>
        <v>2265</v>
      </c>
    </row>
    <row r="154" spans="1:14" ht="14" thickBot="1">
      <c r="A154" s="38" t="s">
        <v>49</v>
      </c>
      <c r="B154" s="39"/>
      <c r="C154" s="39"/>
      <c r="D154" s="39"/>
      <c r="E154" s="39"/>
      <c r="F154" s="39"/>
      <c r="G154" s="39"/>
      <c r="H154" s="39"/>
      <c r="I154" s="39"/>
      <c r="J154" s="39"/>
      <c r="K154" s="39"/>
      <c r="L154" s="39"/>
      <c r="M154" s="39"/>
      <c r="N154" s="40"/>
    </row>
    <row r="155" spans="1:14">
      <c r="A155" s="76" t="s">
        <v>147</v>
      </c>
      <c r="B155" s="1092">
        <v>0</v>
      </c>
      <c r="C155" s="1092">
        <v>0</v>
      </c>
      <c r="D155" s="1092">
        <v>0</v>
      </c>
      <c r="E155" s="1092">
        <v>0</v>
      </c>
      <c r="F155" s="1092">
        <v>0</v>
      </c>
      <c r="G155" s="1092">
        <v>0</v>
      </c>
      <c r="H155" s="1092">
        <v>0</v>
      </c>
      <c r="I155" s="1092">
        <v>0</v>
      </c>
      <c r="J155" s="1092">
        <v>0</v>
      </c>
      <c r="K155" s="1092">
        <v>0</v>
      </c>
      <c r="L155" s="1092">
        <v>0</v>
      </c>
      <c r="M155" s="1092">
        <v>0</v>
      </c>
      <c r="N155" s="27">
        <f>SUM(B155:M155)</f>
        <v>0</v>
      </c>
    </row>
    <row r="156" spans="1:14" ht="14" thickBot="1">
      <c r="A156" s="76" t="s">
        <v>179</v>
      </c>
      <c r="B156" s="1092">
        <v>0</v>
      </c>
      <c r="C156" s="1092">
        <v>0</v>
      </c>
      <c r="D156" s="1092">
        <v>0</v>
      </c>
      <c r="E156" s="1092">
        <v>0</v>
      </c>
      <c r="F156" s="1092">
        <v>0</v>
      </c>
      <c r="G156" s="1092">
        <v>0</v>
      </c>
      <c r="H156" s="1092">
        <v>0</v>
      </c>
      <c r="I156" s="1092">
        <v>0</v>
      </c>
      <c r="J156" s="1092">
        <v>0</v>
      </c>
      <c r="K156" s="1092">
        <v>0</v>
      </c>
      <c r="L156" s="1092">
        <v>0</v>
      </c>
      <c r="M156" s="1092">
        <v>0</v>
      </c>
      <c r="N156" s="27">
        <v>33</v>
      </c>
    </row>
    <row r="157" spans="1:14" ht="14" thickBot="1">
      <c r="A157" s="53" t="s">
        <v>60</v>
      </c>
      <c r="B157" s="55">
        <f>SUM(B155)</f>
        <v>0</v>
      </c>
      <c r="C157" s="55">
        <f t="shared" ref="C157:M157" si="25">SUM(C155)</f>
        <v>0</v>
      </c>
      <c r="D157" s="55">
        <f t="shared" si="25"/>
        <v>0</v>
      </c>
      <c r="E157" s="55">
        <f t="shared" si="25"/>
        <v>0</v>
      </c>
      <c r="F157" s="55">
        <f t="shared" si="25"/>
        <v>0</v>
      </c>
      <c r="G157" s="55">
        <f t="shared" si="25"/>
        <v>0</v>
      </c>
      <c r="H157" s="55">
        <f t="shared" si="25"/>
        <v>0</v>
      </c>
      <c r="I157" s="55">
        <f t="shared" si="25"/>
        <v>0</v>
      </c>
      <c r="J157" s="55">
        <f t="shared" si="25"/>
        <v>0</v>
      </c>
      <c r="K157" s="55">
        <f t="shared" si="25"/>
        <v>0</v>
      </c>
      <c r="L157" s="55">
        <f t="shared" si="25"/>
        <v>0</v>
      </c>
      <c r="M157" s="55">
        <f t="shared" si="25"/>
        <v>0</v>
      </c>
      <c r="N157" s="54">
        <f>SUM(N155:N156)</f>
        <v>33</v>
      </c>
    </row>
    <row r="158" spans="1:14" ht="14" thickBot="1">
      <c r="A158" s="38" t="s">
        <v>50</v>
      </c>
      <c r="B158" s="39"/>
      <c r="C158" s="39"/>
      <c r="D158" s="39"/>
      <c r="E158" s="39"/>
      <c r="F158" s="39"/>
      <c r="G158" s="39"/>
      <c r="H158" s="39"/>
      <c r="I158" s="39"/>
      <c r="J158" s="39"/>
      <c r="K158" s="39"/>
      <c r="L158" s="39"/>
      <c r="M158" s="39"/>
      <c r="N158" s="40"/>
    </row>
    <row r="159" spans="1:14">
      <c r="A159" s="32" t="s">
        <v>29</v>
      </c>
      <c r="B159" s="1092">
        <v>0</v>
      </c>
      <c r="C159" s="1092">
        <v>0</v>
      </c>
      <c r="D159" s="1092">
        <v>0</v>
      </c>
      <c r="E159" s="1092">
        <v>0</v>
      </c>
      <c r="F159" s="1092">
        <v>0</v>
      </c>
      <c r="G159" s="1092">
        <v>0</v>
      </c>
      <c r="H159" s="1092">
        <v>0</v>
      </c>
      <c r="I159" s="1092">
        <v>0</v>
      </c>
      <c r="J159" s="1092">
        <v>0</v>
      </c>
      <c r="K159" s="1092">
        <v>0</v>
      </c>
      <c r="L159" s="1092">
        <v>0</v>
      </c>
      <c r="M159" s="1092">
        <v>0</v>
      </c>
      <c r="N159" s="27">
        <f t="shared" ref="N159:N165" si="26">SUM(B159:M159)</f>
        <v>0</v>
      </c>
    </row>
    <row r="160" spans="1:14">
      <c r="A160" s="32" t="s">
        <v>51</v>
      </c>
      <c r="B160" s="1092">
        <v>0</v>
      </c>
      <c r="C160" s="1092">
        <v>0</v>
      </c>
      <c r="D160" s="1092">
        <v>0</v>
      </c>
      <c r="E160" s="1092">
        <v>0</v>
      </c>
      <c r="F160" s="1092">
        <v>0</v>
      </c>
      <c r="G160" s="1092">
        <v>0</v>
      </c>
      <c r="H160" s="1092">
        <v>0</v>
      </c>
      <c r="I160" s="1092">
        <v>0</v>
      </c>
      <c r="J160" s="1092">
        <v>0</v>
      </c>
      <c r="K160" s="1092">
        <v>0</v>
      </c>
      <c r="L160" s="1092">
        <v>0</v>
      </c>
      <c r="M160" s="1092">
        <v>0</v>
      </c>
      <c r="N160" s="27">
        <f t="shared" si="26"/>
        <v>0</v>
      </c>
    </row>
    <row r="161" spans="1:14">
      <c r="A161" s="34" t="s">
        <v>20</v>
      </c>
      <c r="B161" s="1092">
        <v>0</v>
      </c>
      <c r="C161" s="1092">
        <v>0</v>
      </c>
      <c r="D161" s="1092">
        <v>0</v>
      </c>
      <c r="E161" s="1092">
        <v>0</v>
      </c>
      <c r="F161" s="1092">
        <v>0</v>
      </c>
      <c r="G161" s="1092">
        <v>0</v>
      </c>
      <c r="H161" s="1092">
        <v>0</v>
      </c>
      <c r="I161" s="1092">
        <v>0</v>
      </c>
      <c r="J161" s="1092">
        <v>0</v>
      </c>
      <c r="K161" s="1092">
        <v>0</v>
      </c>
      <c r="L161" s="1092">
        <v>0</v>
      </c>
      <c r="M161" s="1092">
        <v>0</v>
      </c>
      <c r="N161" s="27">
        <f t="shared" si="26"/>
        <v>0</v>
      </c>
    </row>
    <row r="162" spans="1:14">
      <c r="A162" s="34" t="s">
        <v>13</v>
      </c>
      <c r="B162" s="1092">
        <v>0</v>
      </c>
      <c r="C162" s="1092">
        <v>0</v>
      </c>
      <c r="D162" s="1092">
        <v>0</v>
      </c>
      <c r="E162" s="1092">
        <v>0</v>
      </c>
      <c r="F162" s="1092">
        <v>0</v>
      </c>
      <c r="G162" s="1092">
        <v>0</v>
      </c>
      <c r="H162" s="1092">
        <v>0</v>
      </c>
      <c r="I162" s="1092">
        <v>0</v>
      </c>
      <c r="J162" s="1092">
        <v>0</v>
      </c>
      <c r="K162" s="1092">
        <v>0</v>
      </c>
      <c r="L162" s="1092">
        <v>0</v>
      </c>
      <c r="M162" s="1092">
        <v>0</v>
      </c>
      <c r="N162" s="27">
        <f t="shared" si="26"/>
        <v>0</v>
      </c>
    </row>
    <row r="163" spans="1:14" hidden="1">
      <c r="A163" s="35" t="s">
        <v>47</v>
      </c>
      <c r="B163" s="1092">
        <v>0</v>
      </c>
      <c r="C163" s="1092">
        <v>0</v>
      </c>
      <c r="D163" s="1092">
        <v>0</v>
      </c>
      <c r="E163" s="1092">
        <v>0</v>
      </c>
      <c r="F163" s="1092">
        <v>0</v>
      </c>
      <c r="G163" s="1092">
        <v>0</v>
      </c>
      <c r="H163" s="1092">
        <v>0</v>
      </c>
      <c r="I163" s="1092">
        <v>0</v>
      </c>
      <c r="J163" s="1092">
        <v>0</v>
      </c>
      <c r="K163" s="1092">
        <v>0</v>
      </c>
      <c r="L163" s="1092">
        <v>0</v>
      </c>
      <c r="M163" s="1092">
        <v>0</v>
      </c>
      <c r="N163" s="27">
        <f t="shared" si="26"/>
        <v>0</v>
      </c>
    </row>
    <row r="164" spans="1:14">
      <c r="A164" s="76" t="s">
        <v>30</v>
      </c>
      <c r="B164" s="1092">
        <v>0</v>
      </c>
      <c r="C164" s="1092">
        <v>0</v>
      </c>
      <c r="D164" s="1092">
        <v>0</v>
      </c>
      <c r="E164" s="1092">
        <v>0</v>
      </c>
      <c r="F164" s="1092">
        <v>0</v>
      </c>
      <c r="G164" s="1092">
        <v>0</v>
      </c>
      <c r="H164" s="1092">
        <v>0</v>
      </c>
      <c r="I164" s="1092">
        <v>0</v>
      </c>
      <c r="J164" s="1092">
        <v>0</v>
      </c>
      <c r="K164" s="1092">
        <v>0</v>
      </c>
      <c r="L164" s="1092">
        <v>0</v>
      </c>
      <c r="M164" s="1092">
        <v>0</v>
      </c>
      <c r="N164" s="27">
        <f t="shared" si="26"/>
        <v>0</v>
      </c>
    </row>
    <row r="165" spans="1:14" hidden="1">
      <c r="A165" s="76" t="s">
        <v>150</v>
      </c>
      <c r="B165" s="1092">
        <v>0</v>
      </c>
      <c r="C165" s="1092">
        <v>0</v>
      </c>
      <c r="D165" s="1092">
        <v>0</v>
      </c>
      <c r="E165" s="1092">
        <v>0</v>
      </c>
      <c r="F165" s="1092">
        <v>0</v>
      </c>
      <c r="G165" s="1092">
        <v>0</v>
      </c>
      <c r="H165" s="1092">
        <v>0</v>
      </c>
      <c r="I165" s="1092">
        <v>0</v>
      </c>
      <c r="J165" s="1092">
        <v>0</v>
      </c>
      <c r="K165" s="1092">
        <v>0</v>
      </c>
      <c r="L165" s="1092">
        <v>0</v>
      </c>
      <c r="M165" s="1092">
        <v>0</v>
      </c>
      <c r="N165" s="27">
        <f t="shared" si="26"/>
        <v>0</v>
      </c>
    </row>
    <row r="166" spans="1:14">
      <c r="A166" s="32" t="s">
        <v>56</v>
      </c>
      <c r="B166" s="1092">
        <v>0</v>
      </c>
      <c r="C166" s="1092">
        <v>0</v>
      </c>
      <c r="D166" s="1092">
        <v>0</v>
      </c>
      <c r="E166" s="1092">
        <v>0</v>
      </c>
      <c r="F166" s="1092">
        <v>0</v>
      </c>
      <c r="G166" s="1092">
        <v>0</v>
      </c>
      <c r="H166" s="1092">
        <v>0</v>
      </c>
      <c r="I166" s="1092">
        <v>0</v>
      </c>
      <c r="J166" s="1092">
        <v>0</v>
      </c>
      <c r="K166" s="1092">
        <v>0</v>
      </c>
      <c r="L166" s="1092">
        <v>0</v>
      </c>
      <c r="M166" s="1092">
        <v>0</v>
      </c>
      <c r="N166" s="27">
        <f t="shared" ref="N166:N171" si="27">SUM(B166:M166)</f>
        <v>0</v>
      </c>
    </row>
    <row r="167" spans="1:14">
      <c r="A167" s="78" t="s">
        <v>122</v>
      </c>
      <c r="B167" s="1092">
        <v>0</v>
      </c>
      <c r="C167" s="1092">
        <v>0</v>
      </c>
      <c r="D167" s="1092">
        <v>0</v>
      </c>
      <c r="E167" s="1092">
        <v>0</v>
      </c>
      <c r="F167" s="1092">
        <v>0</v>
      </c>
      <c r="G167" s="1092">
        <v>0</v>
      </c>
      <c r="H167" s="1092">
        <v>0</v>
      </c>
      <c r="I167" s="1092">
        <v>0</v>
      </c>
      <c r="J167" s="1092">
        <v>0</v>
      </c>
      <c r="K167" s="1092">
        <v>0</v>
      </c>
      <c r="L167" s="1092">
        <v>0</v>
      </c>
      <c r="M167" s="1092">
        <v>0</v>
      </c>
      <c r="N167" s="27">
        <f t="shared" si="27"/>
        <v>0</v>
      </c>
    </row>
    <row r="168" spans="1:14" ht="14" hidden="1" thickBot="1">
      <c r="A168" s="32" t="s">
        <v>102</v>
      </c>
      <c r="B168" s="1092">
        <v>0</v>
      </c>
      <c r="C168" s="1092">
        <v>0</v>
      </c>
      <c r="D168" s="1092">
        <v>0</v>
      </c>
      <c r="E168" s="1092">
        <v>0</v>
      </c>
      <c r="F168" s="1092">
        <v>0</v>
      </c>
      <c r="G168" s="1092">
        <v>0</v>
      </c>
      <c r="H168" s="1092">
        <v>0</v>
      </c>
      <c r="I168" s="1092">
        <v>0</v>
      </c>
      <c r="J168" s="1092">
        <v>0</v>
      </c>
      <c r="K168" s="1092">
        <v>0</v>
      </c>
      <c r="L168" s="1092">
        <v>0</v>
      </c>
      <c r="M168" s="1092">
        <v>0</v>
      </c>
      <c r="N168" s="27">
        <f t="shared" si="27"/>
        <v>0</v>
      </c>
    </row>
    <row r="169" spans="1:14">
      <c r="A169" s="78" t="s">
        <v>167</v>
      </c>
      <c r="B169" s="1092">
        <v>0</v>
      </c>
      <c r="C169" s="1092">
        <v>0</v>
      </c>
      <c r="D169" s="1092">
        <v>0</v>
      </c>
      <c r="E169" s="1092">
        <v>0</v>
      </c>
      <c r="F169" s="1092">
        <v>0</v>
      </c>
      <c r="G169" s="1092">
        <v>0</v>
      </c>
      <c r="H169" s="1092">
        <v>0</v>
      </c>
      <c r="I169" s="1092">
        <v>0</v>
      </c>
      <c r="J169" s="1092">
        <v>0</v>
      </c>
      <c r="K169" s="1092">
        <v>0</v>
      </c>
      <c r="L169" s="1092">
        <v>0</v>
      </c>
      <c r="M169" s="1092">
        <v>0</v>
      </c>
      <c r="N169" s="27">
        <f t="shared" si="27"/>
        <v>0</v>
      </c>
    </row>
    <row r="170" spans="1:14">
      <c r="A170" s="32" t="s">
        <v>165</v>
      </c>
      <c r="B170" s="1092">
        <v>0</v>
      </c>
      <c r="C170" s="1092">
        <v>0</v>
      </c>
      <c r="D170" s="1092">
        <v>0</v>
      </c>
      <c r="E170" s="1092">
        <v>0</v>
      </c>
      <c r="F170" s="1092">
        <v>0</v>
      </c>
      <c r="G170" s="1092">
        <v>0</v>
      </c>
      <c r="H170" s="1092">
        <v>0</v>
      </c>
      <c r="I170" s="1092">
        <v>0</v>
      </c>
      <c r="J170" s="1092">
        <v>0</v>
      </c>
      <c r="K170" s="1092">
        <v>0</v>
      </c>
      <c r="L170" s="1092">
        <v>0</v>
      </c>
      <c r="M170" s="1092">
        <v>0</v>
      </c>
      <c r="N170" s="27">
        <f t="shared" si="27"/>
        <v>0</v>
      </c>
    </row>
    <row r="171" spans="1:14" ht="14" thickBot="1">
      <c r="A171" s="78" t="s">
        <v>184</v>
      </c>
      <c r="B171" s="1092">
        <v>0</v>
      </c>
      <c r="C171" s="1092">
        <v>0</v>
      </c>
      <c r="D171" s="1092">
        <v>0</v>
      </c>
      <c r="E171" s="1092">
        <v>0</v>
      </c>
      <c r="F171" s="1092">
        <v>0</v>
      </c>
      <c r="G171" s="1092">
        <v>0</v>
      </c>
      <c r="H171" s="1092">
        <v>0</v>
      </c>
      <c r="I171" s="1092">
        <v>0</v>
      </c>
      <c r="J171" s="1092">
        <v>0</v>
      </c>
      <c r="K171" s="1092">
        <v>0</v>
      </c>
      <c r="L171" s="1092">
        <v>0</v>
      </c>
      <c r="M171" s="1092">
        <v>0</v>
      </c>
      <c r="N171" s="27">
        <f t="shared" si="27"/>
        <v>0</v>
      </c>
    </row>
    <row r="172" spans="1:14" ht="14" thickBot="1">
      <c r="A172" s="53" t="s">
        <v>60</v>
      </c>
      <c r="B172" s="55">
        <f>SUM(B159:B171)</f>
        <v>0</v>
      </c>
      <c r="C172" s="55">
        <f t="shared" ref="C172:N172" si="28">SUM(C159:C171)</f>
        <v>0</v>
      </c>
      <c r="D172" s="55">
        <f t="shared" si="28"/>
        <v>0</v>
      </c>
      <c r="E172" s="55">
        <f t="shared" si="28"/>
        <v>0</v>
      </c>
      <c r="F172" s="55">
        <f t="shared" si="28"/>
        <v>0</v>
      </c>
      <c r="G172" s="55">
        <f t="shared" si="28"/>
        <v>0</v>
      </c>
      <c r="H172" s="55">
        <f t="shared" si="28"/>
        <v>0</v>
      </c>
      <c r="I172" s="55">
        <f t="shared" si="28"/>
        <v>0</v>
      </c>
      <c r="J172" s="55">
        <f t="shared" si="28"/>
        <v>0</v>
      </c>
      <c r="K172" s="55">
        <f t="shared" si="28"/>
        <v>0</v>
      </c>
      <c r="L172" s="55">
        <f t="shared" si="28"/>
        <v>0</v>
      </c>
      <c r="M172" s="55">
        <f t="shared" si="28"/>
        <v>0</v>
      </c>
      <c r="N172" s="54">
        <f t="shared" si="28"/>
        <v>0</v>
      </c>
    </row>
    <row r="175" spans="1:14" ht="14" thickBot="1">
      <c r="B175" s="43" t="s">
        <v>35</v>
      </c>
      <c r="C175" s="43" t="s">
        <v>36</v>
      </c>
      <c r="D175" s="43" t="s">
        <v>37</v>
      </c>
      <c r="E175" s="43" t="s">
        <v>38</v>
      </c>
      <c r="F175" s="43" t="s">
        <v>39</v>
      </c>
      <c r="G175" s="43" t="s">
        <v>40</v>
      </c>
      <c r="H175" s="43" t="s">
        <v>41</v>
      </c>
      <c r="I175" s="43" t="s">
        <v>42</v>
      </c>
      <c r="J175" s="43" t="s">
        <v>43</v>
      </c>
      <c r="K175" s="43" t="s">
        <v>44</v>
      </c>
      <c r="L175" s="43" t="s">
        <v>45</v>
      </c>
      <c r="M175" s="43" t="s">
        <v>46</v>
      </c>
      <c r="N175" s="43" t="s">
        <v>10</v>
      </c>
    </row>
    <row r="176" spans="1:14" ht="17" thickBot="1">
      <c r="A176" s="31" t="s">
        <v>186</v>
      </c>
      <c r="B176" s="24"/>
      <c r="C176" s="24"/>
      <c r="D176" s="22"/>
      <c r="E176" s="22"/>
      <c r="F176" s="25"/>
      <c r="G176" s="25"/>
      <c r="H176" s="22"/>
      <c r="I176" s="22"/>
      <c r="J176" s="22"/>
      <c r="K176" s="22"/>
      <c r="L176" s="24"/>
      <c r="M176" s="24"/>
      <c r="N176" s="26"/>
    </row>
    <row r="177" spans="1:14" ht="14" thickBot="1">
      <c r="A177" s="38" t="str">
        <f>Ontario!A177</f>
        <v>SoCal Water$mart Residential Rebates</v>
      </c>
      <c r="B177" s="39"/>
      <c r="C177" s="39"/>
      <c r="D177" s="39"/>
      <c r="E177" s="39"/>
      <c r="F177" s="39"/>
      <c r="G177" s="39"/>
      <c r="H177" s="39"/>
      <c r="I177" s="39"/>
      <c r="J177" s="39"/>
      <c r="K177" s="39"/>
      <c r="L177" s="39"/>
      <c r="M177" s="39"/>
      <c r="N177" s="40"/>
    </row>
    <row r="178" spans="1:14">
      <c r="A178" s="32" t="str">
        <f>Ontario!A178</f>
        <v>High Efficiency Toilets (HET)</v>
      </c>
      <c r="B178" s="1092">
        <v>0</v>
      </c>
      <c r="C178" s="1092">
        <v>0</v>
      </c>
      <c r="D178" s="1092">
        <v>0</v>
      </c>
      <c r="E178" s="1092">
        <v>0</v>
      </c>
      <c r="F178" s="1092">
        <v>0</v>
      </c>
      <c r="G178" s="1092">
        <v>0</v>
      </c>
      <c r="H178" s="1092">
        <v>0</v>
      </c>
      <c r="I178" s="1092">
        <v>0</v>
      </c>
      <c r="J178" s="1092">
        <v>0</v>
      </c>
      <c r="K178" s="1092">
        <v>0</v>
      </c>
      <c r="L178" s="1092">
        <v>0</v>
      </c>
      <c r="M178" s="1092">
        <v>0</v>
      </c>
      <c r="N178" s="27">
        <f>SUM(B178:M178)</f>
        <v>0</v>
      </c>
    </row>
    <row r="179" spans="1:14">
      <c r="A179" s="32" t="str">
        <f>Ontario!A179</f>
        <v>High Efficiency Clothes Washers (HECW)</v>
      </c>
      <c r="B179" s="1092">
        <v>0</v>
      </c>
      <c r="C179" s="1092">
        <v>29</v>
      </c>
      <c r="D179" s="1092">
        <v>6</v>
      </c>
      <c r="E179" s="1092">
        <v>7</v>
      </c>
      <c r="F179" s="1092">
        <v>13</v>
      </c>
      <c r="G179" s="1092">
        <v>0</v>
      </c>
      <c r="H179" s="1092">
        <v>14</v>
      </c>
      <c r="I179" s="1092">
        <v>9</v>
      </c>
      <c r="J179" s="1092">
        <v>24</v>
      </c>
      <c r="K179" s="1092">
        <v>8</v>
      </c>
      <c r="L179" s="1092">
        <v>5</v>
      </c>
      <c r="M179" s="1092">
        <v>10</v>
      </c>
      <c r="N179" s="27">
        <f>SUM(B179:M179)</f>
        <v>125</v>
      </c>
    </row>
    <row r="180" spans="1:14">
      <c r="A180" s="32" t="str">
        <f>Ontario!A180</f>
        <v>Rotating Nozzles for Pop-up Spray Heads</v>
      </c>
      <c r="B180" s="1092">
        <v>0</v>
      </c>
      <c r="C180" s="1092">
        <v>0</v>
      </c>
      <c r="D180" s="1092">
        <v>0</v>
      </c>
      <c r="E180" s="1092">
        <v>0</v>
      </c>
      <c r="F180" s="1092">
        <v>0</v>
      </c>
      <c r="G180" s="1092">
        <v>0</v>
      </c>
      <c r="H180" s="1092">
        <v>0</v>
      </c>
      <c r="I180" s="1092">
        <v>0</v>
      </c>
      <c r="J180" s="1092">
        <v>0</v>
      </c>
      <c r="K180" s="1092">
        <v>0</v>
      </c>
      <c r="L180" s="1092">
        <v>0</v>
      </c>
      <c r="M180" s="1092">
        <v>0</v>
      </c>
      <c r="N180" s="27">
        <f>SUM(B180:M180)</f>
        <v>0</v>
      </c>
    </row>
    <row r="181" spans="1:14" ht="14" thickBot="1">
      <c r="A181" s="32" t="str">
        <f>Ontario!A181</f>
        <v>Weather Based Irrigation Controllers (WBIC)</v>
      </c>
      <c r="B181" s="1092">
        <v>0</v>
      </c>
      <c r="C181" s="1092">
        <v>1</v>
      </c>
      <c r="D181" s="1092">
        <v>1</v>
      </c>
      <c r="E181" s="1092">
        <v>1</v>
      </c>
      <c r="F181" s="1092">
        <v>0</v>
      </c>
      <c r="G181" s="1092">
        <v>0</v>
      </c>
      <c r="H181" s="1092">
        <v>1</v>
      </c>
      <c r="I181" s="1092">
        <v>1</v>
      </c>
      <c r="J181" s="1092">
        <v>0</v>
      </c>
      <c r="K181" s="1092">
        <v>0</v>
      </c>
      <c r="L181" s="1092">
        <v>0</v>
      </c>
      <c r="M181" s="1092">
        <v>0</v>
      </c>
      <c r="N181" s="27">
        <f>SUM(B181:M181)</f>
        <v>5</v>
      </c>
    </row>
    <row r="182" spans="1:14" hidden="1">
      <c r="A182" s="76" t="s">
        <v>182</v>
      </c>
      <c r="B182" s="44"/>
      <c r="C182" s="44"/>
      <c r="D182" s="44"/>
      <c r="E182" s="44"/>
      <c r="F182" s="44"/>
      <c r="G182" s="44"/>
      <c r="H182" s="44"/>
      <c r="I182" s="44"/>
      <c r="J182" s="44"/>
      <c r="K182" s="44"/>
      <c r="L182" s="44"/>
      <c r="M182" s="44"/>
      <c r="N182" s="27">
        <f>SUM(B182:M182)</f>
        <v>0</v>
      </c>
    </row>
    <row r="183" spans="1:14" ht="14" thickBot="1">
      <c r="A183" s="38" t="str">
        <f>Ontario!A183</f>
        <v>IEUA Locally Implemented Residential Programs</v>
      </c>
      <c r="B183" s="39"/>
      <c r="C183" s="39"/>
      <c r="D183" s="39"/>
      <c r="E183" s="39"/>
      <c r="F183" s="39"/>
      <c r="G183" s="39"/>
      <c r="H183" s="39"/>
      <c r="I183" s="39"/>
      <c r="J183" s="39"/>
      <c r="K183" s="39"/>
      <c r="L183" s="39"/>
      <c r="M183" s="39"/>
      <c r="N183" s="40"/>
    </row>
    <row r="184" spans="1:14">
      <c r="A184" s="32" t="str">
        <f>Ontario!A184</f>
        <v>FreeSprinklerNozzles.com Program</v>
      </c>
      <c r="B184" s="1092">
        <v>0</v>
      </c>
      <c r="C184" s="1092">
        <v>0</v>
      </c>
      <c r="D184" s="1092">
        <v>0</v>
      </c>
      <c r="E184" s="1092">
        <v>0</v>
      </c>
      <c r="F184" s="1092">
        <v>0</v>
      </c>
      <c r="G184" s="1092">
        <v>0</v>
      </c>
      <c r="H184" s="1092">
        <v>0</v>
      </c>
      <c r="I184" s="1092">
        <v>0</v>
      </c>
      <c r="J184" s="1092">
        <v>0</v>
      </c>
      <c r="K184" s="1092">
        <v>0</v>
      </c>
      <c r="L184" s="1092">
        <v>0</v>
      </c>
      <c r="M184" s="1092">
        <v>3572</v>
      </c>
      <c r="N184" s="27">
        <f>SUM(B184:M184)</f>
        <v>3572</v>
      </c>
    </row>
    <row r="185" spans="1:14">
      <c r="A185" s="32" t="str">
        <f>Ontario!A185</f>
        <v>Residential Landscape Retrofit Program</v>
      </c>
      <c r="B185" s="1092">
        <v>0</v>
      </c>
      <c r="C185" s="1092">
        <v>0</v>
      </c>
      <c r="D185" s="1092">
        <v>0</v>
      </c>
      <c r="E185" s="1092">
        <v>0</v>
      </c>
      <c r="F185" s="1092">
        <v>0</v>
      </c>
      <c r="G185" s="1092">
        <v>11</v>
      </c>
      <c r="H185" s="1092">
        <v>4</v>
      </c>
      <c r="I185" s="1092">
        <v>3</v>
      </c>
      <c r="J185" s="1092">
        <v>1</v>
      </c>
      <c r="K185" s="1092">
        <v>0</v>
      </c>
      <c r="L185" s="1092">
        <v>0</v>
      </c>
      <c r="M185" s="1092">
        <v>2</v>
      </c>
      <c r="N185" s="27">
        <f>SUM(B185:M185)</f>
        <v>21</v>
      </c>
    </row>
    <row r="186" spans="1:14" ht="14" thickBot="1">
      <c r="A186" s="32" t="str">
        <f>Ontario!A186</f>
        <v>Landscape Transformation Program</v>
      </c>
      <c r="B186" s="1092">
        <v>0</v>
      </c>
      <c r="C186" s="1092">
        <v>0</v>
      </c>
      <c r="D186" s="1092">
        <v>0</v>
      </c>
      <c r="E186" s="1092">
        <v>0</v>
      </c>
      <c r="F186" s="1092">
        <v>2</v>
      </c>
      <c r="G186" s="1092">
        <v>0</v>
      </c>
      <c r="H186" s="1092">
        <v>1</v>
      </c>
      <c r="I186" s="1092">
        <v>0</v>
      </c>
      <c r="J186" s="1092">
        <v>1</v>
      </c>
      <c r="K186" s="1092">
        <v>0</v>
      </c>
      <c r="L186" s="1092">
        <v>0</v>
      </c>
      <c r="M186" s="1092">
        <v>0</v>
      </c>
      <c r="N186" s="27">
        <f>SUM(B186:M186)</f>
        <v>4</v>
      </c>
    </row>
    <row r="187" spans="1:14" ht="14" thickBot="1">
      <c r="A187" s="53" t="s">
        <v>60</v>
      </c>
      <c r="B187" s="55">
        <f>SUM(B178:B186)</f>
        <v>0</v>
      </c>
      <c r="C187" s="55">
        <f t="shared" ref="C187:M187" si="29">SUM(C178:C186)</f>
        <v>30</v>
      </c>
      <c r="D187" s="55">
        <f t="shared" si="29"/>
        <v>7</v>
      </c>
      <c r="E187" s="55">
        <f t="shared" si="29"/>
        <v>8</v>
      </c>
      <c r="F187" s="55">
        <f t="shared" si="29"/>
        <v>15</v>
      </c>
      <c r="G187" s="55">
        <f t="shared" si="29"/>
        <v>11</v>
      </c>
      <c r="H187" s="55">
        <f t="shared" si="29"/>
        <v>20</v>
      </c>
      <c r="I187" s="55">
        <f t="shared" si="29"/>
        <v>13</v>
      </c>
      <c r="J187" s="55">
        <f t="shared" si="29"/>
        <v>26</v>
      </c>
      <c r="K187" s="55">
        <f t="shared" si="29"/>
        <v>8</v>
      </c>
      <c r="L187" s="55">
        <f t="shared" si="29"/>
        <v>5</v>
      </c>
      <c r="M187" s="55">
        <f t="shared" si="29"/>
        <v>3584</v>
      </c>
      <c r="N187" s="54">
        <f>SUM(N178:N185)</f>
        <v>3723</v>
      </c>
    </row>
    <row r="188" spans="1:14" ht="14" thickBot="1">
      <c r="A188" s="38" t="str">
        <f>Ontario!A188</f>
        <v xml:space="preserve">IEUA High Efficiency Toilet (HET) Installation Prog. </v>
      </c>
      <c r="B188" s="39"/>
      <c r="C188" s="39"/>
      <c r="D188" s="39"/>
      <c r="E188" s="39"/>
      <c r="F188" s="39"/>
      <c r="G188" s="39"/>
      <c r="H188" s="39"/>
      <c r="I188" s="39"/>
      <c r="J188" s="39"/>
      <c r="K188" s="39"/>
      <c r="L188" s="39"/>
      <c r="M188" s="39"/>
      <c r="N188" s="40"/>
    </row>
    <row r="189" spans="1:14">
      <c r="A189" s="32" t="str">
        <f>Ontario!A189</f>
        <v>IEUA Multi-Family Direct Install Prog. (HET/ULFT)</v>
      </c>
      <c r="B189" s="1092">
        <v>0</v>
      </c>
      <c r="C189" s="1092">
        <v>0</v>
      </c>
      <c r="D189" s="1092">
        <v>0</v>
      </c>
      <c r="E189" s="1092">
        <v>0</v>
      </c>
      <c r="F189" s="1092">
        <v>0</v>
      </c>
      <c r="G189" s="1092">
        <v>0</v>
      </c>
      <c r="H189" s="1092">
        <v>0</v>
      </c>
      <c r="I189" s="1092">
        <v>0</v>
      </c>
      <c r="J189" s="1092">
        <v>0</v>
      </c>
      <c r="K189" s="1092">
        <v>0</v>
      </c>
      <c r="L189" s="1092">
        <v>0</v>
      </c>
      <c r="M189" s="1092">
        <v>0</v>
      </c>
      <c r="N189" s="27">
        <f>SUM(B189:M189)</f>
        <v>0</v>
      </c>
    </row>
    <row r="190" spans="1:14" ht="14" thickBot="1">
      <c r="A190" s="32" t="str">
        <f>Ontario!A190</f>
        <v>IEUA Single-Family Direct Install Prog. (HET/ULFT)</v>
      </c>
      <c r="B190" s="1092">
        <v>4</v>
      </c>
      <c r="C190" s="1092">
        <v>5</v>
      </c>
      <c r="D190" s="1092"/>
      <c r="E190" s="1092"/>
      <c r="F190" s="1092">
        <v>2</v>
      </c>
      <c r="G190" s="1092">
        <v>2</v>
      </c>
      <c r="H190" s="1092">
        <v>31</v>
      </c>
      <c r="I190" s="1092">
        <v>18</v>
      </c>
      <c r="J190" s="1092">
        <v>12</v>
      </c>
      <c r="K190" s="1092">
        <v>6</v>
      </c>
      <c r="L190" s="1092">
        <v>1</v>
      </c>
      <c r="M190" s="1092">
        <v>0</v>
      </c>
      <c r="N190" s="27">
        <f>SUM(B190:M190)</f>
        <v>81</v>
      </c>
    </row>
    <row r="191" spans="1:14" ht="14" thickBot="1">
      <c r="A191" s="53" t="s">
        <v>60</v>
      </c>
      <c r="B191" s="55">
        <f>SUM(B189:B190)</f>
        <v>4</v>
      </c>
      <c r="C191" s="55">
        <f t="shared" ref="C191:M191" si="30">SUM(C189:C190)</f>
        <v>5</v>
      </c>
      <c r="D191" s="55">
        <f t="shared" si="30"/>
        <v>0</v>
      </c>
      <c r="E191" s="55">
        <f t="shared" si="30"/>
        <v>0</v>
      </c>
      <c r="F191" s="55">
        <f t="shared" si="30"/>
        <v>2</v>
      </c>
      <c r="G191" s="55">
        <f t="shared" si="30"/>
        <v>2</v>
      </c>
      <c r="H191" s="55">
        <f t="shared" si="30"/>
        <v>31</v>
      </c>
      <c r="I191" s="55">
        <f t="shared" si="30"/>
        <v>18</v>
      </c>
      <c r="J191" s="55">
        <f t="shared" si="30"/>
        <v>12</v>
      </c>
      <c r="K191" s="55">
        <f t="shared" si="30"/>
        <v>6</v>
      </c>
      <c r="L191" s="55">
        <f t="shared" si="30"/>
        <v>1</v>
      </c>
      <c r="M191" s="55">
        <f t="shared" si="30"/>
        <v>0</v>
      </c>
      <c r="N191" s="54">
        <f>SUM(N189:N190)</f>
        <v>81</v>
      </c>
    </row>
    <row r="192" spans="1:14" ht="14" thickBot="1">
      <c r="A192" s="38" t="str">
        <f>Ontario!A192</f>
        <v>SoCal Water$mart Commercial Rebates</v>
      </c>
      <c r="B192" s="39"/>
      <c r="C192" s="39"/>
      <c r="D192" s="39"/>
      <c r="E192" s="39"/>
      <c r="F192" s="39"/>
      <c r="G192" s="39"/>
      <c r="H192" s="39"/>
      <c r="I192" s="39"/>
      <c r="J192" s="39"/>
      <c r="K192" s="39"/>
      <c r="L192" s="39"/>
      <c r="M192" s="39"/>
      <c r="N192" s="40"/>
    </row>
    <row r="193" spans="1:14">
      <c r="A193" s="32" t="str">
        <f>Ontario!A193</f>
        <v>High Efficiency Toilets (HET)</v>
      </c>
      <c r="B193" s="1092">
        <v>0</v>
      </c>
      <c r="C193" s="1092">
        <v>0</v>
      </c>
      <c r="D193" s="1092">
        <v>0</v>
      </c>
      <c r="E193" s="1092">
        <v>0</v>
      </c>
      <c r="F193" s="1092">
        <v>0</v>
      </c>
      <c r="G193" s="1092">
        <v>0</v>
      </c>
      <c r="H193" s="1092">
        <v>0</v>
      </c>
      <c r="I193" s="1092">
        <v>0</v>
      </c>
      <c r="J193" s="1092">
        <v>0</v>
      </c>
      <c r="K193" s="1092">
        <v>0</v>
      </c>
      <c r="L193" s="1092">
        <v>0</v>
      </c>
      <c r="M193" s="1092">
        <v>0</v>
      </c>
      <c r="N193" s="27">
        <f t="shared" ref="N193:N208" si="31">SUM(B193:M193)</f>
        <v>0</v>
      </c>
    </row>
    <row r="194" spans="1:14">
      <c r="A194" s="32" t="str">
        <f>Ontario!A194</f>
        <v>Waterless Urinals</v>
      </c>
      <c r="B194" s="1092">
        <v>0</v>
      </c>
      <c r="C194" s="1092">
        <v>0</v>
      </c>
      <c r="D194" s="1092">
        <v>0</v>
      </c>
      <c r="E194" s="1092">
        <v>0</v>
      </c>
      <c r="F194" s="1092">
        <v>0</v>
      </c>
      <c r="G194" s="1092">
        <v>0</v>
      </c>
      <c r="H194" s="1092">
        <v>0</v>
      </c>
      <c r="I194" s="1092">
        <v>0</v>
      </c>
      <c r="J194" s="1092">
        <v>0</v>
      </c>
      <c r="K194" s="1092">
        <v>0</v>
      </c>
      <c r="L194" s="1092">
        <v>0</v>
      </c>
      <c r="M194" s="1092">
        <v>0</v>
      </c>
      <c r="N194" s="27">
        <f t="shared" si="31"/>
        <v>0</v>
      </c>
    </row>
    <row r="195" spans="1:14">
      <c r="A195" s="32" t="s">
        <v>204</v>
      </c>
      <c r="B195" s="1092">
        <v>0</v>
      </c>
      <c r="C195" s="1092">
        <v>0</v>
      </c>
      <c r="D195" s="1092">
        <v>0</v>
      </c>
      <c r="E195" s="1092">
        <v>0</v>
      </c>
      <c r="F195" s="1092">
        <v>0</v>
      </c>
      <c r="G195" s="1092">
        <v>0</v>
      </c>
      <c r="H195" s="1092">
        <v>0</v>
      </c>
      <c r="I195" s="1092">
        <v>0</v>
      </c>
      <c r="J195" s="1092">
        <v>0</v>
      </c>
      <c r="K195" s="1092">
        <v>0</v>
      </c>
      <c r="L195" s="1092">
        <v>0</v>
      </c>
      <c r="M195" s="1092">
        <v>0</v>
      </c>
      <c r="N195" s="27">
        <f t="shared" si="31"/>
        <v>0</v>
      </c>
    </row>
    <row r="196" spans="1:14">
      <c r="A196" s="32" t="str">
        <f>Ontario!A196</f>
        <v>High Efficiency Clothes Washers</v>
      </c>
      <c r="B196" s="1092">
        <v>0</v>
      </c>
      <c r="C196" s="1092">
        <v>0</v>
      </c>
      <c r="D196" s="1092">
        <v>0</v>
      </c>
      <c r="E196" s="1092">
        <v>0</v>
      </c>
      <c r="F196" s="1092">
        <v>0</v>
      </c>
      <c r="G196" s="1092">
        <v>0</v>
      </c>
      <c r="H196" s="1092">
        <v>0</v>
      </c>
      <c r="I196" s="1092">
        <v>0</v>
      </c>
      <c r="J196" s="1092">
        <v>0</v>
      </c>
      <c r="K196" s="1092">
        <v>0</v>
      </c>
      <c r="L196" s="1092">
        <v>0</v>
      </c>
      <c r="M196" s="1092">
        <v>0</v>
      </c>
      <c r="N196" s="27">
        <f t="shared" si="31"/>
        <v>0</v>
      </c>
    </row>
    <row r="197" spans="1:14" hidden="1">
      <c r="A197" s="35" t="s">
        <v>47</v>
      </c>
      <c r="B197" s="1092">
        <v>0</v>
      </c>
      <c r="C197" s="1092">
        <v>0</v>
      </c>
      <c r="D197" s="1092"/>
      <c r="E197" s="1092">
        <v>0</v>
      </c>
      <c r="F197" s="1092">
        <v>0</v>
      </c>
      <c r="G197" s="1092">
        <v>0</v>
      </c>
      <c r="H197" s="1092">
        <v>0</v>
      </c>
      <c r="I197" s="1092">
        <v>0</v>
      </c>
      <c r="J197" s="1092">
        <v>0</v>
      </c>
      <c r="K197" s="1092"/>
      <c r="L197" s="1092"/>
      <c r="M197" s="1092">
        <v>0</v>
      </c>
      <c r="N197" s="27">
        <f t="shared" si="31"/>
        <v>0</v>
      </c>
    </row>
    <row r="198" spans="1:14">
      <c r="A198" s="32" t="str">
        <f>Ontario!A198</f>
        <v>Weather Based Irrigation Controllers (WBIC)</v>
      </c>
      <c r="B198" s="1092">
        <v>0</v>
      </c>
      <c r="C198" s="1092">
        <v>0</v>
      </c>
      <c r="D198" s="1092">
        <v>1</v>
      </c>
      <c r="E198" s="1092">
        <v>0</v>
      </c>
      <c r="F198" s="1092">
        <v>0</v>
      </c>
      <c r="G198" s="1092">
        <v>0</v>
      </c>
      <c r="H198" s="1092">
        <v>0</v>
      </c>
      <c r="I198" s="1092">
        <v>0</v>
      </c>
      <c r="J198" s="1092">
        <v>0</v>
      </c>
      <c r="K198" s="1092">
        <v>1</v>
      </c>
      <c r="L198" s="1092">
        <v>1</v>
      </c>
      <c r="M198" s="1092">
        <v>0</v>
      </c>
      <c r="N198" s="27">
        <f t="shared" si="31"/>
        <v>3</v>
      </c>
    </row>
    <row r="199" spans="1:14" hidden="1">
      <c r="A199" s="76" t="s">
        <v>150</v>
      </c>
      <c r="B199" s="1092">
        <v>0</v>
      </c>
      <c r="C199" s="1092">
        <v>0</v>
      </c>
      <c r="D199" s="1092"/>
      <c r="E199" s="1092">
        <v>0</v>
      </c>
      <c r="F199" s="1092">
        <v>0</v>
      </c>
      <c r="G199" s="1092">
        <v>0</v>
      </c>
      <c r="H199" s="1092">
        <v>0</v>
      </c>
      <c r="I199" s="1092">
        <v>0</v>
      </c>
      <c r="J199" s="1092">
        <v>0</v>
      </c>
      <c r="K199" s="1092"/>
      <c r="L199" s="1092"/>
      <c r="M199" s="1092">
        <v>0</v>
      </c>
      <c r="N199" s="27">
        <f t="shared" si="31"/>
        <v>0</v>
      </c>
    </row>
    <row r="200" spans="1:14">
      <c r="A200" s="32" t="str">
        <f>Ontario!A200</f>
        <v>Rotating Nozzles for Pop-up Spray Heads</v>
      </c>
      <c r="B200" s="1092">
        <v>0</v>
      </c>
      <c r="C200" s="1092">
        <v>0</v>
      </c>
      <c r="D200" s="1092">
        <v>0</v>
      </c>
      <c r="E200" s="1092">
        <v>0</v>
      </c>
      <c r="F200" s="1092">
        <v>0</v>
      </c>
      <c r="G200" s="1092">
        <v>0</v>
      </c>
      <c r="H200" s="1092">
        <v>0</v>
      </c>
      <c r="I200" s="1092">
        <v>0</v>
      </c>
      <c r="J200" s="1092">
        <v>0</v>
      </c>
      <c r="K200" s="1092">
        <v>0</v>
      </c>
      <c r="L200" s="1092">
        <v>1</v>
      </c>
      <c r="M200" s="1092">
        <v>0</v>
      </c>
      <c r="N200" s="27">
        <f t="shared" si="31"/>
        <v>1</v>
      </c>
    </row>
    <row r="201" spans="1:14">
      <c r="A201" s="32" t="str">
        <f>Ontario!A201</f>
        <v>Large Rotary Nozzles</v>
      </c>
      <c r="B201" s="1092">
        <v>0</v>
      </c>
      <c r="C201" s="1092">
        <v>0</v>
      </c>
      <c r="D201" s="1092">
        <v>0</v>
      </c>
      <c r="E201" s="1092">
        <v>0</v>
      </c>
      <c r="F201" s="1092">
        <v>0</v>
      </c>
      <c r="G201" s="1092">
        <v>0</v>
      </c>
      <c r="H201" s="1092">
        <v>0</v>
      </c>
      <c r="I201" s="1092">
        <v>0</v>
      </c>
      <c r="J201" s="1092">
        <v>0</v>
      </c>
      <c r="K201" s="1092">
        <v>0</v>
      </c>
      <c r="L201" s="1092">
        <v>0</v>
      </c>
      <c r="M201" s="1092">
        <v>0</v>
      </c>
      <c r="N201" s="27">
        <f t="shared" si="31"/>
        <v>0</v>
      </c>
    </row>
    <row r="202" spans="1:14" hidden="1">
      <c r="A202" s="32" t="s">
        <v>102</v>
      </c>
      <c r="B202" s="1092">
        <v>0</v>
      </c>
      <c r="C202" s="1092">
        <v>0</v>
      </c>
      <c r="D202" s="1092"/>
      <c r="E202" s="1092">
        <v>0</v>
      </c>
      <c r="F202" s="1092">
        <v>0</v>
      </c>
      <c r="G202" s="1092">
        <v>0</v>
      </c>
      <c r="H202" s="1092">
        <v>0</v>
      </c>
      <c r="I202" s="1092">
        <v>0</v>
      </c>
      <c r="J202" s="1092">
        <v>0</v>
      </c>
      <c r="K202" s="1092"/>
      <c r="L202" s="1092"/>
      <c r="M202" s="1092">
        <v>0</v>
      </c>
      <c r="N202" s="27">
        <f t="shared" si="31"/>
        <v>0</v>
      </c>
    </row>
    <row r="203" spans="1:14">
      <c r="A203" s="32" t="str">
        <f>Ontario!A203</f>
        <v xml:space="preserve">Central Computerized Irrigation Controller </v>
      </c>
      <c r="B203" s="1092">
        <v>0</v>
      </c>
      <c r="C203" s="1092">
        <v>0</v>
      </c>
      <c r="D203" s="1092">
        <v>0</v>
      </c>
      <c r="E203" s="1092">
        <v>0</v>
      </c>
      <c r="F203" s="1092">
        <v>0</v>
      </c>
      <c r="G203" s="1092">
        <v>0</v>
      </c>
      <c r="H203" s="1092">
        <v>0</v>
      </c>
      <c r="I203" s="1092">
        <v>0</v>
      </c>
      <c r="J203" s="1092">
        <v>0</v>
      </c>
      <c r="K203" s="1092">
        <v>0</v>
      </c>
      <c r="L203" s="1092">
        <v>0</v>
      </c>
      <c r="M203" s="1092">
        <v>0</v>
      </c>
      <c r="N203" s="27">
        <f>SUM(B203:M203)</f>
        <v>0</v>
      </c>
    </row>
    <row r="204" spans="1:14">
      <c r="A204" s="32" t="str">
        <f>Ontario!A204</f>
        <v>Laminar Flow Restrictor</v>
      </c>
      <c r="B204" s="1092">
        <v>0</v>
      </c>
      <c r="C204" s="1092">
        <v>0</v>
      </c>
      <c r="D204" s="1092">
        <v>0</v>
      </c>
      <c r="E204" s="1092">
        <v>0</v>
      </c>
      <c r="F204" s="1092">
        <v>0</v>
      </c>
      <c r="G204" s="1092">
        <v>0</v>
      </c>
      <c r="H204" s="1092">
        <v>0</v>
      </c>
      <c r="I204" s="1092">
        <v>0</v>
      </c>
      <c r="J204" s="1092">
        <v>0</v>
      </c>
      <c r="K204" s="1092">
        <v>0</v>
      </c>
      <c r="L204" s="1092">
        <v>0</v>
      </c>
      <c r="M204" s="1092">
        <v>0</v>
      </c>
      <c r="N204" s="27">
        <f>SUM(B204:M204)</f>
        <v>0</v>
      </c>
    </row>
    <row r="205" spans="1:14" ht="14" thickBot="1">
      <c r="A205" s="32" t="str">
        <f>Ontario!A205</f>
        <v>Air-Cooled Ice Machine</v>
      </c>
      <c r="B205" s="1092">
        <v>0</v>
      </c>
      <c r="C205" s="1092">
        <v>0</v>
      </c>
      <c r="D205" s="1092">
        <v>0</v>
      </c>
      <c r="E205" s="1092">
        <v>0</v>
      </c>
      <c r="F205" s="1092">
        <v>0</v>
      </c>
      <c r="G205" s="1092">
        <v>0</v>
      </c>
      <c r="H205" s="1092">
        <v>0</v>
      </c>
      <c r="I205" s="1092">
        <v>0</v>
      </c>
      <c r="J205" s="1092">
        <v>0</v>
      </c>
      <c r="K205" s="1092">
        <v>0</v>
      </c>
      <c r="L205" s="1092">
        <v>0</v>
      </c>
      <c r="M205" s="1092">
        <v>0</v>
      </c>
      <c r="N205" s="27">
        <f>SUM(B205:M205)</f>
        <v>0</v>
      </c>
    </row>
    <row r="206" spans="1:14" ht="14" thickBot="1">
      <c r="A206" s="38" t="str">
        <f>Ontario!A206</f>
        <v>IEUA Locally Implemented Commercial Programs</v>
      </c>
      <c r="B206" s="39"/>
      <c r="C206" s="39"/>
      <c r="D206" s="39"/>
      <c r="E206" s="39"/>
      <c r="F206" s="39"/>
      <c r="G206" s="39"/>
      <c r="H206" s="39"/>
      <c r="I206" s="39"/>
      <c r="J206" s="39"/>
      <c r="K206" s="39"/>
      <c r="L206" s="39"/>
      <c r="M206" s="39"/>
      <c r="N206" s="40"/>
    </row>
    <row r="207" spans="1:14">
      <c r="A207" s="32" t="str">
        <f>Ontario!A207</f>
        <v>Fontana Unified School Retrofit Program</v>
      </c>
      <c r="B207" s="1092">
        <v>0</v>
      </c>
      <c r="C207" s="1092">
        <v>0</v>
      </c>
      <c r="D207" s="1092">
        <v>0</v>
      </c>
      <c r="E207" s="1092">
        <v>0</v>
      </c>
      <c r="F207" s="1092">
        <v>0</v>
      </c>
      <c r="G207" s="1092">
        <v>0</v>
      </c>
      <c r="H207" s="1092">
        <v>0</v>
      </c>
      <c r="I207" s="1092">
        <v>0</v>
      </c>
      <c r="J207" s="1092">
        <v>0</v>
      </c>
      <c r="K207" s="1092">
        <v>0</v>
      </c>
      <c r="L207" s="1092">
        <v>0</v>
      </c>
      <c r="M207" s="1092">
        <v>0</v>
      </c>
      <c r="N207" s="27">
        <f t="shared" si="31"/>
        <v>0</v>
      </c>
    </row>
    <row r="208" spans="1:14" ht="14" thickBot="1">
      <c r="A208" s="32" t="str">
        <f>Ontario!A208</f>
        <v>FreeSprinklerNozzles.com Program</v>
      </c>
      <c r="B208" s="1092">
        <v>0</v>
      </c>
      <c r="C208" s="1092">
        <v>0</v>
      </c>
      <c r="D208" s="1092">
        <v>0</v>
      </c>
      <c r="E208" s="1092">
        <v>0</v>
      </c>
      <c r="F208" s="1092">
        <v>0</v>
      </c>
      <c r="G208" s="1092">
        <v>0</v>
      </c>
      <c r="H208" s="1092">
        <v>0</v>
      </c>
      <c r="I208" s="1092">
        <v>0</v>
      </c>
      <c r="J208" s="1092">
        <v>0</v>
      </c>
      <c r="K208" s="1092">
        <v>0</v>
      </c>
      <c r="L208" s="1092">
        <v>0</v>
      </c>
      <c r="M208" s="1092">
        <v>1760</v>
      </c>
      <c r="N208" s="27">
        <f t="shared" si="31"/>
        <v>1760</v>
      </c>
    </row>
    <row r="209" spans="1:14" ht="14" thickBot="1">
      <c r="A209" s="53" t="s">
        <v>60</v>
      </c>
      <c r="B209" s="55">
        <f>SUM(B193:B208)</f>
        <v>0</v>
      </c>
      <c r="C209" s="55">
        <f>SUM(C193:C208)</f>
        <v>0</v>
      </c>
      <c r="D209" s="55">
        <f t="shared" ref="D209:N209" si="32">SUM(D193:D208)</f>
        <v>1</v>
      </c>
      <c r="E209" s="55">
        <f t="shared" si="32"/>
        <v>0</v>
      </c>
      <c r="F209" s="55">
        <f t="shared" si="32"/>
        <v>0</v>
      </c>
      <c r="G209" s="55">
        <f t="shared" si="32"/>
        <v>0</v>
      </c>
      <c r="H209" s="55">
        <f t="shared" si="32"/>
        <v>0</v>
      </c>
      <c r="I209" s="55">
        <f t="shared" si="32"/>
        <v>0</v>
      </c>
      <c r="J209" s="55">
        <f t="shared" si="32"/>
        <v>0</v>
      </c>
      <c r="K209" s="55">
        <f t="shared" si="32"/>
        <v>1</v>
      </c>
      <c r="L209" s="55">
        <f t="shared" si="32"/>
        <v>2</v>
      </c>
      <c r="M209" s="55">
        <f t="shared" si="32"/>
        <v>1760</v>
      </c>
      <c r="N209" s="54">
        <f t="shared" si="32"/>
        <v>1764</v>
      </c>
    </row>
    <row r="212" spans="1:14" ht="14" thickBot="1">
      <c r="B212" s="43" t="s">
        <v>35</v>
      </c>
      <c r="C212" s="43" t="s">
        <v>36</v>
      </c>
      <c r="D212" s="43" t="s">
        <v>37</v>
      </c>
      <c r="E212" s="43" t="s">
        <v>38</v>
      </c>
      <c r="F212" s="43" t="s">
        <v>39</v>
      </c>
      <c r="G212" s="43" t="s">
        <v>40</v>
      </c>
      <c r="H212" s="43" t="s">
        <v>41</v>
      </c>
      <c r="I212" s="43" t="s">
        <v>42</v>
      </c>
      <c r="J212" s="43" t="s">
        <v>43</v>
      </c>
      <c r="K212" s="43" t="s">
        <v>44</v>
      </c>
      <c r="L212" s="43" t="s">
        <v>45</v>
      </c>
      <c r="M212" s="43" t="s">
        <v>46</v>
      </c>
      <c r="N212" s="43" t="s">
        <v>10</v>
      </c>
    </row>
    <row r="213" spans="1:14" ht="17" thickBot="1">
      <c r="A213" s="31" t="s">
        <v>210</v>
      </c>
      <c r="B213" s="24"/>
      <c r="C213" s="24"/>
      <c r="D213" s="22"/>
      <c r="E213" s="22"/>
      <c r="F213" s="25"/>
      <c r="G213" s="25"/>
      <c r="H213" s="22"/>
      <c r="I213" s="22"/>
      <c r="J213" s="22"/>
      <c r="K213" s="22"/>
      <c r="L213" s="24"/>
      <c r="M213" s="24"/>
      <c r="N213" s="26"/>
    </row>
    <row r="214" spans="1:14" ht="14" thickBot="1">
      <c r="A214" s="38" t="str">
        <f>Ontario!A214</f>
        <v>SoCal Water$mart Residential Rebates</v>
      </c>
      <c r="B214" s="39"/>
      <c r="C214" s="39"/>
      <c r="D214" s="39"/>
      <c r="E214" s="39"/>
      <c r="F214" s="39"/>
      <c r="G214" s="39"/>
      <c r="H214" s="39"/>
      <c r="I214" s="39"/>
      <c r="J214" s="39"/>
      <c r="K214" s="39"/>
      <c r="L214" s="39"/>
      <c r="M214" s="39"/>
      <c r="N214" s="40"/>
    </row>
    <row r="215" spans="1:14">
      <c r="A215" s="32" t="str">
        <f>Ontario!A215</f>
        <v>High Efficiency Toilets (HET)</v>
      </c>
      <c r="B215" s="1092">
        <v>6</v>
      </c>
      <c r="C215" s="1092">
        <v>0</v>
      </c>
      <c r="D215" s="1092">
        <v>4</v>
      </c>
      <c r="E215" s="1092">
        <v>7</v>
      </c>
      <c r="F215" s="1092">
        <v>1</v>
      </c>
      <c r="G215" s="1092">
        <v>8</v>
      </c>
      <c r="H215" s="1092">
        <v>22</v>
      </c>
      <c r="I215" s="1092">
        <v>4</v>
      </c>
      <c r="J215" s="1092">
        <v>0</v>
      </c>
      <c r="K215" s="1092">
        <v>9</v>
      </c>
      <c r="L215" s="1092">
        <v>9</v>
      </c>
      <c r="M215" s="1092">
        <v>6</v>
      </c>
      <c r="N215" s="27">
        <f>SUM(B215:M215)</f>
        <v>76</v>
      </c>
    </row>
    <row r="216" spans="1:14">
      <c r="A216" s="32" t="str">
        <f>Ontario!A216</f>
        <v>High Efficiency Clothes Washers (HECW)</v>
      </c>
      <c r="B216" s="1092">
        <v>20</v>
      </c>
      <c r="C216" s="1092">
        <v>7</v>
      </c>
      <c r="D216" s="1092">
        <v>11</v>
      </c>
      <c r="E216" s="1092">
        <v>16</v>
      </c>
      <c r="F216" s="1092">
        <v>0</v>
      </c>
      <c r="G216" s="1092">
        <v>11</v>
      </c>
      <c r="H216" s="1092">
        <v>16</v>
      </c>
      <c r="I216" s="1092">
        <v>11</v>
      </c>
      <c r="J216" s="1092">
        <v>6</v>
      </c>
      <c r="K216" s="1092">
        <v>19</v>
      </c>
      <c r="L216" s="1092">
        <v>13</v>
      </c>
      <c r="M216" s="1092">
        <v>10</v>
      </c>
      <c r="N216" s="27">
        <f>SUM(B216:M216)</f>
        <v>140</v>
      </c>
    </row>
    <row r="217" spans="1:14">
      <c r="A217" s="32" t="str">
        <f>Ontario!A217</f>
        <v>Rotating Nozzles for Pop-up Spray Heads</v>
      </c>
      <c r="B217" s="1092">
        <v>1</v>
      </c>
      <c r="C217" s="1092">
        <v>0</v>
      </c>
      <c r="D217" s="1092">
        <v>1</v>
      </c>
      <c r="E217" s="1092">
        <v>0</v>
      </c>
      <c r="F217" s="1092">
        <v>0</v>
      </c>
      <c r="G217" s="1092">
        <v>0</v>
      </c>
      <c r="H217" s="1092">
        <v>0</v>
      </c>
      <c r="I217" s="1092">
        <v>0</v>
      </c>
      <c r="J217" s="1092">
        <v>0</v>
      </c>
      <c r="K217" s="1092">
        <v>0</v>
      </c>
      <c r="L217" s="1092">
        <v>1</v>
      </c>
      <c r="M217" s="1092">
        <v>0</v>
      </c>
      <c r="N217" s="27">
        <f>SUM(B217:M217)</f>
        <v>3</v>
      </c>
    </row>
    <row r="218" spans="1:14">
      <c r="A218" s="32" t="str">
        <f>Ontario!A218</f>
        <v>Weather Based Irrigation Controllers (WBIC)</v>
      </c>
      <c r="B218" s="1092">
        <v>1</v>
      </c>
      <c r="C218" s="1092">
        <v>1</v>
      </c>
      <c r="D218" s="1092">
        <v>0</v>
      </c>
      <c r="E218" s="1092">
        <v>0</v>
      </c>
      <c r="F218" s="1092">
        <v>0</v>
      </c>
      <c r="G218" s="1092">
        <v>1</v>
      </c>
      <c r="H218" s="1092">
        <v>0</v>
      </c>
      <c r="I218" s="1092">
        <v>0</v>
      </c>
      <c r="J218" s="1092">
        <v>0</v>
      </c>
      <c r="K218" s="1092">
        <v>1</v>
      </c>
      <c r="L218" s="1092">
        <v>0</v>
      </c>
      <c r="M218" s="1092">
        <v>0</v>
      </c>
      <c r="N218" s="27">
        <f>SUM(B218:M218)</f>
        <v>4</v>
      </c>
    </row>
    <row r="219" spans="1:14" ht="14" hidden="1" thickBot="1">
      <c r="A219" s="76" t="s">
        <v>182</v>
      </c>
      <c r="B219" s="1092"/>
      <c r="C219" s="1092"/>
      <c r="D219" s="1092"/>
      <c r="E219" s="1092"/>
      <c r="F219" s="1092"/>
      <c r="G219" s="1092"/>
      <c r="H219" s="1092"/>
      <c r="I219" s="1092"/>
      <c r="J219" s="1092"/>
      <c r="K219" s="1092"/>
      <c r="L219" s="1092"/>
      <c r="M219" s="1092"/>
      <c r="N219" s="27">
        <f>SUM(B219:M219)</f>
        <v>0</v>
      </c>
    </row>
    <row r="220" spans="1:14" ht="14" thickBot="1">
      <c r="A220" s="76" t="s">
        <v>212</v>
      </c>
      <c r="B220" s="1092">
        <v>0</v>
      </c>
      <c r="C220" s="1092">
        <v>0</v>
      </c>
      <c r="D220" s="1092">
        <v>0</v>
      </c>
      <c r="E220" s="1092">
        <v>0</v>
      </c>
      <c r="F220" s="1092">
        <v>0</v>
      </c>
      <c r="G220" s="1092">
        <v>0</v>
      </c>
      <c r="H220" s="1092">
        <v>0</v>
      </c>
      <c r="I220" s="1092">
        <v>0</v>
      </c>
      <c r="J220" s="1092">
        <v>0</v>
      </c>
      <c r="K220" s="1092">
        <v>0</v>
      </c>
      <c r="L220" s="1092">
        <v>0</v>
      </c>
      <c r="M220" s="1092">
        <v>0</v>
      </c>
      <c r="N220" s="27">
        <f>M220+L220+K220+J220+I220+H220+G220+F220+E220+D220+C220+B220</f>
        <v>0</v>
      </c>
    </row>
    <row r="221" spans="1:14" ht="14" thickBot="1">
      <c r="A221" s="38" t="str">
        <f>Ontario!A221</f>
        <v>IEUA Locally Implemented Residential Programs</v>
      </c>
      <c r="B221" s="39"/>
      <c r="C221" s="39"/>
      <c r="D221" s="39"/>
      <c r="E221" s="39"/>
      <c r="F221" s="39"/>
      <c r="G221" s="39"/>
      <c r="H221" s="39"/>
      <c r="I221" s="39"/>
      <c r="J221" s="39"/>
      <c r="K221" s="39"/>
      <c r="L221" s="39"/>
      <c r="M221" s="39"/>
      <c r="N221" s="40"/>
    </row>
    <row r="222" spans="1:14">
      <c r="A222" s="32" t="str">
        <f>Ontario!A222</f>
        <v>FreeSprinklerNozzles.com Program</v>
      </c>
      <c r="B222" s="1092">
        <v>490</v>
      </c>
      <c r="C222" s="1092">
        <v>0</v>
      </c>
      <c r="D222" s="1092">
        <v>0</v>
      </c>
      <c r="E222" s="1092">
        <v>0</v>
      </c>
      <c r="F222" s="1092">
        <v>0</v>
      </c>
      <c r="G222" s="1092">
        <v>0</v>
      </c>
      <c r="H222" s="1092">
        <v>0</v>
      </c>
      <c r="I222" s="1092">
        <v>0</v>
      </c>
      <c r="J222" s="1092">
        <v>0</v>
      </c>
      <c r="K222" s="1092">
        <v>0</v>
      </c>
      <c r="L222" s="1092">
        <v>0</v>
      </c>
      <c r="M222" s="1092">
        <v>0</v>
      </c>
      <c r="N222" s="27">
        <f>SUM(B222:M222)</f>
        <v>490</v>
      </c>
    </row>
    <row r="223" spans="1:14">
      <c r="A223" s="32" t="str">
        <f>Ontario!A223</f>
        <v>Residential Landscape Retrofit Program</v>
      </c>
      <c r="B223" s="1092">
        <v>0</v>
      </c>
      <c r="C223" s="1092">
        <v>15</v>
      </c>
      <c r="D223" s="1092">
        <v>8</v>
      </c>
      <c r="E223" s="1092">
        <v>1</v>
      </c>
      <c r="F223" s="1092">
        <v>0</v>
      </c>
      <c r="G223" s="1092">
        <v>0</v>
      </c>
      <c r="H223" s="1092">
        <v>0</v>
      </c>
      <c r="I223" s="1092">
        <v>4</v>
      </c>
      <c r="J223" s="1092">
        <v>2</v>
      </c>
      <c r="K223" s="1092">
        <v>0</v>
      </c>
      <c r="L223" s="1092">
        <v>0</v>
      </c>
      <c r="M223" s="1092">
        <v>0</v>
      </c>
      <c r="N223" s="27">
        <f>SUM(B223:M223)</f>
        <v>30</v>
      </c>
    </row>
    <row r="224" spans="1:14" ht="14" thickBot="1">
      <c r="A224" s="32" t="str">
        <f>Ontario!A224</f>
        <v>Landscape Transformation Program</v>
      </c>
      <c r="B224" s="1092">
        <v>0</v>
      </c>
      <c r="C224" s="1092">
        <v>0</v>
      </c>
      <c r="D224" s="1092">
        <v>0</v>
      </c>
      <c r="E224" s="1092">
        <v>0</v>
      </c>
      <c r="F224" s="1092">
        <v>3</v>
      </c>
      <c r="G224" s="1092">
        <v>5</v>
      </c>
      <c r="H224" s="1092">
        <v>0</v>
      </c>
      <c r="I224" s="1092">
        <v>0</v>
      </c>
      <c r="J224" s="1092">
        <v>0</v>
      </c>
      <c r="K224" s="1092">
        <v>0</v>
      </c>
      <c r="L224" s="1092">
        <v>0</v>
      </c>
      <c r="M224" s="1092">
        <v>0</v>
      </c>
      <c r="N224" s="27">
        <f>SUM(B224:M224)</f>
        <v>8</v>
      </c>
    </row>
    <row r="225" spans="1:14" ht="14" thickBot="1">
      <c r="A225" s="53" t="s">
        <v>60</v>
      </c>
      <c r="B225" s="55">
        <f>SUM(B215:B224)</f>
        <v>518</v>
      </c>
      <c r="C225" s="55">
        <f t="shared" ref="C225:M225" si="33">SUM(C215:C224)</f>
        <v>23</v>
      </c>
      <c r="D225" s="55">
        <f t="shared" si="33"/>
        <v>24</v>
      </c>
      <c r="E225" s="55">
        <f t="shared" si="33"/>
        <v>24</v>
      </c>
      <c r="F225" s="55">
        <f t="shared" si="33"/>
        <v>4</v>
      </c>
      <c r="G225" s="55">
        <f t="shared" si="33"/>
        <v>25</v>
      </c>
      <c r="H225" s="55">
        <f t="shared" si="33"/>
        <v>38</v>
      </c>
      <c r="I225" s="55">
        <f t="shared" si="33"/>
        <v>19</v>
      </c>
      <c r="J225" s="55">
        <f t="shared" si="33"/>
        <v>8</v>
      </c>
      <c r="K225" s="55">
        <f t="shared" si="33"/>
        <v>29</v>
      </c>
      <c r="L225" s="55">
        <f t="shared" si="33"/>
        <v>23</v>
      </c>
      <c r="M225" s="55">
        <f t="shared" si="33"/>
        <v>16</v>
      </c>
      <c r="N225" s="54">
        <f>SUM(N215:N223)</f>
        <v>743</v>
      </c>
    </row>
    <row r="226" spans="1:14" ht="14" hidden="1" thickBot="1">
      <c r="A226" s="38" t="str">
        <f>Ontario!A226</f>
        <v xml:space="preserve">IEUA High Efficiency Toilet (HET) Installation Prog. </v>
      </c>
      <c r="B226" s="39"/>
      <c r="C226" s="39"/>
      <c r="D226" s="39"/>
      <c r="E226" s="39"/>
      <c r="F226" s="39"/>
      <c r="G226" s="39"/>
      <c r="H226" s="39"/>
      <c r="I226" s="39"/>
      <c r="J226" s="39"/>
      <c r="K226" s="39"/>
      <c r="L226" s="39"/>
      <c r="M226" s="39"/>
      <c r="N226" s="40"/>
    </row>
    <row r="227" spans="1:14" hidden="1">
      <c r="A227" s="32" t="str">
        <f>Ontario!A227</f>
        <v>IEUA Multi-Family Direct Install Prog. (HET/ULFT)</v>
      </c>
      <c r="B227" s="168"/>
      <c r="C227" s="168"/>
      <c r="D227" s="168"/>
      <c r="E227" s="168"/>
      <c r="F227" s="168"/>
      <c r="G227" s="168"/>
      <c r="H227" s="168"/>
      <c r="I227" s="168"/>
      <c r="J227" s="168"/>
      <c r="K227" s="168"/>
      <c r="L227" s="168"/>
      <c r="M227" s="168"/>
      <c r="N227" s="27">
        <f>SUM(B227:M227)</f>
        <v>0</v>
      </c>
    </row>
    <row r="228" spans="1:14" ht="14" hidden="1" thickBot="1">
      <c r="A228" s="32" t="str">
        <f>Ontario!A228</f>
        <v>IEUA Single-Family Direct Install Prog. (HET/ULFT)</v>
      </c>
      <c r="B228" s="168"/>
      <c r="C228" s="168"/>
      <c r="D228" s="168"/>
      <c r="E228" s="168"/>
      <c r="F228" s="168"/>
      <c r="G228" s="168"/>
      <c r="H228" s="168"/>
      <c r="I228" s="168"/>
      <c r="J228" s="168"/>
      <c r="K228" s="168"/>
      <c r="L228" s="168"/>
      <c r="M228" s="168"/>
      <c r="N228" s="27">
        <f>SUM(B228:M228)</f>
        <v>0</v>
      </c>
    </row>
    <row r="229" spans="1:14" ht="14" hidden="1" thickBot="1">
      <c r="A229" s="53" t="s">
        <v>60</v>
      </c>
      <c r="B229" s="55">
        <f>SUM(B227:B228)</f>
        <v>0</v>
      </c>
      <c r="C229" s="55">
        <f t="shared" ref="C229:M229" si="34">SUM(C227:C228)</f>
        <v>0</v>
      </c>
      <c r="D229" s="55">
        <f t="shared" si="34"/>
        <v>0</v>
      </c>
      <c r="E229" s="55">
        <f t="shared" si="34"/>
        <v>0</v>
      </c>
      <c r="F229" s="55">
        <f t="shared" si="34"/>
        <v>0</v>
      </c>
      <c r="G229" s="55">
        <f t="shared" si="34"/>
        <v>0</v>
      </c>
      <c r="H229" s="55">
        <f t="shared" si="34"/>
        <v>0</v>
      </c>
      <c r="I229" s="55">
        <f t="shared" si="34"/>
        <v>0</v>
      </c>
      <c r="J229" s="55">
        <f t="shared" si="34"/>
        <v>0</v>
      </c>
      <c r="K229" s="55">
        <f t="shared" si="34"/>
        <v>0</v>
      </c>
      <c r="L229" s="55">
        <f t="shared" si="34"/>
        <v>0</v>
      </c>
      <c r="M229" s="55">
        <f t="shared" si="34"/>
        <v>0</v>
      </c>
      <c r="N229" s="54">
        <f>SUM(N227:N228)</f>
        <v>0</v>
      </c>
    </row>
    <row r="230" spans="1:14" ht="14" thickBot="1">
      <c r="A230" s="38" t="str">
        <f>Ontario!A230</f>
        <v>SoCal Water$mart Commercial Rebates</v>
      </c>
      <c r="B230" s="39"/>
      <c r="C230" s="39"/>
      <c r="D230" s="39"/>
      <c r="E230" s="39"/>
      <c r="F230" s="39"/>
      <c r="G230" s="39"/>
      <c r="H230" s="39"/>
      <c r="I230" s="39"/>
      <c r="J230" s="39"/>
      <c r="K230" s="39"/>
      <c r="L230" s="39"/>
      <c r="M230" s="39"/>
      <c r="N230" s="40"/>
    </row>
    <row r="231" spans="1:14">
      <c r="A231" s="32" t="str">
        <f>Ontario!A231</f>
        <v>High Efficiency Toilets (HET)</v>
      </c>
      <c r="B231" s="1092">
        <v>0</v>
      </c>
      <c r="C231" s="1092">
        <v>0</v>
      </c>
      <c r="D231" s="1092">
        <v>0</v>
      </c>
      <c r="E231" s="1092">
        <v>0</v>
      </c>
      <c r="F231" s="1092">
        <v>0</v>
      </c>
      <c r="G231" s="1092">
        <v>0</v>
      </c>
      <c r="H231" s="1092">
        <v>0</v>
      </c>
      <c r="I231" s="1092">
        <v>0</v>
      </c>
      <c r="J231" s="1092">
        <v>0</v>
      </c>
      <c r="K231" s="1092">
        <v>0</v>
      </c>
      <c r="L231" s="1092">
        <v>0</v>
      </c>
      <c r="M231" s="1092">
        <v>0</v>
      </c>
      <c r="N231" s="27">
        <f t="shared" ref="N231:N240" si="35">SUM(B231:M231)</f>
        <v>0</v>
      </c>
    </row>
    <row r="232" spans="1:14">
      <c r="A232" s="32" t="str">
        <f>Ontario!A232</f>
        <v>Waterless Urinals</v>
      </c>
      <c r="B232" s="1092">
        <v>0</v>
      </c>
      <c r="C232" s="1092">
        <v>0</v>
      </c>
      <c r="D232" s="1092">
        <v>0</v>
      </c>
      <c r="E232" s="1092">
        <v>0</v>
      </c>
      <c r="F232" s="1092">
        <v>0</v>
      </c>
      <c r="G232" s="1092">
        <v>0</v>
      </c>
      <c r="H232" s="1092">
        <v>0</v>
      </c>
      <c r="I232" s="1092">
        <v>0</v>
      </c>
      <c r="J232" s="1092">
        <v>0</v>
      </c>
      <c r="K232" s="1092">
        <v>0</v>
      </c>
      <c r="L232" s="1092">
        <v>0</v>
      </c>
      <c r="M232" s="1092">
        <v>0</v>
      </c>
      <c r="N232" s="27">
        <f t="shared" si="35"/>
        <v>0</v>
      </c>
    </row>
    <row r="233" spans="1:14">
      <c r="A233" s="32" t="s">
        <v>204</v>
      </c>
      <c r="B233" s="1092">
        <v>0</v>
      </c>
      <c r="C233" s="1092">
        <v>0</v>
      </c>
      <c r="D233" s="1092">
        <v>0</v>
      </c>
      <c r="E233" s="1092">
        <v>0</v>
      </c>
      <c r="F233" s="1092">
        <v>0</v>
      </c>
      <c r="G233" s="1092">
        <v>0</v>
      </c>
      <c r="H233" s="1092">
        <v>0</v>
      </c>
      <c r="I233" s="1092">
        <v>0</v>
      </c>
      <c r="J233" s="1092">
        <v>0</v>
      </c>
      <c r="K233" s="1092">
        <v>0</v>
      </c>
      <c r="L233" s="1092">
        <v>0</v>
      </c>
      <c r="M233" s="1092">
        <v>0</v>
      </c>
      <c r="N233" s="27">
        <f t="shared" si="35"/>
        <v>0</v>
      </c>
    </row>
    <row r="234" spans="1:14" hidden="1">
      <c r="A234" s="32" t="str">
        <f>Ontario!A234</f>
        <v>High Efficiency Clothes Washers</v>
      </c>
      <c r="B234" s="1092"/>
      <c r="C234" s="1092"/>
      <c r="D234" s="1092"/>
      <c r="E234" s="1092"/>
      <c r="F234" s="1092"/>
      <c r="G234" s="1092"/>
      <c r="H234" s="1092"/>
      <c r="I234" s="1092"/>
      <c r="J234" s="1092"/>
      <c r="K234" s="1092"/>
      <c r="L234" s="1092"/>
      <c r="M234" s="1092"/>
      <c r="N234" s="27">
        <f t="shared" si="35"/>
        <v>0</v>
      </c>
    </row>
    <row r="235" spans="1:14" hidden="1">
      <c r="A235" s="35" t="s">
        <v>47</v>
      </c>
      <c r="B235" s="1092"/>
      <c r="C235" s="1092"/>
      <c r="D235" s="1092"/>
      <c r="E235" s="1092"/>
      <c r="F235" s="1092"/>
      <c r="G235" s="1092"/>
      <c r="H235" s="1092"/>
      <c r="I235" s="1092"/>
      <c r="J235" s="1092"/>
      <c r="K235" s="1092"/>
      <c r="L235" s="1092"/>
      <c r="M235" s="1092"/>
      <c r="N235" s="27">
        <f t="shared" si="35"/>
        <v>0</v>
      </c>
    </row>
    <row r="236" spans="1:14">
      <c r="A236" s="32" t="str">
        <f>Ontario!A236</f>
        <v>Weather Based Irrigation Controllers (WBIC)</v>
      </c>
      <c r="B236" s="1092">
        <v>1</v>
      </c>
      <c r="C236" s="1092">
        <v>2</v>
      </c>
      <c r="D236" s="1092">
        <v>0</v>
      </c>
      <c r="E236" s="1092">
        <v>3</v>
      </c>
      <c r="F236" s="1092">
        <v>0</v>
      </c>
      <c r="G236" s="1092">
        <v>2</v>
      </c>
      <c r="H236" s="1092">
        <v>0</v>
      </c>
      <c r="I236" s="1092">
        <v>5</v>
      </c>
      <c r="J236" s="1092">
        <v>0</v>
      </c>
      <c r="K236" s="1092">
        <v>37</v>
      </c>
      <c r="L236" s="1092">
        <v>2</v>
      </c>
      <c r="M236" s="1092">
        <v>0</v>
      </c>
      <c r="N236" s="27">
        <f t="shared" si="35"/>
        <v>52</v>
      </c>
    </row>
    <row r="237" spans="1:14" hidden="1">
      <c r="A237" s="76" t="s">
        <v>150</v>
      </c>
      <c r="B237" s="1092"/>
      <c r="C237" s="1092"/>
      <c r="D237" s="1092"/>
      <c r="E237" s="1092"/>
      <c r="F237" s="1092"/>
      <c r="G237" s="1092"/>
      <c r="H237" s="1092"/>
      <c r="I237" s="1092"/>
      <c r="J237" s="1092"/>
      <c r="K237" s="1092"/>
      <c r="L237" s="1092"/>
      <c r="M237" s="1092"/>
      <c r="N237" s="27">
        <f t="shared" si="35"/>
        <v>0</v>
      </c>
    </row>
    <row r="238" spans="1:14">
      <c r="A238" s="32" t="str">
        <f>Ontario!A238</f>
        <v>Rotating Nozzles for Pop-up Spray Heads</v>
      </c>
      <c r="B238" s="1092">
        <v>0</v>
      </c>
      <c r="C238" s="1092">
        <v>0</v>
      </c>
      <c r="D238" s="1092">
        <v>0</v>
      </c>
      <c r="E238" s="1092">
        <v>1805</v>
      </c>
      <c r="F238" s="1092">
        <v>0</v>
      </c>
      <c r="G238" s="1092">
        <v>0</v>
      </c>
      <c r="H238" s="1092">
        <v>0</v>
      </c>
      <c r="I238" s="1092">
        <v>0</v>
      </c>
      <c r="J238" s="1092">
        <v>0</v>
      </c>
      <c r="K238" s="1092">
        <v>0</v>
      </c>
      <c r="L238" s="1092">
        <v>0</v>
      </c>
      <c r="M238" s="1092">
        <v>0</v>
      </c>
      <c r="N238" s="27">
        <f t="shared" si="35"/>
        <v>1805</v>
      </c>
    </row>
    <row r="239" spans="1:14">
      <c r="A239" s="32" t="str">
        <f>Ontario!A239</f>
        <v>Large Rotary Nozzles</v>
      </c>
      <c r="B239" s="1092">
        <v>0</v>
      </c>
      <c r="C239" s="1092">
        <v>0</v>
      </c>
      <c r="D239" s="1092">
        <v>0</v>
      </c>
      <c r="E239" s="1092">
        <v>0</v>
      </c>
      <c r="F239" s="1092">
        <v>0</v>
      </c>
      <c r="G239" s="1092">
        <v>0</v>
      </c>
      <c r="H239" s="1092">
        <v>0</v>
      </c>
      <c r="I239" s="1092">
        <v>0</v>
      </c>
      <c r="J239" s="1092">
        <v>0</v>
      </c>
      <c r="K239" s="1092">
        <v>0</v>
      </c>
      <c r="L239" s="1092">
        <v>0</v>
      </c>
      <c r="M239" s="1092">
        <v>0</v>
      </c>
      <c r="N239" s="27">
        <f t="shared" si="35"/>
        <v>0</v>
      </c>
    </row>
    <row r="240" spans="1:14" hidden="1">
      <c r="A240" s="32" t="s">
        <v>102</v>
      </c>
      <c r="B240" s="1092"/>
      <c r="C240" s="1092"/>
      <c r="D240" s="1092"/>
      <c r="E240" s="1092"/>
      <c r="F240" s="1092"/>
      <c r="G240" s="1092"/>
      <c r="H240" s="1092"/>
      <c r="I240" s="1092"/>
      <c r="J240" s="1092"/>
      <c r="K240" s="1092"/>
      <c r="L240" s="1092"/>
      <c r="M240" s="1092"/>
      <c r="N240" s="27">
        <f t="shared" si="35"/>
        <v>0</v>
      </c>
    </row>
    <row r="241" spans="1:14">
      <c r="A241" s="32" t="str">
        <f>Ontario!A241</f>
        <v xml:space="preserve">Central Computerized Irrigation Controller </v>
      </c>
      <c r="B241" s="1092">
        <v>0</v>
      </c>
      <c r="C241" s="1092">
        <v>0</v>
      </c>
      <c r="D241" s="1092">
        <v>0</v>
      </c>
      <c r="E241" s="1092">
        <v>0</v>
      </c>
      <c r="F241" s="1092">
        <v>0</v>
      </c>
      <c r="G241" s="1092">
        <v>0</v>
      </c>
      <c r="H241" s="1092">
        <v>0</v>
      </c>
      <c r="I241" s="1092">
        <v>0</v>
      </c>
      <c r="J241" s="1092">
        <v>0</v>
      </c>
      <c r="K241" s="1092">
        <v>0</v>
      </c>
      <c r="L241" s="1092">
        <v>0</v>
      </c>
      <c r="M241" s="1092">
        <v>0</v>
      </c>
      <c r="N241" s="27">
        <f>SUM(B241:M241)</f>
        <v>0</v>
      </c>
    </row>
    <row r="242" spans="1:14">
      <c r="A242" s="32" t="str">
        <f>Ontario!A242</f>
        <v>Laminar Flow Restrictor</v>
      </c>
      <c r="B242" s="1092">
        <v>0</v>
      </c>
      <c r="C242" s="1092">
        <v>0</v>
      </c>
      <c r="D242" s="1092">
        <v>0</v>
      </c>
      <c r="E242" s="1092">
        <v>0</v>
      </c>
      <c r="F242" s="1092">
        <v>0</v>
      </c>
      <c r="G242" s="1092">
        <v>0</v>
      </c>
      <c r="H242" s="1092">
        <v>0</v>
      </c>
      <c r="I242" s="1092">
        <v>0</v>
      </c>
      <c r="J242" s="1092">
        <v>0</v>
      </c>
      <c r="K242" s="1092">
        <v>0</v>
      </c>
      <c r="L242" s="1092">
        <v>0</v>
      </c>
      <c r="M242" s="1092">
        <v>0</v>
      </c>
      <c r="N242" s="27">
        <f>SUM(B242:M242)</f>
        <v>0</v>
      </c>
    </row>
    <row r="243" spans="1:14">
      <c r="A243" s="32" t="str">
        <f>Ontario!A243</f>
        <v>Air-Cooled Ice Machine</v>
      </c>
      <c r="B243" s="1092">
        <v>0</v>
      </c>
      <c r="C243" s="1092">
        <v>0</v>
      </c>
      <c r="D243" s="1092">
        <v>0</v>
      </c>
      <c r="E243" s="1092">
        <v>0</v>
      </c>
      <c r="F243" s="1092">
        <v>0</v>
      </c>
      <c r="G243" s="1092">
        <v>0</v>
      </c>
      <c r="H243" s="1092">
        <v>0</v>
      </c>
      <c r="I243" s="1092">
        <v>0</v>
      </c>
      <c r="J243" s="1092">
        <v>0</v>
      </c>
      <c r="K243" s="1092">
        <v>0</v>
      </c>
      <c r="L243" s="1092">
        <v>0</v>
      </c>
      <c r="M243" s="1092">
        <v>0</v>
      </c>
      <c r="N243" s="27">
        <f>SUM(B243:M243)</f>
        <v>0</v>
      </c>
    </row>
    <row r="244" spans="1:14" ht="14" thickBot="1">
      <c r="A244" s="32" t="s">
        <v>213</v>
      </c>
      <c r="B244" s="1092">
        <v>0</v>
      </c>
      <c r="C244" s="1092">
        <v>0</v>
      </c>
      <c r="D244" s="1092">
        <v>0</v>
      </c>
      <c r="E244" s="1092">
        <v>0</v>
      </c>
      <c r="F244" s="1092">
        <v>0</v>
      </c>
      <c r="G244" s="1092">
        <v>0</v>
      </c>
      <c r="H244" s="1092">
        <v>0</v>
      </c>
      <c r="I244" s="1092">
        <v>0</v>
      </c>
      <c r="J244" s="1092">
        <v>0</v>
      </c>
      <c r="K244" s="1092">
        <v>0</v>
      </c>
      <c r="L244" s="1092">
        <v>0</v>
      </c>
      <c r="M244" s="1092">
        <v>0</v>
      </c>
      <c r="N244" s="27">
        <f>SUM(B244:M244)</f>
        <v>0</v>
      </c>
    </row>
    <row r="245" spans="1:14" ht="14" thickBot="1">
      <c r="A245" s="38" t="str">
        <f>Ontario!A245</f>
        <v>IEUA Locally Implemented Commercial Programs</v>
      </c>
      <c r="B245" s="276"/>
      <c r="C245" s="276"/>
      <c r="D245" s="276"/>
      <c r="E245" s="276"/>
      <c r="F245" s="276"/>
      <c r="G245" s="276"/>
      <c r="H245" s="276"/>
      <c r="I245" s="276"/>
      <c r="J245" s="276"/>
      <c r="K245" s="276"/>
      <c r="L245" s="276"/>
      <c r="M245" s="276"/>
      <c r="N245" s="40"/>
    </row>
    <row r="246" spans="1:14" hidden="1">
      <c r="A246" s="32" t="str">
        <f>Ontario!A246</f>
        <v>Fontana Unified School Retrofit Program</v>
      </c>
      <c r="B246" s="275"/>
      <c r="C246" s="275"/>
      <c r="D246" s="275"/>
      <c r="E246" s="275"/>
      <c r="F246" s="275"/>
      <c r="G246" s="275"/>
      <c r="H246" s="275"/>
      <c r="I246" s="275"/>
      <c r="J246" s="275"/>
      <c r="K246" s="275"/>
      <c r="L246" s="275"/>
      <c r="M246" s="275"/>
      <c r="N246" s="27">
        <f>SUM(B246:M246)</f>
        <v>0</v>
      </c>
    </row>
    <row r="247" spans="1:14" ht="14" thickBot="1">
      <c r="A247" s="32" t="str">
        <f>Ontario!A247</f>
        <v>FreeSprinklerNozzles.com Program</v>
      </c>
      <c r="B247" s="1092">
        <v>2635</v>
      </c>
      <c r="C247" s="1092">
        <v>0</v>
      </c>
      <c r="D247" s="1092">
        <v>0</v>
      </c>
      <c r="E247" s="1092">
        <v>0</v>
      </c>
      <c r="F247" s="1092">
        <v>0</v>
      </c>
      <c r="G247" s="1092">
        <v>0</v>
      </c>
      <c r="H247" s="1092">
        <v>0</v>
      </c>
      <c r="I247" s="1092">
        <v>0</v>
      </c>
      <c r="J247" s="1092">
        <v>0</v>
      </c>
      <c r="K247" s="1092">
        <v>0</v>
      </c>
      <c r="L247" s="1092">
        <v>0</v>
      </c>
      <c r="M247" s="1092">
        <v>0</v>
      </c>
      <c r="N247" s="27">
        <f>SUM(B247:M247)</f>
        <v>2635</v>
      </c>
    </row>
    <row r="248" spans="1:14" ht="14" thickBot="1">
      <c r="A248" s="53" t="s">
        <v>60</v>
      </c>
      <c r="B248" s="55">
        <f>SUM(B231:B247)</f>
        <v>2636</v>
      </c>
      <c r="C248" s="55">
        <f>SUM(C231:C247)</f>
        <v>2</v>
      </c>
      <c r="D248" s="55">
        <f t="shared" ref="D248:N248" si="36">SUM(D231:D247)</f>
        <v>0</v>
      </c>
      <c r="E248" s="55">
        <f t="shared" si="36"/>
        <v>1808</v>
      </c>
      <c r="F248" s="55">
        <f t="shared" si="36"/>
        <v>0</v>
      </c>
      <c r="G248" s="55">
        <f t="shared" si="36"/>
        <v>2</v>
      </c>
      <c r="H248" s="55">
        <f t="shared" si="36"/>
        <v>0</v>
      </c>
      <c r="I248" s="55">
        <f t="shared" si="36"/>
        <v>5</v>
      </c>
      <c r="J248" s="55">
        <f t="shared" si="36"/>
        <v>0</v>
      </c>
      <c r="K248" s="55">
        <f t="shared" si="36"/>
        <v>37</v>
      </c>
      <c r="L248" s="55">
        <f t="shared" si="36"/>
        <v>2</v>
      </c>
      <c r="M248" s="55">
        <f t="shared" si="36"/>
        <v>0</v>
      </c>
      <c r="N248" s="54">
        <f t="shared" si="36"/>
        <v>4492</v>
      </c>
    </row>
    <row r="250" spans="1:14" ht="14" thickBot="1">
      <c r="B250" s="43" t="s">
        <v>35</v>
      </c>
      <c r="C250" s="43" t="s">
        <v>36</v>
      </c>
      <c r="D250" s="43" t="s">
        <v>37</v>
      </c>
      <c r="E250" s="43" t="s">
        <v>38</v>
      </c>
      <c r="F250" s="43" t="s">
        <v>39</v>
      </c>
      <c r="G250" s="43" t="s">
        <v>40</v>
      </c>
      <c r="H250" s="43" t="s">
        <v>41</v>
      </c>
      <c r="I250" s="43" t="s">
        <v>42</v>
      </c>
      <c r="J250" s="43" t="s">
        <v>43</v>
      </c>
      <c r="K250" s="43" t="s">
        <v>44</v>
      </c>
      <c r="L250" s="43" t="s">
        <v>45</v>
      </c>
      <c r="M250" s="43" t="s">
        <v>46</v>
      </c>
      <c r="N250" s="43" t="s">
        <v>10</v>
      </c>
    </row>
    <row r="251" spans="1:14" ht="17" thickBot="1">
      <c r="A251" s="31" t="s">
        <v>234</v>
      </c>
      <c r="B251" s="24"/>
      <c r="C251" s="24"/>
      <c r="D251" s="22"/>
      <c r="E251" s="22"/>
      <c r="F251" s="25"/>
      <c r="G251" s="25"/>
      <c r="H251" s="22"/>
      <c r="I251" s="22"/>
      <c r="J251" s="22"/>
      <c r="K251" s="22"/>
      <c r="L251" s="24"/>
      <c r="M251" s="24"/>
      <c r="N251" s="26"/>
    </row>
    <row r="252" spans="1:14" ht="14" thickBot="1">
      <c r="A252" s="38" t="s">
        <v>189</v>
      </c>
      <c r="B252" s="39"/>
      <c r="C252" s="39"/>
      <c r="D252" s="39"/>
      <c r="E252" s="39"/>
      <c r="F252" s="39"/>
      <c r="G252" s="39"/>
      <c r="H252" s="39"/>
      <c r="I252" s="39"/>
      <c r="J252" s="39"/>
      <c r="K252" s="39"/>
      <c r="L252" s="39"/>
      <c r="M252" s="39"/>
      <c r="N252" s="40"/>
    </row>
    <row r="253" spans="1:14">
      <c r="A253" s="32" t="s">
        <v>29</v>
      </c>
      <c r="B253" s="1092">
        <v>25</v>
      </c>
      <c r="C253" s="1092">
        <v>12</v>
      </c>
      <c r="D253" s="1092">
        <v>31</v>
      </c>
      <c r="E253" s="1092">
        <v>39</v>
      </c>
      <c r="F253" s="1092">
        <v>33</v>
      </c>
      <c r="G253" s="1092">
        <v>9</v>
      </c>
      <c r="H253" s="1092">
        <v>25</v>
      </c>
      <c r="I253" s="1092">
        <v>48</v>
      </c>
      <c r="J253" s="1092">
        <v>24</v>
      </c>
      <c r="K253" s="1092">
        <v>37</v>
      </c>
      <c r="L253" s="1092">
        <v>17</v>
      </c>
      <c r="M253" s="1092">
        <v>42</v>
      </c>
      <c r="N253" s="27">
        <f t="shared" ref="N253:N258" si="37">SUM(B253:M253)</f>
        <v>342</v>
      </c>
    </row>
    <row r="254" spans="1:14">
      <c r="A254" s="32" t="s">
        <v>33</v>
      </c>
      <c r="B254" s="1092">
        <v>15</v>
      </c>
      <c r="C254" s="1092">
        <v>21</v>
      </c>
      <c r="D254" s="1092">
        <v>12</v>
      </c>
      <c r="E254" s="1092">
        <v>14</v>
      </c>
      <c r="F254" s="1092">
        <v>10</v>
      </c>
      <c r="G254" s="1092">
        <v>5</v>
      </c>
      <c r="H254" s="1092">
        <v>7</v>
      </c>
      <c r="I254" s="1092">
        <v>20</v>
      </c>
      <c r="J254" s="1092">
        <v>21</v>
      </c>
      <c r="K254" s="1092">
        <v>11</v>
      </c>
      <c r="L254" s="1092">
        <v>10</v>
      </c>
      <c r="M254" s="1092">
        <v>8</v>
      </c>
      <c r="N254" s="27">
        <f t="shared" si="37"/>
        <v>154</v>
      </c>
    </row>
    <row r="255" spans="1:14">
      <c r="A255" s="32" t="s">
        <v>56</v>
      </c>
      <c r="B255" s="1092">
        <v>289</v>
      </c>
      <c r="C255" s="1092">
        <v>0</v>
      </c>
      <c r="D255" s="1092">
        <v>0</v>
      </c>
      <c r="E255" s="1092">
        <v>0</v>
      </c>
      <c r="F255" s="1092">
        <v>30</v>
      </c>
      <c r="G255" s="1092">
        <v>37</v>
      </c>
      <c r="H255" s="1092">
        <v>32</v>
      </c>
      <c r="I255" s="1092">
        <v>0</v>
      </c>
      <c r="J255" s="1092">
        <v>0</v>
      </c>
      <c r="K255" s="1092">
        <v>21</v>
      </c>
      <c r="L255" s="1092">
        <v>0</v>
      </c>
      <c r="M255" s="1092">
        <v>0</v>
      </c>
      <c r="N255" s="27">
        <f t="shared" si="37"/>
        <v>409</v>
      </c>
    </row>
    <row r="256" spans="1:14">
      <c r="A256" s="78" t="s">
        <v>30</v>
      </c>
      <c r="B256" s="1092">
        <v>1</v>
      </c>
      <c r="C256" s="1092">
        <v>1</v>
      </c>
      <c r="D256" s="1092">
        <v>0</v>
      </c>
      <c r="E256" s="1092">
        <v>0</v>
      </c>
      <c r="F256" s="1092">
        <v>1</v>
      </c>
      <c r="G256" s="1092">
        <v>1</v>
      </c>
      <c r="H256" s="1092">
        <v>0</v>
      </c>
      <c r="I256" s="1092">
        <v>1</v>
      </c>
      <c r="J256" s="1092">
        <v>1</v>
      </c>
      <c r="K256" s="1092">
        <v>2</v>
      </c>
      <c r="L256" s="1092">
        <v>0</v>
      </c>
      <c r="M256" s="1092">
        <v>0</v>
      </c>
      <c r="N256" s="27">
        <f t="shared" si="37"/>
        <v>8</v>
      </c>
    </row>
    <row r="257" spans="1:14">
      <c r="A257" s="76" t="s">
        <v>213</v>
      </c>
      <c r="B257" s="1092">
        <v>3</v>
      </c>
      <c r="C257" s="1092">
        <v>0</v>
      </c>
      <c r="D257" s="1092">
        <v>0</v>
      </c>
      <c r="E257" s="1092">
        <v>0</v>
      </c>
      <c r="F257" s="1092">
        <v>0</v>
      </c>
      <c r="G257" s="1092">
        <v>0</v>
      </c>
      <c r="H257" s="1092">
        <v>0</v>
      </c>
      <c r="I257" s="1092">
        <v>0</v>
      </c>
      <c r="J257" s="1092">
        <v>0</v>
      </c>
      <c r="K257" s="1092">
        <v>0</v>
      </c>
      <c r="L257" s="1092">
        <v>0</v>
      </c>
      <c r="M257" s="1092">
        <v>0</v>
      </c>
      <c r="N257" s="27">
        <f t="shared" si="37"/>
        <v>3</v>
      </c>
    </row>
    <row r="258" spans="1:14" ht="14" thickBot="1">
      <c r="A258" s="76" t="s">
        <v>212</v>
      </c>
      <c r="B258" s="1092">
        <v>0</v>
      </c>
      <c r="C258" s="1092">
        <v>4</v>
      </c>
      <c r="D258" s="1092">
        <v>3</v>
      </c>
      <c r="E258" s="1092">
        <v>1</v>
      </c>
      <c r="F258" s="1092">
        <v>5</v>
      </c>
      <c r="G258" s="1092">
        <v>0</v>
      </c>
      <c r="H258" s="1092">
        <v>0</v>
      </c>
      <c r="I258" s="1092">
        <v>0</v>
      </c>
      <c r="J258" s="1092">
        <v>6</v>
      </c>
      <c r="K258" s="1092">
        <v>0</v>
      </c>
      <c r="L258" s="1092">
        <v>0</v>
      </c>
      <c r="M258" s="1092">
        <v>5</v>
      </c>
      <c r="N258" s="27">
        <f t="shared" si="37"/>
        <v>24</v>
      </c>
    </row>
    <row r="259" spans="1:14" ht="14" thickBot="1">
      <c r="A259" s="38" t="s">
        <v>190</v>
      </c>
      <c r="B259" s="39"/>
      <c r="C259" s="39"/>
      <c r="D259" s="39"/>
      <c r="E259" s="39"/>
      <c r="F259" s="39"/>
      <c r="G259" s="39"/>
      <c r="H259" s="39"/>
      <c r="I259" s="39"/>
      <c r="J259" s="39"/>
      <c r="K259" s="39"/>
      <c r="L259" s="39"/>
      <c r="M259" s="39"/>
      <c r="N259" s="40"/>
    </row>
    <row r="260" spans="1:14">
      <c r="A260" s="76" t="s">
        <v>165</v>
      </c>
      <c r="B260" s="1092">
        <v>737</v>
      </c>
      <c r="C260" s="1092">
        <v>0</v>
      </c>
      <c r="D260" s="1092">
        <v>0</v>
      </c>
      <c r="E260" s="1092">
        <v>0</v>
      </c>
      <c r="F260" s="1092">
        <v>0</v>
      </c>
      <c r="G260" s="1092">
        <v>0</v>
      </c>
      <c r="H260" s="1092">
        <v>0</v>
      </c>
      <c r="I260" s="1092">
        <v>0</v>
      </c>
      <c r="J260" s="1092">
        <v>0</v>
      </c>
      <c r="K260" s="1092">
        <v>0</v>
      </c>
      <c r="L260" s="1092">
        <v>0</v>
      </c>
      <c r="M260" s="1092">
        <v>0</v>
      </c>
      <c r="N260" s="27">
        <f>SUM(B260:M260)</f>
        <v>737</v>
      </c>
    </row>
    <row r="261" spans="1:14">
      <c r="A261" s="76" t="s">
        <v>166</v>
      </c>
      <c r="B261" s="1092">
        <v>0</v>
      </c>
      <c r="C261" s="1092">
        <v>2</v>
      </c>
      <c r="D261" s="1092">
        <v>5</v>
      </c>
      <c r="E261" s="1092">
        <v>11</v>
      </c>
      <c r="F261" s="1092">
        <v>2</v>
      </c>
      <c r="G261" s="1092">
        <v>0</v>
      </c>
      <c r="H261" s="1092">
        <v>8</v>
      </c>
      <c r="I261" s="1092">
        <v>3</v>
      </c>
      <c r="J261" s="1092">
        <v>2</v>
      </c>
      <c r="K261" s="1092">
        <v>2</v>
      </c>
      <c r="L261" s="1092">
        <v>3</v>
      </c>
      <c r="M261" s="1092">
        <v>5</v>
      </c>
      <c r="N261" s="27">
        <f>SUM(B261:M261)</f>
        <v>43</v>
      </c>
    </row>
    <row r="262" spans="1:14">
      <c r="A262" s="76" t="s">
        <v>193</v>
      </c>
      <c r="B262" s="1092">
        <v>0</v>
      </c>
      <c r="C262" s="1092">
        <v>0</v>
      </c>
      <c r="D262" s="1092">
        <v>0</v>
      </c>
      <c r="E262" s="1092">
        <v>0</v>
      </c>
      <c r="F262" s="1092">
        <v>4</v>
      </c>
      <c r="G262" s="1092">
        <v>9</v>
      </c>
      <c r="H262" s="1092">
        <v>2</v>
      </c>
      <c r="I262" s="1092">
        <v>0</v>
      </c>
      <c r="J262" s="1092">
        <v>0</v>
      </c>
      <c r="K262" s="1092">
        <v>0</v>
      </c>
      <c r="L262" s="1092">
        <v>0</v>
      </c>
      <c r="M262" s="1092">
        <v>1</v>
      </c>
      <c r="N262" s="27">
        <f>SUM(B262:M262)</f>
        <v>16</v>
      </c>
    </row>
    <row r="263" spans="1:14" ht="14" thickBot="1">
      <c r="A263" s="76" t="s">
        <v>266</v>
      </c>
      <c r="B263" s="1092">
        <v>0</v>
      </c>
      <c r="C263" s="1092">
        <v>0</v>
      </c>
      <c r="D263" s="1092">
        <v>0</v>
      </c>
      <c r="E263" s="1092">
        <v>0</v>
      </c>
      <c r="F263" s="1092">
        <v>0</v>
      </c>
      <c r="G263" s="1092">
        <v>0</v>
      </c>
      <c r="H263" s="1092">
        <v>0</v>
      </c>
      <c r="I263" s="1092">
        <v>0</v>
      </c>
      <c r="J263" s="1092">
        <v>0</v>
      </c>
      <c r="K263" s="1092">
        <v>0</v>
      </c>
      <c r="L263" s="1092">
        <v>0</v>
      </c>
      <c r="M263" s="1092">
        <v>0</v>
      </c>
      <c r="N263" s="27">
        <f>SUM(B263:M263)</f>
        <v>0</v>
      </c>
    </row>
    <row r="264" spans="1:14" ht="14" thickBot="1">
      <c r="A264" s="256" t="s">
        <v>60</v>
      </c>
      <c r="B264" s="289">
        <f t="shared" ref="B264:M264" si="38">SUM(B253:B263)</f>
        <v>1070</v>
      </c>
      <c r="C264" s="290">
        <f t="shared" si="38"/>
        <v>40</v>
      </c>
      <c r="D264" s="290">
        <f t="shared" si="38"/>
        <v>51</v>
      </c>
      <c r="E264" s="290">
        <f t="shared" si="38"/>
        <v>65</v>
      </c>
      <c r="F264" s="290">
        <f t="shared" si="38"/>
        <v>85</v>
      </c>
      <c r="G264" s="290">
        <f t="shared" si="38"/>
        <v>61</v>
      </c>
      <c r="H264" s="290">
        <f t="shared" si="38"/>
        <v>74</v>
      </c>
      <c r="I264" s="290">
        <f t="shared" si="38"/>
        <v>72</v>
      </c>
      <c r="J264" s="290">
        <f t="shared" si="38"/>
        <v>54</v>
      </c>
      <c r="K264" s="290">
        <f t="shared" si="38"/>
        <v>73</v>
      </c>
      <c r="L264" s="290">
        <f t="shared" si="38"/>
        <v>30</v>
      </c>
      <c r="M264" s="287">
        <f t="shared" si="38"/>
        <v>61</v>
      </c>
      <c r="N264" s="287">
        <f>SUM(N253:N263)</f>
        <v>1736</v>
      </c>
    </row>
    <row r="265" spans="1:14" ht="14" hidden="1" thickBot="1">
      <c r="A265" s="38" t="s">
        <v>191</v>
      </c>
      <c r="B265" s="288"/>
      <c r="C265" s="288"/>
      <c r="D265" s="288"/>
      <c r="E265" s="288"/>
      <c r="F265" s="288"/>
      <c r="G265" s="288"/>
      <c r="H265" s="288"/>
      <c r="I265" s="288"/>
      <c r="J265" s="288"/>
      <c r="K265" s="288"/>
      <c r="L265" s="288"/>
      <c r="M265" s="288"/>
      <c r="N265" s="40"/>
    </row>
    <row r="266" spans="1:14" hidden="1">
      <c r="A266" s="76" t="s">
        <v>147</v>
      </c>
      <c r="B266" s="168"/>
      <c r="C266" s="168"/>
      <c r="D266" s="168"/>
      <c r="E266" s="168"/>
      <c r="F266" s="168"/>
      <c r="G266" s="168"/>
      <c r="H266" s="168"/>
      <c r="I266" s="168"/>
      <c r="J266" s="168"/>
      <c r="K266" s="168"/>
      <c r="L266" s="168"/>
      <c r="M266" s="168"/>
      <c r="N266" s="27"/>
    </row>
    <row r="267" spans="1:14" ht="14" hidden="1" thickBot="1">
      <c r="A267" s="76" t="s">
        <v>179</v>
      </c>
      <c r="B267" s="168"/>
      <c r="C267" s="168"/>
      <c r="D267" s="168"/>
      <c r="E267" s="168"/>
      <c r="F267" s="168"/>
      <c r="G267" s="168"/>
      <c r="H267" s="168"/>
      <c r="I267" s="168"/>
      <c r="J267" s="168"/>
      <c r="K267" s="168"/>
      <c r="L267" s="168"/>
      <c r="M267" s="168"/>
      <c r="N267" s="27"/>
    </row>
    <row r="268" spans="1:14" ht="14" hidden="1" thickBot="1">
      <c r="A268" s="53" t="s">
        <v>60</v>
      </c>
      <c r="B268" s="55"/>
      <c r="C268" s="55"/>
      <c r="D268" s="55"/>
      <c r="E268" s="55"/>
      <c r="F268" s="55"/>
      <c r="G268" s="55"/>
      <c r="H268" s="55"/>
      <c r="I268" s="55"/>
      <c r="J268" s="55"/>
      <c r="K268" s="55"/>
      <c r="L268" s="55"/>
      <c r="M268" s="55"/>
      <c r="N268" s="54"/>
    </row>
    <row r="269" spans="1:14" ht="14" thickBot="1">
      <c r="A269" s="38" t="s">
        <v>194</v>
      </c>
      <c r="B269" s="39"/>
      <c r="C269" s="39"/>
      <c r="D269" s="39"/>
      <c r="E269" s="39"/>
      <c r="F269" s="39"/>
      <c r="G269" s="39"/>
      <c r="H269" s="39"/>
      <c r="I269" s="39"/>
      <c r="J269" s="39"/>
      <c r="K269" s="39"/>
      <c r="L269" s="39"/>
      <c r="M269" s="39"/>
      <c r="N269" s="40"/>
    </row>
    <row r="270" spans="1:14">
      <c r="A270" s="32" t="s">
        <v>29</v>
      </c>
      <c r="B270" s="1092">
        <v>0</v>
      </c>
      <c r="C270" s="1092">
        <v>2</v>
      </c>
      <c r="D270" s="1092">
        <v>0</v>
      </c>
      <c r="E270" s="1092">
        <v>0</v>
      </c>
      <c r="F270" s="1092">
        <v>0</v>
      </c>
      <c r="G270" s="1092">
        <v>0</v>
      </c>
      <c r="H270" s="1092">
        <v>0</v>
      </c>
      <c r="I270" s="1092">
        <v>0</v>
      </c>
      <c r="J270" s="1092">
        <v>0</v>
      </c>
      <c r="K270" s="1092">
        <v>0</v>
      </c>
      <c r="L270" s="1092">
        <v>0</v>
      </c>
      <c r="M270" s="1092">
        <v>0</v>
      </c>
      <c r="N270" s="27">
        <f>SUM(B270:M270)</f>
        <v>2</v>
      </c>
    </row>
    <row r="271" spans="1:14">
      <c r="A271" s="32" t="s">
        <v>51</v>
      </c>
      <c r="B271" s="1092">
        <v>0</v>
      </c>
      <c r="C271" s="1092">
        <v>0</v>
      </c>
      <c r="D271" s="1092">
        <v>0</v>
      </c>
      <c r="E271" s="1092">
        <v>0</v>
      </c>
      <c r="F271" s="1092">
        <v>0</v>
      </c>
      <c r="G271" s="1092">
        <v>0</v>
      </c>
      <c r="H271" s="1092">
        <v>0</v>
      </c>
      <c r="I271" s="1092">
        <v>0</v>
      </c>
      <c r="J271" s="1092">
        <v>0</v>
      </c>
      <c r="K271" s="1092">
        <v>0</v>
      </c>
      <c r="L271" s="1092">
        <v>0</v>
      </c>
      <c r="M271" s="1092">
        <v>0</v>
      </c>
      <c r="N271" s="27">
        <f>SUM(B271:M271)</f>
        <v>0</v>
      </c>
    </row>
    <row r="272" spans="1:14">
      <c r="A272" s="34" t="s">
        <v>204</v>
      </c>
      <c r="B272" s="1092">
        <v>0</v>
      </c>
      <c r="C272" s="1092">
        <v>0</v>
      </c>
      <c r="D272" s="1092">
        <v>0</v>
      </c>
      <c r="E272" s="1092">
        <v>0</v>
      </c>
      <c r="F272" s="1092">
        <v>0</v>
      </c>
      <c r="G272" s="1092">
        <v>0</v>
      </c>
      <c r="H272" s="1092">
        <v>0</v>
      </c>
      <c r="I272" s="1092">
        <v>0</v>
      </c>
      <c r="J272" s="1092">
        <v>0</v>
      </c>
      <c r="K272" s="1092">
        <v>0</v>
      </c>
      <c r="L272" s="1092">
        <v>0</v>
      </c>
      <c r="M272" s="1092">
        <v>0</v>
      </c>
      <c r="N272" s="27">
        <f t="shared" ref="N272:N283" si="39">SUM(B272:M272)</f>
        <v>0</v>
      </c>
    </row>
    <row r="273" spans="1:14">
      <c r="A273" s="34" t="s">
        <v>13</v>
      </c>
      <c r="B273" s="1092">
        <v>0</v>
      </c>
      <c r="C273" s="1092">
        <v>0</v>
      </c>
      <c r="D273" s="1092">
        <v>0</v>
      </c>
      <c r="E273" s="1092">
        <v>0</v>
      </c>
      <c r="F273" s="1092">
        <v>0</v>
      </c>
      <c r="G273" s="1092">
        <v>0</v>
      </c>
      <c r="H273" s="1092">
        <v>0</v>
      </c>
      <c r="I273" s="1092">
        <v>0</v>
      </c>
      <c r="J273" s="1092">
        <v>0</v>
      </c>
      <c r="K273" s="1092">
        <v>0</v>
      </c>
      <c r="L273" s="1092">
        <v>0</v>
      </c>
      <c r="M273" s="1092">
        <v>0</v>
      </c>
      <c r="N273" s="27">
        <f t="shared" si="39"/>
        <v>0</v>
      </c>
    </row>
    <row r="274" spans="1:14" hidden="1">
      <c r="A274" s="35" t="s">
        <v>47</v>
      </c>
      <c r="B274" s="1092">
        <v>0</v>
      </c>
      <c r="C274" s="1092">
        <v>0</v>
      </c>
      <c r="D274" s="1092">
        <v>0</v>
      </c>
      <c r="E274" s="1092">
        <v>0</v>
      </c>
      <c r="F274" s="1092">
        <v>0</v>
      </c>
      <c r="G274" s="1092">
        <v>0</v>
      </c>
      <c r="H274" s="1092">
        <v>0</v>
      </c>
      <c r="I274" s="1092">
        <v>0</v>
      </c>
      <c r="J274" s="1092">
        <v>0</v>
      </c>
      <c r="K274" s="1092">
        <v>0</v>
      </c>
      <c r="L274" s="1092">
        <v>0</v>
      </c>
      <c r="M274" s="1092">
        <v>0</v>
      </c>
      <c r="N274" s="27">
        <f t="shared" si="39"/>
        <v>0</v>
      </c>
    </row>
    <row r="275" spans="1:14">
      <c r="A275" s="76" t="s">
        <v>30</v>
      </c>
      <c r="B275" s="1092">
        <v>1</v>
      </c>
      <c r="C275" s="1092">
        <v>3</v>
      </c>
      <c r="D275" s="1092">
        <v>0</v>
      </c>
      <c r="E275" s="1092">
        <v>0</v>
      </c>
      <c r="F275" s="1092">
        <v>5</v>
      </c>
      <c r="G275" s="1092">
        <v>0</v>
      </c>
      <c r="H275" s="1092">
        <v>0</v>
      </c>
      <c r="I275" s="1092">
        <v>0</v>
      </c>
      <c r="J275" s="1092">
        <v>0</v>
      </c>
      <c r="K275" s="1092">
        <v>0</v>
      </c>
      <c r="L275" s="1092">
        <v>0</v>
      </c>
      <c r="M275" s="1092">
        <v>0</v>
      </c>
      <c r="N275" s="27">
        <f t="shared" si="39"/>
        <v>9</v>
      </c>
    </row>
    <row r="276" spans="1:14" hidden="1">
      <c r="A276" s="76" t="s">
        <v>150</v>
      </c>
      <c r="B276" s="1092"/>
      <c r="C276" s="1092"/>
      <c r="D276" s="1092"/>
      <c r="E276" s="1092"/>
      <c r="F276" s="1092"/>
      <c r="G276" s="1092"/>
      <c r="H276" s="1092"/>
      <c r="I276" s="1092"/>
      <c r="J276" s="1092"/>
      <c r="K276" s="1092"/>
      <c r="L276" s="1092"/>
      <c r="M276" s="1092"/>
      <c r="N276" s="27">
        <f t="shared" si="39"/>
        <v>0</v>
      </c>
    </row>
    <row r="277" spans="1:14">
      <c r="A277" s="32" t="s">
        <v>56</v>
      </c>
      <c r="B277" s="1092">
        <v>0</v>
      </c>
      <c r="C277" s="1092">
        <v>372</v>
      </c>
      <c r="D277" s="1092">
        <v>0</v>
      </c>
      <c r="E277" s="1092">
        <v>0</v>
      </c>
      <c r="F277" s="1092">
        <v>0</v>
      </c>
      <c r="G277" s="1092">
        <v>0</v>
      </c>
      <c r="H277" s="1092">
        <v>0</v>
      </c>
      <c r="I277" s="1092">
        <v>0</v>
      </c>
      <c r="J277" s="1092">
        <v>0</v>
      </c>
      <c r="K277" s="1092">
        <v>0</v>
      </c>
      <c r="L277" s="1092">
        <v>0</v>
      </c>
      <c r="M277" s="1092">
        <v>0</v>
      </c>
      <c r="N277" s="27">
        <f t="shared" si="39"/>
        <v>372</v>
      </c>
    </row>
    <row r="278" spans="1:14">
      <c r="A278" s="78" t="s">
        <v>122</v>
      </c>
      <c r="B278" s="1092">
        <v>0</v>
      </c>
      <c r="C278" s="1092">
        <v>0</v>
      </c>
      <c r="D278" s="1092">
        <v>0</v>
      </c>
      <c r="E278" s="1092">
        <v>0</v>
      </c>
      <c r="F278" s="1092">
        <v>0</v>
      </c>
      <c r="G278" s="1092">
        <v>0</v>
      </c>
      <c r="H278" s="1092">
        <v>0</v>
      </c>
      <c r="I278" s="1092">
        <v>0</v>
      </c>
      <c r="J278" s="1092">
        <v>0</v>
      </c>
      <c r="K278" s="1092">
        <v>0</v>
      </c>
      <c r="L278" s="1092">
        <v>0</v>
      </c>
      <c r="M278" s="1092">
        <v>0</v>
      </c>
      <c r="N278" s="27">
        <f t="shared" si="39"/>
        <v>0</v>
      </c>
    </row>
    <row r="279" spans="1:14" hidden="1">
      <c r="A279" s="32" t="s">
        <v>102</v>
      </c>
      <c r="B279" s="278">
        <v>0</v>
      </c>
      <c r="C279" s="278">
        <v>0</v>
      </c>
      <c r="D279" s="278">
        <v>0</v>
      </c>
      <c r="E279" s="278">
        <v>0</v>
      </c>
      <c r="F279" s="278">
        <v>0</v>
      </c>
      <c r="G279" s="278">
        <v>0</v>
      </c>
      <c r="H279" s="278">
        <v>0</v>
      </c>
      <c r="I279" s="278">
        <v>0</v>
      </c>
      <c r="J279" s="278">
        <v>0</v>
      </c>
      <c r="K279" s="278">
        <v>0</v>
      </c>
      <c r="L279" s="278">
        <v>0</v>
      </c>
      <c r="M279" s="278">
        <v>0</v>
      </c>
      <c r="N279" s="27">
        <f t="shared" si="39"/>
        <v>0</v>
      </c>
    </row>
    <row r="280" spans="1:14">
      <c r="A280" s="78" t="s">
        <v>184</v>
      </c>
      <c r="B280" s="1092">
        <v>0</v>
      </c>
      <c r="C280" s="1092">
        <v>0</v>
      </c>
      <c r="D280" s="1092">
        <v>0</v>
      </c>
      <c r="E280" s="1092">
        <v>0</v>
      </c>
      <c r="F280" s="1092">
        <v>0</v>
      </c>
      <c r="G280" s="1092">
        <v>0</v>
      </c>
      <c r="H280" s="1092">
        <v>0</v>
      </c>
      <c r="I280" s="1092">
        <v>0</v>
      </c>
      <c r="J280" s="1092">
        <v>0</v>
      </c>
      <c r="K280" s="1092">
        <v>0</v>
      </c>
      <c r="L280" s="1092">
        <v>0</v>
      </c>
      <c r="M280" s="1092">
        <v>0</v>
      </c>
      <c r="N280" s="27">
        <f t="shared" si="39"/>
        <v>0</v>
      </c>
    </row>
    <row r="281" spans="1:14">
      <c r="A281" s="78" t="s">
        <v>187</v>
      </c>
      <c r="B281" s="1092">
        <v>0</v>
      </c>
      <c r="C281" s="1092">
        <v>0</v>
      </c>
      <c r="D281" s="1092">
        <v>0</v>
      </c>
      <c r="E281" s="1092">
        <v>0</v>
      </c>
      <c r="F281" s="1092">
        <v>0</v>
      </c>
      <c r="G281" s="1092">
        <v>0</v>
      </c>
      <c r="H281" s="1092">
        <v>0</v>
      </c>
      <c r="I281" s="1092">
        <v>0</v>
      </c>
      <c r="J281" s="1092">
        <v>0</v>
      </c>
      <c r="K281" s="1092">
        <v>0</v>
      </c>
      <c r="L281" s="1092">
        <v>0</v>
      </c>
      <c r="M281" s="1092">
        <v>0</v>
      </c>
      <c r="N281" s="27">
        <f t="shared" si="39"/>
        <v>0</v>
      </c>
    </row>
    <row r="282" spans="1:14">
      <c r="A282" s="78" t="s">
        <v>188</v>
      </c>
      <c r="B282" s="1092">
        <v>0</v>
      </c>
      <c r="C282" s="1092">
        <v>0</v>
      </c>
      <c r="D282" s="1092">
        <v>0</v>
      </c>
      <c r="E282" s="1092">
        <v>0</v>
      </c>
      <c r="F282" s="1092">
        <v>0</v>
      </c>
      <c r="G282" s="1092">
        <v>0</v>
      </c>
      <c r="H282" s="1092">
        <v>0</v>
      </c>
      <c r="I282" s="1092">
        <v>0</v>
      </c>
      <c r="J282" s="1092">
        <v>0</v>
      </c>
      <c r="K282" s="1092">
        <v>0</v>
      </c>
      <c r="L282" s="1092">
        <v>0</v>
      </c>
      <c r="M282" s="1092">
        <v>0</v>
      </c>
      <c r="N282" s="27">
        <f t="shared" si="39"/>
        <v>0</v>
      </c>
    </row>
    <row r="283" spans="1:14" ht="14" thickBot="1">
      <c r="A283" s="78" t="s">
        <v>213</v>
      </c>
      <c r="B283" s="1092">
        <v>22</v>
      </c>
      <c r="C283" s="1092">
        <v>0</v>
      </c>
      <c r="D283" s="1092">
        <v>0</v>
      </c>
      <c r="E283" s="1092">
        <v>0</v>
      </c>
      <c r="F283" s="1092">
        <v>0</v>
      </c>
      <c r="G283" s="1092">
        <v>0</v>
      </c>
      <c r="H283" s="1092">
        <v>0</v>
      </c>
      <c r="I283" s="1092">
        <v>0</v>
      </c>
      <c r="J283" s="1092">
        <v>0</v>
      </c>
      <c r="K283" s="1092">
        <v>0</v>
      </c>
      <c r="L283" s="1092">
        <v>0</v>
      </c>
      <c r="M283" s="1092">
        <v>0</v>
      </c>
      <c r="N283" s="27">
        <f t="shared" si="39"/>
        <v>22</v>
      </c>
    </row>
    <row r="284" spans="1:14" ht="14" thickBot="1">
      <c r="A284" s="38" t="s">
        <v>192</v>
      </c>
      <c r="B284" s="39"/>
      <c r="C284" s="39"/>
      <c r="D284" s="39"/>
      <c r="E284" s="39"/>
      <c r="F284" s="39"/>
      <c r="G284" s="39"/>
      <c r="H284" s="39"/>
      <c r="I284" s="39"/>
      <c r="J284" s="39"/>
      <c r="K284" s="39"/>
      <c r="L284" s="39"/>
      <c r="M284" s="39"/>
      <c r="N284" s="40"/>
    </row>
    <row r="285" spans="1:14" hidden="1">
      <c r="A285" s="78" t="s">
        <v>167</v>
      </c>
      <c r="B285" s="168"/>
      <c r="C285" s="168"/>
      <c r="D285" s="168"/>
      <c r="E285" s="168"/>
      <c r="F285" s="168"/>
      <c r="G285" s="168"/>
      <c r="H285" s="168"/>
      <c r="I285" s="168"/>
      <c r="J285" s="168"/>
      <c r="K285" s="168"/>
      <c r="L285" s="168"/>
      <c r="M285" s="168"/>
      <c r="N285" s="27"/>
    </row>
    <row r="286" spans="1:14" ht="14" thickBot="1">
      <c r="A286" s="32" t="s">
        <v>165</v>
      </c>
      <c r="B286" s="1092">
        <v>0</v>
      </c>
      <c r="C286" s="1092">
        <v>0</v>
      </c>
      <c r="D286" s="1092">
        <v>0</v>
      </c>
      <c r="E286" s="1092">
        <v>0</v>
      </c>
      <c r="F286" s="1092">
        <v>0</v>
      </c>
      <c r="G286" s="1092">
        <v>0</v>
      </c>
      <c r="H286" s="1092">
        <v>0</v>
      </c>
      <c r="I286" s="1092">
        <v>0</v>
      </c>
      <c r="J286" s="1092">
        <v>0</v>
      </c>
      <c r="K286" s="1092">
        <v>0</v>
      </c>
      <c r="L286" s="1092">
        <v>0</v>
      </c>
      <c r="M286" s="1092">
        <v>0</v>
      </c>
      <c r="N286" s="27">
        <f>SUM(B286:M286)</f>
        <v>0</v>
      </c>
    </row>
    <row r="287" spans="1:14" ht="14" thickBot="1">
      <c r="A287" s="53" t="s">
        <v>60</v>
      </c>
      <c r="B287" s="55">
        <f>SUM(B270:B286)</f>
        <v>23</v>
      </c>
      <c r="C287" s="55">
        <f t="shared" ref="C287:M287" si="40">SUM(C270:C286)</f>
        <v>377</v>
      </c>
      <c r="D287" s="55">
        <f t="shared" si="40"/>
        <v>0</v>
      </c>
      <c r="E287" s="55">
        <f t="shared" si="40"/>
        <v>0</v>
      </c>
      <c r="F287" s="55">
        <f t="shared" si="40"/>
        <v>5</v>
      </c>
      <c r="G287" s="55">
        <f t="shared" si="40"/>
        <v>0</v>
      </c>
      <c r="H287" s="55">
        <f t="shared" si="40"/>
        <v>0</v>
      </c>
      <c r="I287" s="55">
        <f t="shared" si="40"/>
        <v>0</v>
      </c>
      <c r="J287" s="55">
        <f t="shared" si="40"/>
        <v>0</v>
      </c>
      <c r="K287" s="55">
        <f t="shared" si="40"/>
        <v>0</v>
      </c>
      <c r="L287" s="55">
        <f t="shared" si="40"/>
        <v>0</v>
      </c>
      <c r="M287" s="55">
        <f t="shared" si="40"/>
        <v>0</v>
      </c>
      <c r="N287" s="54">
        <f>SUM(N270:N286)</f>
        <v>405</v>
      </c>
    </row>
    <row r="289" spans="1:14" ht="14" thickBot="1">
      <c r="B289" s="43" t="s">
        <v>35</v>
      </c>
      <c r="C289" s="43" t="s">
        <v>36</v>
      </c>
      <c r="D289" s="43" t="s">
        <v>37</v>
      </c>
      <c r="E289" s="43" t="s">
        <v>38</v>
      </c>
      <c r="F289" s="43" t="s">
        <v>39</v>
      </c>
      <c r="G289" s="43" t="s">
        <v>40</v>
      </c>
      <c r="H289" s="43" t="s">
        <v>41</v>
      </c>
      <c r="I289" s="43" t="s">
        <v>42</v>
      </c>
      <c r="J289" s="43" t="s">
        <v>43</v>
      </c>
      <c r="K289" s="43" t="s">
        <v>44</v>
      </c>
      <c r="L289" s="43" t="s">
        <v>45</v>
      </c>
      <c r="M289" s="43" t="s">
        <v>46</v>
      </c>
      <c r="N289" s="43" t="s">
        <v>10</v>
      </c>
    </row>
    <row r="290" spans="1:14" ht="17" thickBot="1">
      <c r="A290" s="31" t="s">
        <v>263</v>
      </c>
      <c r="B290" s="24"/>
      <c r="C290" s="24"/>
      <c r="D290" s="22"/>
      <c r="E290" s="22"/>
      <c r="F290" s="25"/>
      <c r="G290" s="25"/>
      <c r="H290" s="22"/>
      <c r="I290" s="22"/>
      <c r="J290" s="22"/>
      <c r="K290" s="22"/>
      <c r="L290" s="24"/>
      <c r="M290" s="24"/>
      <c r="N290" s="26"/>
    </row>
    <row r="291" spans="1:14" ht="14" thickBot="1">
      <c r="A291" s="38" t="s">
        <v>189</v>
      </c>
      <c r="B291" s="39"/>
      <c r="C291" s="39"/>
      <c r="D291" s="39"/>
      <c r="E291" s="39"/>
      <c r="F291" s="39"/>
      <c r="G291" s="39"/>
      <c r="H291" s="39"/>
      <c r="I291" s="39"/>
      <c r="J291" s="39"/>
      <c r="K291" s="39"/>
      <c r="L291" s="39"/>
      <c r="M291" s="39"/>
      <c r="N291" s="40"/>
    </row>
    <row r="292" spans="1:14">
      <c r="A292" s="32" t="s">
        <v>29</v>
      </c>
      <c r="B292" s="1099">
        <v>33</v>
      </c>
      <c r="C292" s="1100">
        <v>45</v>
      </c>
      <c r="D292" s="1100">
        <v>75</v>
      </c>
      <c r="E292" s="1100">
        <v>61</v>
      </c>
      <c r="F292" s="1100">
        <v>11</v>
      </c>
      <c r="G292" s="1100">
        <v>21</v>
      </c>
      <c r="H292" s="1100">
        <v>46</v>
      </c>
      <c r="I292" s="1100">
        <v>6</v>
      </c>
      <c r="J292" s="1100">
        <v>20</v>
      </c>
      <c r="K292" s="1100">
        <v>0</v>
      </c>
      <c r="L292" s="1100">
        <v>11</v>
      </c>
      <c r="M292" s="1100">
        <v>2</v>
      </c>
      <c r="N292" s="283">
        <f>SUM(B292:M292)</f>
        <v>331</v>
      </c>
    </row>
    <row r="293" spans="1:14">
      <c r="A293" s="32" t="s">
        <v>33</v>
      </c>
      <c r="B293" s="1102">
        <v>6</v>
      </c>
      <c r="C293" s="1092">
        <v>8</v>
      </c>
      <c r="D293" s="1092">
        <v>10</v>
      </c>
      <c r="E293" s="1092">
        <v>16</v>
      </c>
      <c r="F293" s="1092">
        <v>3</v>
      </c>
      <c r="G293" s="1092">
        <v>4</v>
      </c>
      <c r="H293" s="1092">
        <v>4</v>
      </c>
      <c r="I293" s="1092">
        <v>8</v>
      </c>
      <c r="J293" s="1092">
        <v>17</v>
      </c>
      <c r="K293" s="1092">
        <v>6</v>
      </c>
      <c r="L293" s="1092">
        <v>13</v>
      </c>
      <c r="M293" s="1092">
        <v>12</v>
      </c>
      <c r="N293" s="27">
        <f t="shared" ref="N293:N302" si="41">SUM(B293:M293)</f>
        <v>107</v>
      </c>
    </row>
    <row r="294" spans="1:14">
      <c r="A294" s="32" t="s">
        <v>56</v>
      </c>
      <c r="B294" s="1102">
        <v>0</v>
      </c>
      <c r="C294" s="1092">
        <v>18</v>
      </c>
      <c r="D294" s="1092">
        <v>34</v>
      </c>
      <c r="E294" s="1092">
        <v>0</v>
      </c>
      <c r="F294" s="1092">
        <v>0</v>
      </c>
      <c r="G294" s="1092">
        <v>0</v>
      </c>
      <c r="H294" s="1092">
        <v>0</v>
      </c>
      <c r="I294" s="1092">
        <v>0</v>
      </c>
      <c r="J294" s="1092">
        <v>0</v>
      </c>
      <c r="K294" s="1092">
        <v>0</v>
      </c>
      <c r="L294" s="1092">
        <v>0</v>
      </c>
      <c r="M294" s="1092">
        <v>0</v>
      </c>
      <c r="N294" s="27">
        <f t="shared" si="41"/>
        <v>52</v>
      </c>
    </row>
    <row r="295" spans="1:14">
      <c r="A295" s="78" t="s">
        <v>30</v>
      </c>
      <c r="B295" s="1102">
        <v>0</v>
      </c>
      <c r="C295" s="1092">
        <v>2</v>
      </c>
      <c r="D295" s="1092">
        <v>0</v>
      </c>
      <c r="E295" s="1092">
        <v>3</v>
      </c>
      <c r="F295" s="1092">
        <v>1</v>
      </c>
      <c r="G295" s="1092">
        <v>2</v>
      </c>
      <c r="H295" s="1092">
        <v>3</v>
      </c>
      <c r="I295" s="1092">
        <v>0</v>
      </c>
      <c r="J295" s="1092">
        <v>5</v>
      </c>
      <c r="K295" s="1092">
        <v>0</v>
      </c>
      <c r="L295" s="1092">
        <v>9</v>
      </c>
      <c r="M295" s="1092">
        <v>5</v>
      </c>
      <c r="N295" s="27">
        <f t="shared" si="41"/>
        <v>30</v>
      </c>
    </row>
    <row r="296" spans="1:14">
      <c r="A296" s="76" t="s">
        <v>213</v>
      </c>
      <c r="B296" s="1102">
        <v>0</v>
      </c>
      <c r="C296" s="1092">
        <v>0</v>
      </c>
      <c r="D296" s="1092">
        <v>3</v>
      </c>
      <c r="E296" s="1092">
        <v>0</v>
      </c>
      <c r="F296" s="1092">
        <v>1</v>
      </c>
      <c r="G296" s="1092">
        <v>9</v>
      </c>
      <c r="H296" s="1092">
        <v>29</v>
      </c>
      <c r="I296" s="1092">
        <v>13</v>
      </c>
      <c r="J296" s="1092">
        <v>16</v>
      </c>
      <c r="K296" s="1092">
        <v>4</v>
      </c>
      <c r="L296" s="1092">
        <v>1</v>
      </c>
      <c r="M296" s="1092">
        <v>0</v>
      </c>
      <c r="N296" s="27">
        <f t="shared" si="41"/>
        <v>76</v>
      </c>
    </row>
    <row r="297" spans="1:14">
      <c r="A297" s="76" t="s">
        <v>212</v>
      </c>
      <c r="B297" s="1102">
        <v>0</v>
      </c>
      <c r="C297" s="1092">
        <v>8</v>
      </c>
      <c r="D297" s="1092">
        <v>14</v>
      </c>
      <c r="E297" s="1092">
        <v>12</v>
      </c>
      <c r="F297" s="1092">
        <v>3</v>
      </c>
      <c r="G297" s="1092">
        <v>0</v>
      </c>
      <c r="H297" s="1092">
        <v>3</v>
      </c>
      <c r="I297" s="1092">
        <v>4</v>
      </c>
      <c r="J297" s="1092">
        <v>13</v>
      </c>
      <c r="K297" s="1092">
        <v>5</v>
      </c>
      <c r="L297" s="1092">
        <v>7</v>
      </c>
      <c r="M297" s="1092">
        <v>0</v>
      </c>
      <c r="N297" s="27">
        <f t="shared" si="41"/>
        <v>69</v>
      </c>
    </row>
    <row r="298" spans="1:14" ht="14" thickBot="1">
      <c r="A298" s="76" t="s">
        <v>267</v>
      </c>
      <c r="B298" s="1092">
        <v>0</v>
      </c>
      <c r="C298" s="1092">
        <v>0</v>
      </c>
      <c r="D298" s="1092">
        <v>0</v>
      </c>
      <c r="E298" s="1092">
        <v>0</v>
      </c>
      <c r="F298" s="1092">
        <v>0</v>
      </c>
      <c r="G298" s="1092">
        <v>0</v>
      </c>
      <c r="H298" s="1092">
        <v>0</v>
      </c>
      <c r="I298" s="1092">
        <v>0</v>
      </c>
      <c r="J298" s="1092">
        <v>0</v>
      </c>
      <c r="K298" s="1092">
        <v>0</v>
      </c>
      <c r="L298" s="1092">
        <v>0</v>
      </c>
      <c r="M298" s="1092">
        <v>0</v>
      </c>
      <c r="N298" s="27">
        <f t="shared" si="41"/>
        <v>0</v>
      </c>
    </row>
    <row r="299" spans="1:14" ht="14" thickBot="1">
      <c r="A299" s="38" t="s">
        <v>190</v>
      </c>
      <c r="B299" s="281"/>
      <c r="C299" s="39"/>
      <c r="D299" s="39"/>
      <c r="E299" s="39"/>
      <c r="F299" s="39"/>
      <c r="G299" s="39"/>
      <c r="H299" s="39"/>
      <c r="I299" s="39"/>
      <c r="J299" s="39"/>
      <c r="K299" s="39"/>
      <c r="L299" s="39"/>
      <c r="M299" s="39"/>
      <c r="N299" s="280"/>
    </row>
    <row r="300" spans="1:14">
      <c r="A300" s="85" t="s">
        <v>165</v>
      </c>
      <c r="B300" s="1100">
        <v>0</v>
      </c>
      <c r="C300" s="1100">
        <v>0</v>
      </c>
      <c r="D300" s="1100">
        <v>0</v>
      </c>
      <c r="E300" s="1100">
        <v>0</v>
      </c>
      <c r="F300" s="1100">
        <v>0</v>
      </c>
      <c r="G300" s="1100">
        <v>0</v>
      </c>
      <c r="H300" s="1100">
        <v>0</v>
      </c>
      <c r="I300" s="1100">
        <v>0</v>
      </c>
      <c r="J300" s="1100">
        <v>0</v>
      </c>
      <c r="K300" s="1100">
        <v>0</v>
      </c>
      <c r="L300" s="1100">
        <v>0</v>
      </c>
      <c r="M300" s="1100">
        <v>295</v>
      </c>
      <c r="N300" s="283">
        <f t="shared" si="41"/>
        <v>295</v>
      </c>
    </row>
    <row r="301" spans="1:14">
      <c r="A301" s="76" t="s">
        <v>166</v>
      </c>
      <c r="B301" s="1092">
        <v>3</v>
      </c>
      <c r="C301" s="1092">
        <v>0</v>
      </c>
      <c r="D301" s="1092">
        <v>0</v>
      </c>
      <c r="E301" s="1092">
        <v>3</v>
      </c>
      <c r="F301" s="1092">
        <v>1</v>
      </c>
      <c r="G301" s="1092">
        <v>2</v>
      </c>
      <c r="H301" s="1092">
        <v>0</v>
      </c>
      <c r="I301" s="1092">
        <v>1</v>
      </c>
      <c r="J301" s="1092">
        <v>1</v>
      </c>
      <c r="K301" s="1092">
        <v>0</v>
      </c>
      <c r="L301" s="1092">
        <v>1</v>
      </c>
      <c r="M301" s="1092">
        <v>0</v>
      </c>
      <c r="N301" s="27">
        <f t="shared" si="41"/>
        <v>12</v>
      </c>
    </row>
    <row r="302" spans="1:14">
      <c r="A302" s="76" t="s">
        <v>193</v>
      </c>
      <c r="B302" s="1092">
        <v>0</v>
      </c>
      <c r="C302" s="1092">
        <v>0</v>
      </c>
      <c r="D302" s="1092">
        <v>0</v>
      </c>
      <c r="E302" s="1092">
        <v>0</v>
      </c>
      <c r="F302" s="1092">
        <v>0</v>
      </c>
      <c r="G302" s="1092">
        <v>0</v>
      </c>
      <c r="H302" s="1092">
        <v>0</v>
      </c>
      <c r="I302" s="1092">
        <v>0</v>
      </c>
      <c r="J302" s="1092">
        <v>0</v>
      </c>
      <c r="K302" s="1092">
        <v>0</v>
      </c>
      <c r="L302" s="1092">
        <v>0</v>
      </c>
      <c r="M302" s="1092">
        <v>0</v>
      </c>
      <c r="N302" s="27">
        <f t="shared" si="41"/>
        <v>0</v>
      </c>
    </row>
    <row r="303" spans="1:14" ht="14" thickBot="1">
      <c r="A303" s="104" t="s">
        <v>266</v>
      </c>
      <c r="B303" s="1092">
        <v>0</v>
      </c>
      <c r="C303" s="1092">
        <v>0</v>
      </c>
      <c r="D303" s="1092">
        <v>0</v>
      </c>
      <c r="E303" s="1092">
        <v>0</v>
      </c>
      <c r="F303" s="1092">
        <v>0</v>
      </c>
      <c r="G303" s="1092">
        <v>0</v>
      </c>
      <c r="H303" s="1092">
        <v>0</v>
      </c>
      <c r="I303" s="1092">
        <v>0</v>
      </c>
      <c r="J303" s="1092">
        <v>0</v>
      </c>
      <c r="K303" s="1092">
        <v>0</v>
      </c>
      <c r="L303" s="1092">
        <v>0</v>
      </c>
      <c r="M303" s="1092">
        <v>10</v>
      </c>
      <c r="N303" s="284">
        <f>SUM(B303:M303)</f>
        <v>10</v>
      </c>
    </row>
    <row r="304" spans="1:14" ht="14" thickBot="1">
      <c r="A304" s="53" t="s">
        <v>60</v>
      </c>
      <c r="B304" s="282">
        <f t="shared" ref="B304:L304" si="42">SUM(B292:B303)</f>
        <v>42</v>
      </c>
      <c r="C304" s="55">
        <f t="shared" si="42"/>
        <v>81</v>
      </c>
      <c r="D304" s="55">
        <f t="shared" si="42"/>
        <v>136</v>
      </c>
      <c r="E304" s="55">
        <f t="shared" si="42"/>
        <v>95</v>
      </c>
      <c r="F304" s="55">
        <f t="shared" si="42"/>
        <v>20</v>
      </c>
      <c r="G304" s="55">
        <f t="shared" si="42"/>
        <v>38</v>
      </c>
      <c r="H304" s="55">
        <f t="shared" si="42"/>
        <v>85</v>
      </c>
      <c r="I304" s="55">
        <f t="shared" si="42"/>
        <v>32</v>
      </c>
      <c r="J304" s="55">
        <f t="shared" si="42"/>
        <v>72</v>
      </c>
      <c r="K304" s="55">
        <f t="shared" si="42"/>
        <v>15</v>
      </c>
      <c r="L304" s="55">
        <f t="shared" si="42"/>
        <v>42</v>
      </c>
      <c r="M304" s="331">
        <f>SUM(M292:M303)</f>
        <v>324</v>
      </c>
      <c r="N304" s="284">
        <f>SUM(N292:N303)</f>
        <v>982</v>
      </c>
    </row>
    <row r="305" spans="1:14" ht="14" thickBot="1">
      <c r="A305" s="53"/>
      <c r="B305" s="55"/>
      <c r="C305" s="55"/>
      <c r="D305" s="55"/>
      <c r="E305" s="55"/>
      <c r="F305" s="55"/>
      <c r="G305" s="55"/>
      <c r="H305" s="55"/>
      <c r="I305" s="55"/>
      <c r="J305" s="55"/>
      <c r="K305" s="55"/>
      <c r="L305" s="55"/>
      <c r="M305" s="55"/>
      <c r="N305" s="54"/>
    </row>
    <row r="306" spans="1:14" ht="14" thickBot="1">
      <c r="A306" s="38" t="s">
        <v>194</v>
      </c>
      <c r="B306" s="39"/>
      <c r="C306" s="39"/>
      <c r="D306" s="39"/>
      <c r="E306" s="39"/>
      <c r="F306" s="39"/>
      <c r="G306" s="39"/>
      <c r="H306" s="39"/>
      <c r="I306" s="39"/>
      <c r="J306" s="39"/>
      <c r="K306" s="39"/>
      <c r="L306" s="39"/>
      <c r="M306" s="39"/>
      <c r="N306" s="40"/>
    </row>
    <row r="307" spans="1:14">
      <c r="A307" s="32" t="s">
        <v>29</v>
      </c>
      <c r="B307" s="1092">
        <v>0</v>
      </c>
      <c r="C307" s="1092">
        <v>0</v>
      </c>
      <c r="D307" s="1092">
        <v>0</v>
      </c>
      <c r="E307" s="1092">
        <v>14</v>
      </c>
      <c r="F307" s="1092">
        <v>0</v>
      </c>
      <c r="G307" s="1092">
        <v>0</v>
      </c>
      <c r="H307" s="1092">
        <v>0</v>
      </c>
      <c r="I307" s="1092">
        <v>0</v>
      </c>
      <c r="J307" s="1092">
        <v>0</v>
      </c>
      <c r="K307" s="1092">
        <v>0</v>
      </c>
      <c r="L307" s="1092">
        <v>0</v>
      </c>
      <c r="M307" s="1092">
        <v>0</v>
      </c>
      <c r="N307" s="27">
        <f>SUM(B307:M307)</f>
        <v>14</v>
      </c>
    </row>
    <row r="308" spans="1:14">
      <c r="A308" s="78" t="s">
        <v>264</v>
      </c>
      <c r="B308" s="1092">
        <v>0</v>
      </c>
      <c r="C308" s="1092">
        <v>0</v>
      </c>
      <c r="D308" s="1092">
        <v>0</v>
      </c>
      <c r="E308" s="1092">
        <v>0</v>
      </c>
      <c r="F308" s="1092">
        <v>0</v>
      </c>
      <c r="G308" s="1092">
        <v>0</v>
      </c>
      <c r="H308" s="1092">
        <v>0</v>
      </c>
      <c r="I308" s="1092">
        <v>0</v>
      </c>
      <c r="J308" s="1092">
        <v>0</v>
      </c>
      <c r="K308" s="1092">
        <v>0</v>
      </c>
      <c r="L308" s="1092">
        <v>0</v>
      </c>
      <c r="M308" s="1092">
        <v>0</v>
      </c>
      <c r="N308" s="27">
        <f t="shared" ref="N308:N317" si="43">SUM(B308:M308)</f>
        <v>0</v>
      </c>
    </row>
    <row r="309" spans="1:14">
      <c r="A309" s="34" t="s">
        <v>204</v>
      </c>
      <c r="B309" s="1092">
        <v>0</v>
      </c>
      <c r="C309" s="1092">
        <v>0</v>
      </c>
      <c r="D309" s="1092">
        <v>0</v>
      </c>
      <c r="E309" s="1092">
        <v>0</v>
      </c>
      <c r="F309" s="1092">
        <v>0</v>
      </c>
      <c r="G309" s="1092">
        <v>0</v>
      </c>
      <c r="H309" s="1092">
        <v>0</v>
      </c>
      <c r="I309" s="1092">
        <v>0</v>
      </c>
      <c r="J309" s="1092">
        <v>0</v>
      </c>
      <c r="K309" s="1092">
        <v>0</v>
      </c>
      <c r="L309" s="1092">
        <v>0</v>
      </c>
      <c r="M309" s="1092">
        <v>0</v>
      </c>
      <c r="N309" s="27">
        <f t="shared" si="43"/>
        <v>0</v>
      </c>
    </row>
    <row r="310" spans="1:14">
      <c r="A310" s="76" t="s">
        <v>30</v>
      </c>
      <c r="B310" s="1092">
        <v>3</v>
      </c>
      <c r="C310" s="1092">
        <v>0</v>
      </c>
      <c r="D310" s="1092">
        <v>0</v>
      </c>
      <c r="E310" s="1092">
        <v>0</v>
      </c>
      <c r="F310" s="1092">
        <v>0</v>
      </c>
      <c r="G310" s="1092">
        <v>0</v>
      </c>
      <c r="H310" s="1092">
        <v>16</v>
      </c>
      <c r="I310" s="1092">
        <v>3</v>
      </c>
      <c r="J310" s="1092">
        <v>0</v>
      </c>
      <c r="K310" s="1092">
        <v>0</v>
      </c>
      <c r="L310" s="1092">
        <v>0</v>
      </c>
      <c r="M310" s="1092">
        <v>16</v>
      </c>
      <c r="N310" s="27">
        <f t="shared" si="43"/>
        <v>38</v>
      </c>
    </row>
    <row r="311" spans="1:14">
      <c r="A311" s="32" t="s">
        <v>56</v>
      </c>
      <c r="B311" s="1092">
        <v>0</v>
      </c>
      <c r="C311" s="1092">
        <v>0</v>
      </c>
      <c r="D311" s="1092">
        <v>0</v>
      </c>
      <c r="E311" s="1092">
        <v>0</v>
      </c>
      <c r="F311" s="1092">
        <v>0</v>
      </c>
      <c r="G311" s="1092">
        <v>0</v>
      </c>
      <c r="H311" s="1092">
        <v>0</v>
      </c>
      <c r="I311" s="1092">
        <v>800</v>
      </c>
      <c r="J311" s="1092">
        <v>0</v>
      </c>
      <c r="K311" s="1092">
        <v>0</v>
      </c>
      <c r="L311" s="1092">
        <v>0</v>
      </c>
      <c r="M311" s="1092">
        <v>0</v>
      </c>
      <c r="N311" s="27">
        <f t="shared" si="43"/>
        <v>800</v>
      </c>
    </row>
    <row r="312" spans="1:14">
      <c r="A312" s="78" t="s">
        <v>122</v>
      </c>
      <c r="B312" s="1092">
        <v>0</v>
      </c>
      <c r="C312" s="1092">
        <v>0</v>
      </c>
      <c r="D312" s="1092">
        <v>0</v>
      </c>
      <c r="E312" s="1092">
        <v>0</v>
      </c>
      <c r="F312" s="1092">
        <v>0</v>
      </c>
      <c r="G312" s="1092">
        <v>0</v>
      </c>
      <c r="H312" s="1092">
        <v>0</v>
      </c>
      <c r="I312" s="1092">
        <v>0</v>
      </c>
      <c r="J312" s="1092">
        <v>0</v>
      </c>
      <c r="K312" s="1092">
        <v>0</v>
      </c>
      <c r="L312" s="1092">
        <v>0</v>
      </c>
      <c r="M312" s="1092">
        <v>0</v>
      </c>
      <c r="N312" s="27">
        <f t="shared" si="43"/>
        <v>0</v>
      </c>
    </row>
    <row r="313" spans="1:14">
      <c r="A313" s="78" t="s">
        <v>184</v>
      </c>
      <c r="B313" s="1092">
        <v>0</v>
      </c>
      <c r="C313" s="1092">
        <v>0</v>
      </c>
      <c r="D313" s="1092">
        <v>0</v>
      </c>
      <c r="E313" s="1092">
        <v>0</v>
      </c>
      <c r="F313" s="1092">
        <v>0</v>
      </c>
      <c r="G313" s="1092">
        <v>0</v>
      </c>
      <c r="H313" s="1092">
        <v>0</v>
      </c>
      <c r="I313" s="1092">
        <v>0</v>
      </c>
      <c r="J313" s="1092">
        <v>0</v>
      </c>
      <c r="K313" s="1092">
        <v>0</v>
      </c>
      <c r="L313" s="1092">
        <v>0</v>
      </c>
      <c r="M313" s="1092">
        <v>0</v>
      </c>
      <c r="N313" s="27">
        <f t="shared" si="43"/>
        <v>0</v>
      </c>
    </row>
    <row r="314" spans="1:14">
      <c r="A314" s="78" t="s">
        <v>187</v>
      </c>
      <c r="B314" s="1092">
        <v>0</v>
      </c>
      <c r="C314" s="1092">
        <v>0</v>
      </c>
      <c r="D314" s="1092">
        <v>0</v>
      </c>
      <c r="E314" s="1092">
        <v>0</v>
      </c>
      <c r="F314" s="1092">
        <v>0</v>
      </c>
      <c r="G314" s="1092">
        <v>0</v>
      </c>
      <c r="H314" s="1092">
        <v>0</v>
      </c>
      <c r="I314" s="1092">
        <v>0</v>
      </c>
      <c r="J314" s="1092">
        <v>0</v>
      </c>
      <c r="K314" s="1092">
        <v>0</v>
      </c>
      <c r="L314" s="1092">
        <v>0</v>
      </c>
      <c r="M314" s="1092">
        <v>0</v>
      </c>
      <c r="N314" s="27">
        <f t="shared" si="43"/>
        <v>0</v>
      </c>
    </row>
    <row r="315" spans="1:14">
      <c r="A315" s="78" t="s">
        <v>188</v>
      </c>
      <c r="B315" s="1092">
        <v>0</v>
      </c>
      <c r="C315" s="1092">
        <v>0</v>
      </c>
      <c r="D315" s="1092">
        <v>0</v>
      </c>
      <c r="E315" s="1092">
        <v>0</v>
      </c>
      <c r="F315" s="1092">
        <v>0</v>
      </c>
      <c r="G315" s="1092">
        <v>0</v>
      </c>
      <c r="H315" s="1092">
        <v>0</v>
      </c>
      <c r="I315" s="1092">
        <v>0</v>
      </c>
      <c r="J315" s="1092">
        <v>0</v>
      </c>
      <c r="K315" s="1092">
        <v>0</v>
      </c>
      <c r="L315" s="1092">
        <v>0</v>
      </c>
      <c r="M315" s="1092">
        <v>0</v>
      </c>
      <c r="N315" s="27">
        <f t="shared" si="43"/>
        <v>0</v>
      </c>
    </row>
    <row r="316" spans="1:14">
      <c r="A316" s="78" t="s">
        <v>213</v>
      </c>
      <c r="B316" s="1092">
        <v>0</v>
      </c>
      <c r="C316" s="1092">
        <v>11</v>
      </c>
      <c r="D316" s="1092">
        <v>0</v>
      </c>
      <c r="E316" s="1092">
        <v>0</v>
      </c>
      <c r="F316" s="1092">
        <v>0</v>
      </c>
      <c r="G316" s="1092">
        <v>1</v>
      </c>
      <c r="H316" s="1092">
        <v>1</v>
      </c>
      <c r="I316" s="1092">
        <v>0</v>
      </c>
      <c r="J316" s="1092">
        <v>1</v>
      </c>
      <c r="K316" s="1092">
        <v>0</v>
      </c>
      <c r="L316" s="1092">
        <v>0</v>
      </c>
      <c r="M316" s="1092">
        <v>0</v>
      </c>
      <c r="N316" s="27">
        <f t="shared" si="43"/>
        <v>14</v>
      </c>
    </row>
    <row r="317" spans="1:14">
      <c r="A317" s="76" t="s">
        <v>267</v>
      </c>
      <c r="B317" s="1092">
        <v>0</v>
      </c>
      <c r="C317" s="1092">
        <v>0</v>
      </c>
      <c r="D317" s="1092">
        <v>0</v>
      </c>
      <c r="E317" s="1092">
        <v>0</v>
      </c>
      <c r="F317" s="1092">
        <v>0</v>
      </c>
      <c r="G317" s="1092">
        <v>0</v>
      </c>
      <c r="H317" s="1092">
        <v>0</v>
      </c>
      <c r="I317" s="1092">
        <v>0</v>
      </c>
      <c r="J317" s="1092">
        <v>0</v>
      </c>
      <c r="K317" s="1092">
        <v>0</v>
      </c>
      <c r="L317" s="1092">
        <v>0</v>
      </c>
      <c r="M317" s="1092">
        <v>0</v>
      </c>
      <c r="N317" s="27">
        <f t="shared" si="43"/>
        <v>0</v>
      </c>
    </row>
    <row r="318" spans="1:14" ht="14" thickBot="1">
      <c r="A318" s="78" t="s">
        <v>268</v>
      </c>
      <c r="B318" s="1092">
        <v>0</v>
      </c>
      <c r="C318" s="1092">
        <v>0</v>
      </c>
      <c r="D318" s="1092">
        <v>0</v>
      </c>
      <c r="E318" s="1092">
        <v>0</v>
      </c>
      <c r="F318" s="1092">
        <v>0</v>
      </c>
      <c r="G318" s="1092">
        <v>0</v>
      </c>
      <c r="H318" s="1092">
        <v>0</v>
      </c>
      <c r="I318" s="1092">
        <v>0</v>
      </c>
      <c r="J318" s="1092">
        <v>0</v>
      </c>
      <c r="K318" s="1092">
        <v>0</v>
      </c>
      <c r="L318" s="1092">
        <v>0</v>
      </c>
      <c r="M318" s="1092">
        <v>0</v>
      </c>
      <c r="N318" s="27">
        <f>SUM(B318:M318)</f>
        <v>0</v>
      </c>
    </row>
    <row r="319" spans="1:14" ht="14" thickBot="1">
      <c r="A319" s="38" t="s">
        <v>192</v>
      </c>
      <c r="B319" s="281"/>
      <c r="C319" s="39"/>
      <c r="D319" s="39"/>
      <c r="E319" s="39"/>
      <c r="F319" s="39"/>
      <c r="G319" s="39"/>
      <c r="H319" s="39"/>
      <c r="I319" s="39"/>
      <c r="J319" s="39"/>
      <c r="K319" s="39"/>
      <c r="L319" s="39"/>
      <c r="M319" s="39"/>
      <c r="N319" s="280"/>
    </row>
    <row r="320" spans="1:14" ht="14" thickBot="1">
      <c r="A320" s="78" t="s">
        <v>165</v>
      </c>
      <c r="B320" s="1092">
        <v>0</v>
      </c>
      <c r="C320" s="1092">
        <v>0</v>
      </c>
      <c r="D320" s="1092">
        <v>0</v>
      </c>
      <c r="E320" s="1092">
        <v>0</v>
      </c>
      <c r="F320" s="1092">
        <v>0</v>
      </c>
      <c r="G320" s="1092">
        <v>0</v>
      </c>
      <c r="H320" s="1092">
        <v>0</v>
      </c>
      <c r="I320" s="1092">
        <v>0</v>
      </c>
      <c r="J320" s="1092">
        <v>0</v>
      </c>
      <c r="K320" s="1092">
        <v>0</v>
      </c>
      <c r="L320" s="1092">
        <v>0</v>
      </c>
      <c r="M320" s="1092">
        <v>544</v>
      </c>
      <c r="N320" s="27">
        <f>SUM(B320:M320)</f>
        <v>544</v>
      </c>
    </row>
    <row r="321" spans="1:14" ht="14" thickBot="1">
      <c r="A321" s="53" t="s">
        <v>60</v>
      </c>
      <c r="B321" s="55">
        <f t="shared" ref="B321:L321" si="44">SUM(B307:B320)</f>
        <v>3</v>
      </c>
      <c r="C321" s="55">
        <f t="shared" si="44"/>
        <v>11</v>
      </c>
      <c r="D321" s="55">
        <f t="shared" si="44"/>
        <v>0</v>
      </c>
      <c r="E321" s="55">
        <f t="shared" si="44"/>
        <v>14</v>
      </c>
      <c r="F321" s="55">
        <f t="shared" si="44"/>
        <v>0</v>
      </c>
      <c r="G321" s="55">
        <f t="shared" si="44"/>
        <v>1</v>
      </c>
      <c r="H321" s="55">
        <f t="shared" si="44"/>
        <v>17</v>
      </c>
      <c r="I321" s="55">
        <f t="shared" si="44"/>
        <v>803</v>
      </c>
      <c r="J321" s="55">
        <f t="shared" si="44"/>
        <v>1</v>
      </c>
      <c r="K321" s="55">
        <f t="shared" si="44"/>
        <v>0</v>
      </c>
      <c r="L321" s="55">
        <f t="shared" si="44"/>
        <v>0</v>
      </c>
      <c r="M321" s="55">
        <f>SUM(M307:M320)</f>
        <v>560</v>
      </c>
      <c r="N321" s="54">
        <f>SUM(N307:N320)</f>
        <v>1410</v>
      </c>
    </row>
    <row r="323" spans="1:14" ht="14" thickBot="1">
      <c r="B323" s="43" t="s">
        <v>35</v>
      </c>
      <c r="C323" s="43" t="s">
        <v>36</v>
      </c>
      <c r="D323" s="43" t="s">
        <v>37</v>
      </c>
      <c r="E323" s="43" t="s">
        <v>38</v>
      </c>
      <c r="F323" s="43" t="s">
        <v>39</v>
      </c>
      <c r="G323" s="43" t="s">
        <v>40</v>
      </c>
      <c r="H323" s="43" t="s">
        <v>41</v>
      </c>
      <c r="I323" s="43" t="s">
        <v>42</v>
      </c>
      <c r="J323" s="43" t="s">
        <v>43</v>
      </c>
      <c r="K323" s="43" t="s">
        <v>44</v>
      </c>
      <c r="L323" s="43" t="s">
        <v>45</v>
      </c>
      <c r="M323" s="43" t="s">
        <v>46</v>
      </c>
      <c r="N323" s="43" t="s">
        <v>10</v>
      </c>
    </row>
    <row r="324" spans="1:14" ht="17" thickBot="1">
      <c r="A324" s="31" t="s">
        <v>317</v>
      </c>
      <c r="B324" s="24"/>
      <c r="C324" s="24"/>
      <c r="D324" s="22"/>
      <c r="E324" s="22"/>
      <c r="F324" s="25"/>
      <c r="G324" s="25"/>
      <c r="H324" s="22"/>
      <c r="I324" s="22"/>
      <c r="J324" s="22"/>
      <c r="K324" s="22"/>
      <c r="L324" s="24"/>
      <c r="M324" s="24"/>
      <c r="N324" s="26"/>
    </row>
    <row r="325" spans="1:14" ht="14" thickBot="1">
      <c r="A325" s="38" t="s">
        <v>189</v>
      </c>
      <c r="B325" s="39"/>
      <c r="C325" s="39"/>
      <c r="D325" s="39"/>
      <c r="E325" s="39"/>
      <c r="F325" s="39"/>
      <c r="G325" s="39"/>
      <c r="H325" s="39"/>
      <c r="I325" s="39"/>
      <c r="J325" s="39"/>
      <c r="K325" s="39"/>
      <c r="L325" s="39"/>
      <c r="M325" s="39"/>
      <c r="N325" s="40"/>
    </row>
    <row r="326" spans="1:14">
      <c r="A326" s="32" t="s">
        <v>29</v>
      </c>
      <c r="B326" s="1099">
        <v>3</v>
      </c>
      <c r="C326" s="1100">
        <v>2</v>
      </c>
      <c r="D326" s="1100">
        <v>2</v>
      </c>
      <c r="E326" s="1100">
        <v>0</v>
      </c>
      <c r="F326" s="1100">
        <v>5</v>
      </c>
      <c r="G326" s="1100">
        <v>0</v>
      </c>
      <c r="H326" s="1100">
        <v>0</v>
      </c>
      <c r="I326" s="1100">
        <v>2</v>
      </c>
      <c r="J326" s="1100">
        <v>3</v>
      </c>
      <c r="K326" s="1100">
        <v>0</v>
      </c>
      <c r="L326" s="1100">
        <v>1</v>
      </c>
      <c r="M326" s="1100">
        <v>5</v>
      </c>
      <c r="N326" s="283">
        <f>SUM(B326:M326)</f>
        <v>23</v>
      </c>
    </row>
    <row r="327" spans="1:14">
      <c r="A327" s="32" t="s">
        <v>33</v>
      </c>
      <c r="B327" s="1102">
        <v>13</v>
      </c>
      <c r="C327" s="1092">
        <v>5</v>
      </c>
      <c r="D327" s="1092">
        <v>13</v>
      </c>
      <c r="E327" s="1092">
        <v>7</v>
      </c>
      <c r="F327" s="1092">
        <v>7</v>
      </c>
      <c r="G327" s="1092">
        <v>2</v>
      </c>
      <c r="H327" s="1092">
        <v>2</v>
      </c>
      <c r="I327" s="1092">
        <v>16</v>
      </c>
      <c r="J327" s="1092">
        <v>7</v>
      </c>
      <c r="K327" s="1092">
        <v>10</v>
      </c>
      <c r="L327" s="1092">
        <v>14</v>
      </c>
      <c r="M327" s="1092">
        <v>5</v>
      </c>
      <c r="N327" s="27">
        <f t="shared" ref="N327:N333" si="45">SUM(B327:M327)</f>
        <v>101</v>
      </c>
    </row>
    <row r="328" spans="1:14">
      <c r="A328" s="32" t="s">
        <v>56</v>
      </c>
      <c r="B328" s="1102">
        <v>80</v>
      </c>
      <c r="C328" s="1092">
        <v>0</v>
      </c>
      <c r="D328" s="1092">
        <v>0</v>
      </c>
      <c r="E328" s="1092">
        <v>0</v>
      </c>
      <c r="F328" s="1092">
        <v>0</v>
      </c>
      <c r="G328" s="1092">
        <v>0</v>
      </c>
      <c r="H328" s="1092">
        <v>0</v>
      </c>
      <c r="I328" s="1092">
        <v>0</v>
      </c>
      <c r="J328" s="1092">
        <v>0</v>
      </c>
      <c r="K328" s="1092">
        <v>0</v>
      </c>
      <c r="L328" s="1092">
        <v>0</v>
      </c>
      <c r="M328" s="1092">
        <v>0</v>
      </c>
      <c r="N328" s="27">
        <f t="shared" si="45"/>
        <v>80</v>
      </c>
    </row>
    <row r="329" spans="1:14">
      <c r="A329" s="78" t="s">
        <v>30</v>
      </c>
      <c r="B329" s="1102">
        <v>11</v>
      </c>
      <c r="C329" s="1092">
        <v>2</v>
      </c>
      <c r="D329" s="1092">
        <v>16</v>
      </c>
      <c r="E329" s="1092">
        <v>9</v>
      </c>
      <c r="F329" s="1092">
        <v>3</v>
      </c>
      <c r="G329" s="1092">
        <v>1</v>
      </c>
      <c r="H329" s="1092">
        <v>2</v>
      </c>
      <c r="I329" s="1092">
        <v>6</v>
      </c>
      <c r="J329" s="1092">
        <v>0</v>
      </c>
      <c r="K329" s="1092">
        <v>4</v>
      </c>
      <c r="L329" s="1092">
        <v>12</v>
      </c>
      <c r="M329" s="1092">
        <v>5</v>
      </c>
      <c r="N329" s="27">
        <f t="shared" si="45"/>
        <v>71</v>
      </c>
    </row>
    <row r="330" spans="1:14">
      <c r="A330" s="76" t="s">
        <v>213</v>
      </c>
      <c r="B330" s="1102">
        <v>1</v>
      </c>
      <c r="C330" s="1092">
        <v>0</v>
      </c>
      <c r="D330" s="1092">
        <v>1</v>
      </c>
      <c r="E330" s="1092">
        <v>1</v>
      </c>
      <c r="F330" s="1092">
        <v>1</v>
      </c>
      <c r="G330" s="1092">
        <v>2</v>
      </c>
      <c r="H330" s="1092">
        <v>3</v>
      </c>
      <c r="I330" s="1092">
        <v>3</v>
      </c>
      <c r="J330" s="1092">
        <v>0</v>
      </c>
      <c r="K330" s="1092">
        <v>1</v>
      </c>
      <c r="L330" s="1092">
        <v>0</v>
      </c>
      <c r="M330" s="1092">
        <v>0</v>
      </c>
      <c r="N330" s="27">
        <f t="shared" si="45"/>
        <v>13</v>
      </c>
    </row>
    <row r="331" spans="1:14">
      <c r="A331" s="76" t="s">
        <v>212</v>
      </c>
      <c r="B331" s="1102">
        <v>0</v>
      </c>
      <c r="C331" s="1092">
        <v>0</v>
      </c>
      <c r="D331" s="1092">
        <v>0</v>
      </c>
      <c r="E331" s="1092">
        <v>0</v>
      </c>
      <c r="F331" s="1092">
        <v>0</v>
      </c>
      <c r="G331" s="1092">
        <v>0</v>
      </c>
      <c r="H331" s="1092">
        <v>0</v>
      </c>
      <c r="I331" s="1092">
        <v>0</v>
      </c>
      <c r="J331" s="1092">
        <v>1</v>
      </c>
      <c r="K331" s="1092">
        <v>0</v>
      </c>
      <c r="L331" s="1092">
        <v>0</v>
      </c>
      <c r="M331" s="1092">
        <v>0</v>
      </c>
      <c r="N331" s="27">
        <f t="shared" si="45"/>
        <v>1</v>
      </c>
    </row>
    <row r="332" spans="1:14">
      <c r="A332" s="76" t="s">
        <v>331</v>
      </c>
      <c r="B332" s="1092">
        <v>0</v>
      </c>
      <c r="C332" s="1092">
        <v>0</v>
      </c>
      <c r="D332" s="1092">
        <v>0</v>
      </c>
      <c r="E332" s="1092">
        <v>0</v>
      </c>
      <c r="F332" s="1092">
        <v>0</v>
      </c>
      <c r="G332" s="1092">
        <v>0</v>
      </c>
      <c r="H332" s="1092">
        <v>0</v>
      </c>
      <c r="I332" s="1092">
        <v>0</v>
      </c>
      <c r="J332" s="1092">
        <v>0</v>
      </c>
      <c r="K332" s="1092">
        <v>0</v>
      </c>
      <c r="L332" s="1092">
        <v>0</v>
      </c>
      <c r="M332" s="1092">
        <v>0</v>
      </c>
      <c r="N332" s="27">
        <f t="shared" si="45"/>
        <v>0</v>
      </c>
    </row>
    <row r="333" spans="1:14" ht="14" thickBot="1">
      <c r="A333" s="76" t="s">
        <v>267</v>
      </c>
      <c r="B333" s="1092">
        <v>0</v>
      </c>
      <c r="C333" s="1092">
        <v>0</v>
      </c>
      <c r="D333" s="1092">
        <v>0</v>
      </c>
      <c r="E333" s="1092">
        <v>0</v>
      </c>
      <c r="F333" s="1092">
        <v>0</v>
      </c>
      <c r="G333" s="1092">
        <v>0</v>
      </c>
      <c r="H333" s="1092">
        <v>0</v>
      </c>
      <c r="I333" s="1092">
        <v>0</v>
      </c>
      <c r="J333" s="1092">
        <v>0</v>
      </c>
      <c r="K333" s="1092">
        <v>0</v>
      </c>
      <c r="L333" s="1092">
        <v>0</v>
      </c>
      <c r="M333" s="1092">
        <v>0</v>
      </c>
      <c r="N333" s="27">
        <f t="shared" si="45"/>
        <v>0</v>
      </c>
    </row>
    <row r="334" spans="1:14" ht="14" thickBot="1">
      <c r="A334" s="38" t="s">
        <v>190</v>
      </c>
      <c r="B334" s="281"/>
      <c r="C334" s="39"/>
      <c r="D334" s="39"/>
      <c r="E334" s="39"/>
      <c r="F334" s="39"/>
      <c r="G334" s="39"/>
      <c r="H334" s="39"/>
      <c r="I334" s="39"/>
      <c r="J334" s="39"/>
      <c r="K334" s="39"/>
      <c r="L334" s="39"/>
      <c r="M334" s="39"/>
      <c r="N334" s="280"/>
    </row>
    <row r="335" spans="1:14">
      <c r="A335" s="85" t="s">
        <v>165</v>
      </c>
      <c r="B335" s="1100">
        <v>0</v>
      </c>
      <c r="C335" s="1100">
        <v>0</v>
      </c>
      <c r="D335" s="1100">
        <v>49</v>
      </c>
      <c r="E335" s="1100">
        <v>25</v>
      </c>
      <c r="F335" s="1100">
        <v>25</v>
      </c>
      <c r="G335" s="1100">
        <v>0</v>
      </c>
      <c r="H335" s="1100">
        <v>0</v>
      </c>
      <c r="I335" s="1100">
        <v>0</v>
      </c>
      <c r="J335" s="1100">
        <v>0</v>
      </c>
      <c r="K335" s="1100">
        <v>0</v>
      </c>
      <c r="L335" s="1100">
        <v>25</v>
      </c>
      <c r="M335" s="1100">
        <v>0</v>
      </c>
      <c r="N335" s="283">
        <f t="shared" ref="N335:N337" si="46">SUM(B335:M335)</f>
        <v>124</v>
      </c>
    </row>
    <row r="336" spans="1:14">
      <c r="A336" s="76" t="s">
        <v>166</v>
      </c>
      <c r="B336" s="1092">
        <v>2</v>
      </c>
      <c r="C336" s="1092">
        <v>2</v>
      </c>
      <c r="D336" s="1092">
        <v>0</v>
      </c>
      <c r="E336" s="1092">
        <v>0</v>
      </c>
      <c r="F336" s="1092">
        <v>0</v>
      </c>
      <c r="G336" s="1092">
        <v>4</v>
      </c>
      <c r="H336" s="1092">
        <v>1</v>
      </c>
      <c r="I336" s="1092">
        <v>4</v>
      </c>
      <c r="J336" s="1092">
        <v>4</v>
      </c>
      <c r="K336" s="1092">
        <v>5</v>
      </c>
      <c r="L336" s="1092">
        <v>14</v>
      </c>
      <c r="M336" s="1092">
        <v>2</v>
      </c>
      <c r="N336" s="27">
        <f t="shared" si="46"/>
        <v>38</v>
      </c>
    </row>
    <row r="337" spans="1:14">
      <c r="A337" s="76" t="s">
        <v>336</v>
      </c>
      <c r="B337" s="1092">
        <v>0</v>
      </c>
      <c r="C337" s="1092">
        <v>0</v>
      </c>
      <c r="D337" s="1092">
        <v>0</v>
      </c>
      <c r="E337" s="1092">
        <v>0</v>
      </c>
      <c r="F337" s="1092">
        <v>0</v>
      </c>
      <c r="G337" s="1092">
        <v>0</v>
      </c>
      <c r="H337" s="1092">
        <v>0</v>
      </c>
      <c r="I337" s="1092">
        <v>0</v>
      </c>
      <c r="J337" s="1092">
        <v>4</v>
      </c>
      <c r="K337" s="1092">
        <v>0</v>
      </c>
      <c r="L337" s="1092">
        <v>3</v>
      </c>
      <c r="M337" s="1092">
        <v>2</v>
      </c>
      <c r="N337" s="27">
        <f t="shared" si="46"/>
        <v>9</v>
      </c>
    </row>
    <row r="338" spans="1:14" ht="14" thickBot="1">
      <c r="A338" s="104" t="s">
        <v>266</v>
      </c>
      <c r="B338" s="1092">
        <v>11</v>
      </c>
      <c r="C338" s="1092">
        <v>5</v>
      </c>
      <c r="D338" s="1092">
        <v>6</v>
      </c>
      <c r="E338" s="1092">
        <v>8</v>
      </c>
      <c r="F338" s="1092">
        <v>2</v>
      </c>
      <c r="G338" s="1092">
        <v>17</v>
      </c>
      <c r="H338" s="1092">
        <v>3</v>
      </c>
      <c r="I338" s="1092">
        <v>6</v>
      </c>
      <c r="J338" s="1092">
        <v>6</v>
      </c>
      <c r="K338" s="1092">
        <v>4</v>
      </c>
      <c r="L338" s="1092">
        <v>5</v>
      </c>
      <c r="M338" s="1092">
        <v>0</v>
      </c>
      <c r="N338" s="284">
        <f>SUM(B338:M338)</f>
        <v>73</v>
      </c>
    </row>
    <row r="339" spans="1:14" ht="14" thickBot="1">
      <c r="A339" s="53" t="s">
        <v>60</v>
      </c>
      <c r="B339" s="282">
        <f t="shared" ref="B339:N339" si="47">SUM(B326:B338)</f>
        <v>121</v>
      </c>
      <c r="C339" s="55">
        <f t="shared" si="47"/>
        <v>16</v>
      </c>
      <c r="D339" s="55">
        <f t="shared" si="47"/>
        <v>87</v>
      </c>
      <c r="E339" s="55">
        <f t="shared" si="47"/>
        <v>50</v>
      </c>
      <c r="F339" s="55">
        <f t="shared" si="47"/>
        <v>43</v>
      </c>
      <c r="G339" s="55">
        <f t="shared" si="47"/>
        <v>26</v>
      </c>
      <c r="H339" s="55">
        <f t="shared" si="47"/>
        <v>11</v>
      </c>
      <c r="I339" s="55">
        <f t="shared" si="47"/>
        <v>37</v>
      </c>
      <c r="J339" s="55">
        <f t="shared" si="47"/>
        <v>25</v>
      </c>
      <c r="K339" s="55">
        <f t="shared" si="47"/>
        <v>24</v>
      </c>
      <c r="L339" s="55">
        <f t="shared" si="47"/>
        <v>74</v>
      </c>
      <c r="M339" s="331">
        <f t="shared" si="47"/>
        <v>19</v>
      </c>
      <c r="N339" s="284">
        <f t="shared" si="47"/>
        <v>533</v>
      </c>
    </row>
    <row r="340" spans="1:14" ht="14" thickBot="1">
      <c r="A340" s="53"/>
      <c r="B340" s="55"/>
      <c r="C340" s="55"/>
      <c r="D340" s="55"/>
      <c r="E340" s="55"/>
      <c r="F340" s="55"/>
      <c r="G340" s="55"/>
      <c r="H340" s="55"/>
      <c r="I340" s="55"/>
      <c r="J340" s="55"/>
      <c r="K340" s="55"/>
      <c r="L340" s="55"/>
      <c r="M340" s="55"/>
      <c r="N340" s="54"/>
    </row>
    <row r="341" spans="1:14" ht="14" thickBot="1">
      <c r="A341" s="38" t="s">
        <v>194</v>
      </c>
      <c r="B341" s="39"/>
      <c r="C341" s="39"/>
      <c r="D341" s="39"/>
      <c r="E341" s="39"/>
      <c r="F341" s="39"/>
      <c r="G341" s="39"/>
      <c r="H341" s="39"/>
      <c r="I341" s="39"/>
      <c r="J341" s="39"/>
      <c r="K341" s="39"/>
      <c r="L341" s="39"/>
      <c r="M341" s="39"/>
      <c r="N341" s="40"/>
    </row>
    <row r="342" spans="1:14">
      <c r="A342" s="32" t="s">
        <v>29</v>
      </c>
      <c r="B342" s="1092">
        <v>0</v>
      </c>
      <c r="C342" s="1092">
        <v>0</v>
      </c>
      <c r="D342" s="1092">
        <v>0</v>
      </c>
      <c r="E342" s="1092">
        <v>0</v>
      </c>
      <c r="F342" s="1092">
        <v>0</v>
      </c>
      <c r="G342" s="1092">
        <v>0</v>
      </c>
      <c r="H342" s="1092">
        <v>0</v>
      </c>
      <c r="I342" s="1092">
        <v>0</v>
      </c>
      <c r="J342" s="1092">
        <v>0</v>
      </c>
      <c r="K342" s="1092">
        <v>0</v>
      </c>
      <c r="L342" s="1092">
        <v>0</v>
      </c>
      <c r="M342" s="1092">
        <v>0</v>
      </c>
      <c r="N342" s="27">
        <f>SUM(B342:M342)</f>
        <v>0</v>
      </c>
    </row>
    <row r="343" spans="1:14">
      <c r="A343" s="78" t="s">
        <v>264</v>
      </c>
      <c r="B343" s="1092">
        <v>0</v>
      </c>
      <c r="C343" s="1092">
        <v>0</v>
      </c>
      <c r="D343" s="1092">
        <v>0</v>
      </c>
      <c r="E343" s="1092">
        <v>0</v>
      </c>
      <c r="F343" s="1092">
        <v>0</v>
      </c>
      <c r="G343" s="1092">
        <v>0</v>
      </c>
      <c r="H343" s="1092">
        <v>0</v>
      </c>
      <c r="I343" s="1092">
        <v>0</v>
      </c>
      <c r="J343" s="1092">
        <v>0</v>
      </c>
      <c r="K343" s="1092">
        <v>0</v>
      </c>
      <c r="L343" s="1092">
        <v>0</v>
      </c>
      <c r="M343" s="1092">
        <v>0</v>
      </c>
      <c r="N343" s="27">
        <f t="shared" ref="N343:N352" si="48">SUM(B343:M343)</f>
        <v>0</v>
      </c>
    </row>
    <row r="344" spans="1:14">
      <c r="A344" s="34" t="s">
        <v>204</v>
      </c>
      <c r="B344" s="1092">
        <v>0</v>
      </c>
      <c r="C344" s="1092">
        <v>0</v>
      </c>
      <c r="D344" s="1092">
        <v>0</v>
      </c>
      <c r="E344" s="1092">
        <v>0</v>
      </c>
      <c r="F344" s="1092">
        <v>0</v>
      </c>
      <c r="G344" s="1092">
        <v>0</v>
      </c>
      <c r="H344" s="1092">
        <v>0</v>
      </c>
      <c r="I344" s="1092">
        <v>0</v>
      </c>
      <c r="J344" s="1092">
        <v>0</v>
      </c>
      <c r="K344" s="1092">
        <v>0</v>
      </c>
      <c r="L344" s="1092">
        <v>0</v>
      </c>
      <c r="M344" s="1092">
        <v>0</v>
      </c>
      <c r="N344" s="27">
        <f t="shared" si="48"/>
        <v>0</v>
      </c>
    </row>
    <row r="345" spans="1:14">
      <c r="A345" s="76" t="s">
        <v>30</v>
      </c>
      <c r="B345" s="1092">
        <v>0</v>
      </c>
      <c r="C345" s="1092">
        <v>0</v>
      </c>
      <c r="D345" s="1092">
        <v>0</v>
      </c>
      <c r="E345" s="1092">
        <v>0</v>
      </c>
      <c r="F345" s="1092">
        <v>0</v>
      </c>
      <c r="G345" s="1092">
        <v>0</v>
      </c>
      <c r="H345" s="1092">
        <v>0</v>
      </c>
      <c r="I345" s="1092">
        <v>0</v>
      </c>
      <c r="J345" s="1092">
        <v>0</v>
      </c>
      <c r="K345" s="1092">
        <v>0</v>
      </c>
      <c r="L345" s="1092">
        <v>0</v>
      </c>
      <c r="M345" s="1092">
        <v>0</v>
      </c>
      <c r="N345" s="27">
        <f t="shared" si="48"/>
        <v>0</v>
      </c>
    </row>
    <row r="346" spans="1:14">
      <c r="A346" s="32" t="s">
        <v>56</v>
      </c>
      <c r="B346" s="1092">
        <v>0</v>
      </c>
      <c r="C346" s="1092">
        <v>0</v>
      </c>
      <c r="D346" s="1092">
        <v>0</v>
      </c>
      <c r="E346" s="1092">
        <v>0</v>
      </c>
      <c r="F346" s="1092">
        <v>4200</v>
      </c>
      <c r="G346" s="1092">
        <v>0</v>
      </c>
      <c r="H346" s="1092">
        <v>975</v>
      </c>
      <c r="I346" s="1092">
        <v>0</v>
      </c>
      <c r="J346" s="1092">
        <v>0</v>
      </c>
      <c r="K346" s="1092">
        <v>0</v>
      </c>
      <c r="L346" s="1092">
        <v>0</v>
      </c>
      <c r="M346" s="1092">
        <v>0</v>
      </c>
      <c r="N346" s="27">
        <f t="shared" si="48"/>
        <v>5175</v>
      </c>
    </row>
    <row r="347" spans="1:14">
      <c r="A347" s="78" t="s">
        <v>122</v>
      </c>
      <c r="B347" s="1092">
        <v>0</v>
      </c>
      <c r="C347" s="1092">
        <v>0</v>
      </c>
      <c r="D347" s="1092">
        <v>0</v>
      </c>
      <c r="E347" s="1092">
        <v>0</v>
      </c>
      <c r="F347" s="1092">
        <v>0</v>
      </c>
      <c r="G347" s="1092">
        <v>0</v>
      </c>
      <c r="H347" s="1092">
        <v>0</v>
      </c>
      <c r="I347" s="1092">
        <v>0</v>
      </c>
      <c r="J347" s="1092">
        <v>0</v>
      </c>
      <c r="K347" s="1092">
        <v>0</v>
      </c>
      <c r="L347" s="1092">
        <v>0</v>
      </c>
      <c r="M347" s="1092">
        <v>0</v>
      </c>
      <c r="N347" s="27">
        <f t="shared" si="48"/>
        <v>0</v>
      </c>
    </row>
    <row r="348" spans="1:14">
      <c r="A348" s="78" t="s">
        <v>184</v>
      </c>
      <c r="B348" s="1092">
        <v>0</v>
      </c>
      <c r="C348" s="1092">
        <v>0</v>
      </c>
      <c r="D348" s="1092">
        <v>0</v>
      </c>
      <c r="E348" s="1092">
        <v>0</v>
      </c>
      <c r="F348" s="1092">
        <v>0</v>
      </c>
      <c r="G348" s="1092">
        <v>0</v>
      </c>
      <c r="H348" s="1092">
        <v>0</v>
      </c>
      <c r="I348" s="1092">
        <v>0</v>
      </c>
      <c r="J348" s="1092">
        <v>0</v>
      </c>
      <c r="K348" s="1092">
        <v>0</v>
      </c>
      <c r="L348" s="1092">
        <v>0</v>
      </c>
      <c r="M348" s="1092">
        <v>0</v>
      </c>
      <c r="N348" s="27">
        <f t="shared" si="48"/>
        <v>0</v>
      </c>
    </row>
    <row r="349" spans="1:14">
      <c r="A349" s="78" t="s">
        <v>187</v>
      </c>
      <c r="B349" s="1092">
        <v>0</v>
      </c>
      <c r="C349" s="1092">
        <v>0</v>
      </c>
      <c r="D349" s="1092">
        <v>0</v>
      </c>
      <c r="E349" s="1092">
        <v>0</v>
      </c>
      <c r="F349" s="1092">
        <v>0</v>
      </c>
      <c r="G349" s="1092">
        <v>0</v>
      </c>
      <c r="H349" s="1092">
        <v>0</v>
      </c>
      <c r="I349" s="1092">
        <v>0</v>
      </c>
      <c r="J349" s="1092">
        <v>0</v>
      </c>
      <c r="K349" s="1092">
        <v>0</v>
      </c>
      <c r="L349" s="1092">
        <v>0</v>
      </c>
      <c r="M349" s="1092">
        <v>0</v>
      </c>
      <c r="N349" s="27">
        <f t="shared" si="48"/>
        <v>0</v>
      </c>
    </row>
    <row r="350" spans="1:14">
      <c r="A350" s="78" t="s">
        <v>188</v>
      </c>
      <c r="B350" s="1092">
        <v>0</v>
      </c>
      <c r="C350" s="1092">
        <v>0</v>
      </c>
      <c r="D350" s="1092">
        <v>0</v>
      </c>
      <c r="E350" s="1092">
        <v>0</v>
      </c>
      <c r="F350" s="1092">
        <v>0</v>
      </c>
      <c r="G350" s="1092">
        <v>0</v>
      </c>
      <c r="H350" s="1092">
        <v>0</v>
      </c>
      <c r="I350" s="1092">
        <v>0</v>
      </c>
      <c r="J350" s="1092">
        <v>0</v>
      </c>
      <c r="K350" s="1092">
        <v>0</v>
      </c>
      <c r="L350" s="1092">
        <v>0</v>
      </c>
      <c r="M350" s="1092">
        <v>0</v>
      </c>
      <c r="N350" s="27">
        <f t="shared" si="48"/>
        <v>0</v>
      </c>
    </row>
    <row r="351" spans="1:14">
      <c r="A351" s="78" t="s">
        <v>213</v>
      </c>
      <c r="B351" s="1092">
        <v>1</v>
      </c>
      <c r="C351" s="1092">
        <v>0</v>
      </c>
      <c r="D351" s="1092">
        <v>0</v>
      </c>
      <c r="E351" s="1092">
        <v>0</v>
      </c>
      <c r="F351" s="1092">
        <v>0</v>
      </c>
      <c r="G351" s="1092">
        <v>0</v>
      </c>
      <c r="H351" s="1092">
        <v>0</v>
      </c>
      <c r="I351" s="1092">
        <v>0</v>
      </c>
      <c r="J351" s="1092">
        <v>0</v>
      </c>
      <c r="K351" s="1092">
        <v>0</v>
      </c>
      <c r="L351" s="1092">
        <v>4</v>
      </c>
      <c r="M351" s="1092">
        <v>2</v>
      </c>
      <c r="N351" s="27">
        <f t="shared" si="48"/>
        <v>7</v>
      </c>
    </row>
    <row r="352" spans="1:14">
      <c r="A352" s="76" t="s">
        <v>267</v>
      </c>
      <c r="B352" s="1092">
        <v>0</v>
      </c>
      <c r="C352" s="1092">
        <v>0</v>
      </c>
      <c r="D352" s="1092">
        <v>0</v>
      </c>
      <c r="E352" s="1092">
        <v>0</v>
      </c>
      <c r="F352" s="1092">
        <v>0</v>
      </c>
      <c r="G352" s="1092">
        <v>0</v>
      </c>
      <c r="H352" s="1092">
        <v>0</v>
      </c>
      <c r="I352" s="1092">
        <v>0</v>
      </c>
      <c r="J352" s="1092">
        <v>0</v>
      </c>
      <c r="K352" s="1092">
        <v>0</v>
      </c>
      <c r="L352" s="1092">
        <v>0</v>
      </c>
      <c r="M352" s="1092">
        <v>0</v>
      </c>
      <c r="N352" s="27">
        <f t="shared" si="48"/>
        <v>0</v>
      </c>
    </row>
    <row r="353" spans="1:14" ht="14" thickBot="1">
      <c r="A353" s="78" t="s">
        <v>268</v>
      </c>
      <c r="B353" s="1092">
        <v>0</v>
      </c>
      <c r="C353" s="1092">
        <v>0</v>
      </c>
      <c r="D353" s="1092">
        <v>0</v>
      </c>
      <c r="E353" s="1092">
        <v>0</v>
      </c>
      <c r="F353" s="1092">
        <v>0</v>
      </c>
      <c r="G353" s="1092">
        <v>0</v>
      </c>
      <c r="H353" s="1092">
        <v>0</v>
      </c>
      <c r="I353" s="1092">
        <v>0</v>
      </c>
      <c r="J353" s="1092">
        <v>0</v>
      </c>
      <c r="K353" s="1092">
        <v>0</v>
      </c>
      <c r="L353" s="1092">
        <v>0</v>
      </c>
      <c r="M353" s="1092">
        <v>0</v>
      </c>
      <c r="N353" s="27">
        <f>SUM(B353:M353)</f>
        <v>0</v>
      </c>
    </row>
    <row r="354" spans="1:14" ht="14" thickBot="1">
      <c r="A354" s="38" t="s">
        <v>192</v>
      </c>
      <c r="B354" s="281"/>
      <c r="C354" s="39"/>
      <c r="D354" s="39"/>
      <c r="E354" s="39"/>
      <c r="F354" s="39"/>
      <c r="G354" s="39"/>
      <c r="H354" s="39"/>
      <c r="I354" s="39"/>
      <c r="J354" s="39"/>
      <c r="K354" s="39"/>
      <c r="L354" s="39"/>
      <c r="M354" s="39"/>
      <c r="N354" s="280"/>
    </row>
    <row r="355" spans="1:14" ht="14" thickBot="1">
      <c r="A355" s="78" t="s">
        <v>165</v>
      </c>
      <c r="B355" s="1092">
        <v>0</v>
      </c>
      <c r="C355" s="1092">
        <v>0</v>
      </c>
      <c r="D355" s="1092">
        <v>0</v>
      </c>
      <c r="E355" s="1092">
        <v>0</v>
      </c>
      <c r="F355" s="1092">
        <v>0</v>
      </c>
      <c r="G355" s="1092">
        <v>0</v>
      </c>
      <c r="H355" s="1092">
        <v>0</v>
      </c>
      <c r="I355" s="1092">
        <v>0</v>
      </c>
      <c r="J355" s="1092">
        <v>0</v>
      </c>
      <c r="K355" s="1092">
        <v>0</v>
      </c>
      <c r="L355" s="1092">
        <v>0</v>
      </c>
      <c r="M355" s="1092"/>
      <c r="N355" s="27">
        <f>SUM(B355:M355)</f>
        <v>0</v>
      </c>
    </row>
    <row r="356" spans="1:14" ht="14" thickBot="1">
      <c r="A356" s="53" t="s">
        <v>60</v>
      </c>
      <c r="B356" s="55">
        <f t="shared" ref="B356:L356" si="49">SUM(B342:B355)</f>
        <v>1</v>
      </c>
      <c r="C356" s="55">
        <f t="shared" si="49"/>
        <v>0</v>
      </c>
      <c r="D356" s="55">
        <f t="shared" si="49"/>
        <v>0</v>
      </c>
      <c r="E356" s="55">
        <f t="shared" si="49"/>
        <v>0</v>
      </c>
      <c r="F356" s="55">
        <f t="shared" si="49"/>
        <v>4200</v>
      </c>
      <c r="G356" s="55">
        <f t="shared" si="49"/>
        <v>0</v>
      </c>
      <c r="H356" s="55">
        <f t="shared" si="49"/>
        <v>975</v>
      </c>
      <c r="I356" s="55">
        <f t="shared" si="49"/>
        <v>0</v>
      </c>
      <c r="J356" s="55">
        <f t="shared" si="49"/>
        <v>0</v>
      </c>
      <c r="K356" s="55">
        <f t="shared" si="49"/>
        <v>0</v>
      </c>
      <c r="L356" s="55">
        <f t="shared" si="49"/>
        <v>4</v>
      </c>
      <c r="M356" s="55">
        <f>SUM(M342:M355)</f>
        <v>2</v>
      </c>
      <c r="N356" s="54">
        <f>SUM(N342:N355)</f>
        <v>5182</v>
      </c>
    </row>
    <row r="358" spans="1:14" ht="14" thickBot="1">
      <c r="B358" s="43" t="s">
        <v>35</v>
      </c>
      <c r="C358" s="43" t="s">
        <v>36</v>
      </c>
      <c r="D358" s="43" t="s">
        <v>37</v>
      </c>
      <c r="E358" s="43" t="s">
        <v>38</v>
      </c>
      <c r="F358" s="43" t="s">
        <v>39</v>
      </c>
      <c r="G358" s="43" t="s">
        <v>40</v>
      </c>
      <c r="H358" s="43" t="s">
        <v>41</v>
      </c>
      <c r="I358" s="43" t="s">
        <v>42</v>
      </c>
      <c r="J358" s="43" t="s">
        <v>43</v>
      </c>
      <c r="K358" s="43" t="s">
        <v>44</v>
      </c>
      <c r="L358" s="43" t="s">
        <v>45</v>
      </c>
      <c r="M358" s="43" t="s">
        <v>46</v>
      </c>
      <c r="N358" s="43" t="s">
        <v>10</v>
      </c>
    </row>
    <row r="359" spans="1:14" ht="17" thickBot="1">
      <c r="A359" s="31" t="s">
        <v>350</v>
      </c>
      <c r="B359" s="24"/>
      <c r="C359" s="24"/>
      <c r="D359" s="22"/>
      <c r="E359" s="22"/>
      <c r="F359" s="25"/>
      <c r="G359" s="25"/>
      <c r="H359" s="22"/>
      <c r="I359" s="22"/>
      <c r="J359" s="22"/>
      <c r="K359" s="22"/>
      <c r="L359" s="24"/>
      <c r="M359" s="24"/>
      <c r="N359" s="26"/>
    </row>
    <row r="360" spans="1:14" ht="14" thickBot="1">
      <c r="A360" s="38" t="s">
        <v>189</v>
      </c>
      <c r="B360" s="39"/>
      <c r="C360" s="39"/>
      <c r="D360" s="39"/>
      <c r="E360" s="39"/>
      <c r="F360" s="39"/>
      <c r="G360" s="39"/>
      <c r="H360" s="39"/>
      <c r="I360" s="39"/>
      <c r="J360" s="39"/>
      <c r="K360" s="39"/>
      <c r="L360" s="39"/>
      <c r="M360" s="39"/>
      <c r="N360" s="40"/>
    </row>
    <row r="361" spans="1:14">
      <c r="A361" s="32" t="s">
        <v>29</v>
      </c>
      <c r="B361" s="1092">
        <v>0</v>
      </c>
      <c r="C361" s="1092">
        <v>0</v>
      </c>
      <c r="D361" s="1092">
        <v>0</v>
      </c>
      <c r="E361" s="1092">
        <v>3</v>
      </c>
      <c r="F361" s="1092">
        <v>5</v>
      </c>
      <c r="G361" s="1092">
        <v>8</v>
      </c>
      <c r="H361" s="1092">
        <v>0</v>
      </c>
      <c r="I361" s="1092">
        <v>2</v>
      </c>
      <c r="J361" s="1092">
        <v>1</v>
      </c>
      <c r="K361" s="1092">
        <v>0</v>
      </c>
      <c r="L361" s="1092">
        <v>0</v>
      </c>
      <c r="M361" s="1092">
        <v>2</v>
      </c>
      <c r="N361" s="27">
        <f t="shared" ref="N361:N368" si="50">SUM(B361:M361)</f>
        <v>21</v>
      </c>
    </row>
    <row r="362" spans="1:14">
      <c r="A362" s="32" t="s">
        <v>33</v>
      </c>
      <c r="B362" s="1092">
        <v>5</v>
      </c>
      <c r="C362" s="1092">
        <v>9</v>
      </c>
      <c r="D362" s="1092">
        <v>5</v>
      </c>
      <c r="E362" s="1092">
        <v>7</v>
      </c>
      <c r="F362" s="1092">
        <v>7</v>
      </c>
      <c r="G362" s="1092">
        <v>11</v>
      </c>
      <c r="H362" s="1092">
        <v>8</v>
      </c>
      <c r="I362" s="1092">
        <v>12</v>
      </c>
      <c r="J362" s="1092">
        <v>3</v>
      </c>
      <c r="K362" s="1092">
        <v>1</v>
      </c>
      <c r="L362" s="1092">
        <v>0</v>
      </c>
      <c r="M362" s="1092">
        <v>8</v>
      </c>
      <c r="N362" s="27">
        <f t="shared" si="50"/>
        <v>76</v>
      </c>
    </row>
    <row r="363" spans="1:14">
      <c r="A363" s="32" t="s">
        <v>56</v>
      </c>
      <c r="B363" s="1092">
        <v>0</v>
      </c>
      <c r="C363" s="1092">
        <v>0</v>
      </c>
      <c r="D363" s="1092">
        <v>33</v>
      </c>
      <c r="E363" s="1092">
        <v>0</v>
      </c>
      <c r="F363" s="1092">
        <v>0</v>
      </c>
      <c r="G363" s="1092">
        <v>0</v>
      </c>
      <c r="H363" s="1092">
        <v>0</v>
      </c>
      <c r="I363" s="1092">
        <v>0</v>
      </c>
      <c r="J363" s="1092">
        <v>0</v>
      </c>
      <c r="K363" s="1092">
        <v>0</v>
      </c>
      <c r="L363" s="1092">
        <v>0</v>
      </c>
      <c r="M363" s="1092">
        <v>0</v>
      </c>
      <c r="N363" s="27">
        <f t="shared" si="50"/>
        <v>33</v>
      </c>
    </row>
    <row r="364" spans="1:14">
      <c r="A364" s="78" t="s">
        <v>30</v>
      </c>
      <c r="B364" s="1092">
        <v>14</v>
      </c>
      <c r="C364" s="1092">
        <v>0</v>
      </c>
      <c r="D364" s="1092">
        <v>0</v>
      </c>
      <c r="E364" s="1092">
        <v>0</v>
      </c>
      <c r="F364" s="1092">
        <v>3</v>
      </c>
      <c r="G364" s="1092">
        <v>1</v>
      </c>
      <c r="H364" s="1092">
        <v>3</v>
      </c>
      <c r="I364" s="1092">
        <v>8</v>
      </c>
      <c r="J364" s="1092">
        <v>3</v>
      </c>
      <c r="K364" s="1092">
        <v>0</v>
      </c>
      <c r="L364" s="1092">
        <v>0</v>
      </c>
      <c r="M364" s="1092">
        <v>7</v>
      </c>
      <c r="N364" s="27">
        <f t="shared" si="50"/>
        <v>39</v>
      </c>
    </row>
    <row r="365" spans="1:14">
      <c r="A365" s="76" t="s">
        <v>213</v>
      </c>
      <c r="B365" s="1092">
        <v>0</v>
      </c>
      <c r="C365" s="1092">
        <v>0</v>
      </c>
      <c r="D365" s="1092">
        <v>0</v>
      </c>
      <c r="E365" s="1092">
        <v>0</v>
      </c>
      <c r="F365" s="1092">
        <v>0</v>
      </c>
      <c r="G365" s="1092">
        <v>0</v>
      </c>
      <c r="H365" s="1092">
        <v>0</v>
      </c>
      <c r="I365" s="1092">
        <v>0</v>
      </c>
      <c r="J365" s="1092">
        <v>0</v>
      </c>
      <c r="K365" s="1092">
        <v>0</v>
      </c>
      <c r="L365" s="1092">
        <v>0</v>
      </c>
      <c r="M365" s="1092">
        <v>0</v>
      </c>
      <c r="N365" s="27">
        <f t="shared" si="50"/>
        <v>0</v>
      </c>
    </row>
    <row r="366" spans="1:14">
      <c r="A366" s="76" t="s">
        <v>212</v>
      </c>
      <c r="B366" s="1092">
        <v>2</v>
      </c>
      <c r="C366" s="1092">
        <v>0</v>
      </c>
      <c r="D366" s="1092">
        <v>0</v>
      </c>
      <c r="E366" s="1092">
        <v>0</v>
      </c>
      <c r="F366" s="1092">
        <v>0</v>
      </c>
      <c r="G366" s="1092">
        <v>0</v>
      </c>
      <c r="H366" s="1092">
        <v>0</v>
      </c>
      <c r="I366" s="1092">
        <v>0</v>
      </c>
      <c r="J366" s="1092">
        <v>0</v>
      </c>
      <c r="K366" s="1092">
        <v>0</v>
      </c>
      <c r="L366" s="1092">
        <v>0</v>
      </c>
      <c r="M366" s="1092">
        <v>0</v>
      </c>
      <c r="N366" s="27">
        <f t="shared" si="50"/>
        <v>2</v>
      </c>
    </row>
    <row r="367" spans="1:14">
      <c r="A367" s="76" t="s">
        <v>331</v>
      </c>
      <c r="B367" s="1092">
        <v>0</v>
      </c>
      <c r="C367" s="1092">
        <v>0</v>
      </c>
      <c r="D367" s="1092">
        <v>0</v>
      </c>
      <c r="E367" s="1092">
        <v>0</v>
      </c>
      <c r="F367" s="1092">
        <v>0</v>
      </c>
      <c r="G367" s="1092">
        <v>0</v>
      </c>
      <c r="H367" s="1092">
        <v>0</v>
      </c>
      <c r="I367" s="1092">
        <v>2</v>
      </c>
      <c r="J367" s="1092">
        <v>0</v>
      </c>
      <c r="K367" s="1092">
        <v>0</v>
      </c>
      <c r="L367" s="1092">
        <v>0</v>
      </c>
      <c r="M367" s="1092">
        <v>0</v>
      </c>
      <c r="N367" s="27">
        <f t="shared" si="50"/>
        <v>2</v>
      </c>
    </row>
    <row r="368" spans="1:14" ht="14" thickBot="1">
      <c r="A368" s="76" t="s">
        <v>267</v>
      </c>
      <c r="B368" s="1092">
        <v>0</v>
      </c>
      <c r="C368" s="1092">
        <v>0</v>
      </c>
      <c r="D368" s="1092">
        <v>0</v>
      </c>
      <c r="E368" s="1092">
        <v>0</v>
      </c>
      <c r="F368" s="1092">
        <v>0</v>
      </c>
      <c r="G368" s="1092">
        <v>0</v>
      </c>
      <c r="H368" s="1092">
        <v>0</v>
      </c>
      <c r="I368" s="1092">
        <v>0</v>
      </c>
      <c r="J368" s="1092">
        <v>0</v>
      </c>
      <c r="K368" s="1092">
        <v>0</v>
      </c>
      <c r="L368" s="1092">
        <v>0</v>
      </c>
      <c r="M368" s="1092">
        <v>0</v>
      </c>
      <c r="N368" s="27">
        <f t="shared" si="50"/>
        <v>0</v>
      </c>
    </row>
    <row r="369" spans="1:14" ht="14" thickBot="1">
      <c r="A369" s="38" t="s">
        <v>190</v>
      </c>
      <c r="B369" s="39"/>
      <c r="C369" s="39"/>
      <c r="D369" s="39"/>
      <c r="E369" s="39"/>
      <c r="F369" s="39"/>
      <c r="G369" s="39"/>
      <c r="H369" s="39"/>
      <c r="I369" s="39"/>
      <c r="J369" s="39"/>
      <c r="K369" s="39"/>
      <c r="L369" s="39"/>
      <c r="M369" s="39"/>
      <c r="N369" s="280"/>
    </row>
    <row r="370" spans="1:14">
      <c r="A370" s="76" t="s">
        <v>165</v>
      </c>
      <c r="B370" s="1092">
        <v>0</v>
      </c>
      <c r="C370" s="1092">
        <v>50</v>
      </c>
      <c r="D370" s="1092">
        <v>0</v>
      </c>
      <c r="E370" s="1092">
        <v>25</v>
      </c>
      <c r="F370" s="1092">
        <v>0</v>
      </c>
      <c r="G370" s="1092">
        <v>0</v>
      </c>
      <c r="H370" s="1092">
        <v>0</v>
      </c>
      <c r="I370" s="1092">
        <v>0</v>
      </c>
      <c r="J370" s="1092">
        <v>0</v>
      </c>
      <c r="K370" s="1092">
        <v>0</v>
      </c>
      <c r="L370" s="1092">
        <v>0</v>
      </c>
      <c r="M370" s="1092">
        <v>25</v>
      </c>
      <c r="N370" s="27">
        <f>SUM(B370:M370)</f>
        <v>100</v>
      </c>
    </row>
    <row r="371" spans="1:14">
      <c r="A371" s="76" t="s">
        <v>166</v>
      </c>
      <c r="B371" s="1092">
        <v>3</v>
      </c>
      <c r="C371" s="1092">
        <v>5</v>
      </c>
      <c r="D371" s="1092">
        <v>1</v>
      </c>
      <c r="E371" s="1092">
        <v>0</v>
      </c>
      <c r="F371" s="1092">
        <v>10</v>
      </c>
      <c r="G371" s="1092">
        <v>9</v>
      </c>
      <c r="H371" s="1092">
        <v>9</v>
      </c>
      <c r="I371" s="1092">
        <v>5</v>
      </c>
      <c r="J371" s="1092">
        <v>8</v>
      </c>
      <c r="K371" s="1092">
        <v>2</v>
      </c>
      <c r="L371" s="1092">
        <v>1</v>
      </c>
      <c r="M371" s="1092">
        <v>1</v>
      </c>
      <c r="N371" s="27">
        <f>SUM(B371:M371)</f>
        <v>54</v>
      </c>
    </row>
    <row r="372" spans="1:14">
      <c r="A372" s="76" t="s">
        <v>336</v>
      </c>
      <c r="B372" s="1092">
        <v>3</v>
      </c>
      <c r="C372" s="1092">
        <v>3</v>
      </c>
      <c r="D372" s="1092">
        <v>5</v>
      </c>
      <c r="E372" s="1092">
        <v>5</v>
      </c>
      <c r="F372" s="1092">
        <v>0</v>
      </c>
      <c r="G372" s="1092">
        <v>1</v>
      </c>
      <c r="H372" s="1092">
        <v>4</v>
      </c>
      <c r="I372" s="1092">
        <v>1</v>
      </c>
      <c r="J372" s="1092">
        <v>6</v>
      </c>
      <c r="K372" s="1092">
        <v>2</v>
      </c>
      <c r="L372" s="1092">
        <v>3</v>
      </c>
      <c r="M372" s="1092">
        <v>1</v>
      </c>
      <c r="N372" s="27">
        <f>SUM(B372:M372)</f>
        <v>34</v>
      </c>
    </row>
    <row r="373" spans="1:14" ht="14" thickBot="1">
      <c r="A373" s="76" t="s">
        <v>266</v>
      </c>
      <c r="B373" s="1092">
        <v>11</v>
      </c>
      <c r="C373" s="1092">
        <v>6</v>
      </c>
      <c r="D373" s="1092">
        <v>5</v>
      </c>
      <c r="E373" s="1092">
        <v>12</v>
      </c>
      <c r="F373" s="1092">
        <v>11</v>
      </c>
      <c r="G373" s="1092">
        <v>3</v>
      </c>
      <c r="H373" s="1092">
        <v>8</v>
      </c>
      <c r="I373" s="1092">
        <v>2</v>
      </c>
      <c r="J373" s="1092">
        <v>7</v>
      </c>
      <c r="K373" s="1092">
        <v>13</v>
      </c>
      <c r="L373" s="1092">
        <v>3</v>
      </c>
      <c r="M373" s="1092">
        <v>9</v>
      </c>
      <c r="N373" s="27">
        <f>SUM(B373:M373)</f>
        <v>90</v>
      </c>
    </row>
    <row r="374" spans="1:14" ht="14" thickBot="1">
      <c r="A374" s="53" t="s">
        <v>60</v>
      </c>
      <c r="B374" s="55">
        <f t="shared" ref="B374:M374" si="51">SUM(B361:B373)</f>
        <v>38</v>
      </c>
      <c r="C374" s="55">
        <f t="shared" si="51"/>
        <v>73</v>
      </c>
      <c r="D374" s="55">
        <f t="shared" si="51"/>
        <v>49</v>
      </c>
      <c r="E374" s="55">
        <f t="shared" si="51"/>
        <v>52</v>
      </c>
      <c r="F374" s="55">
        <f t="shared" si="51"/>
        <v>36</v>
      </c>
      <c r="G374" s="55">
        <f t="shared" si="51"/>
        <v>33</v>
      </c>
      <c r="H374" s="55">
        <f t="shared" si="51"/>
        <v>32</v>
      </c>
      <c r="I374" s="55">
        <f t="shared" si="51"/>
        <v>32</v>
      </c>
      <c r="J374" s="55">
        <f t="shared" si="51"/>
        <v>28</v>
      </c>
      <c r="K374" s="55">
        <f t="shared" si="51"/>
        <v>18</v>
      </c>
      <c r="L374" s="55">
        <f t="shared" si="51"/>
        <v>7</v>
      </c>
      <c r="M374" s="55">
        <f t="shared" si="51"/>
        <v>53</v>
      </c>
      <c r="N374" s="54"/>
    </row>
    <row r="375" spans="1:14" ht="14" thickBot="1">
      <c r="A375" s="38" t="s">
        <v>194</v>
      </c>
      <c r="B375" s="39"/>
      <c r="C375" s="39"/>
      <c r="D375" s="39"/>
      <c r="E375" s="39"/>
      <c r="F375" s="39"/>
      <c r="G375" s="39"/>
      <c r="H375" s="39"/>
      <c r="I375" s="39"/>
      <c r="J375" s="39"/>
      <c r="K375" s="39"/>
      <c r="L375" s="39"/>
      <c r="M375" s="39"/>
      <c r="N375" s="40"/>
    </row>
    <row r="376" spans="1:14">
      <c r="A376" s="32" t="s">
        <v>29</v>
      </c>
      <c r="B376" s="1092">
        <v>0</v>
      </c>
      <c r="C376" s="1092">
        <v>0</v>
      </c>
      <c r="D376" s="1092">
        <v>0</v>
      </c>
      <c r="E376" s="1092">
        <v>0</v>
      </c>
      <c r="F376" s="1092">
        <v>0</v>
      </c>
      <c r="G376" s="1092">
        <v>0</v>
      </c>
      <c r="H376" s="1092">
        <v>0</v>
      </c>
      <c r="I376" s="1092">
        <v>0</v>
      </c>
      <c r="J376" s="1092">
        <v>0</v>
      </c>
      <c r="K376" s="1092">
        <v>0</v>
      </c>
      <c r="L376" s="1092">
        <v>0</v>
      </c>
      <c r="M376" s="1092">
        <v>0</v>
      </c>
      <c r="N376" s="27">
        <f t="shared" ref="N376:N387" si="52">SUM(B376:M376)</f>
        <v>0</v>
      </c>
    </row>
    <row r="377" spans="1:14">
      <c r="A377" s="78" t="s">
        <v>264</v>
      </c>
      <c r="B377" s="1092">
        <v>0</v>
      </c>
      <c r="C377" s="1092">
        <v>0</v>
      </c>
      <c r="D377" s="1092">
        <v>0</v>
      </c>
      <c r="E377" s="1092">
        <v>0</v>
      </c>
      <c r="F377" s="1092">
        <v>0</v>
      </c>
      <c r="G377" s="1092">
        <v>0</v>
      </c>
      <c r="H377" s="1092">
        <v>0</v>
      </c>
      <c r="I377" s="1092">
        <v>0</v>
      </c>
      <c r="J377" s="1092">
        <v>0</v>
      </c>
      <c r="K377" s="1092">
        <v>0</v>
      </c>
      <c r="L377" s="1092">
        <v>0</v>
      </c>
      <c r="M377" s="1092">
        <v>0</v>
      </c>
      <c r="N377" s="27">
        <f t="shared" si="52"/>
        <v>0</v>
      </c>
    </row>
    <row r="378" spans="1:14">
      <c r="A378" s="34" t="s">
        <v>204</v>
      </c>
      <c r="B378" s="1092">
        <v>0</v>
      </c>
      <c r="C378" s="1092">
        <v>0</v>
      </c>
      <c r="D378" s="1092">
        <v>0</v>
      </c>
      <c r="E378" s="1092">
        <v>0</v>
      </c>
      <c r="F378" s="1092">
        <v>0</v>
      </c>
      <c r="G378" s="1092">
        <v>0</v>
      </c>
      <c r="H378" s="1092">
        <v>0</v>
      </c>
      <c r="I378" s="1092">
        <v>0</v>
      </c>
      <c r="J378" s="1092">
        <v>0</v>
      </c>
      <c r="K378" s="1092">
        <v>0</v>
      </c>
      <c r="L378" s="1092">
        <v>0</v>
      </c>
      <c r="M378" s="1092">
        <v>0</v>
      </c>
      <c r="N378" s="27">
        <f t="shared" si="52"/>
        <v>0</v>
      </c>
    </row>
    <row r="379" spans="1:14">
      <c r="A379" s="76" t="s">
        <v>30</v>
      </c>
      <c r="B379" s="1092">
        <v>0</v>
      </c>
      <c r="C379" s="1092">
        <v>0</v>
      </c>
      <c r="D379" s="1092">
        <v>0</v>
      </c>
      <c r="E379" s="1092">
        <v>0</v>
      </c>
      <c r="F379" s="1092">
        <v>0</v>
      </c>
      <c r="G379" s="1092">
        <v>0</v>
      </c>
      <c r="H379" s="1092">
        <v>0</v>
      </c>
      <c r="I379" s="1092">
        <v>0</v>
      </c>
      <c r="J379" s="1092">
        <v>0</v>
      </c>
      <c r="K379" s="1092">
        <v>0</v>
      </c>
      <c r="L379" s="1092">
        <v>0</v>
      </c>
      <c r="M379" s="1092">
        <v>0</v>
      </c>
      <c r="N379" s="27">
        <f t="shared" si="52"/>
        <v>0</v>
      </c>
    </row>
    <row r="380" spans="1:14">
      <c r="A380" s="32" t="s">
        <v>56</v>
      </c>
      <c r="B380" s="1092">
        <v>0</v>
      </c>
      <c r="C380" s="1092">
        <v>0</v>
      </c>
      <c r="D380" s="1092">
        <v>0</v>
      </c>
      <c r="E380" s="1092">
        <v>0</v>
      </c>
      <c r="F380" s="1092">
        <v>0</v>
      </c>
      <c r="G380" s="1092">
        <v>0</v>
      </c>
      <c r="H380" s="1092">
        <v>0</v>
      </c>
      <c r="I380" s="1092">
        <v>0</v>
      </c>
      <c r="J380" s="1092">
        <v>0</v>
      </c>
      <c r="K380" s="1092">
        <v>0</v>
      </c>
      <c r="L380" s="1092">
        <v>0</v>
      </c>
      <c r="M380" s="1092">
        <v>0</v>
      </c>
      <c r="N380" s="27">
        <f t="shared" si="52"/>
        <v>0</v>
      </c>
    </row>
    <row r="381" spans="1:14">
      <c r="A381" s="78" t="s">
        <v>122</v>
      </c>
      <c r="B381" s="1092">
        <v>0</v>
      </c>
      <c r="C381" s="1092">
        <v>0</v>
      </c>
      <c r="D381" s="1092">
        <v>0</v>
      </c>
      <c r="E381" s="1092">
        <v>0</v>
      </c>
      <c r="F381" s="1092">
        <v>0</v>
      </c>
      <c r="G381" s="1092">
        <v>0</v>
      </c>
      <c r="H381" s="1092">
        <v>0</v>
      </c>
      <c r="I381" s="1092">
        <v>0</v>
      </c>
      <c r="J381" s="1092">
        <v>0</v>
      </c>
      <c r="K381" s="1092">
        <v>0</v>
      </c>
      <c r="L381" s="1092">
        <v>0</v>
      </c>
      <c r="M381" s="1092">
        <v>0</v>
      </c>
      <c r="N381" s="27">
        <f t="shared" si="52"/>
        <v>0</v>
      </c>
    </row>
    <row r="382" spans="1:14">
      <c r="A382" s="78" t="s">
        <v>184</v>
      </c>
      <c r="B382" s="1092">
        <v>0</v>
      </c>
      <c r="C382" s="1092">
        <v>0</v>
      </c>
      <c r="D382" s="1092">
        <v>0</v>
      </c>
      <c r="E382" s="1092">
        <v>0</v>
      </c>
      <c r="F382" s="1092">
        <v>0</v>
      </c>
      <c r="G382" s="1092">
        <v>0</v>
      </c>
      <c r="H382" s="1092">
        <v>0</v>
      </c>
      <c r="I382" s="1092">
        <v>0</v>
      </c>
      <c r="J382" s="1092">
        <v>0</v>
      </c>
      <c r="K382" s="1092">
        <v>0</v>
      </c>
      <c r="L382" s="1092">
        <v>0</v>
      </c>
      <c r="M382" s="1092">
        <v>0</v>
      </c>
      <c r="N382" s="27">
        <f t="shared" si="52"/>
        <v>0</v>
      </c>
    </row>
    <row r="383" spans="1:14">
      <c r="A383" s="78" t="s">
        <v>187</v>
      </c>
      <c r="B383" s="1092">
        <v>0</v>
      </c>
      <c r="C383" s="1092">
        <v>0</v>
      </c>
      <c r="D383" s="1092">
        <v>0</v>
      </c>
      <c r="E383" s="1092">
        <v>0</v>
      </c>
      <c r="F383" s="1092">
        <v>0</v>
      </c>
      <c r="G383" s="1092">
        <v>0</v>
      </c>
      <c r="H383" s="1092">
        <v>0</v>
      </c>
      <c r="I383" s="1092">
        <v>0</v>
      </c>
      <c r="J383" s="1092">
        <v>0</v>
      </c>
      <c r="K383" s="1092">
        <v>0</v>
      </c>
      <c r="L383" s="1092">
        <v>0</v>
      </c>
      <c r="M383" s="1092">
        <v>0</v>
      </c>
      <c r="N383" s="27">
        <f t="shared" si="52"/>
        <v>0</v>
      </c>
    </row>
    <row r="384" spans="1:14">
      <c r="A384" s="78" t="s">
        <v>188</v>
      </c>
      <c r="B384" s="1092">
        <v>0</v>
      </c>
      <c r="C384" s="1092">
        <v>0</v>
      </c>
      <c r="D384" s="1092">
        <v>0</v>
      </c>
      <c r="E384" s="1092">
        <v>0</v>
      </c>
      <c r="F384" s="1092">
        <v>0</v>
      </c>
      <c r="G384" s="1092">
        <v>0</v>
      </c>
      <c r="H384" s="1092">
        <v>0</v>
      </c>
      <c r="I384" s="1092">
        <v>0</v>
      </c>
      <c r="J384" s="1092">
        <v>0</v>
      </c>
      <c r="K384" s="1092">
        <v>0</v>
      </c>
      <c r="L384" s="1092">
        <v>0</v>
      </c>
      <c r="M384" s="1092">
        <v>0</v>
      </c>
      <c r="N384" s="27">
        <f t="shared" si="52"/>
        <v>0</v>
      </c>
    </row>
    <row r="385" spans="1:14">
      <c r="A385" s="78" t="s">
        <v>213</v>
      </c>
      <c r="B385" s="1092">
        <v>0</v>
      </c>
      <c r="C385" s="1092">
        <v>0</v>
      </c>
      <c r="D385" s="1092">
        <v>0</v>
      </c>
      <c r="E385" s="1092">
        <v>0</v>
      </c>
      <c r="F385" s="1092">
        <v>0</v>
      </c>
      <c r="G385" s="1092">
        <v>0</v>
      </c>
      <c r="H385" s="1092">
        <v>0</v>
      </c>
      <c r="I385" s="1092">
        <v>0</v>
      </c>
      <c r="J385" s="1092">
        <v>0</v>
      </c>
      <c r="K385" s="1092">
        <v>0</v>
      </c>
      <c r="L385" s="1092">
        <v>0</v>
      </c>
      <c r="M385" s="1092">
        <v>0</v>
      </c>
      <c r="N385" s="27">
        <f t="shared" si="52"/>
        <v>0</v>
      </c>
    </row>
    <row r="386" spans="1:14">
      <c r="A386" s="76" t="s">
        <v>267</v>
      </c>
      <c r="B386" s="1092">
        <v>0</v>
      </c>
      <c r="C386" s="1092">
        <v>0</v>
      </c>
      <c r="D386" s="1092">
        <v>0</v>
      </c>
      <c r="E386" s="1092">
        <v>0</v>
      </c>
      <c r="F386" s="1092">
        <v>0</v>
      </c>
      <c r="G386" s="1092">
        <v>0</v>
      </c>
      <c r="H386" s="1092">
        <v>0</v>
      </c>
      <c r="I386" s="1092">
        <v>0</v>
      </c>
      <c r="J386" s="1092">
        <v>0</v>
      </c>
      <c r="K386" s="1092">
        <v>0</v>
      </c>
      <c r="L386" s="1092">
        <v>0</v>
      </c>
      <c r="M386" s="1092">
        <v>0</v>
      </c>
      <c r="N386" s="27">
        <f t="shared" si="52"/>
        <v>0</v>
      </c>
    </row>
    <row r="387" spans="1:14" ht="14" thickBot="1">
      <c r="A387" s="78" t="s">
        <v>268</v>
      </c>
      <c r="B387" s="1092">
        <v>0</v>
      </c>
      <c r="C387" s="1092">
        <v>0</v>
      </c>
      <c r="D387" s="1092">
        <v>0</v>
      </c>
      <c r="E387" s="1092">
        <v>0</v>
      </c>
      <c r="F387" s="1092">
        <v>0</v>
      </c>
      <c r="G387" s="1092">
        <v>0</v>
      </c>
      <c r="H387" s="1092">
        <v>0</v>
      </c>
      <c r="I387" s="1092">
        <v>0</v>
      </c>
      <c r="J387" s="1092">
        <v>0</v>
      </c>
      <c r="K387" s="1092">
        <v>0</v>
      </c>
      <c r="L387" s="1092">
        <v>288</v>
      </c>
      <c r="M387" s="1092">
        <v>0</v>
      </c>
      <c r="N387" s="27">
        <f t="shared" si="52"/>
        <v>288</v>
      </c>
    </row>
    <row r="388" spans="1:14" ht="14" thickBot="1">
      <c r="A388" s="38" t="s">
        <v>192</v>
      </c>
      <c r="B388" s="39"/>
      <c r="C388" s="39"/>
      <c r="D388" s="39"/>
      <c r="E388" s="39"/>
      <c r="F388" s="39"/>
      <c r="G388" s="39"/>
      <c r="H388" s="39"/>
      <c r="I388" s="39"/>
      <c r="J388" s="39"/>
      <c r="K388" s="39"/>
      <c r="L388" s="39"/>
      <c r="M388" s="39"/>
      <c r="N388" s="40"/>
    </row>
    <row r="389" spans="1:14" ht="14" thickBot="1">
      <c r="A389" s="32" t="s">
        <v>165</v>
      </c>
      <c r="B389" s="1092">
        <v>0</v>
      </c>
      <c r="C389" s="1092">
        <v>0</v>
      </c>
      <c r="D389" s="1092">
        <v>0</v>
      </c>
      <c r="E389" s="1092">
        <v>0</v>
      </c>
      <c r="F389" s="1092">
        <v>0</v>
      </c>
      <c r="G389" s="1092">
        <v>0</v>
      </c>
      <c r="H389" s="1092">
        <v>0</v>
      </c>
      <c r="I389" s="1092">
        <v>0</v>
      </c>
      <c r="J389" s="1092">
        <v>0</v>
      </c>
      <c r="K389" s="1092">
        <v>0</v>
      </c>
      <c r="L389" s="1092">
        <v>0</v>
      </c>
      <c r="M389" s="1092">
        <v>0</v>
      </c>
      <c r="N389" s="27">
        <f>SUM(B389:M389)</f>
        <v>0</v>
      </c>
    </row>
    <row r="390" spans="1:14" ht="14" thickBot="1">
      <c r="A390" s="53" t="s">
        <v>60</v>
      </c>
      <c r="B390" s="55">
        <f t="shared" ref="B390:M390" si="53">SUM(B376:B389)</f>
        <v>0</v>
      </c>
      <c r="C390" s="55">
        <f t="shared" si="53"/>
        <v>0</v>
      </c>
      <c r="D390" s="55">
        <f t="shared" si="53"/>
        <v>0</v>
      </c>
      <c r="E390" s="55">
        <f t="shared" si="53"/>
        <v>0</v>
      </c>
      <c r="F390" s="55">
        <f t="shared" si="53"/>
        <v>0</v>
      </c>
      <c r="G390" s="55">
        <f t="shared" si="53"/>
        <v>0</v>
      </c>
      <c r="H390" s="55">
        <f t="shared" si="53"/>
        <v>0</v>
      </c>
      <c r="I390" s="55">
        <f t="shared" si="53"/>
        <v>0</v>
      </c>
      <c r="J390" s="55">
        <f t="shared" si="53"/>
        <v>0</v>
      </c>
      <c r="K390" s="55">
        <f t="shared" si="53"/>
        <v>0</v>
      </c>
      <c r="L390" s="55">
        <f t="shared" si="53"/>
        <v>288</v>
      </c>
      <c r="M390" s="55">
        <f t="shared" si="53"/>
        <v>0</v>
      </c>
      <c r="N390" s="54"/>
    </row>
    <row r="392" spans="1:14" ht="14" thickBot="1">
      <c r="B392" s="43" t="s">
        <v>35</v>
      </c>
      <c r="C392" s="43" t="s">
        <v>36</v>
      </c>
      <c r="D392" s="43" t="s">
        <v>37</v>
      </c>
      <c r="E392" s="43" t="s">
        <v>38</v>
      </c>
      <c r="F392" s="43" t="s">
        <v>39</v>
      </c>
      <c r="G392" s="43" t="s">
        <v>40</v>
      </c>
      <c r="H392" s="43" t="s">
        <v>41</v>
      </c>
      <c r="I392" s="43" t="s">
        <v>42</v>
      </c>
      <c r="J392" s="43" t="s">
        <v>43</v>
      </c>
      <c r="K392" s="43" t="s">
        <v>44</v>
      </c>
      <c r="L392" s="43" t="s">
        <v>45</v>
      </c>
      <c r="M392" s="43" t="s">
        <v>46</v>
      </c>
      <c r="N392" s="43" t="s">
        <v>10</v>
      </c>
    </row>
    <row r="393" spans="1:14" ht="17" thickBot="1">
      <c r="A393" s="31" t="s">
        <v>392</v>
      </c>
      <c r="B393" s="24"/>
      <c r="C393" s="24"/>
      <c r="D393" s="22"/>
      <c r="E393" s="22"/>
      <c r="F393" s="25"/>
      <c r="G393" s="25"/>
      <c r="H393" s="22"/>
      <c r="I393" s="22"/>
      <c r="J393" s="22"/>
      <c r="K393" s="22"/>
      <c r="L393" s="24"/>
      <c r="M393" s="24"/>
      <c r="N393" s="26"/>
    </row>
    <row r="394" spans="1:14" ht="14" thickBot="1">
      <c r="A394" s="38" t="s">
        <v>189</v>
      </c>
      <c r="B394" s="39"/>
      <c r="C394" s="39"/>
      <c r="D394" s="39"/>
      <c r="E394" s="39"/>
      <c r="F394" s="39"/>
      <c r="G394" s="39"/>
      <c r="H394" s="39"/>
      <c r="I394" s="39"/>
      <c r="J394" s="39"/>
      <c r="K394" s="39"/>
      <c r="L394" s="39"/>
      <c r="M394" s="39"/>
      <c r="N394" s="40"/>
    </row>
    <row r="395" spans="1:14">
      <c r="A395" s="32" t="s">
        <v>29</v>
      </c>
      <c r="B395" s="1092">
        <v>0</v>
      </c>
      <c r="C395" s="1092">
        <v>0</v>
      </c>
      <c r="D395" s="1092">
        <v>2</v>
      </c>
      <c r="E395" s="1092">
        <v>0</v>
      </c>
      <c r="F395" s="1092">
        <v>0</v>
      </c>
      <c r="G395" s="1092">
        <v>0</v>
      </c>
      <c r="H395" s="1092">
        <v>3</v>
      </c>
      <c r="I395" s="1092">
        <v>0</v>
      </c>
      <c r="J395" s="1092">
        <v>0</v>
      </c>
      <c r="K395" s="1092">
        <v>4</v>
      </c>
      <c r="L395" s="1092">
        <v>0</v>
      </c>
      <c r="M395" s="1092">
        <v>3</v>
      </c>
      <c r="N395" s="27">
        <f t="shared" ref="N395:N402" si="54">SUM(B395:M395)</f>
        <v>12</v>
      </c>
    </row>
    <row r="396" spans="1:14">
      <c r="A396" s="32" t="s">
        <v>33</v>
      </c>
      <c r="B396" s="1092">
        <v>4</v>
      </c>
      <c r="C396" s="1092">
        <v>2</v>
      </c>
      <c r="D396" s="1092">
        <v>12</v>
      </c>
      <c r="E396" s="1092">
        <v>2</v>
      </c>
      <c r="F396" s="1092">
        <v>3</v>
      </c>
      <c r="G396" s="1092">
        <v>5</v>
      </c>
      <c r="H396" s="1092">
        <v>6</v>
      </c>
      <c r="I396" s="1092">
        <v>9</v>
      </c>
      <c r="J396" s="1092">
        <v>6</v>
      </c>
      <c r="K396" s="1092">
        <v>8</v>
      </c>
      <c r="L396" s="1092">
        <v>4</v>
      </c>
      <c r="M396" s="1092">
        <v>8</v>
      </c>
      <c r="N396" s="27">
        <f t="shared" si="54"/>
        <v>69</v>
      </c>
    </row>
    <row r="397" spans="1:14">
      <c r="A397" s="32" t="s">
        <v>56</v>
      </c>
      <c r="B397" s="1092">
        <v>0</v>
      </c>
      <c r="C397" s="1092">
        <v>0</v>
      </c>
      <c r="D397" s="1092">
        <v>0</v>
      </c>
      <c r="E397" s="1092">
        <v>0</v>
      </c>
      <c r="F397" s="1092">
        <v>0</v>
      </c>
      <c r="G397" s="1092">
        <v>0</v>
      </c>
      <c r="H397" s="1092">
        <v>0</v>
      </c>
      <c r="I397" s="1092">
        <v>0</v>
      </c>
      <c r="J397" s="1092">
        <v>0</v>
      </c>
      <c r="K397" s="1092">
        <v>0</v>
      </c>
      <c r="L397" s="1092">
        <v>0</v>
      </c>
      <c r="M397" s="1092">
        <v>0</v>
      </c>
      <c r="N397" s="27">
        <f t="shared" si="54"/>
        <v>0</v>
      </c>
    </row>
    <row r="398" spans="1:14">
      <c r="A398" s="78" t="s">
        <v>30</v>
      </c>
      <c r="B398" s="1092">
        <v>10</v>
      </c>
      <c r="C398" s="1092">
        <v>11</v>
      </c>
      <c r="D398" s="1092">
        <v>12</v>
      </c>
      <c r="E398" s="1092">
        <v>2</v>
      </c>
      <c r="F398" s="1092">
        <v>0</v>
      </c>
      <c r="G398" s="1092">
        <v>9</v>
      </c>
      <c r="H398" s="1092">
        <v>5</v>
      </c>
      <c r="I398" s="1092">
        <v>4</v>
      </c>
      <c r="J398" s="1092">
        <v>5</v>
      </c>
      <c r="K398" s="1092">
        <v>2</v>
      </c>
      <c r="L398" s="1092">
        <v>8</v>
      </c>
      <c r="M398" s="1092">
        <v>11</v>
      </c>
      <c r="N398" s="27">
        <f t="shared" si="54"/>
        <v>79</v>
      </c>
    </row>
    <row r="399" spans="1:14">
      <c r="A399" s="76" t="s">
        <v>213</v>
      </c>
      <c r="B399" s="1092">
        <v>0</v>
      </c>
      <c r="C399" s="1092">
        <v>0</v>
      </c>
      <c r="D399" s="1092">
        <v>0</v>
      </c>
      <c r="E399" s="1092">
        <v>0</v>
      </c>
      <c r="F399" s="1092">
        <v>0</v>
      </c>
      <c r="G399" s="1092">
        <v>0</v>
      </c>
      <c r="H399" s="1092">
        <v>0</v>
      </c>
      <c r="I399" s="1092">
        <v>0</v>
      </c>
      <c r="J399" s="1092">
        <v>1</v>
      </c>
      <c r="K399" s="1092">
        <v>0</v>
      </c>
      <c r="L399" s="1092">
        <v>0</v>
      </c>
      <c r="M399" s="1092">
        <v>1</v>
      </c>
      <c r="N399" s="27">
        <f t="shared" si="54"/>
        <v>2</v>
      </c>
    </row>
    <row r="400" spans="1:14">
      <c r="A400" s="76" t="s">
        <v>212</v>
      </c>
      <c r="B400" s="1092">
        <v>0</v>
      </c>
      <c r="C400" s="1092">
        <v>0</v>
      </c>
      <c r="D400" s="1092">
        <v>0</v>
      </c>
      <c r="E400" s="1092">
        <v>0</v>
      </c>
      <c r="F400" s="1092">
        <v>0</v>
      </c>
      <c r="G400" s="1092">
        <v>0</v>
      </c>
      <c r="H400" s="1092">
        <v>0</v>
      </c>
      <c r="I400" s="1092">
        <v>0</v>
      </c>
      <c r="J400" s="1092">
        <v>0</v>
      </c>
      <c r="K400" s="1092">
        <v>0</v>
      </c>
      <c r="L400" s="1092">
        <v>0</v>
      </c>
      <c r="M400" s="1092">
        <v>0</v>
      </c>
      <c r="N400" s="27">
        <f t="shared" si="54"/>
        <v>0</v>
      </c>
    </row>
    <row r="401" spans="1:14">
      <c r="A401" s="76" t="s">
        <v>331</v>
      </c>
      <c r="B401" s="1092">
        <v>0</v>
      </c>
      <c r="C401" s="1092">
        <v>0</v>
      </c>
      <c r="D401" s="1092">
        <v>0</v>
      </c>
      <c r="E401" s="1092">
        <v>0</v>
      </c>
      <c r="F401" s="1092">
        <v>0</v>
      </c>
      <c r="G401" s="1092">
        <v>0</v>
      </c>
      <c r="H401" s="1092">
        <v>0</v>
      </c>
      <c r="I401" s="1092">
        <v>0</v>
      </c>
      <c r="J401" s="1092">
        <v>0</v>
      </c>
      <c r="K401" s="1092">
        <v>0</v>
      </c>
      <c r="L401" s="1092">
        <v>0</v>
      </c>
      <c r="M401" s="1092">
        <v>0</v>
      </c>
      <c r="N401" s="27">
        <f t="shared" si="54"/>
        <v>0</v>
      </c>
    </row>
    <row r="402" spans="1:14" ht="14" thickBot="1">
      <c r="A402" s="76" t="s">
        <v>267</v>
      </c>
      <c r="B402" s="1092">
        <v>0</v>
      </c>
      <c r="C402" s="1092">
        <v>0</v>
      </c>
      <c r="D402" s="1092">
        <v>0</v>
      </c>
      <c r="E402" s="1092">
        <v>0</v>
      </c>
      <c r="F402" s="1092">
        <v>0</v>
      </c>
      <c r="G402" s="1092">
        <v>0</v>
      </c>
      <c r="H402" s="1092">
        <v>0</v>
      </c>
      <c r="I402" s="1092">
        <v>0</v>
      </c>
      <c r="J402" s="1092">
        <v>0</v>
      </c>
      <c r="K402" s="1092">
        <v>0</v>
      </c>
      <c r="L402" s="1092">
        <v>0</v>
      </c>
      <c r="M402" s="1092">
        <v>0</v>
      </c>
      <c r="N402" s="27">
        <f t="shared" si="54"/>
        <v>0</v>
      </c>
    </row>
    <row r="403" spans="1:14" ht="14" thickBot="1">
      <c r="A403" s="38" t="s">
        <v>190</v>
      </c>
      <c r="B403" s="39"/>
      <c r="C403" s="39"/>
      <c r="D403" s="39"/>
      <c r="E403" s="39"/>
      <c r="F403" s="39"/>
      <c r="G403" s="39"/>
      <c r="H403" s="39"/>
      <c r="I403" s="39"/>
      <c r="J403" s="39"/>
      <c r="K403" s="39"/>
      <c r="L403" s="39"/>
      <c r="M403" s="39"/>
      <c r="N403" s="280"/>
    </row>
    <row r="404" spans="1:14">
      <c r="A404" s="76" t="s">
        <v>393</v>
      </c>
      <c r="B404" s="1092">
        <v>0</v>
      </c>
      <c r="C404" s="1092">
        <v>0</v>
      </c>
      <c r="D404" s="1092">
        <v>0</v>
      </c>
      <c r="E404" s="1092">
        <v>0</v>
      </c>
      <c r="F404" s="1092">
        <v>0</v>
      </c>
      <c r="G404" s="1092">
        <v>0</v>
      </c>
      <c r="H404" s="1092">
        <v>0</v>
      </c>
      <c r="I404" s="1092">
        <v>0</v>
      </c>
      <c r="J404" s="1092">
        <v>4</v>
      </c>
      <c r="K404" s="1092">
        <v>2</v>
      </c>
      <c r="L404" s="1092">
        <v>5</v>
      </c>
      <c r="M404" s="1092">
        <v>2</v>
      </c>
      <c r="N404" s="27">
        <f>SUM(B404:M404)</f>
        <v>13</v>
      </c>
    </row>
    <row r="405" spans="1:14">
      <c r="A405" s="76" t="s">
        <v>166</v>
      </c>
      <c r="B405" s="1092">
        <v>0</v>
      </c>
      <c r="C405" s="1092">
        <v>0</v>
      </c>
      <c r="D405" s="1092">
        <v>0</v>
      </c>
      <c r="E405" s="1092">
        <v>1</v>
      </c>
      <c r="F405" s="1092">
        <v>0</v>
      </c>
      <c r="G405" s="1092">
        <v>0</v>
      </c>
      <c r="H405" s="1092">
        <v>0</v>
      </c>
      <c r="I405" s="1092">
        <v>0</v>
      </c>
      <c r="J405" s="1092">
        <v>1</v>
      </c>
      <c r="K405" s="1092">
        <v>1</v>
      </c>
      <c r="L405" s="1092">
        <v>0</v>
      </c>
      <c r="M405" s="1092">
        <v>6</v>
      </c>
      <c r="N405" s="27">
        <f>SUM(B405:M405)</f>
        <v>9</v>
      </c>
    </row>
    <row r="406" spans="1:14">
      <c r="A406" s="76" t="s">
        <v>336</v>
      </c>
      <c r="B406" s="1092">
        <v>3</v>
      </c>
      <c r="C406" s="1092">
        <v>2</v>
      </c>
      <c r="D406" s="1092">
        <v>0</v>
      </c>
      <c r="E406" s="1092">
        <v>0</v>
      </c>
      <c r="F406" s="1092">
        <v>0</v>
      </c>
      <c r="G406" s="1092">
        <v>0</v>
      </c>
      <c r="H406" s="1092">
        <v>0</v>
      </c>
      <c r="I406" s="1092">
        <v>1</v>
      </c>
      <c r="J406" s="1092">
        <v>1</v>
      </c>
      <c r="K406" s="1092">
        <v>0</v>
      </c>
      <c r="L406" s="1092">
        <v>5</v>
      </c>
      <c r="M406" s="1092">
        <v>12</v>
      </c>
      <c r="N406" s="27">
        <f>SUM(B406:M406)</f>
        <v>24</v>
      </c>
    </row>
    <row r="407" spans="1:14" ht="14" thickBot="1">
      <c r="A407" s="76" t="s">
        <v>266</v>
      </c>
      <c r="B407" s="1092">
        <v>18</v>
      </c>
      <c r="C407" s="1092">
        <v>7</v>
      </c>
      <c r="D407" s="1092">
        <v>12</v>
      </c>
      <c r="E407" s="1092">
        <v>12</v>
      </c>
      <c r="F407" s="1092">
        <v>6</v>
      </c>
      <c r="G407" s="1092">
        <v>6</v>
      </c>
      <c r="H407" s="1092">
        <v>8</v>
      </c>
      <c r="I407" s="1092">
        <v>8</v>
      </c>
      <c r="J407" s="1092">
        <v>1</v>
      </c>
      <c r="K407" s="1092">
        <v>3</v>
      </c>
      <c r="L407" s="1092">
        <v>6</v>
      </c>
      <c r="M407" s="1092">
        <v>5</v>
      </c>
      <c r="N407" s="27">
        <f>SUM(B407:M407)</f>
        <v>92</v>
      </c>
    </row>
    <row r="408" spans="1:14" ht="14" thickBot="1">
      <c r="A408" s="53" t="s">
        <v>60</v>
      </c>
      <c r="B408" s="55"/>
      <c r="C408" s="55"/>
      <c r="D408" s="55"/>
      <c r="E408" s="55"/>
      <c r="F408" s="55"/>
      <c r="G408" s="55"/>
      <c r="H408" s="55"/>
      <c r="I408" s="55"/>
      <c r="J408" s="55"/>
      <c r="K408" s="55"/>
      <c r="L408" s="55"/>
      <c r="M408" s="55"/>
      <c r="N408" s="54"/>
    </row>
    <row r="409" spans="1:14" ht="14" thickBot="1">
      <c r="A409" s="38" t="s">
        <v>194</v>
      </c>
      <c r="B409" s="39"/>
      <c r="C409" s="39"/>
      <c r="D409" s="39"/>
      <c r="E409" s="39"/>
      <c r="F409" s="39"/>
      <c r="G409" s="39"/>
      <c r="H409" s="39"/>
      <c r="I409" s="39"/>
      <c r="J409" s="39"/>
      <c r="K409" s="39"/>
      <c r="L409" s="39"/>
      <c r="M409" s="39"/>
      <c r="N409" s="40"/>
    </row>
    <row r="410" spans="1:14">
      <c r="A410" s="32" t="s">
        <v>29</v>
      </c>
      <c r="B410" s="1092">
        <v>0</v>
      </c>
      <c r="C410" s="1092">
        <v>0</v>
      </c>
      <c r="D410" s="1092">
        <v>0</v>
      </c>
      <c r="E410" s="1092">
        <v>0</v>
      </c>
      <c r="F410" s="1092">
        <v>0</v>
      </c>
      <c r="G410" s="1092">
        <v>0</v>
      </c>
      <c r="H410" s="1092">
        <v>0</v>
      </c>
      <c r="I410" s="1092">
        <v>0</v>
      </c>
      <c r="J410" s="1092">
        <v>0</v>
      </c>
      <c r="K410" s="1092">
        <v>0</v>
      </c>
      <c r="L410" s="1092">
        <v>0</v>
      </c>
      <c r="M410" s="1092">
        <v>0</v>
      </c>
      <c r="N410" s="27">
        <f t="shared" ref="N410:N421" si="55">SUM(B410:M410)</f>
        <v>0</v>
      </c>
    </row>
    <row r="411" spans="1:14">
      <c r="A411" s="78" t="s">
        <v>264</v>
      </c>
      <c r="B411" s="1092">
        <v>0</v>
      </c>
      <c r="C411" s="1092">
        <v>0</v>
      </c>
      <c r="D411" s="1092">
        <v>0</v>
      </c>
      <c r="E411" s="1092">
        <v>0</v>
      </c>
      <c r="F411" s="1092">
        <v>0</v>
      </c>
      <c r="G411" s="1092">
        <v>0</v>
      </c>
      <c r="H411" s="1092">
        <v>0</v>
      </c>
      <c r="I411" s="1092">
        <v>0</v>
      </c>
      <c r="J411" s="1092">
        <v>0</v>
      </c>
      <c r="K411" s="1092">
        <v>0</v>
      </c>
      <c r="L411" s="1092">
        <v>0</v>
      </c>
      <c r="M411" s="1092">
        <v>0</v>
      </c>
      <c r="N411" s="27">
        <f t="shared" si="55"/>
        <v>0</v>
      </c>
    </row>
    <row r="412" spans="1:14">
      <c r="A412" s="34" t="s">
        <v>204</v>
      </c>
      <c r="B412" s="1092">
        <v>0</v>
      </c>
      <c r="C412" s="1092">
        <v>0</v>
      </c>
      <c r="D412" s="1092">
        <v>0</v>
      </c>
      <c r="E412" s="1092">
        <v>0</v>
      </c>
      <c r="F412" s="1092">
        <v>0</v>
      </c>
      <c r="G412" s="1092">
        <v>0</v>
      </c>
      <c r="H412" s="1092">
        <v>0</v>
      </c>
      <c r="I412" s="1092">
        <v>0</v>
      </c>
      <c r="J412" s="1092">
        <v>0</v>
      </c>
      <c r="K412" s="1092">
        <v>0</v>
      </c>
      <c r="L412" s="1092">
        <v>0</v>
      </c>
      <c r="M412" s="1092">
        <v>0</v>
      </c>
      <c r="N412" s="27">
        <f t="shared" si="55"/>
        <v>0</v>
      </c>
    </row>
    <row r="413" spans="1:14">
      <c r="A413" s="76" t="s">
        <v>30</v>
      </c>
      <c r="B413" s="1092">
        <v>0</v>
      </c>
      <c r="C413" s="1092">
        <v>4</v>
      </c>
      <c r="D413" s="1092">
        <v>3</v>
      </c>
      <c r="E413" s="1092">
        <v>4</v>
      </c>
      <c r="F413" s="1092">
        <v>3</v>
      </c>
      <c r="G413" s="1092">
        <v>0</v>
      </c>
      <c r="H413" s="1092">
        <v>0</v>
      </c>
      <c r="I413" s="1092">
        <v>0</v>
      </c>
      <c r="J413" s="1092">
        <v>0</v>
      </c>
      <c r="K413" s="1092">
        <v>0</v>
      </c>
      <c r="L413" s="1092">
        <v>1</v>
      </c>
      <c r="M413" s="1092">
        <v>0</v>
      </c>
      <c r="N413" s="27">
        <f t="shared" si="55"/>
        <v>15</v>
      </c>
    </row>
    <row r="414" spans="1:14">
      <c r="A414" s="32" t="s">
        <v>56</v>
      </c>
      <c r="B414" s="1092">
        <v>0</v>
      </c>
      <c r="C414" s="1092">
        <v>0</v>
      </c>
      <c r="D414" s="1092">
        <v>0</v>
      </c>
      <c r="E414" s="1092">
        <v>0</v>
      </c>
      <c r="F414" s="1092">
        <v>0</v>
      </c>
      <c r="G414" s="1092">
        <v>0</v>
      </c>
      <c r="H414" s="1092">
        <v>0</v>
      </c>
      <c r="I414" s="1092">
        <v>0</v>
      </c>
      <c r="J414" s="1092">
        <v>0</v>
      </c>
      <c r="K414" s="1092">
        <v>0</v>
      </c>
      <c r="L414" s="1092">
        <v>0</v>
      </c>
      <c r="M414" s="1092">
        <v>0</v>
      </c>
      <c r="N414" s="27">
        <f t="shared" si="55"/>
        <v>0</v>
      </c>
    </row>
    <row r="415" spans="1:14">
      <c r="A415" s="78" t="s">
        <v>122</v>
      </c>
      <c r="B415" s="1092">
        <v>0</v>
      </c>
      <c r="C415" s="1092">
        <v>0</v>
      </c>
      <c r="D415" s="1092">
        <v>0</v>
      </c>
      <c r="E415" s="1092">
        <v>0</v>
      </c>
      <c r="F415" s="1092">
        <v>0</v>
      </c>
      <c r="G415" s="1092">
        <v>0</v>
      </c>
      <c r="H415" s="1092">
        <v>0</v>
      </c>
      <c r="I415" s="1092">
        <v>0</v>
      </c>
      <c r="J415" s="1092">
        <v>0</v>
      </c>
      <c r="K415" s="1092">
        <v>0</v>
      </c>
      <c r="L415" s="1092">
        <v>0</v>
      </c>
      <c r="M415" s="1092">
        <v>0</v>
      </c>
      <c r="N415" s="27">
        <f t="shared" si="55"/>
        <v>0</v>
      </c>
    </row>
    <row r="416" spans="1:14">
      <c r="A416" s="78" t="s">
        <v>184</v>
      </c>
      <c r="B416" s="1092">
        <v>0</v>
      </c>
      <c r="C416" s="1092">
        <v>0</v>
      </c>
      <c r="D416" s="1092">
        <v>0</v>
      </c>
      <c r="E416" s="1092">
        <v>0</v>
      </c>
      <c r="F416" s="1092">
        <v>0</v>
      </c>
      <c r="G416" s="1092">
        <v>0</v>
      </c>
      <c r="H416" s="1092">
        <v>0</v>
      </c>
      <c r="I416" s="1092">
        <v>0</v>
      </c>
      <c r="J416" s="1092">
        <v>0</v>
      </c>
      <c r="K416" s="1092">
        <v>0</v>
      </c>
      <c r="L416" s="1092">
        <v>0</v>
      </c>
      <c r="M416" s="1092">
        <v>0</v>
      </c>
      <c r="N416" s="27">
        <f t="shared" si="55"/>
        <v>0</v>
      </c>
    </row>
    <row r="417" spans="1:14">
      <c r="A417" s="78" t="s">
        <v>187</v>
      </c>
      <c r="B417" s="1092">
        <v>0</v>
      </c>
      <c r="C417" s="1092">
        <v>0</v>
      </c>
      <c r="D417" s="1092">
        <v>0</v>
      </c>
      <c r="E417" s="1092">
        <v>0</v>
      </c>
      <c r="F417" s="1092">
        <v>0</v>
      </c>
      <c r="G417" s="1092">
        <v>0</v>
      </c>
      <c r="H417" s="1092">
        <v>0</v>
      </c>
      <c r="I417" s="1092">
        <v>0</v>
      </c>
      <c r="J417" s="1092">
        <v>0</v>
      </c>
      <c r="K417" s="1092">
        <v>0</v>
      </c>
      <c r="L417" s="1092">
        <v>0</v>
      </c>
      <c r="M417" s="1092">
        <v>0</v>
      </c>
      <c r="N417" s="27">
        <f t="shared" si="55"/>
        <v>0</v>
      </c>
    </row>
    <row r="418" spans="1:14">
      <c r="A418" s="78" t="s">
        <v>188</v>
      </c>
      <c r="B418" s="1092">
        <v>0</v>
      </c>
      <c r="C418" s="1092">
        <v>0</v>
      </c>
      <c r="D418" s="1092">
        <v>0</v>
      </c>
      <c r="E418" s="1092">
        <v>0</v>
      </c>
      <c r="F418" s="1092">
        <v>0</v>
      </c>
      <c r="G418" s="1092">
        <v>0</v>
      </c>
      <c r="H418" s="1092">
        <v>0</v>
      </c>
      <c r="I418" s="1092">
        <v>0</v>
      </c>
      <c r="J418" s="1092">
        <v>0</v>
      </c>
      <c r="K418" s="1092">
        <v>0</v>
      </c>
      <c r="L418" s="1092">
        <v>0</v>
      </c>
      <c r="M418" s="1092">
        <v>0</v>
      </c>
      <c r="N418" s="27">
        <f t="shared" si="55"/>
        <v>0</v>
      </c>
    </row>
    <row r="419" spans="1:14">
      <c r="A419" s="78" t="s">
        <v>213</v>
      </c>
      <c r="B419" s="1092">
        <v>0</v>
      </c>
      <c r="C419" s="1092">
        <v>0</v>
      </c>
      <c r="D419" s="1092">
        <v>0</v>
      </c>
      <c r="E419" s="1092">
        <v>0</v>
      </c>
      <c r="F419" s="1092">
        <v>0</v>
      </c>
      <c r="G419" s="1092">
        <v>0</v>
      </c>
      <c r="H419" s="1092">
        <v>0</v>
      </c>
      <c r="I419" s="1092">
        <v>0</v>
      </c>
      <c r="J419" s="1092">
        <v>0</v>
      </c>
      <c r="K419" s="1092">
        <v>0</v>
      </c>
      <c r="L419" s="1092">
        <v>0</v>
      </c>
      <c r="M419" s="1092">
        <v>0</v>
      </c>
      <c r="N419" s="27">
        <f t="shared" si="55"/>
        <v>0</v>
      </c>
    </row>
    <row r="420" spans="1:14">
      <c r="A420" s="76" t="s">
        <v>267</v>
      </c>
      <c r="B420" s="1092">
        <v>0</v>
      </c>
      <c r="C420" s="1092">
        <v>0</v>
      </c>
      <c r="D420" s="1092">
        <v>0</v>
      </c>
      <c r="E420" s="1092">
        <v>0</v>
      </c>
      <c r="F420" s="1092">
        <v>0</v>
      </c>
      <c r="G420" s="1092">
        <v>0</v>
      </c>
      <c r="H420" s="1092">
        <v>0</v>
      </c>
      <c r="I420" s="1092">
        <v>0</v>
      </c>
      <c r="J420" s="1092">
        <v>0</v>
      </c>
      <c r="K420" s="1092">
        <v>0</v>
      </c>
      <c r="L420" s="1092">
        <v>0</v>
      </c>
      <c r="M420" s="1092">
        <v>0</v>
      </c>
      <c r="N420" s="27">
        <f t="shared" si="55"/>
        <v>0</v>
      </c>
    </row>
    <row r="421" spans="1:14" ht="14" thickBot="1">
      <c r="A421" s="78" t="s">
        <v>268</v>
      </c>
      <c r="B421" s="1092">
        <v>0</v>
      </c>
      <c r="C421" s="1092">
        <v>0</v>
      </c>
      <c r="D421" s="1092">
        <v>0</v>
      </c>
      <c r="E421" s="1092">
        <v>0</v>
      </c>
      <c r="F421" s="1092">
        <v>0</v>
      </c>
      <c r="G421" s="1092">
        <v>0</v>
      </c>
      <c r="H421" s="1092">
        <v>0</v>
      </c>
      <c r="I421" s="1092">
        <v>0</v>
      </c>
      <c r="J421" s="1092">
        <v>0</v>
      </c>
      <c r="K421" s="1092">
        <v>0</v>
      </c>
      <c r="L421" s="1092">
        <v>0</v>
      </c>
      <c r="M421" s="1092">
        <v>0</v>
      </c>
      <c r="N421" s="27">
        <f t="shared" si="55"/>
        <v>0</v>
      </c>
    </row>
    <row r="422" spans="1:14" ht="14" thickBot="1">
      <c r="A422" s="38" t="s">
        <v>192</v>
      </c>
      <c r="B422" s="39"/>
      <c r="C422" s="39"/>
      <c r="D422" s="39"/>
      <c r="E422" s="39"/>
      <c r="F422" s="39"/>
      <c r="G422" s="39"/>
      <c r="H422" s="39"/>
      <c r="I422" s="39"/>
      <c r="J422" s="39"/>
      <c r="K422" s="39"/>
      <c r="L422" s="39"/>
      <c r="M422" s="39"/>
      <c r="N422" s="40"/>
    </row>
    <row r="423" spans="1:14" ht="14" thickBot="1">
      <c r="A423" s="76" t="s">
        <v>193</v>
      </c>
      <c r="B423" s="1092"/>
      <c r="C423" s="1092"/>
      <c r="D423" s="1092"/>
      <c r="E423" s="1092"/>
      <c r="F423" s="1092"/>
      <c r="G423" s="1092"/>
      <c r="H423" s="1092"/>
      <c r="I423" s="1092"/>
      <c r="J423" s="1092"/>
      <c r="K423" s="1092"/>
      <c r="L423" s="1092"/>
      <c r="M423" s="1092"/>
      <c r="N423" s="27">
        <f>SUM(B423:M423)</f>
        <v>0</v>
      </c>
    </row>
    <row r="424" spans="1:14" ht="14" thickBot="1">
      <c r="A424" s="53" t="s">
        <v>60</v>
      </c>
      <c r="B424" s="55">
        <f t="shared" ref="B424:M424" si="56">SUM(B410:B423)</f>
        <v>0</v>
      </c>
      <c r="C424" s="55">
        <f t="shared" si="56"/>
        <v>4</v>
      </c>
      <c r="D424" s="55">
        <f t="shared" si="56"/>
        <v>3</v>
      </c>
      <c r="E424" s="55">
        <f t="shared" si="56"/>
        <v>4</v>
      </c>
      <c r="F424" s="55">
        <f t="shared" si="56"/>
        <v>3</v>
      </c>
      <c r="G424" s="55">
        <f t="shared" si="56"/>
        <v>0</v>
      </c>
      <c r="H424" s="55">
        <f t="shared" si="56"/>
        <v>0</v>
      </c>
      <c r="I424" s="55">
        <f t="shared" si="56"/>
        <v>0</v>
      </c>
      <c r="J424" s="55">
        <f t="shared" si="56"/>
        <v>0</v>
      </c>
      <c r="K424" s="55">
        <f t="shared" si="56"/>
        <v>0</v>
      </c>
      <c r="L424" s="55">
        <f t="shared" si="56"/>
        <v>1</v>
      </c>
      <c r="M424" s="55">
        <f t="shared" si="56"/>
        <v>0</v>
      </c>
      <c r="N424" s="54"/>
    </row>
    <row r="426" spans="1:14" ht="14" thickBot="1">
      <c r="B426" s="43" t="s">
        <v>35</v>
      </c>
      <c r="C426" s="43" t="s">
        <v>36</v>
      </c>
      <c r="D426" s="43" t="s">
        <v>37</v>
      </c>
      <c r="E426" s="43" t="s">
        <v>38</v>
      </c>
      <c r="F426" s="43" t="s">
        <v>39</v>
      </c>
      <c r="G426" s="43" t="s">
        <v>40</v>
      </c>
      <c r="H426" s="43" t="s">
        <v>41</v>
      </c>
      <c r="I426" s="43" t="s">
        <v>42</v>
      </c>
      <c r="J426" s="43" t="s">
        <v>43</v>
      </c>
      <c r="K426" s="43" t="s">
        <v>44</v>
      </c>
      <c r="L426" s="43" t="s">
        <v>45</v>
      </c>
      <c r="M426" s="43" t="s">
        <v>46</v>
      </c>
      <c r="N426" s="43" t="s">
        <v>10</v>
      </c>
    </row>
    <row r="427" spans="1:14" ht="17" thickBot="1">
      <c r="A427" s="31" t="s">
        <v>434</v>
      </c>
      <c r="B427" s="24"/>
      <c r="C427" s="24"/>
      <c r="D427" s="22"/>
      <c r="E427" s="22"/>
      <c r="F427" s="25"/>
      <c r="G427" s="25"/>
      <c r="H427" s="22"/>
      <c r="I427" s="22"/>
      <c r="J427" s="22"/>
      <c r="K427" s="22"/>
      <c r="L427" s="24"/>
      <c r="M427" s="24"/>
      <c r="N427" s="26"/>
    </row>
    <row r="428" spans="1:14" ht="14" thickBot="1">
      <c r="A428" s="38" t="s">
        <v>189</v>
      </c>
      <c r="B428" s="39"/>
      <c r="C428" s="39"/>
      <c r="D428" s="39"/>
      <c r="E428" s="39"/>
      <c r="F428" s="39"/>
      <c r="G428" s="39"/>
      <c r="H428" s="39"/>
      <c r="I428" s="39"/>
      <c r="J428" s="39"/>
      <c r="K428" s="39"/>
      <c r="L428" s="39"/>
      <c r="M428" s="39"/>
      <c r="N428" s="40"/>
    </row>
    <row r="429" spans="1:14">
      <c r="A429" s="32" t="s">
        <v>29</v>
      </c>
      <c r="B429" s="1092"/>
      <c r="C429" s="1092">
        <v>2</v>
      </c>
      <c r="D429" s="1092"/>
      <c r="E429" s="1092"/>
      <c r="F429" s="1092"/>
      <c r="G429" s="1092"/>
      <c r="H429" s="1092">
        <v>2</v>
      </c>
      <c r="I429" s="1092"/>
      <c r="J429" s="1092"/>
      <c r="K429" s="1092"/>
      <c r="L429" s="1092"/>
      <c r="M429" s="1092"/>
      <c r="N429" s="27">
        <f t="shared" ref="N429:N436" si="57">SUM(B429:M429)</f>
        <v>4</v>
      </c>
    </row>
    <row r="430" spans="1:14">
      <c r="A430" s="32" t="s">
        <v>33</v>
      </c>
      <c r="B430" s="1092">
        <v>1</v>
      </c>
      <c r="C430" s="1092">
        <v>8</v>
      </c>
      <c r="D430" s="1092">
        <v>5</v>
      </c>
      <c r="E430" s="1092">
        <v>2</v>
      </c>
      <c r="F430" s="1092">
        <v>9</v>
      </c>
      <c r="G430" s="1092">
        <v>2</v>
      </c>
      <c r="H430" s="1092">
        <v>2</v>
      </c>
      <c r="I430" s="1092">
        <v>8</v>
      </c>
      <c r="J430" s="1092">
        <v>2</v>
      </c>
      <c r="K430" s="1092">
        <v>2</v>
      </c>
      <c r="L430" s="1092">
        <v>5</v>
      </c>
      <c r="M430" s="1092">
        <v>1</v>
      </c>
      <c r="N430" s="27">
        <f t="shared" si="57"/>
        <v>47</v>
      </c>
    </row>
    <row r="431" spans="1:14">
      <c r="A431" s="32" t="s">
        <v>56</v>
      </c>
      <c r="B431" s="1092"/>
      <c r="C431" s="1092"/>
      <c r="D431" s="1092"/>
      <c r="E431" s="1092"/>
      <c r="F431" s="1092"/>
      <c r="G431" s="1092"/>
      <c r="H431" s="1092"/>
      <c r="I431" s="1092"/>
      <c r="J431" s="1092"/>
      <c r="K431" s="1092"/>
      <c r="L431" s="1092"/>
      <c r="M431" s="1092"/>
      <c r="N431" s="27">
        <f t="shared" si="57"/>
        <v>0</v>
      </c>
    </row>
    <row r="432" spans="1:14">
      <c r="A432" s="78" t="s">
        <v>30</v>
      </c>
      <c r="B432" s="1092">
        <v>3</v>
      </c>
      <c r="C432" s="1092">
        <v>15</v>
      </c>
      <c r="D432" s="1092">
        <v>9</v>
      </c>
      <c r="E432" s="1092">
        <v>13</v>
      </c>
      <c r="F432" s="1092">
        <v>10</v>
      </c>
      <c r="G432" s="1092">
        <v>3</v>
      </c>
      <c r="H432" s="1092">
        <v>3</v>
      </c>
      <c r="I432" s="1092">
        <v>7</v>
      </c>
      <c r="J432" s="1092">
        <v>3</v>
      </c>
      <c r="K432" s="1092">
        <v>3</v>
      </c>
      <c r="L432" s="1092">
        <v>7</v>
      </c>
      <c r="M432" s="1092">
        <v>9</v>
      </c>
      <c r="N432" s="27">
        <f t="shared" si="57"/>
        <v>85</v>
      </c>
    </row>
    <row r="433" spans="1:14">
      <c r="A433" s="76" t="s">
        <v>213</v>
      </c>
      <c r="B433" s="1092"/>
      <c r="C433" s="1092"/>
      <c r="D433" s="1092">
        <v>1</v>
      </c>
      <c r="E433" s="1092">
        <v>1</v>
      </c>
      <c r="F433" s="1092">
        <v>2</v>
      </c>
      <c r="G433" s="1092">
        <v>1</v>
      </c>
      <c r="H433" s="1092">
        <v>3</v>
      </c>
      <c r="I433" s="1092">
        <v>1</v>
      </c>
      <c r="J433" s="1092">
        <v>4</v>
      </c>
      <c r="K433" s="1092">
        <v>1</v>
      </c>
      <c r="L433" s="1092">
        <v>2</v>
      </c>
      <c r="M433" s="1092">
        <v>2</v>
      </c>
      <c r="N433" s="27">
        <f t="shared" si="57"/>
        <v>18</v>
      </c>
    </row>
    <row r="434" spans="1:14">
      <c r="A434" s="76" t="s">
        <v>212</v>
      </c>
      <c r="B434" s="1092"/>
      <c r="C434" s="1092"/>
      <c r="D434" s="1092">
        <v>2</v>
      </c>
      <c r="E434" s="1092"/>
      <c r="F434" s="1092"/>
      <c r="G434" s="1092"/>
      <c r="H434" s="1092"/>
      <c r="I434" s="1092"/>
      <c r="J434" s="1092"/>
      <c r="K434" s="1092"/>
      <c r="L434" s="1092"/>
      <c r="M434" s="1092"/>
      <c r="N434" s="27">
        <f t="shared" si="57"/>
        <v>2</v>
      </c>
    </row>
    <row r="435" spans="1:14">
      <c r="A435" s="76" t="s">
        <v>331</v>
      </c>
      <c r="B435" s="1092"/>
      <c r="C435" s="1092"/>
      <c r="D435" s="1092"/>
      <c r="E435" s="1092"/>
      <c r="F435" s="1092"/>
      <c r="G435" s="1092"/>
      <c r="H435" s="1092"/>
      <c r="I435" s="1092"/>
      <c r="J435" s="1092"/>
      <c r="K435" s="1092"/>
      <c r="L435" s="1092"/>
      <c r="M435" s="1092"/>
      <c r="N435" s="27">
        <f t="shared" si="57"/>
        <v>0</v>
      </c>
    </row>
    <row r="436" spans="1:14" ht="14" thickBot="1">
      <c r="A436" s="76" t="s">
        <v>267</v>
      </c>
      <c r="B436" s="1092"/>
      <c r="C436" s="1092"/>
      <c r="D436" s="1092"/>
      <c r="E436" s="1092"/>
      <c r="F436" s="1092"/>
      <c r="G436" s="1092"/>
      <c r="H436" s="1092"/>
      <c r="I436" s="1092"/>
      <c r="J436" s="1092"/>
      <c r="K436" s="1092"/>
      <c r="L436" s="1092"/>
      <c r="M436" s="1092"/>
      <c r="N436" s="27">
        <f t="shared" si="57"/>
        <v>0</v>
      </c>
    </row>
    <row r="437" spans="1:14" ht="14" thickBot="1">
      <c r="A437" s="38" t="s">
        <v>190</v>
      </c>
      <c r="B437" s="39"/>
      <c r="C437" s="39"/>
      <c r="D437" s="39"/>
      <c r="E437" s="39"/>
      <c r="F437" s="39"/>
      <c r="G437" s="39"/>
      <c r="H437" s="39"/>
      <c r="I437" s="39"/>
      <c r="J437" s="39"/>
      <c r="K437" s="39"/>
      <c r="L437" s="39"/>
      <c r="M437" s="39"/>
      <c r="N437" s="280"/>
    </row>
    <row r="438" spans="1:14">
      <c r="A438" s="76" t="s">
        <v>393</v>
      </c>
      <c r="B438" s="1092">
        <v>42</v>
      </c>
      <c r="C438" s="1092">
        <v>10</v>
      </c>
      <c r="D438" s="1092"/>
      <c r="E438" s="1092"/>
      <c r="F438" s="1092"/>
      <c r="G438" s="1092"/>
      <c r="H438" s="1092"/>
      <c r="I438" s="1092"/>
      <c r="J438" s="1092">
        <v>51</v>
      </c>
      <c r="K438" s="1092"/>
      <c r="L438" s="1092">
        <v>4</v>
      </c>
      <c r="M438" s="1092">
        <v>111</v>
      </c>
      <c r="N438" s="27">
        <f>SUM(B438:M438)</f>
        <v>218</v>
      </c>
    </row>
    <row r="439" spans="1:14">
      <c r="A439" s="76" t="s">
        <v>166</v>
      </c>
      <c r="B439" s="1092">
        <v>9</v>
      </c>
      <c r="C439" s="1140">
        <v>7</v>
      </c>
      <c r="D439" s="1092">
        <v>6</v>
      </c>
      <c r="E439" s="1092">
        <v>6</v>
      </c>
      <c r="F439" s="1092">
        <v>4</v>
      </c>
      <c r="G439" s="1092">
        <v>0</v>
      </c>
      <c r="H439" s="1092">
        <v>1</v>
      </c>
      <c r="I439" s="1092">
        <v>2</v>
      </c>
      <c r="J439" s="1092">
        <v>3</v>
      </c>
      <c r="K439" s="1092">
        <v>0</v>
      </c>
      <c r="L439" s="1092">
        <v>3</v>
      </c>
      <c r="M439" s="1092">
        <v>0</v>
      </c>
      <c r="N439" s="27">
        <f>SUM(B439:M439)</f>
        <v>41</v>
      </c>
    </row>
    <row r="440" spans="1:14">
      <c r="A440" s="76" t="s">
        <v>336</v>
      </c>
      <c r="B440" s="1092">
        <v>0</v>
      </c>
      <c r="C440" s="1092">
        <v>35</v>
      </c>
      <c r="D440" s="1092">
        <v>33</v>
      </c>
      <c r="E440" s="1092">
        <v>44</v>
      </c>
      <c r="F440" s="1092">
        <v>26</v>
      </c>
      <c r="G440" s="1092">
        <v>12</v>
      </c>
      <c r="H440" s="1092">
        <v>30</v>
      </c>
      <c r="I440" s="1092">
        <v>19</v>
      </c>
      <c r="J440" s="1092">
        <v>1</v>
      </c>
      <c r="K440" s="1092">
        <v>0</v>
      </c>
      <c r="L440" s="1092">
        <v>1</v>
      </c>
      <c r="M440" s="1092">
        <v>16</v>
      </c>
      <c r="N440" s="27">
        <f>SUM(B440:M440)</f>
        <v>217</v>
      </c>
    </row>
    <row r="441" spans="1:14">
      <c r="A441" s="76" t="s">
        <v>266</v>
      </c>
      <c r="B441" s="1092">
        <v>3</v>
      </c>
      <c r="C441" s="1092">
        <v>10</v>
      </c>
      <c r="D441" s="1092">
        <v>6</v>
      </c>
      <c r="E441" s="1092">
        <v>15</v>
      </c>
      <c r="F441" s="1092">
        <v>5</v>
      </c>
      <c r="G441" s="1092">
        <v>0</v>
      </c>
      <c r="H441" s="1092">
        <v>5</v>
      </c>
      <c r="I441" s="1092">
        <v>5</v>
      </c>
      <c r="J441" s="1092">
        <v>3</v>
      </c>
      <c r="K441" s="1092">
        <v>0</v>
      </c>
      <c r="L441" s="1092">
        <v>0</v>
      </c>
      <c r="M441" s="1092">
        <v>6</v>
      </c>
      <c r="N441" s="27">
        <f>SUM(B441:M441)</f>
        <v>58</v>
      </c>
    </row>
    <row r="442" spans="1:14" ht="14" thickBot="1">
      <c r="A442" s="76" t="s">
        <v>467</v>
      </c>
      <c r="B442" s="1092"/>
      <c r="C442" s="1092"/>
      <c r="D442" s="1092"/>
      <c r="E442" s="1092"/>
      <c r="F442" s="1092"/>
      <c r="G442" s="1092"/>
      <c r="H442" s="1092"/>
      <c r="I442" s="1092"/>
      <c r="J442" s="1092">
        <v>29</v>
      </c>
      <c r="K442" s="1092"/>
      <c r="L442" s="1092">
        <v>46</v>
      </c>
      <c r="M442" s="1092">
        <v>9</v>
      </c>
      <c r="N442" s="27">
        <f>SUM(B442:M442)</f>
        <v>84</v>
      </c>
    </row>
    <row r="443" spans="1:14" ht="14" thickBot="1">
      <c r="A443" s="53" t="s">
        <v>60</v>
      </c>
      <c r="B443" s="55">
        <f>SUM(B429:B442)</f>
        <v>58</v>
      </c>
      <c r="C443" s="55">
        <f t="shared" ref="C443:M443" si="58">SUM(C429:C442)</f>
        <v>87</v>
      </c>
      <c r="D443" s="55">
        <f t="shared" si="58"/>
        <v>62</v>
      </c>
      <c r="E443" s="55">
        <f t="shared" si="58"/>
        <v>81</v>
      </c>
      <c r="F443" s="55">
        <f t="shared" si="58"/>
        <v>56</v>
      </c>
      <c r="G443" s="55">
        <f t="shared" si="58"/>
        <v>18</v>
      </c>
      <c r="H443" s="55">
        <f t="shared" si="58"/>
        <v>46</v>
      </c>
      <c r="I443" s="55">
        <f t="shared" si="58"/>
        <v>42</v>
      </c>
      <c r="J443" s="55">
        <f t="shared" si="58"/>
        <v>96</v>
      </c>
      <c r="K443" s="55">
        <f t="shared" si="58"/>
        <v>6</v>
      </c>
      <c r="L443" s="55">
        <f t="shared" si="58"/>
        <v>68</v>
      </c>
      <c r="M443" s="55">
        <f t="shared" si="58"/>
        <v>154</v>
      </c>
      <c r="N443" s="54"/>
    </row>
    <row r="444" spans="1:14" ht="14" thickBot="1">
      <c r="A444" s="38" t="s">
        <v>194</v>
      </c>
      <c r="B444" s="39"/>
      <c r="C444" s="39"/>
      <c r="D444" s="39"/>
      <c r="E444" s="39"/>
      <c r="F444" s="39"/>
      <c r="G444" s="39"/>
      <c r="H444" s="39"/>
      <c r="I444" s="39"/>
      <c r="J444" s="39"/>
      <c r="K444" s="39"/>
      <c r="L444" s="39"/>
      <c r="M444" s="39"/>
      <c r="N444" s="40"/>
    </row>
    <row r="445" spans="1:14">
      <c r="A445" s="32" t="s">
        <v>29</v>
      </c>
      <c r="B445" s="1092"/>
      <c r="C445" s="1092"/>
      <c r="D445" s="1092"/>
      <c r="E445" s="1092"/>
      <c r="F445" s="1092"/>
      <c r="G445" s="1092"/>
      <c r="H445" s="1092"/>
      <c r="I445" s="1092"/>
      <c r="J445" s="1092"/>
      <c r="K445" s="1092"/>
      <c r="L445" s="1092"/>
      <c r="M445" s="1092"/>
      <c r="N445" s="27">
        <f t="shared" ref="N445:N456" si="59">SUM(B445:M445)</f>
        <v>0</v>
      </c>
    </row>
    <row r="446" spans="1:14">
      <c r="A446" s="78" t="s">
        <v>264</v>
      </c>
      <c r="B446" s="1092"/>
      <c r="C446" s="1092"/>
      <c r="D446" s="1092"/>
      <c r="E446" s="1092"/>
      <c r="F446" s="1092"/>
      <c r="G446" s="1092"/>
      <c r="H446" s="1092"/>
      <c r="I446" s="1092"/>
      <c r="J446" s="1092"/>
      <c r="K446" s="1092"/>
      <c r="L446" s="1092"/>
      <c r="M446" s="1092"/>
      <c r="N446" s="27">
        <f t="shared" si="59"/>
        <v>0</v>
      </c>
    </row>
    <row r="447" spans="1:14">
      <c r="A447" s="34" t="s">
        <v>204</v>
      </c>
      <c r="B447" s="1092"/>
      <c r="C447" s="1092"/>
      <c r="D447" s="1092"/>
      <c r="E447" s="1092"/>
      <c r="F447" s="1092"/>
      <c r="G447" s="1092"/>
      <c r="H447" s="1092"/>
      <c r="I447" s="1092"/>
      <c r="J447" s="1092"/>
      <c r="K447" s="1092"/>
      <c r="L447" s="1092"/>
      <c r="M447" s="1092"/>
      <c r="N447" s="27">
        <f t="shared" si="59"/>
        <v>0</v>
      </c>
    </row>
    <row r="448" spans="1:14">
      <c r="A448" s="76" t="s">
        <v>30</v>
      </c>
      <c r="B448" s="1092"/>
      <c r="C448" s="1092"/>
      <c r="D448" s="1092"/>
      <c r="E448" s="1092"/>
      <c r="F448" s="1092"/>
      <c r="G448" s="1092"/>
      <c r="H448" s="1092"/>
      <c r="I448" s="1092"/>
      <c r="J448" s="1092"/>
      <c r="K448" s="1092"/>
      <c r="L448" s="1092">
        <v>8</v>
      </c>
      <c r="M448" s="1092"/>
      <c r="N448" s="27">
        <f t="shared" si="59"/>
        <v>8</v>
      </c>
    </row>
    <row r="449" spans="1:14">
      <c r="A449" s="32" t="s">
        <v>56</v>
      </c>
      <c r="B449" s="1092"/>
      <c r="C449" s="1092"/>
      <c r="D449" s="1092"/>
      <c r="E449" s="1092"/>
      <c r="F449" s="1092"/>
      <c r="G449" s="1092"/>
      <c r="H449" s="1092"/>
      <c r="I449" s="1092"/>
      <c r="J449" s="1092"/>
      <c r="K449" s="1092"/>
      <c r="L449" s="1092"/>
      <c r="M449" s="1092"/>
      <c r="N449" s="27">
        <f t="shared" si="59"/>
        <v>0</v>
      </c>
    </row>
    <row r="450" spans="1:14">
      <c r="A450" s="78" t="s">
        <v>122</v>
      </c>
      <c r="B450" s="1092"/>
      <c r="C450" s="1092"/>
      <c r="D450" s="1092"/>
      <c r="E450" s="1092"/>
      <c r="F450" s="1092"/>
      <c r="G450" s="1092"/>
      <c r="H450" s="1092"/>
      <c r="I450" s="1092"/>
      <c r="J450" s="1092"/>
      <c r="K450" s="1092"/>
      <c r="L450" s="1092"/>
      <c r="M450" s="1092"/>
      <c r="N450" s="27">
        <f t="shared" si="59"/>
        <v>0</v>
      </c>
    </row>
    <row r="451" spans="1:14">
      <c r="A451" s="78" t="s">
        <v>184</v>
      </c>
      <c r="B451" s="1092"/>
      <c r="C451" s="1092"/>
      <c r="D451" s="1092"/>
      <c r="E451" s="1092"/>
      <c r="F451" s="1092"/>
      <c r="G451" s="1092"/>
      <c r="H451" s="1092"/>
      <c r="I451" s="1092"/>
      <c r="J451" s="1092"/>
      <c r="K451" s="1092"/>
      <c r="L451" s="1092"/>
      <c r="M451" s="1092"/>
      <c r="N451" s="27">
        <f t="shared" si="59"/>
        <v>0</v>
      </c>
    </row>
    <row r="452" spans="1:14">
      <c r="A452" s="78" t="s">
        <v>187</v>
      </c>
      <c r="B452" s="1092"/>
      <c r="C452" s="1092"/>
      <c r="D452" s="1092"/>
      <c r="E452" s="1092"/>
      <c r="F452" s="1092"/>
      <c r="G452" s="1092"/>
      <c r="H452" s="1092"/>
      <c r="I452" s="1092"/>
      <c r="J452" s="1092"/>
      <c r="K452" s="1092"/>
      <c r="L452" s="1092"/>
      <c r="M452" s="1092"/>
      <c r="N452" s="27">
        <f t="shared" si="59"/>
        <v>0</v>
      </c>
    </row>
    <row r="453" spans="1:14">
      <c r="A453" s="78" t="s">
        <v>188</v>
      </c>
      <c r="B453" s="1092"/>
      <c r="C453" s="1092"/>
      <c r="D453" s="1092"/>
      <c r="E453" s="1092"/>
      <c r="F453" s="1092"/>
      <c r="G453" s="1092"/>
      <c r="H453" s="1092"/>
      <c r="I453" s="1092"/>
      <c r="J453" s="1092"/>
      <c r="K453" s="1092"/>
      <c r="L453" s="1092"/>
      <c r="M453" s="1092"/>
      <c r="N453" s="27">
        <f t="shared" si="59"/>
        <v>0</v>
      </c>
    </row>
    <row r="454" spans="1:14">
      <c r="A454" s="78" t="s">
        <v>213</v>
      </c>
      <c r="B454" s="1092"/>
      <c r="C454" s="1092"/>
      <c r="D454" s="1092"/>
      <c r="E454" s="1092"/>
      <c r="F454" s="1092"/>
      <c r="G454" s="1092">
        <v>1</v>
      </c>
      <c r="H454" s="1092"/>
      <c r="I454" s="1092"/>
      <c r="J454" s="1092">
        <v>2</v>
      </c>
      <c r="K454" s="1092"/>
      <c r="L454" s="1092">
        <v>1</v>
      </c>
      <c r="M454" s="1092">
        <v>2</v>
      </c>
      <c r="N454" s="27">
        <f t="shared" si="59"/>
        <v>6</v>
      </c>
    </row>
    <row r="455" spans="1:14">
      <c r="A455" s="76" t="s">
        <v>267</v>
      </c>
      <c r="B455" s="1092"/>
      <c r="C455" s="1092"/>
      <c r="D455" s="1092"/>
      <c r="E455" s="1092"/>
      <c r="F455" s="1092"/>
      <c r="G455" s="1092"/>
      <c r="H455" s="1092"/>
      <c r="I455" s="1092"/>
      <c r="J455" s="1092"/>
      <c r="K455" s="1092"/>
      <c r="L455" s="1092"/>
      <c r="M455" s="1092"/>
      <c r="N455" s="27">
        <f t="shared" si="59"/>
        <v>0</v>
      </c>
    </row>
    <row r="456" spans="1:14" ht="14" thickBot="1">
      <c r="A456" s="78" t="s">
        <v>268</v>
      </c>
      <c r="B456" s="1092"/>
      <c r="C456" s="1092"/>
      <c r="D456" s="1092"/>
      <c r="E456" s="1092"/>
      <c r="F456" s="1092"/>
      <c r="G456" s="1092"/>
      <c r="H456" s="1092"/>
      <c r="I456" s="1092"/>
      <c r="J456" s="1092"/>
      <c r="K456" s="1092"/>
      <c r="L456" s="1092"/>
      <c r="M456" s="1092"/>
      <c r="N456" s="27">
        <f t="shared" si="59"/>
        <v>0</v>
      </c>
    </row>
    <row r="457" spans="1:14" ht="14" thickBot="1">
      <c r="A457" s="38" t="s">
        <v>192</v>
      </c>
      <c r="B457" s="39"/>
      <c r="C457" s="39"/>
      <c r="D457" s="39"/>
      <c r="E457" s="39"/>
      <c r="F457" s="39"/>
      <c r="G457" s="39"/>
      <c r="H457" s="39"/>
      <c r="I457" s="39"/>
      <c r="J457" s="39"/>
      <c r="K457" s="39"/>
      <c r="L457" s="39"/>
      <c r="M457" s="39"/>
      <c r="N457" s="40"/>
    </row>
    <row r="458" spans="1:14" ht="14" thickBot="1">
      <c r="A458" s="76" t="s">
        <v>193</v>
      </c>
      <c r="B458" s="1092"/>
      <c r="C458" s="1092"/>
      <c r="D458" s="1092"/>
      <c r="E458" s="1092"/>
      <c r="F458" s="1092"/>
      <c r="G458" s="1092"/>
      <c r="H458" s="1092"/>
      <c r="I458" s="1092"/>
      <c r="J458" s="1092"/>
      <c r="K458" s="1092"/>
      <c r="L458" s="1092"/>
      <c r="M458" s="1092"/>
      <c r="N458" s="27">
        <f>SUM(B458:M458)</f>
        <v>0</v>
      </c>
    </row>
    <row r="459" spans="1:14" ht="14" thickBot="1">
      <c r="A459" s="53" t="s">
        <v>60</v>
      </c>
      <c r="B459" s="55">
        <f t="shared" ref="B459:M459" si="60">SUM(B445:B458)</f>
        <v>0</v>
      </c>
      <c r="C459" s="55">
        <f t="shared" si="60"/>
        <v>0</v>
      </c>
      <c r="D459" s="55">
        <f t="shared" si="60"/>
        <v>0</v>
      </c>
      <c r="E459" s="55">
        <f t="shared" si="60"/>
        <v>0</v>
      </c>
      <c r="F459" s="55">
        <f t="shared" si="60"/>
        <v>0</v>
      </c>
      <c r="G459" s="55">
        <f t="shared" si="60"/>
        <v>1</v>
      </c>
      <c r="H459" s="55">
        <f t="shared" si="60"/>
        <v>0</v>
      </c>
      <c r="I459" s="55">
        <f t="shared" si="60"/>
        <v>0</v>
      </c>
      <c r="J459" s="55">
        <f t="shared" si="60"/>
        <v>2</v>
      </c>
      <c r="K459" s="55">
        <f t="shared" si="60"/>
        <v>0</v>
      </c>
      <c r="L459" s="55">
        <f t="shared" si="60"/>
        <v>9</v>
      </c>
      <c r="M459" s="55">
        <f t="shared" si="60"/>
        <v>2</v>
      </c>
      <c r="N459" s="54"/>
    </row>
  </sheetData>
  <printOptions gridLines="1"/>
  <pageMargins left="0.75" right="0.75" top="1" bottom="1" header="0.5" footer="0.5"/>
  <pageSetup scale="70"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FF0000"/>
    <pageSetUpPr fitToPage="1"/>
  </sheetPr>
  <dimension ref="A1:U650"/>
  <sheetViews>
    <sheetView showGridLines="0" view="pageBreakPreview" topLeftCell="A211" zoomScale="75" zoomScaleNormal="90" zoomScaleSheetLayoutView="75" workbookViewId="0">
      <selection activeCell="M25" sqref="M25:N25"/>
    </sheetView>
  </sheetViews>
  <sheetFormatPr baseColWidth="10" defaultColWidth="8.83203125" defaultRowHeight="13"/>
  <cols>
    <col min="1" max="1" width="57.33203125" customWidth="1"/>
    <col min="2" max="7" width="8.83203125" customWidth="1"/>
    <col min="8" max="12" width="17.1640625" customWidth="1"/>
    <col min="13" max="14" width="8.83203125" customWidth="1"/>
  </cols>
  <sheetData>
    <row r="1" spans="1:14" s="363" customFormat="1" ht="16">
      <c r="A1" s="98"/>
      <c r="B1" s="99"/>
      <c r="C1" s="99"/>
      <c r="D1" s="99"/>
      <c r="E1" s="99"/>
      <c r="F1" s="421"/>
      <c r="G1" s="421"/>
      <c r="H1" s="421"/>
      <c r="I1" s="1468" t="s">
        <v>0</v>
      </c>
      <c r="J1" s="1468"/>
      <c r="K1" s="1468"/>
      <c r="L1" s="1468"/>
      <c r="M1" s="99"/>
      <c r="N1" s="101"/>
    </row>
    <row r="2" spans="1:14" ht="16">
      <c r="A2" s="97"/>
      <c r="B2" s="1469" t="s">
        <v>1</v>
      </c>
      <c r="C2" s="1469"/>
      <c r="D2" s="1469" t="s">
        <v>2</v>
      </c>
      <c r="E2" s="1469"/>
      <c r="F2" s="1470" t="s">
        <v>3</v>
      </c>
      <c r="G2" s="1470"/>
      <c r="H2" s="1314" t="s">
        <v>3</v>
      </c>
      <c r="I2" s="127" t="s">
        <v>195</v>
      </c>
      <c r="J2" s="102"/>
      <c r="K2" s="102"/>
      <c r="L2" s="128"/>
      <c r="M2" s="1471" t="s">
        <v>469</v>
      </c>
      <c r="N2" s="1472"/>
    </row>
    <row r="3" spans="1:14" ht="19" thickBot="1">
      <c r="A3" s="103" t="s">
        <v>5</v>
      </c>
      <c r="B3" s="1473" t="s">
        <v>6</v>
      </c>
      <c r="C3" s="1473"/>
      <c r="D3" s="1473" t="s">
        <v>7</v>
      </c>
      <c r="E3" s="1473"/>
      <c r="F3" s="1474" t="s">
        <v>7</v>
      </c>
      <c r="G3" s="1474"/>
      <c r="H3" s="1317" t="s">
        <v>58</v>
      </c>
      <c r="I3" s="1318" t="s">
        <v>196</v>
      </c>
      <c r="J3" s="1316" t="s">
        <v>8</v>
      </c>
      <c r="K3" s="1316" t="s">
        <v>9</v>
      </c>
      <c r="L3" s="401" t="s">
        <v>10</v>
      </c>
      <c r="M3" s="1473" t="s">
        <v>470</v>
      </c>
      <c r="N3" s="1475"/>
    </row>
    <row r="4" spans="1:14" ht="24" thickBot="1">
      <c r="A4" s="88" t="s">
        <v>435</v>
      </c>
      <c r="B4" s="1476"/>
      <c r="C4" s="1477"/>
      <c r="D4" s="1478"/>
      <c r="E4" s="1479"/>
      <c r="F4" s="1480"/>
      <c r="G4" s="1481"/>
      <c r="H4" s="1324"/>
      <c r="I4" s="213"/>
      <c r="J4" s="213"/>
      <c r="K4" s="213"/>
      <c r="L4" s="214"/>
      <c r="M4" s="1482"/>
      <c r="N4" s="1483"/>
    </row>
    <row r="5" spans="1:14" s="1161" customFormat="1" ht="17" thickBot="1">
      <c r="A5" s="110" t="s">
        <v>189</v>
      </c>
      <c r="B5" s="1456"/>
      <c r="C5" s="1457"/>
      <c r="D5" s="1457"/>
      <c r="E5" s="1457"/>
      <c r="F5" s="1484"/>
      <c r="G5" s="1484"/>
      <c r="H5" s="1320"/>
      <c r="I5" s="1319"/>
      <c r="J5" s="1319"/>
      <c r="K5" s="1319"/>
      <c r="L5" s="1319"/>
      <c r="M5" s="1485"/>
      <c r="N5" s="1486"/>
    </row>
    <row r="6" spans="1:14" s="121" customFormat="1">
      <c r="A6" s="69" t="s">
        <v>29</v>
      </c>
      <c r="B6" s="1465">
        <f>'Chino Hills'!N429</f>
        <v>4</v>
      </c>
      <c r="C6" s="1466"/>
      <c r="D6" s="1432">
        <f>F6*325900</f>
        <v>32068.560000000001</v>
      </c>
      <c r="E6" s="1433"/>
      <c r="F6" s="1467">
        <f>0.0246*B6</f>
        <v>9.8400000000000001E-2</v>
      </c>
      <c r="G6" s="1433"/>
      <c r="H6" s="1325">
        <f>F6*20</f>
        <v>1.968</v>
      </c>
      <c r="I6" s="173">
        <v>0</v>
      </c>
      <c r="J6" s="173">
        <f>B6*60</f>
        <v>240</v>
      </c>
      <c r="K6" s="173">
        <f>B6*40</f>
        <v>160</v>
      </c>
      <c r="L6" s="174">
        <f>K6+J6+I6</f>
        <v>400</v>
      </c>
      <c r="M6" s="1427">
        <f>J6/(F6*830)</f>
        <v>2.9385836027034968</v>
      </c>
      <c r="N6" s="1428"/>
    </row>
    <row r="7" spans="1:14" s="121" customFormat="1">
      <c r="A7" s="69" t="s">
        <v>33</v>
      </c>
      <c r="B7" s="1435">
        <f>'Chino Hills'!N430</f>
        <v>47</v>
      </c>
      <c r="C7" s="1433"/>
      <c r="D7" s="1432">
        <f t="shared" ref="D7" si="0">F7*325900</f>
        <v>528446.85000000009</v>
      </c>
      <c r="E7" s="1433"/>
      <c r="F7" s="1467">
        <f>0.0345*B7</f>
        <v>1.6215000000000002</v>
      </c>
      <c r="G7" s="1433"/>
      <c r="H7" s="1325">
        <f>F7*14</f>
        <v>22.701000000000001</v>
      </c>
      <c r="I7" s="173">
        <f>0*B7</f>
        <v>0</v>
      </c>
      <c r="J7" s="173">
        <f>B7*75</f>
        <v>3525</v>
      </c>
      <c r="K7" s="173">
        <f>B7*85</f>
        <v>3995</v>
      </c>
      <c r="L7" s="174">
        <f t="shared" ref="L7" si="1">K7+J7+I7</f>
        <v>7520</v>
      </c>
      <c r="M7" s="1427">
        <f t="shared" ref="M7:M11" si="2">J7/(F7*830)</f>
        <v>2.6191723415400734</v>
      </c>
      <c r="N7" s="1428"/>
    </row>
    <row r="8" spans="1:14" s="121" customFormat="1">
      <c r="A8" s="254" t="s">
        <v>363</v>
      </c>
      <c r="B8" s="1435">
        <f>'Chino Hills'!N431</f>
        <v>0</v>
      </c>
      <c r="C8" s="1433"/>
      <c r="D8" s="1432">
        <f>F8*325900</f>
        <v>0</v>
      </c>
      <c r="E8" s="1433"/>
      <c r="F8" s="1460">
        <f>0.0044*0</f>
        <v>0</v>
      </c>
      <c r="G8" s="1461"/>
      <c r="H8" s="1325">
        <f>F8*5</f>
        <v>0</v>
      </c>
      <c r="I8" s="173">
        <f>0*0</f>
        <v>0</v>
      </c>
      <c r="J8" s="173">
        <f>3*0</f>
        <v>0</v>
      </c>
      <c r="K8" s="173">
        <f>2*0</f>
        <v>0</v>
      </c>
      <c r="L8" s="174">
        <f>K8+J8+I8</f>
        <v>0</v>
      </c>
      <c r="M8" s="1427">
        <v>0</v>
      </c>
      <c r="N8" s="1428"/>
    </row>
    <row r="9" spans="1:14" s="121" customFormat="1">
      <c r="A9" s="69" t="s">
        <v>52</v>
      </c>
      <c r="B9" s="1435">
        <f>'Chino Hills'!N432</f>
        <v>85</v>
      </c>
      <c r="C9" s="1433"/>
      <c r="D9" s="1432">
        <f>F9*325900</f>
        <v>1146842.1000000001</v>
      </c>
      <c r="E9" s="1433"/>
      <c r="F9" s="1467">
        <f>0.0414*B9</f>
        <v>3.5190000000000001</v>
      </c>
      <c r="G9" s="1433"/>
      <c r="H9" s="1325">
        <f>F9*10</f>
        <v>35.19</v>
      </c>
      <c r="I9" s="173">
        <v>0</v>
      </c>
      <c r="J9" s="173">
        <f>B9*80</f>
        <v>6800</v>
      </c>
      <c r="K9" s="173">
        <f>B9*80</f>
        <v>6800</v>
      </c>
      <c r="L9" s="174">
        <f>K9+J9+I9</f>
        <v>13600</v>
      </c>
      <c r="M9" s="1427">
        <f t="shared" si="2"/>
        <v>2.3281531924800651</v>
      </c>
      <c r="N9" s="1428"/>
    </row>
    <row r="10" spans="1:14" s="121" customFormat="1">
      <c r="A10" s="254" t="s">
        <v>455</v>
      </c>
      <c r="B10" s="1435">
        <f>'Chino Hills'!N433</f>
        <v>18</v>
      </c>
      <c r="C10" s="1433"/>
      <c r="D10" s="1451">
        <f>F10*325900</f>
        <v>832351</v>
      </c>
      <c r="E10" s="1448"/>
      <c r="F10" s="1447">
        <f>19357*43/325900</f>
        <v>2.5540073642221541</v>
      </c>
      <c r="G10" s="1448"/>
      <c r="H10" s="1321">
        <f>F10*10</f>
        <v>25.540073642221543</v>
      </c>
      <c r="I10" s="173">
        <v>0</v>
      </c>
      <c r="J10" s="173">
        <v>19007</v>
      </c>
      <c r="K10" s="173">
        <v>38714</v>
      </c>
      <c r="L10" s="174">
        <f t="shared" ref="L10:L13" si="3">K10+J10+I10</f>
        <v>57721</v>
      </c>
      <c r="M10" s="1427">
        <f t="shared" si="2"/>
        <v>8.9663014761801207</v>
      </c>
      <c r="N10" s="1428"/>
    </row>
    <row r="11" spans="1:14" s="121" customFormat="1">
      <c r="A11" s="254" t="s">
        <v>214</v>
      </c>
      <c r="B11" s="1435">
        <f>'Chino Hills'!N434</f>
        <v>2</v>
      </c>
      <c r="C11" s="1433"/>
      <c r="D11" s="1432">
        <f t="shared" ref="D11" si="4">F11*325900</f>
        <v>1238.42</v>
      </c>
      <c r="E11" s="1433"/>
      <c r="F11" s="1460">
        <f>0.0019*B11</f>
        <v>3.8E-3</v>
      </c>
      <c r="G11" s="1461"/>
      <c r="H11" s="1325">
        <f>F11*5</f>
        <v>1.9E-2</v>
      </c>
      <c r="I11" s="173">
        <v>0</v>
      </c>
      <c r="J11" s="173">
        <f>B11*0</f>
        <v>0</v>
      </c>
      <c r="K11" s="173">
        <f>B11*35</f>
        <v>70</v>
      </c>
      <c r="L11" s="174">
        <f t="shared" si="3"/>
        <v>70</v>
      </c>
      <c r="M11" s="1427">
        <f t="shared" si="2"/>
        <v>0</v>
      </c>
      <c r="N11" s="1428"/>
    </row>
    <row r="12" spans="1:14" s="121" customFormat="1">
      <c r="A12" s="254" t="s">
        <v>331</v>
      </c>
      <c r="B12" s="1435">
        <f>'Chino Hills'!N435</f>
        <v>0</v>
      </c>
      <c r="C12" s="1433"/>
      <c r="D12" s="1432">
        <f>F12*325900</f>
        <v>0</v>
      </c>
      <c r="E12" s="1433"/>
      <c r="F12" s="1460">
        <v>0</v>
      </c>
      <c r="G12" s="1461"/>
      <c r="H12" s="1325">
        <v>0</v>
      </c>
      <c r="I12" s="173">
        <v>0</v>
      </c>
      <c r="J12" s="173">
        <f>B12*0</f>
        <v>0</v>
      </c>
      <c r="K12" s="173">
        <f>B12*300</f>
        <v>0</v>
      </c>
      <c r="L12" s="174">
        <f t="shared" si="3"/>
        <v>0</v>
      </c>
      <c r="M12" s="1427">
        <v>0</v>
      </c>
      <c r="N12" s="1428"/>
    </row>
    <row r="13" spans="1:14" s="121" customFormat="1" ht="14" thickBot="1">
      <c r="A13" s="254" t="s">
        <v>269</v>
      </c>
      <c r="B13" s="1462">
        <f>'Chino Hills'!N436</f>
        <v>0</v>
      </c>
      <c r="C13" s="1437"/>
      <c r="D13" s="1432">
        <f t="shared" ref="D13" si="5">F13*325900</f>
        <v>0</v>
      </c>
      <c r="E13" s="1433"/>
      <c r="F13" s="1460">
        <f>0.0414*B13</f>
        <v>0</v>
      </c>
      <c r="G13" s="1461"/>
      <c r="H13" s="1325">
        <f>F13*10</f>
        <v>0</v>
      </c>
      <c r="I13" s="173">
        <v>0</v>
      </c>
      <c r="J13" s="173">
        <f t="shared" ref="J13" si="6">B13*65</f>
        <v>0</v>
      </c>
      <c r="K13" s="173">
        <f t="shared" ref="K13" si="7">B13*40</f>
        <v>0</v>
      </c>
      <c r="L13" s="174">
        <f t="shared" si="3"/>
        <v>0</v>
      </c>
      <c r="M13" s="1427">
        <v>0</v>
      </c>
      <c r="N13" s="1428"/>
    </row>
    <row r="14" spans="1:14" s="1161" customFormat="1" ht="17" thickBot="1">
      <c r="A14" s="110" t="s">
        <v>190</v>
      </c>
      <c r="B14" s="1456"/>
      <c r="C14" s="1457"/>
      <c r="D14" s="1457"/>
      <c r="E14" s="1457"/>
      <c r="F14" s="1457"/>
      <c r="G14" s="1457"/>
      <c r="H14" s="1319"/>
      <c r="I14" s="195"/>
      <c r="J14" s="195"/>
      <c r="K14" s="195"/>
      <c r="L14" s="195"/>
      <c r="M14" s="195"/>
      <c r="N14" s="1190"/>
    </row>
    <row r="15" spans="1:14" s="121" customFormat="1">
      <c r="A15" s="76" t="s">
        <v>393</v>
      </c>
      <c r="B15" s="1435">
        <f>'Chino Hills'!N438</f>
        <v>218</v>
      </c>
      <c r="C15" s="1433"/>
      <c r="D15" s="1432">
        <f>F15*325900</f>
        <v>16482718.4</v>
      </c>
      <c r="E15" s="1433"/>
      <c r="F15" s="1463">
        <f>B15*0.232</f>
        <v>50.576000000000001</v>
      </c>
      <c r="G15" s="1464"/>
      <c r="H15" s="1413">
        <f>F15*2</f>
        <v>101.152</v>
      </c>
      <c r="I15" s="173">
        <v>0</v>
      </c>
      <c r="J15" s="173">
        <f>L15-K15</f>
        <v>53406.863223078086</v>
      </c>
      <c r="K15" s="173">
        <v>27310.1</v>
      </c>
      <c r="L15" s="174">
        <v>80716.963223078084</v>
      </c>
      <c r="M15" s="1427">
        <f t="shared" ref="M15:M19" si="8">J15/(F15*830)</f>
        <v>1.2722559779551157</v>
      </c>
      <c r="N15" s="1428"/>
    </row>
    <row r="16" spans="1:14" s="120" customFormat="1">
      <c r="A16" s="254" t="s">
        <v>460</v>
      </c>
      <c r="B16" s="1435">
        <f>'Chino Hills'!N439</f>
        <v>41</v>
      </c>
      <c r="C16" s="1433"/>
      <c r="D16" s="1451">
        <f>F16*325900</f>
        <v>821789.44</v>
      </c>
      <c r="E16" s="1448"/>
      <c r="F16" s="1447">
        <f>(0.0414*54)+(0.0044*65)</f>
        <v>2.5215999999999998</v>
      </c>
      <c r="G16" s="1448"/>
      <c r="H16" s="1404">
        <f>((0.0414*54)*10)+((0.0044*65)*5)</f>
        <v>23.785999999999998</v>
      </c>
      <c r="I16" s="173">
        <v>808.03</v>
      </c>
      <c r="J16" s="173">
        <f>L16-K16-I16</f>
        <v>14765.29151764302</v>
      </c>
      <c r="K16" s="1405">
        <v>15729</v>
      </c>
      <c r="L16" s="1405">
        <v>31302.32151764302</v>
      </c>
      <c r="M16" s="1427">
        <f t="shared" si="8"/>
        <v>7.0548492435683503</v>
      </c>
      <c r="N16" s="1428"/>
    </row>
    <row r="17" spans="1:21" s="121" customFormat="1">
      <c r="A17" s="254" t="s">
        <v>448</v>
      </c>
      <c r="B17" s="1435">
        <f>'Chino Hills'!N440</f>
        <v>217</v>
      </c>
      <c r="C17" s="1433"/>
      <c r="D17" s="1451">
        <f>F17*325900</f>
        <v>3211157.88</v>
      </c>
      <c r="E17" s="1448"/>
      <c r="F17" s="1447">
        <f>0.0414*238</f>
        <v>9.8531999999999993</v>
      </c>
      <c r="G17" s="1448"/>
      <c r="H17" s="1321">
        <f>F17*10</f>
        <v>98.531999999999996</v>
      </c>
      <c r="I17" s="173">
        <v>0</v>
      </c>
      <c r="J17" s="173">
        <f>L17-K17</f>
        <v>100003.54469456186</v>
      </c>
      <c r="K17" s="173">
        <v>42303</v>
      </c>
      <c r="L17" s="174">
        <v>142306.54469456186</v>
      </c>
      <c r="M17" s="1427">
        <f t="shared" si="8"/>
        <v>12.228128773107516</v>
      </c>
      <c r="N17" s="1428"/>
    </row>
    <row r="18" spans="1:21" s="121" customFormat="1">
      <c r="A18" s="254" t="s">
        <v>266</v>
      </c>
      <c r="B18" s="1435">
        <f>'Chino Hills'!N441</f>
        <v>58</v>
      </c>
      <c r="C18" s="1433"/>
      <c r="D18" s="1447">
        <f>F18*325900</f>
        <v>260850.36</v>
      </c>
      <c r="E18" s="1448"/>
      <c r="F18" s="1451">
        <f>B18*0.0138</f>
        <v>0.8004</v>
      </c>
      <c r="G18" s="1448"/>
      <c r="H18" s="1321">
        <f>F18*10</f>
        <v>8.0039999999999996</v>
      </c>
      <c r="I18" s="173">
        <v>0</v>
      </c>
      <c r="J18" s="286">
        <f>L18-K18</f>
        <v>19180.580000000002</v>
      </c>
      <c r="K18" s="286">
        <v>13481.37</v>
      </c>
      <c r="L18" s="174">
        <v>32661.95</v>
      </c>
      <c r="M18" s="1427">
        <f t="shared" si="8"/>
        <v>28.871979672814199</v>
      </c>
      <c r="N18" s="1428"/>
    </row>
    <row r="19" spans="1:21" s="121" customFormat="1" ht="14" thickBot="1">
      <c r="A19" s="76" t="s">
        <v>467</v>
      </c>
      <c r="B19" s="1435">
        <f>'Chino Hills'!N442</f>
        <v>84</v>
      </c>
      <c r="C19" s="1433"/>
      <c r="D19" s="1458">
        <f>F19*325900</f>
        <v>2053170</v>
      </c>
      <c r="E19" s="1459"/>
      <c r="F19" s="1458">
        <f>B19*0.075</f>
        <v>6.3</v>
      </c>
      <c r="G19" s="1459"/>
      <c r="H19" s="1410">
        <f>F19*10</f>
        <v>63</v>
      </c>
      <c r="I19" s="286">
        <v>0</v>
      </c>
      <c r="J19" s="286">
        <v>14391.1</v>
      </c>
      <c r="K19" s="286">
        <v>0</v>
      </c>
      <c r="L19" s="174">
        <f>SUM(I19:K19)</f>
        <v>14391.1</v>
      </c>
      <c r="M19" s="1427">
        <f t="shared" si="8"/>
        <v>2.7521705871103461</v>
      </c>
      <c r="N19" s="1428"/>
    </row>
    <row r="20" spans="1:21" ht="14" thickBot="1">
      <c r="A20" s="53" t="s">
        <v>60</v>
      </c>
      <c r="B20" s="1452">
        <f>SUM(B6:C19)</f>
        <v>774</v>
      </c>
      <c r="C20" s="1453"/>
      <c r="D20" s="1452">
        <f>SUM(D6:E19)</f>
        <v>25370633.010000002</v>
      </c>
      <c r="E20" s="1453"/>
      <c r="F20" s="1452">
        <f t="shared" ref="F20" si="9">SUM(F6:G19)</f>
        <v>77.847907364222138</v>
      </c>
      <c r="G20" s="1453"/>
      <c r="H20" s="1322">
        <f>SUM(H6:H19)</f>
        <v>379.89207364222153</v>
      </c>
      <c r="I20" s="515">
        <f t="shared" ref="I20:L20" si="10">SUM(I6:I19)</f>
        <v>808.03</v>
      </c>
      <c r="J20" s="515">
        <f t="shared" si="10"/>
        <v>231319.37943528299</v>
      </c>
      <c r="K20" s="515">
        <f t="shared" si="10"/>
        <v>148562.47</v>
      </c>
      <c r="L20" s="515">
        <f t="shared" si="10"/>
        <v>380689.87943528296</v>
      </c>
      <c r="M20" s="1454"/>
      <c r="N20" s="1455"/>
    </row>
    <row r="21" spans="1:21" s="1161" customFormat="1" ht="17" thickBot="1">
      <c r="A21" s="110" t="s">
        <v>194</v>
      </c>
      <c r="B21" s="1456"/>
      <c r="C21" s="1457"/>
      <c r="D21" s="1457"/>
      <c r="E21" s="1457"/>
      <c r="F21" s="1457"/>
      <c r="G21" s="1457"/>
      <c r="H21" s="1319"/>
      <c r="I21" s="1334"/>
      <c r="J21" s="1334"/>
      <c r="K21" s="1334"/>
      <c r="L21" s="1334"/>
      <c r="M21" s="1334"/>
      <c r="N21" s="1335"/>
    </row>
    <row r="22" spans="1:21">
      <c r="A22" s="68" t="s">
        <v>29</v>
      </c>
      <c r="B22" s="1421">
        <f>'Chino Hills'!N445</f>
        <v>0</v>
      </c>
      <c r="C22" s="1422"/>
      <c r="D22" s="1431">
        <f>F22*325900</f>
        <v>0</v>
      </c>
      <c r="E22" s="1422"/>
      <c r="F22" s="1444">
        <f>0.0246*B22</f>
        <v>0</v>
      </c>
      <c r="G22" s="1422"/>
      <c r="H22" s="1326">
        <f>F22*20</f>
        <v>0</v>
      </c>
      <c r="I22" s="151">
        <v>0</v>
      </c>
      <c r="J22" s="150">
        <f>B22*60</f>
        <v>0</v>
      </c>
      <c r="K22" s="150">
        <f>B22*40</f>
        <v>0</v>
      </c>
      <c r="L22" s="174">
        <f t="shared" ref="L22:L25" si="11">K22+J22+I22</f>
        <v>0</v>
      </c>
      <c r="M22" s="1427">
        <v>0</v>
      </c>
      <c r="N22" s="1428"/>
      <c r="U22" s="3"/>
    </row>
    <row r="23" spans="1:21">
      <c r="A23" s="68" t="s">
        <v>51</v>
      </c>
      <c r="B23" s="1421">
        <f>'Chino Hills'!N446</f>
        <v>0</v>
      </c>
      <c r="C23" s="1422"/>
      <c r="D23" s="1431">
        <f>F23*325900</f>
        <v>0</v>
      </c>
      <c r="E23" s="1422"/>
      <c r="F23" s="1444">
        <f>0.1227*B23</f>
        <v>0</v>
      </c>
      <c r="G23" s="1422"/>
      <c r="H23" s="1326">
        <f>F23*20</f>
        <v>0</v>
      </c>
      <c r="I23" s="151">
        <v>0</v>
      </c>
      <c r="J23" s="150">
        <f>B23*200</f>
        <v>0</v>
      </c>
      <c r="K23" s="150">
        <f>B23*200</f>
        <v>0</v>
      </c>
      <c r="L23" s="174">
        <f t="shared" si="11"/>
        <v>0</v>
      </c>
      <c r="M23" s="1427">
        <v>0</v>
      </c>
      <c r="N23" s="1428"/>
    </row>
    <row r="24" spans="1:21">
      <c r="A24" s="2" t="s">
        <v>204</v>
      </c>
      <c r="B24" s="1421">
        <f>'Chino Hills'!N447</f>
        <v>0</v>
      </c>
      <c r="C24" s="1422"/>
      <c r="D24" s="1431">
        <f>F24*325900</f>
        <v>0</v>
      </c>
      <c r="E24" s="1422"/>
      <c r="F24" s="1444">
        <f>0.644*B24</f>
        <v>0</v>
      </c>
      <c r="G24" s="1422"/>
      <c r="H24" s="1326">
        <f>F24*5</f>
        <v>0</v>
      </c>
      <c r="I24" s="151">
        <v>0</v>
      </c>
      <c r="J24" s="150">
        <f>B24*375</f>
        <v>0</v>
      </c>
      <c r="K24" s="150">
        <f>B24*625</f>
        <v>0</v>
      </c>
      <c r="L24" s="174">
        <f t="shared" si="11"/>
        <v>0</v>
      </c>
      <c r="M24" s="1427">
        <v>0</v>
      </c>
      <c r="N24" s="1428"/>
    </row>
    <row r="25" spans="1:21">
      <c r="A25" s="254" t="s">
        <v>30</v>
      </c>
      <c r="B25" s="1421">
        <f>'Chino Hills'!N448</f>
        <v>8</v>
      </c>
      <c r="C25" s="1422"/>
      <c r="D25" s="1431">
        <f t="shared" ref="D25:D33" si="12">F25*325900</f>
        <v>33632.879999999997</v>
      </c>
      <c r="E25" s="1422"/>
      <c r="F25" s="1449">
        <f>0.0129*B25</f>
        <v>0.1032</v>
      </c>
      <c r="G25" s="1450"/>
      <c r="H25" s="1326">
        <f>F25*10</f>
        <v>1.032</v>
      </c>
      <c r="I25" s="151">
        <v>0</v>
      </c>
      <c r="J25" s="150">
        <f>B25*15</f>
        <v>120</v>
      </c>
      <c r="K25" s="150">
        <f>B25*35</f>
        <v>280</v>
      </c>
      <c r="L25" s="174">
        <f t="shared" si="11"/>
        <v>400</v>
      </c>
      <c r="M25" s="1427">
        <f t="shared" ref="M25:M31" si="13">J25/(F25*830)</f>
        <v>1.4009526478005043</v>
      </c>
      <c r="N25" s="1428"/>
    </row>
    <row r="26" spans="1:21">
      <c r="A26" s="254" t="s">
        <v>436</v>
      </c>
      <c r="B26" s="1421">
        <f>'Chino Hills'!N449</f>
        <v>0</v>
      </c>
      <c r="C26" s="1422"/>
      <c r="D26" s="1431">
        <f t="shared" si="12"/>
        <v>0</v>
      </c>
      <c r="E26" s="1422"/>
      <c r="F26" s="1425">
        <f>0.0044*0</f>
        <v>0</v>
      </c>
      <c r="G26" s="1426"/>
      <c r="H26" s="1326">
        <f>F26*5</f>
        <v>0</v>
      </c>
      <c r="I26" s="151">
        <v>0</v>
      </c>
      <c r="J26" s="150">
        <f>B26*3</f>
        <v>0</v>
      </c>
      <c r="K26" s="150">
        <f>B26*2</f>
        <v>0</v>
      </c>
      <c r="L26" s="174">
        <f>K26+J26+I26</f>
        <v>0</v>
      </c>
      <c r="M26" s="1427">
        <v>0</v>
      </c>
      <c r="N26" s="1428"/>
    </row>
    <row r="27" spans="1:21">
      <c r="A27" s="254" t="s">
        <v>122</v>
      </c>
      <c r="B27" s="1421">
        <f>'Chino Hills'!N450</f>
        <v>0</v>
      </c>
      <c r="C27" s="1422"/>
      <c r="D27" s="1431">
        <f t="shared" si="12"/>
        <v>0</v>
      </c>
      <c r="E27" s="1422"/>
      <c r="F27" s="1444">
        <f>0.018*B27</f>
        <v>0</v>
      </c>
      <c r="G27" s="1422"/>
      <c r="H27" s="1326">
        <f>F27*10</f>
        <v>0</v>
      </c>
      <c r="I27" s="151">
        <v>0</v>
      </c>
      <c r="J27" s="150">
        <f>B27*5</f>
        <v>0</v>
      </c>
      <c r="K27" s="150">
        <f>B27*13</f>
        <v>0</v>
      </c>
      <c r="L27" s="174">
        <f t="shared" ref="L27:L33" si="14">K27+J27+I27</f>
        <v>0</v>
      </c>
      <c r="M27" s="1427">
        <v>0</v>
      </c>
      <c r="N27" s="1428"/>
    </row>
    <row r="28" spans="1:21">
      <c r="A28" s="257" t="s">
        <v>184</v>
      </c>
      <c r="B28" s="1421">
        <f>'Chino Hills'!N451</f>
        <v>0</v>
      </c>
      <c r="C28" s="1422"/>
      <c r="D28" s="1431">
        <f t="shared" si="12"/>
        <v>0</v>
      </c>
      <c r="E28" s="1422"/>
      <c r="F28" s="1444">
        <f>0.0129*B28</f>
        <v>0</v>
      </c>
      <c r="G28" s="1422"/>
      <c r="H28" s="1326">
        <f>F28*10</f>
        <v>0</v>
      </c>
      <c r="I28" s="151">
        <v>0</v>
      </c>
      <c r="J28" s="150">
        <f>B28*15</f>
        <v>0</v>
      </c>
      <c r="K28" s="150">
        <f>B28*35</f>
        <v>0</v>
      </c>
      <c r="L28" s="174">
        <f t="shared" si="14"/>
        <v>0</v>
      </c>
      <c r="M28" s="1427">
        <v>0</v>
      </c>
      <c r="N28" s="1428"/>
    </row>
    <row r="29" spans="1:21" s="57" customFormat="1">
      <c r="A29" s="258" t="s">
        <v>187</v>
      </c>
      <c r="B29" s="1421">
        <f>'Chino Hills'!N452</f>
        <v>0</v>
      </c>
      <c r="C29" s="1422"/>
      <c r="D29" s="1431">
        <f t="shared" si="12"/>
        <v>0</v>
      </c>
      <c r="E29" s="1422"/>
      <c r="F29" s="1444">
        <f>0.023*B29</f>
        <v>0</v>
      </c>
      <c r="G29" s="1422"/>
      <c r="H29" s="1326">
        <f>F29*5</f>
        <v>0</v>
      </c>
      <c r="I29" s="151">
        <v>0</v>
      </c>
      <c r="J29" s="150">
        <f>B29*10</f>
        <v>0</v>
      </c>
      <c r="K29" s="150">
        <f>B29*10</f>
        <v>0</v>
      </c>
      <c r="L29" s="174">
        <f t="shared" si="14"/>
        <v>0</v>
      </c>
      <c r="M29" s="1427">
        <v>0</v>
      </c>
      <c r="N29" s="1428"/>
    </row>
    <row r="30" spans="1:21" s="57" customFormat="1">
      <c r="A30" s="258" t="s">
        <v>188</v>
      </c>
      <c r="B30" s="1421">
        <f>'Chino Hills'!N453</f>
        <v>0</v>
      </c>
      <c r="C30" s="1422"/>
      <c r="D30" s="1431">
        <f t="shared" si="12"/>
        <v>0</v>
      </c>
      <c r="E30" s="1422"/>
      <c r="F30" s="1445">
        <f>B30*0.154</f>
        <v>0</v>
      </c>
      <c r="G30" s="1446"/>
      <c r="H30" s="1329">
        <f>F30*10</f>
        <v>0</v>
      </c>
      <c r="I30" s="151">
        <v>0</v>
      </c>
      <c r="J30" s="150">
        <f>B30*1000</f>
        <v>0</v>
      </c>
      <c r="K30" s="150">
        <f>B30*1000</f>
        <v>0</v>
      </c>
      <c r="L30" s="174">
        <f t="shared" si="14"/>
        <v>0</v>
      </c>
      <c r="M30" s="1427">
        <v>0</v>
      </c>
      <c r="N30" s="1428"/>
    </row>
    <row r="31" spans="1:21" s="57" customFormat="1">
      <c r="A31" s="258" t="s">
        <v>445</v>
      </c>
      <c r="B31" s="1421">
        <f>'Chino Hills'!N454</f>
        <v>6</v>
      </c>
      <c r="C31" s="1422"/>
      <c r="D31" s="1423">
        <f t="shared" si="12"/>
        <v>3337660.0000000005</v>
      </c>
      <c r="E31" s="1424"/>
      <c r="F31" s="1447">
        <f>77620*43/325900</f>
        <v>10.241362381098497</v>
      </c>
      <c r="G31" s="1448"/>
      <c r="H31" s="1321">
        <f>F31*10</f>
        <v>102.41362381098497</v>
      </c>
      <c r="I31" s="151">
        <v>10000</v>
      </c>
      <c r="J31" s="150">
        <v>45823</v>
      </c>
      <c r="K31" s="150">
        <v>155240</v>
      </c>
      <c r="L31" s="174">
        <f t="shared" si="14"/>
        <v>211063</v>
      </c>
      <c r="M31" s="1427">
        <f t="shared" si="13"/>
        <v>5.3907313969118684</v>
      </c>
      <c r="N31" s="1428"/>
    </row>
    <row r="32" spans="1:21" s="57" customFormat="1">
      <c r="A32" s="258" t="s">
        <v>269</v>
      </c>
      <c r="B32" s="1421">
        <f>'Chino Hills'!N455</f>
        <v>0</v>
      </c>
      <c r="C32" s="1422"/>
      <c r="D32" s="1423">
        <f t="shared" si="12"/>
        <v>0</v>
      </c>
      <c r="E32" s="1424"/>
      <c r="F32" s="1425">
        <f t="shared" ref="F32" si="15">0.0129*B32</f>
        <v>0</v>
      </c>
      <c r="G32" s="1426"/>
      <c r="H32" s="1323">
        <f>F32*10</f>
        <v>0</v>
      </c>
      <c r="I32" s="151">
        <v>0</v>
      </c>
      <c r="J32" s="150">
        <f>B32*15</f>
        <v>0</v>
      </c>
      <c r="K32" s="150">
        <f>B32*35</f>
        <v>0</v>
      </c>
      <c r="L32" s="174">
        <f t="shared" si="14"/>
        <v>0</v>
      </c>
      <c r="M32" s="1427">
        <v>0</v>
      </c>
      <c r="N32" s="1428"/>
    </row>
    <row r="33" spans="1:14" s="57" customFormat="1" ht="14" thickBot="1">
      <c r="A33" s="258" t="s">
        <v>268</v>
      </c>
      <c r="B33" s="1421">
        <f>'Chino Hills'!N456</f>
        <v>0</v>
      </c>
      <c r="C33" s="1422"/>
      <c r="D33" s="1431">
        <f t="shared" si="12"/>
        <v>0</v>
      </c>
      <c r="E33" s="1422"/>
      <c r="F33" s="1432">
        <f>(B33*0.0084)/2</f>
        <v>0</v>
      </c>
      <c r="G33" s="1433"/>
      <c r="H33" s="1325">
        <f>F33*10</f>
        <v>0</v>
      </c>
      <c r="I33" s="151">
        <v>0</v>
      </c>
      <c r="J33" s="150">
        <f>B33*5</f>
        <v>0</v>
      </c>
      <c r="K33" s="150">
        <f>B33*5</f>
        <v>0</v>
      </c>
      <c r="L33" s="174">
        <f t="shared" si="14"/>
        <v>0</v>
      </c>
      <c r="M33" s="1427">
        <v>0</v>
      </c>
      <c r="N33" s="1428"/>
    </row>
    <row r="34" spans="1:14" s="91" customFormat="1" ht="16.5" hidden="1" customHeight="1" thickBot="1">
      <c r="A34" s="1046" t="s">
        <v>192</v>
      </c>
      <c r="B34" s="1434"/>
      <c r="C34" s="1434"/>
      <c r="D34" s="1434"/>
      <c r="E34" s="1434"/>
      <c r="F34" s="1425">
        <f t="shared" ref="F34:F35" si="16">0.0129*B34</f>
        <v>0</v>
      </c>
      <c r="G34" s="1426"/>
      <c r="H34" s="1327"/>
      <c r="I34" s="1133"/>
      <c r="J34" s="1133"/>
      <c r="K34" s="1133"/>
      <c r="L34" s="1133"/>
      <c r="M34" s="1133"/>
      <c r="N34" s="1134"/>
    </row>
    <row r="35" spans="1:14" s="121" customFormat="1" ht="13.5" hidden="1" customHeight="1" thickBot="1">
      <c r="A35" s="76" t="s">
        <v>193</v>
      </c>
      <c r="B35" s="1435"/>
      <c r="C35" s="1433"/>
      <c r="D35" s="1436">
        <f>F35*325900</f>
        <v>0</v>
      </c>
      <c r="E35" s="1437"/>
      <c r="F35" s="1425">
        <f t="shared" si="16"/>
        <v>0</v>
      </c>
      <c r="G35" s="1426"/>
      <c r="H35" s="1325">
        <f>F35*5</f>
        <v>0</v>
      </c>
      <c r="I35" s="216">
        <v>0</v>
      </c>
      <c r="J35" s="216">
        <f>L35-K35</f>
        <v>0</v>
      </c>
      <c r="K35" s="216">
        <f>B35*2</f>
        <v>0</v>
      </c>
      <c r="L35" s="174">
        <v>0</v>
      </c>
      <c r="M35" s="1427">
        <f>IF(ISERROR(L35/(F35*771)),0,L35/(F35*771))</f>
        <v>0</v>
      </c>
      <c r="N35" s="1428"/>
    </row>
    <row r="36" spans="1:14" ht="14" thickBot="1">
      <c r="A36" s="53" t="s">
        <v>60</v>
      </c>
      <c r="B36" s="1438">
        <f>SUM(B22:C35)</f>
        <v>14</v>
      </c>
      <c r="C36" s="1439"/>
      <c r="D36" s="1440">
        <f>SUM(D22:E35)</f>
        <v>3371292.8800000004</v>
      </c>
      <c r="E36" s="1439"/>
      <c r="F36" s="1441">
        <f>SUM(F22:G35)</f>
        <v>10.344562381098497</v>
      </c>
      <c r="G36" s="1439"/>
      <c r="H36" s="1313">
        <f>SUM(H22:H35)</f>
        <v>103.44562381098497</v>
      </c>
      <c r="I36" s="1336">
        <f>SUM(I22:I35)</f>
        <v>10000</v>
      </c>
      <c r="J36" s="1336">
        <f>SUM(J22:J35)</f>
        <v>45943</v>
      </c>
      <c r="K36" s="1336">
        <f>SUM(K22:K35)</f>
        <v>155520</v>
      </c>
      <c r="L36" s="1336">
        <f>SUM(L22:L35)</f>
        <v>211463</v>
      </c>
      <c r="M36" s="1442"/>
      <c r="N36" s="1443"/>
    </row>
    <row r="37" spans="1:14" s="1161" customFormat="1" ht="17" thickBot="1">
      <c r="A37" s="1163" t="s">
        <v>17</v>
      </c>
      <c r="B37" s="1414">
        <f>SUM(,B20,B36)</f>
        <v>788</v>
      </c>
      <c r="C37" s="1415"/>
      <c r="D37" s="1416">
        <f>SUM(,D20,D36)</f>
        <v>28741925.890000001</v>
      </c>
      <c r="E37" s="1415"/>
      <c r="F37" s="1416">
        <f>SUM(,F20,F36)</f>
        <v>88.192469745320636</v>
      </c>
      <c r="G37" s="1415"/>
      <c r="H37" s="1312">
        <f>SUM(H20,H36)</f>
        <v>483.33769745320649</v>
      </c>
      <c r="I37" s="1165">
        <f>SUM(,I20,I36)</f>
        <v>10808.03</v>
      </c>
      <c r="J37" s="1165">
        <f>SUM(,J20,J36)</f>
        <v>277262.37943528302</v>
      </c>
      <c r="K37" s="1165">
        <f>SUM(,K20,K36)</f>
        <v>304082.46999999997</v>
      </c>
      <c r="L37" s="1165">
        <f>SUM(,L20,L36)</f>
        <v>592152.8794352829</v>
      </c>
      <c r="M37" s="1417"/>
      <c r="N37" s="1418"/>
    </row>
    <row r="38" spans="1:14">
      <c r="A38" s="50"/>
      <c r="B38" s="1332"/>
      <c r="C38" s="1332"/>
      <c r="D38" s="1332"/>
      <c r="E38" s="1332"/>
      <c r="F38" s="1331"/>
      <c r="G38" s="1331"/>
      <c r="H38" s="1331"/>
      <c r="I38" s="21"/>
      <c r="J38" s="21"/>
      <c r="K38" s="21"/>
      <c r="L38" s="21"/>
      <c r="M38" s="1328"/>
      <c r="N38" s="1328"/>
    </row>
    <row r="39" spans="1:14" ht="15">
      <c r="A39" s="9" t="s">
        <v>18</v>
      </c>
      <c r="B39" s="1419" t="s">
        <v>59</v>
      </c>
      <c r="C39" s="1419"/>
      <c r="D39" s="1419"/>
      <c r="E39" s="1419"/>
      <c r="F39" s="1331"/>
      <c r="G39" s="1331"/>
      <c r="H39" s="1331"/>
      <c r="I39" s="21"/>
      <c r="J39" s="21"/>
      <c r="K39" s="21"/>
      <c r="L39" s="21"/>
      <c r="M39" s="1328"/>
      <c r="N39" s="1328"/>
    </row>
    <row r="40" spans="1:14" ht="14" thickBot="1">
      <c r="B40" s="1420" t="s">
        <v>19</v>
      </c>
      <c r="C40" s="1420"/>
      <c r="D40" s="1420"/>
      <c r="E40" s="1420"/>
      <c r="F40" s="1331"/>
      <c r="G40" s="1331"/>
      <c r="H40" s="1331"/>
      <c r="I40" s="21"/>
      <c r="J40" s="21"/>
      <c r="K40" s="21"/>
      <c r="L40" s="21"/>
      <c r="N40" s="1328"/>
    </row>
    <row r="41" spans="1:14" s="363" customFormat="1" ht="16">
      <c r="A41" s="98"/>
      <c r="B41" s="99"/>
      <c r="C41" s="99"/>
      <c r="D41" s="99"/>
      <c r="E41" s="99"/>
      <c r="F41" s="421"/>
      <c r="G41" s="421"/>
      <c r="H41" s="421"/>
      <c r="I41" s="1468" t="s">
        <v>0</v>
      </c>
      <c r="J41" s="1468"/>
      <c r="K41" s="1468"/>
      <c r="L41" s="1468"/>
      <c r="M41" s="99"/>
      <c r="N41" s="101"/>
    </row>
    <row r="42" spans="1:14" ht="16">
      <c r="A42" s="97"/>
      <c r="B42" s="1469" t="s">
        <v>1</v>
      </c>
      <c r="C42" s="1469"/>
      <c r="D42" s="1469" t="s">
        <v>2</v>
      </c>
      <c r="E42" s="1469"/>
      <c r="F42" s="1470" t="s">
        <v>3</v>
      </c>
      <c r="G42" s="1470"/>
      <c r="H42" s="1116" t="s">
        <v>3</v>
      </c>
      <c r="I42" s="127" t="s">
        <v>195</v>
      </c>
      <c r="J42" s="102"/>
      <c r="K42" s="102"/>
      <c r="L42" s="128"/>
      <c r="M42" s="1525" t="s">
        <v>4</v>
      </c>
      <c r="N42" s="1526"/>
    </row>
    <row r="43" spans="1:14" ht="19" thickBot="1">
      <c r="A43" s="103" t="s">
        <v>5</v>
      </c>
      <c r="B43" s="1473" t="s">
        <v>6</v>
      </c>
      <c r="C43" s="1473"/>
      <c r="D43" s="1473" t="s">
        <v>7</v>
      </c>
      <c r="E43" s="1473"/>
      <c r="F43" s="1474" t="s">
        <v>7</v>
      </c>
      <c r="G43" s="1474"/>
      <c r="H43" s="1118" t="s">
        <v>58</v>
      </c>
      <c r="I43" s="1121" t="s">
        <v>196</v>
      </c>
      <c r="J43" s="1117" t="s">
        <v>8</v>
      </c>
      <c r="K43" s="1117" t="s">
        <v>9</v>
      </c>
      <c r="L43" s="401" t="s">
        <v>10</v>
      </c>
      <c r="M43" s="1527" t="s">
        <v>145</v>
      </c>
      <c r="N43" s="1475"/>
    </row>
    <row r="44" spans="1:14" ht="24" thickBot="1">
      <c r="A44" s="88" t="s">
        <v>391</v>
      </c>
      <c r="B44" s="1476"/>
      <c r="C44" s="1477"/>
      <c r="D44" s="1478"/>
      <c r="E44" s="1479"/>
      <c r="F44" s="1480"/>
      <c r="G44" s="1481"/>
      <c r="H44" s="1126"/>
      <c r="I44" s="213"/>
      <c r="J44" s="213"/>
      <c r="K44" s="213"/>
      <c r="L44" s="214"/>
      <c r="M44" s="1482"/>
      <c r="N44" s="1483"/>
    </row>
    <row r="45" spans="1:14" s="1161" customFormat="1" ht="17" thickBot="1">
      <c r="A45" s="110" t="s">
        <v>189</v>
      </c>
      <c r="B45" s="1456"/>
      <c r="C45" s="1457"/>
      <c r="D45" s="1457"/>
      <c r="E45" s="1457"/>
      <c r="F45" s="1484"/>
      <c r="G45" s="1484"/>
      <c r="H45" s="1158"/>
      <c r="I45" s="1141"/>
      <c r="J45" s="1141"/>
      <c r="K45" s="1141"/>
      <c r="L45" s="1141"/>
      <c r="M45" s="1485"/>
      <c r="N45" s="1486"/>
    </row>
    <row r="46" spans="1:14" s="121" customFormat="1">
      <c r="A46" s="69" t="s">
        <v>29</v>
      </c>
      <c r="B46" s="1435">
        <f>'Chino Hills'!N395</f>
        <v>12</v>
      </c>
      <c r="C46" s="1433"/>
      <c r="D46" s="1432">
        <f t="shared" ref="D46:D47" si="17">F46*325900</f>
        <v>96205.680000000008</v>
      </c>
      <c r="E46" s="1433"/>
      <c r="F46" s="1460">
        <f>0.0246*B46</f>
        <v>0.29520000000000002</v>
      </c>
      <c r="G46" s="1461"/>
      <c r="H46" s="1124">
        <f>F46*20</f>
        <v>5.9039999999999999</v>
      </c>
      <c r="I46" s="173">
        <v>0</v>
      </c>
      <c r="J46" s="173">
        <f>B46*60</f>
        <v>720</v>
      </c>
      <c r="K46" s="173">
        <f>B46*40</f>
        <v>480</v>
      </c>
      <c r="L46" s="174">
        <f>K46+J46+I46</f>
        <v>1200</v>
      </c>
      <c r="M46" s="1427">
        <f t="shared" ref="M46:M53" si="18">IF(ISERROR(L46/(F46*771)),0,L46/(F46*799))</f>
        <v>5.087660388493747</v>
      </c>
      <c r="N46" s="1428"/>
    </row>
    <row r="47" spans="1:14" s="121" customFormat="1">
      <c r="A47" s="69" t="s">
        <v>33</v>
      </c>
      <c r="B47" s="1435">
        <f>'Chino Hills'!N396</f>
        <v>69</v>
      </c>
      <c r="C47" s="1433"/>
      <c r="D47" s="1432">
        <f t="shared" si="17"/>
        <v>775804.95000000007</v>
      </c>
      <c r="E47" s="1433"/>
      <c r="F47" s="1460">
        <f>0.0345*B47</f>
        <v>2.3805000000000001</v>
      </c>
      <c r="G47" s="1461"/>
      <c r="H47" s="1124">
        <f>F47*14</f>
        <v>33.326999999999998</v>
      </c>
      <c r="I47" s="173">
        <f>0*B47</f>
        <v>0</v>
      </c>
      <c r="J47" s="173">
        <f>B47*75</f>
        <v>5175</v>
      </c>
      <c r="K47" s="173">
        <f>B47*85</f>
        <v>5865</v>
      </c>
      <c r="L47" s="174">
        <f t="shared" ref="L47:L53" si="19">K47+J47+I47</f>
        <v>11040</v>
      </c>
      <c r="M47" s="1427">
        <f t="shared" si="18"/>
        <v>5.804356895394605</v>
      </c>
      <c r="N47" s="1428"/>
    </row>
    <row r="48" spans="1:14" s="121" customFormat="1">
      <c r="A48" s="254" t="s">
        <v>363</v>
      </c>
      <c r="B48" s="1435">
        <f>'Chino Hills'!N397</f>
        <v>0</v>
      </c>
      <c r="C48" s="1433"/>
      <c r="D48" s="1432">
        <f>F48*325900</f>
        <v>0</v>
      </c>
      <c r="E48" s="1433"/>
      <c r="F48" s="1460">
        <f>0.0044*0</f>
        <v>0</v>
      </c>
      <c r="G48" s="1461"/>
      <c r="H48" s="1124">
        <f>F48*5</f>
        <v>0</v>
      </c>
      <c r="I48" s="173">
        <f>0*0</f>
        <v>0</v>
      </c>
      <c r="J48" s="173">
        <f t="shared" ref="J48:K48" si="20">0*0</f>
        <v>0</v>
      </c>
      <c r="K48" s="173">
        <f t="shared" si="20"/>
        <v>0</v>
      </c>
      <c r="L48" s="174">
        <f t="shared" si="19"/>
        <v>0</v>
      </c>
      <c r="M48" s="1427">
        <f>IF(ISERROR(L48/(F48*771)),0,L48/(F48*799))</f>
        <v>0</v>
      </c>
      <c r="N48" s="1428"/>
    </row>
    <row r="49" spans="1:21" s="121" customFormat="1">
      <c r="A49" s="69" t="s">
        <v>52</v>
      </c>
      <c r="B49" s="1435">
        <f>'Chino Hills'!N398</f>
        <v>79</v>
      </c>
      <c r="C49" s="1433"/>
      <c r="D49" s="1432">
        <f t="shared" ref="D49" si="21">F49*325900</f>
        <v>1065888.54</v>
      </c>
      <c r="E49" s="1433"/>
      <c r="F49" s="1460">
        <f>0.0414*B49</f>
        <v>3.2706</v>
      </c>
      <c r="G49" s="1461"/>
      <c r="H49" s="1124">
        <f>F49*10</f>
        <v>32.706000000000003</v>
      </c>
      <c r="I49" s="173">
        <v>0</v>
      </c>
      <c r="J49" s="173">
        <f>B49*80</f>
        <v>6320</v>
      </c>
      <c r="K49" s="173">
        <f>B49*80</f>
        <v>6320</v>
      </c>
      <c r="L49" s="174">
        <f t="shared" si="19"/>
        <v>12640</v>
      </c>
      <c r="M49" s="1427">
        <f t="shared" si="18"/>
        <v>4.8369640794955044</v>
      </c>
      <c r="N49" s="1428"/>
    </row>
    <row r="50" spans="1:21" s="121" customFormat="1">
      <c r="A50" s="254" t="s">
        <v>403</v>
      </c>
      <c r="B50" s="1435">
        <f>'Chino Hills'!N399</f>
        <v>2</v>
      </c>
      <c r="C50" s="1433"/>
      <c r="D50" s="1451">
        <f>F50*325900</f>
        <v>43086.00058</v>
      </c>
      <c r="E50" s="1448"/>
      <c r="F50" s="1946">
        <v>0.1322062</v>
      </c>
      <c r="G50" s="1947"/>
      <c r="H50" s="1115">
        <f>F50*10</f>
        <v>1.3220619999999998</v>
      </c>
      <c r="I50" s="173">
        <v>0</v>
      </c>
      <c r="J50" s="173">
        <v>1002</v>
      </c>
      <c r="K50" s="173">
        <v>2004</v>
      </c>
      <c r="L50" s="174">
        <f t="shared" si="19"/>
        <v>3006</v>
      </c>
      <c r="M50" s="1427">
        <f t="shared" si="18"/>
        <v>28.457082598560447</v>
      </c>
      <c r="N50" s="1428"/>
    </row>
    <row r="51" spans="1:21" s="121" customFormat="1">
      <c r="A51" s="254" t="s">
        <v>214</v>
      </c>
      <c r="B51" s="1435">
        <f>'Chino Hills'!N400</f>
        <v>0</v>
      </c>
      <c r="C51" s="1433"/>
      <c r="D51" s="1432">
        <f t="shared" ref="D51:D53" si="22">F51*325900</f>
        <v>0</v>
      </c>
      <c r="E51" s="1433"/>
      <c r="F51" s="1460">
        <v>0</v>
      </c>
      <c r="G51" s="1461"/>
      <c r="H51" s="1124">
        <f>F51*5</f>
        <v>0</v>
      </c>
      <c r="I51" s="173">
        <v>0</v>
      </c>
      <c r="J51" s="173">
        <f>B51*0</f>
        <v>0</v>
      </c>
      <c r="K51" s="173">
        <f>B51*35</f>
        <v>0</v>
      </c>
      <c r="L51" s="174">
        <f t="shared" si="19"/>
        <v>0</v>
      </c>
      <c r="M51" s="1427">
        <f t="shared" si="18"/>
        <v>0</v>
      </c>
      <c r="N51" s="1428"/>
    </row>
    <row r="52" spans="1:21" s="121" customFormat="1">
      <c r="A52" s="254" t="s">
        <v>331</v>
      </c>
      <c r="B52" s="1435">
        <f>'Chino Hills'!N401</f>
        <v>0</v>
      </c>
      <c r="C52" s="1433"/>
      <c r="D52" s="1432">
        <f t="shared" si="22"/>
        <v>0</v>
      </c>
      <c r="E52" s="1433"/>
      <c r="F52" s="1460">
        <v>0</v>
      </c>
      <c r="G52" s="1461"/>
      <c r="H52" s="1124">
        <v>0</v>
      </c>
      <c r="I52" s="173">
        <v>0</v>
      </c>
      <c r="J52" s="173">
        <f>B52*0</f>
        <v>0</v>
      </c>
      <c r="K52" s="173">
        <f>B52*300</f>
        <v>0</v>
      </c>
      <c r="L52" s="174">
        <f t="shared" si="19"/>
        <v>0</v>
      </c>
      <c r="M52" s="1427">
        <f t="shared" si="18"/>
        <v>0</v>
      </c>
      <c r="N52" s="1428"/>
    </row>
    <row r="53" spans="1:21" s="121" customFormat="1" ht="14" thickBot="1">
      <c r="A53" s="254" t="s">
        <v>269</v>
      </c>
      <c r="B53" s="1435">
        <f>'Chino Hills'!N402</f>
        <v>0</v>
      </c>
      <c r="C53" s="1433"/>
      <c r="D53" s="1432">
        <f t="shared" si="22"/>
        <v>0</v>
      </c>
      <c r="E53" s="1433"/>
      <c r="F53" s="1460">
        <f>B53*0.0414</f>
        <v>0</v>
      </c>
      <c r="G53" s="1461"/>
      <c r="H53" s="1124">
        <f>F53*10</f>
        <v>0</v>
      </c>
      <c r="I53" s="173">
        <v>0</v>
      </c>
      <c r="J53" s="173">
        <f t="shared" ref="J53" si="23">B53*65</f>
        <v>0</v>
      </c>
      <c r="K53" s="173">
        <f t="shared" ref="K53" si="24">B53*40</f>
        <v>0</v>
      </c>
      <c r="L53" s="174">
        <f t="shared" si="19"/>
        <v>0</v>
      </c>
      <c r="M53" s="1427">
        <f t="shared" si="18"/>
        <v>0</v>
      </c>
      <c r="N53" s="1428"/>
    </row>
    <row r="54" spans="1:21" s="1161" customFormat="1" ht="17" thickBot="1">
      <c r="A54" s="110" t="s">
        <v>190</v>
      </c>
      <c r="B54" s="1456"/>
      <c r="C54" s="1457"/>
      <c r="D54" s="1457"/>
      <c r="E54" s="1457"/>
      <c r="F54" s="1457"/>
      <c r="G54" s="1457"/>
      <c r="H54" s="1141"/>
      <c r="I54" s="195"/>
      <c r="J54" s="195"/>
      <c r="K54" s="195"/>
      <c r="L54" s="195"/>
      <c r="M54" s="195"/>
      <c r="N54" s="1190"/>
    </row>
    <row r="55" spans="1:21" s="121" customFormat="1">
      <c r="A55" s="76" t="s">
        <v>420</v>
      </c>
      <c r="B55" s="1435">
        <f>'Chino Hills'!N404</f>
        <v>13</v>
      </c>
      <c r="C55" s="1433"/>
      <c r="D55" s="1432" t="s">
        <v>22</v>
      </c>
      <c r="E55" s="1433"/>
      <c r="F55" s="1467" t="s">
        <v>22</v>
      </c>
      <c r="G55" s="1433"/>
      <c r="H55" s="1124" t="s">
        <v>22</v>
      </c>
      <c r="I55" s="173">
        <f>B55*541.27</f>
        <v>7036.51</v>
      </c>
      <c r="J55" s="173">
        <v>0</v>
      </c>
      <c r="K55" s="173">
        <v>0</v>
      </c>
      <c r="L55" s="174">
        <f>I55+J55+K55</f>
        <v>7036.51</v>
      </c>
      <c r="M55" s="1427">
        <f>IF(ISERROR(L55/(F55*771)),0,L55/(F55*799))</f>
        <v>0</v>
      </c>
      <c r="N55" s="1428"/>
    </row>
    <row r="56" spans="1:21" s="121" customFormat="1">
      <c r="A56" s="254" t="s">
        <v>395</v>
      </c>
      <c r="B56" s="1435">
        <f>'Chino Hills'!N405</f>
        <v>9</v>
      </c>
      <c r="C56" s="1433"/>
      <c r="D56" s="1451">
        <f>F56*325900</f>
        <v>230411.3</v>
      </c>
      <c r="E56" s="1448"/>
      <c r="F56" s="1447">
        <v>0.70699999999999996</v>
      </c>
      <c r="G56" s="1448"/>
      <c r="H56" s="1115">
        <v>5.3979999999999997</v>
      </c>
      <c r="I56" s="173">
        <f>(B56*922.51)*0.49</f>
        <v>4068.2691</v>
      </c>
      <c r="J56" s="173">
        <f>(B56*922.5)*0</f>
        <v>0</v>
      </c>
      <c r="K56" s="173">
        <f>(B56*922.51)*0.51</f>
        <v>4234.3208999999997</v>
      </c>
      <c r="L56" s="174">
        <f t="shared" ref="L56:L58" si="25">K56+J56+I56</f>
        <v>8302.59</v>
      </c>
      <c r="M56" s="1427">
        <f>IF(ISERROR(L56/(F56*771)),0,L56/(F56*799))</f>
        <v>14.697633003064299</v>
      </c>
      <c r="N56" s="1428"/>
    </row>
    <row r="57" spans="1:21" s="121" customFormat="1">
      <c r="A57" s="254" t="s">
        <v>412</v>
      </c>
      <c r="B57" s="1435">
        <f>'Chino Hills'!N406</f>
        <v>24</v>
      </c>
      <c r="C57" s="1433"/>
      <c r="D57" s="1451">
        <f>F57*325900</f>
        <v>323814.24</v>
      </c>
      <c r="E57" s="1448"/>
      <c r="F57" s="1447">
        <f>0.0414*24</f>
        <v>0.99360000000000004</v>
      </c>
      <c r="G57" s="1448"/>
      <c r="H57" s="1115">
        <f>F57*10</f>
        <v>9.9359999999999999</v>
      </c>
      <c r="I57" s="173">
        <v>0</v>
      </c>
      <c r="J57" s="173">
        <f>(B57*674.7)*0.62</f>
        <v>10039.536</v>
      </c>
      <c r="K57" s="173">
        <f>(B57*674.7)*0.38</f>
        <v>6153.2640000000001</v>
      </c>
      <c r="L57" s="174">
        <f>K57+J57+I57</f>
        <v>16192.8</v>
      </c>
      <c r="M57" s="1427">
        <f>IF(ISERROR(L57/(F57*771)),0,L57/(F57*799))</f>
        <v>20.396872902722606</v>
      </c>
      <c r="N57" s="1428"/>
    </row>
    <row r="58" spans="1:21" s="121" customFormat="1" ht="14" thickBot="1">
      <c r="A58" s="254" t="s">
        <v>266</v>
      </c>
      <c r="B58" s="1435">
        <f>'Chino Hills'!N407</f>
        <v>92</v>
      </c>
      <c r="C58" s="1433"/>
      <c r="D58" s="1458">
        <f>F58*325900</f>
        <v>3537970.4</v>
      </c>
      <c r="E58" s="1459"/>
      <c r="F58" s="1693">
        <f>B58*0.118</f>
        <v>10.856</v>
      </c>
      <c r="G58" s="1459"/>
      <c r="H58" s="1115">
        <f>F58*10</f>
        <v>108.56</v>
      </c>
      <c r="I58" s="173">
        <v>0</v>
      </c>
      <c r="J58" s="286">
        <f>(B58*520.03)*0.51</f>
        <v>24399.807599999996</v>
      </c>
      <c r="K58" s="286">
        <f>(B58*520.03)*0.49</f>
        <v>23442.952399999998</v>
      </c>
      <c r="L58" s="174">
        <f t="shared" si="25"/>
        <v>47842.759999999995</v>
      </c>
      <c r="M58" s="1427">
        <f>IF(ISERROR(L58/(F58*771)),0,L58/(F58*799))</f>
        <v>5.5156869816083658</v>
      </c>
      <c r="N58" s="1428"/>
    </row>
    <row r="59" spans="1:21" ht="14" thickBot="1">
      <c r="A59" s="53" t="s">
        <v>60</v>
      </c>
      <c r="B59" s="1452">
        <f>SUM(B46:C58)</f>
        <v>300</v>
      </c>
      <c r="C59" s="1453"/>
      <c r="D59" s="1694">
        <f>SUM(D46:E58)</f>
        <v>6073181.1105799992</v>
      </c>
      <c r="E59" s="1453"/>
      <c r="F59" s="1452">
        <v>8.309800000000001</v>
      </c>
      <c r="G59" s="1453"/>
      <c r="H59" s="1122">
        <f>SUM(H46:H58)</f>
        <v>197.15306200000001</v>
      </c>
      <c r="I59" s="1132">
        <f>SUM(I46:I58)</f>
        <v>11104.7791</v>
      </c>
      <c r="J59" s="1132">
        <f>SUM(J46:J58)</f>
        <v>47656.343599999993</v>
      </c>
      <c r="K59" s="1132">
        <f t="shared" ref="K59:L59" si="26">SUM(K46:K58)</f>
        <v>48499.537299999996</v>
      </c>
      <c r="L59" s="1132">
        <f t="shared" si="26"/>
        <v>107260.66</v>
      </c>
      <c r="M59" s="1454">
        <f t="shared" ref="M59" si="27">IF(ISERROR(L59/(F59*744)),0,L59/(F59*744))</f>
        <v>17.349100310890858</v>
      </c>
      <c r="N59" s="1455"/>
    </row>
    <row r="60" spans="1:21" s="1161" customFormat="1" ht="17" thickBot="1">
      <c r="A60" s="110" t="s">
        <v>194</v>
      </c>
      <c r="B60" s="1456"/>
      <c r="C60" s="1457"/>
      <c r="D60" s="1457"/>
      <c r="E60" s="1457"/>
      <c r="F60" s="1457"/>
      <c r="G60" s="1457"/>
      <c r="H60" s="1141"/>
      <c r="I60" s="997"/>
      <c r="J60" s="997"/>
      <c r="K60" s="997"/>
      <c r="L60" s="997"/>
      <c r="M60" s="997"/>
      <c r="N60" s="998"/>
    </row>
    <row r="61" spans="1:21">
      <c r="A61" s="68" t="s">
        <v>29</v>
      </c>
      <c r="B61" s="1421">
        <f>'Chino Hills'!N410</f>
        <v>0</v>
      </c>
      <c r="C61" s="1422"/>
      <c r="D61" s="1431">
        <f>F61*325900</f>
        <v>0</v>
      </c>
      <c r="E61" s="1422"/>
      <c r="F61" s="1425">
        <f>0.0246*B61</f>
        <v>0</v>
      </c>
      <c r="G61" s="1426"/>
      <c r="H61" s="1123">
        <f>F61*20</f>
        <v>0</v>
      </c>
      <c r="I61" s="151">
        <v>0</v>
      </c>
      <c r="J61" s="150">
        <f>B61*60</f>
        <v>0</v>
      </c>
      <c r="K61" s="150">
        <f>B61*40</f>
        <v>0</v>
      </c>
      <c r="L61" s="174">
        <f t="shared" ref="L61:L69" si="28">K61+J61+I61</f>
        <v>0</v>
      </c>
      <c r="M61" s="1427">
        <f t="shared" ref="M61:M72" si="29">IF(ISERROR(L61/(F61*771)),0,L61/(F61*799))</f>
        <v>0</v>
      </c>
      <c r="N61" s="1428"/>
      <c r="U61" s="3"/>
    </row>
    <row r="62" spans="1:21">
      <c r="A62" s="68" t="s">
        <v>51</v>
      </c>
      <c r="B62" s="1421">
        <f>'Chino Hills'!N411</f>
        <v>0</v>
      </c>
      <c r="C62" s="1422"/>
      <c r="D62" s="1431">
        <f>F62*325900</f>
        <v>0</v>
      </c>
      <c r="E62" s="1422"/>
      <c r="F62" s="1425">
        <f>0.1227*B62</f>
        <v>0</v>
      </c>
      <c r="G62" s="1426"/>
      <c r="H62" s="1123">
        <f>F62*20</f>
        <v>0</v>
      </c>
      <c r="I62" s="151">
        <v>0</v>
      </c>
      <c r="J62" s="150">
        <f>B62*200</f>
        <v>0</v>
      </c>
      <c r="K62" s="150">
        <f>B62*200</f>
        <v>0</v>
      </c>
      <c r="L62" s="174">
        <f t="shared" si="28"/>
        <v>0</v>
      </c>
      <c r="M62" s="1427">
        <f t="shared" si="29"/>
        <v>0</v>
      </c>
      <c r="N62" s="1428"/>
    </row>
    <row r="63" spans="1:21">
      <c r="A63" s="2" t="s">
        <v>204</v>
      </c>
      <c r="B63" s="1421">
        <f>'Chino Hills'!N412</f>
        <v>0</v>
      </c>
      <c r="C63" s="1422"/>
      <c r="D63" s="1431">
        <f>F63*325900</f>
        <v>0</v>
      </c>
      <c r="E63" s="1422"/>
      <c r="F63" s="1425">
        <f>0.644*B63</f>
        <v>0</v>
      </c>
      <c r="G63" s="1426"/>
      <c r="H63" s="1123">
        <f>F63*5</f>
        <v>0</v>
      </c>
      <c r="I63" s="151">
        <v>0</v>
      </c>
      <c r="J63" s="150">
        <f>B63*375</f>
        <v>0</v>
      </c>
      <c r="K63" s="150">
        <f>B63*625</f>
        <v>0</v>
      </c>
      <c r="L63" s="174">
        <f t="shared" si="28"/>
        <v>0</v>
      </c>
      <c r="M63" s="1427">
        <f t="shared" si="29"/>
        <v>0</v>
      </c>
      <c r="N63" s="1428"/>
    </row>
    <row r="64" spans="1:21">
      <c r="A64" s="254" t="s">
        <v>30</v>
      </c>
      <c r="B64" s="1421">
        <f>'Chino Hills'!N413</f>
        <v>15</v>
      </c>
      <c r="C64" s="1422"/>
      <c r="D64" s="1431">
        <f>F64*325900</f>
        <v>63061.65</v>
      </c>
      <c r="E64" s="1422"/>
      <c r="F64" s="1513">
        <f>0.0129*B64</f>
        <v>0.19350000000000001</v>
      </c>
      <c r="G64" s="1514"/>
      <c r="H64" s="1123">
        <f>F64*10</f>
        <v>1.9350000000000001</v>
      </c>
      <c r="I64" s="151">
        <v>0</v>
      </c>
      <c r="J64" s="150">
        <f>B64*15</f>
        <v>225</v>
      </c>
      <c r="K64" s="150">
        <f>B64*35</f>
        <v>525</v>
      </c>
      <c r="L64" s="174">
        <f t="shared" si="28"/>
        <v>750</v>
      </c>
      <c r="M64" s="1427">
        <f t="shared" si="29"/>
        <v>4.8510250215870609</v>
      </c>
      <c r="N64" s="1428"/>
    </row>
    <row r="65" spans="1:14">
      <c r="A65" s="254" t="s">
        <v>363</v>
      </c>
      <c r="B65" s="1421">
        <f>'Chino Hills'!N414</f>
        <v>0</v>
      </c>
      <c r="C65" s="1422"/>
      <c r="D65" s="1431">
        <f t="shared" ref="D65:D72" si="30">F65*325900</f>
        <v>0</v>
      </c>
      <c r="E65" s="1422"/>
      <c r="F65" s="1425">
        <f>0.0044*0</f>
        <v>0</v>
      </c>
      <c r="G65" s="1426"/>
      <c r="H65" s="1288">
        <f>F65*5</f>
        <v>0</v>
      </c>
      <c r="I65" s="151">
        <v>0</v>
      </c>
      <c r="J65" s="150">
        <f>0*3</f>
        <v>0</v>
      </c>
      <c r="K65" s="150">
        <f>0*2</f>
        <v>0</v>
      </c>
      <c r="L65" s="174">
        <f t="shared" si="28"/>
        <v>0</v>
      </c>
      <c r="M65" s="1427">
        <f t="shared" si="29"/>
        <v>0</v>
      </c>
      <c r="N65" s="1428"/>
    </row>
    <row r="66" spans="1:14">
      <c r="A66" s="254" t="s">
        <v>122</v>
      </c>
      <c r="B66" s="1421">
        <f>'Chino Hills'!N415</f>
        <v>0</v>
      </c>
      <c r="C66" s="1422"/>
      <c r="D66" s="1431">
        <f t="shared" si="30"/>
        <v>0</v>
      </c>
      <c r="E66" s="1422"/>
      <c r="F66" s="1425">
        <f>0.018*B66</f>
        <v>0</v>
      </c>
      <c r="G66" s="1426"/>
      <c r="H66" s="1123">
        <f>F66*10</f>
        <v>0</v>
      </c>
      <c r="I66" s="151">
        <v>0</v>
      </c>
      <c r="J66" s="150">
        <f>B66*5</f>
        <v>0</v>
      </c>
      <c r="K66" s="150">
        <f>B66*13</f>
        <v>0</v>
      </c>
      <c r="L66" s="174">
        <f t="shared" si="28"/>
        <v>0</v>
      </c>
      <c r="M66" s="1427">
        <f t="shared" si="29"/>
        <v>0</v>
      </c>
      <c r="N66" s="1428"/>
    </row>
    <row r="67" spans="1:14">
      <c r="A67" s="257" t="s">
        <v>184</v>
      </c>
      <c r="B67" s="1421">
        <f>'Chino Hills'!N416</f>
        <v>0</v>
      </c>
      <c r="C67" s="1422"/>
      <c r="D67" s="1431">
        <f t="shared" si="30"/>
        <v>0</v>
      </c>
      <c r="E67" s="1422"/>
      <c r="F67" s="1425">
        <f>B67*0.0129</f>
        <v>0</v>
      </c>
      <c r="G67" s="1426"/>
      <c r="H67" s="1123">
        <f>F67*10</f>
        <v>0</v>
      </c>
      <c r="I67" s="151">
        <v>0</v>
      </c>
      <c r="J67" s="150">
        <f>B67*15</f>
        <v>0</v>
      </c>
      <c r="K67" s="150">
        <f>B67*35</f>
        <v>0</v>
      </c>
      <c r="L67" s="174">
        <f t="shared" si="28"/>
        <v>0</v>
      </c>
      <c r="M67" s="1427">
        <f t="shared" si="29"/>
        <v>0</v>
      </c>
      <c r="N67" s="1428"/>
    </row>
    <row r="68" spans="1:14" s="57" customFormat="1">
      <c r="A68" s="258" t="s">
        <v>187</v>
      </c>
      <c r="B68" s="1421">
        <f>'Chino Hills'!N417</f>
        <v>0</v>
      </c>
      <c r="C68" s="1422"/>
      <c r="D68" s="1431">
        <f t="shared" si="30"/>
        <v>0</v>
      </c>
      <c r="E68" s="1422"/>
      <c r="F68" s="1425">
        <f>B68*0.023</f>
        <v>0</v>
      </c>
      <c r="G68" s="1426"/>
      <c r="H68" s="1123">
        <f>F68*5</f>
        <v>0</v>
      </c>
      <c r="I68" s="151">
        <v>0</v>
      </c>
      <c r="J68" s="150">
        <f>B68*10</f>
        <v>0</v>
      </c>
      <c r="K68" s="150">
        <f>B68*10</f>
        <v>0</v>
      </c>
      <c r="L68" s="174">
        <f t="shared" si="28"/>
        <v>0</v>
      </c>
      <c r="M68" s="1427">
        <f t="shared" si="29"/>
        <v>0</v>
      </c>
      <c r="N68" s="1428"/>
    </row>
    <row r="69" spans="1:14" s="57" customFormat="1">
      <c r="A69" s="258" t="s">
        <v>188</v>
      </c>
      <c r="B69" s="1421">
        <f>'Chino Hills'!N418</f>
        <v>0</v>
      </c>
      <c r="C69" s="1422"/>
      <c r="D69" s="1431">
        <f t="shared" si="30"/>
        <v>0</v>
      </c>
      <c r="E69" s="1422"/>
      <c r="F69" s="1509">
        <f>B69*0.154</f>
        <v>0</v>
      </c>
      <c r="G69" s="1510"/>
      <c r="H69" s="1130">
        <f>F69*10</f>
        <v>0</v>
      </c>
      <c r="I69" s="151">
        <v>0</v>
      </c>
      <c r="J69" s="150">
        <f>B69*1000</f>
        <v>0</v>
      </c>
      <c r="K69" s="150">
        <f>B69*1000</f>
        <v>0</v>
      </c>
      <c r="L69" s="174">
        <f t="shared" si="28"/>
        <v>0</v>
      </c>
      <c r="M69" s="1427">
        <f t="shared" si="29"/>
        <v>0</v>
      </c>
      <c r="N69" s="1428"/>
    </row>
    <row r="70" spans="1:14" s="57" customFormat="1">
      <c r="A70" s="258" t="s">
        <v>323</v>
      </c>
      <c r="B70" s="1421">
        <f>'Chino Hills'!N419</f>
        <v>0</v>
      </c>
      <c r="C70" s="1422"/>
      <c r="D70" s="1423">
        <f t="shared" si="30"/>
        <v>0</v>
      </c>
      <c r="E70" s="1424"/>
      <c r="F70" s="1494">
        <v>0</v>
      </c>
      <c r="G70" s="1495"/>
      <c r="H70" s="1115">
        <f>F70*10</f>
        <v>0</v>
      </c>
      <c r="I70" s="151">
        <v>0</v>
      </c>
      <c r="J70" s="150">
        <v>0</v>
      </c>
      <c r="K70" s="150">
        <v>0</v>
      </c>
      <c r="L70" s="174">
        <f>K70+J70+I70</f>
        <v>0</v>
      </c>
      <c r="M70" s="1427">
        <f t="shared" si="29"/>
        <v>0</v>
      </c>
      <c r="N70" s="1428"/>
    </row>
    <row r="71" spans="1:14" s="57" customFormat="1">
      <c r="A71" s="258" t="s">
        <v>269</v>
      </c>
      <c r="B71" s="1421">
        <f>'Chino Hills'!N420</f>
        <v>0</v>
      </c>
      <c r="C71" s="1422"/>
      <c r="D71" s="1423">
        <f t="shared" si="30"/>
        <v>0</v>
      </c>
      <c r="E71" s="1424"/>
      <c r="F71" s="1498">
        <v>0</v>
      </c>
      <c r="G71" s="1499"/>
      <c r="H71" s="1113">
        <f>F71*10</f>
        <v>0</v>
      </c>
      <c r="I71" s="151">
        <v>0</v>
      </c>
      <c r="J71" s="150">
        <f>B71*15</f>
        <v>0</v>
      </c>
      <c r="K71" s="150">
        <f>B71*35</f>
        <v>0</v>
      </c>
      <c r="L71" s="174">
        <f t="shared" ref="L71:L72" si="31">K71+J71+I71</f>
        <v>0</v>
      </c>
      <c r="M71" s="1427">
        <f t="shared" si="29"/>
        <v>0</v>
      </c>
      <c r="N71" s="1428"/>
    </row>
    <row r="72" spans="1:14" s="57" customFormat="1" ht="14" thickBot="1">
      <c r="A72" s="258" t="s">
        <v>268</v>
      </c>
      <c r="B72" s="1421">
        <f>'Chino Hills'!N421</f>
        <v>0</v>
      </c>
      <c r="C72" s="1422"/>
      <c r="D72" s="1431">
        <f t="shared" si="30"/>
        <v>0</v>
      </c>
      <c r="E72" s="1422"/>
      <c r="F72" s="1501">
        <f>(B72*0.0084)/2</f>
        <v>0</v>
      </c>
      <c r="G72" s="1461"/>
      <c r="H72" s="1124">
        <f>F72*10</f>
        <v>0</v>
      </c>
      <c r="I72" s="151">
        <v>0</v>
      </c>
      <c r="J72" s="150">
        <f>B72*5</f>
        <v>0</v>
      </c>
      <c r="K72" s="150">
        <f>B72*5</f>
        <v>0</v>
      </c>
      <c r="L72" s="174">
        <f t="shared" si="31"/>
        <v>0</v>
      </c>
      <c r="M72" s="1427">
        <f t="shared" si="29"/>
        <v>0</v>
      </c>
      <c r="N72" s="1428"/>
    </row>
    <row r="73" spans="1:14" s="91" customFormat="1" ht="17" hidden="1" thickBot="1">
      <c r="A73" s="1046" t="s">
        <v>192</v>
      </c>
      <c r="B73" s="1434"/>
      <c r="C73" s="1434"/>
      <c r="D73" s="1434"/>
      <c r="E73" s="1434"/>
      <c r="F73" s="1434"/>
      <c r="G73" s="1434"/>
      <c r="H73" s="1114"/>
      <c r="I73" s="1133"/>
      <c r="J73" s="1133"/>
      <c r="K73" s="1133"/>
      <c r="L73" s="1133"/>
      <c r="M73" s="1133"/>
      <c r="N73" s="1134"/>
    </row>
    <row r="74" spans="1:14" s="121" customFormat="1" ht="14" hidden="1" thickBot="1">
      <c r="A74" s="76" t="s">
        <v>193</v>
      </c>
      <c r="B74" s="1435">
        <f>CVWD!N347</f>
        <v>0</v>
      </c>
      <c r="C74" s="1433"/>
      <c r="D74" s="1436">
        <f>F74*325900</f>
        <v>0</v>
      </c>
      <c r="E74" s="1437"/>
      <c r="F74" s="1744">
        <f>0.004*B74</f>
        <v>0</v>
      </c>
      <c r="G74" s="1437"/>
      <c r="H74" s="1124">
        <f>F74*5</f>
        <v>0</v>
      </c>
      <c r="I74" s="216">
        <v>0</v>
      </c>
      <c r="J74" s="216">
        <f>L74-K74</f>
        <v>3607.5</v>
      </c>
      <c r="K74" s="216">
        <f>B74*2</f>
        <v>0</v>
      </c>
      <c r="L74" s="174">
        <v>3607.5</v>
      </c>
      <c r="M74" s="1427">
        <f>IF(ISERROR(L74/(F74*771)),0,L74/(F74*771))</f>
        <v>0</v>
      </c>
      <c r="N74" s="1428"/>
    </row>
    <row r="75" spans="1:14" ht="14" thickBot="1">
      <c r="A75" s="53" t="s">
        <v>60</v>
      </c>
      <c r="B75" s="1438">
        <f>SUM(B61:B74)</f>
        <v>15</v>
      </c>
      <c r="C75" s="1439"/>
      <c r="D75" s="1440">
        <f>SUM(D61:E74)</f>
        <v>63061.65</v>
      </c>
      <c r="E75" s="1439"/>
      <c r="F75" s="1441">
        <f>SUM(F61:G74)</f>
        <v>0.19350000000000001</v>
      </c>
      <c r="G75" s="1439"/>
      <c r="H75" s="1119">
        <f>SUM(H61:H74)</f>
        <v>1.9350000000000001</v>
      </c>
      <c r="I75" s="146">
        <f>SUM(I61:I74)</f>
        <v>0</v>
      </c>
      <c r="J75" s="146">
        <f>SUM(J61:J74)</f>
        <v>3832.5</v>
      </c>
      <c r="K75" s="146">
        <f>SUM(K61:K74)</f>
        <v>525</v>
      </c>
      <c r="L75" s="146">
        <f>SUM(L61:L74)</f>
        <v>4357.5</v>
      </c>
      <c r="M75" s="1442"/>
      <c r="N75" s="1443"/>
    </row>
    <row r="76" spans="1:14" s="1161" customFormat="1" ht="17" thickBot="1">
      <c r="A76" s="1163" t="s">
        <v>17</v>
      </c>
      <c r="B76" s="1414">
        <f>SUM(,B59,B75)</f>
        <v>315</v>
      </c>
      <c r="C76" s="1415"/>
      <c r="D76" s="1416">
        <f>SUM(,D59,D75)</f>
        <v>6136242.7605799995</v>
      </c>
      <c r="E76" s="1415"/>
      <c r="F76" s="1416">
        <f>SUM(,F59,F75)</f>
        <v>8.5033000000000012</v>
      </c>
      <c r="G76" s="1415"/>
      <c r="H76" s="1164">
        <f>SUM(H59,H75)</f>
        <v>199.08806200000001</v>
      </c>
      <c r="I76" s="1165">
        <f>SUM(,I59,I75)</f>
        <v>11104.7791</v>
      </c>
      <c r="J76" s="1165">
        <f>SUM(,J59,J75)</f>
        <v>51488.843599999993</v>
      </c>
      <c r="K76" s="1165">
        <f>SUM(,K59,K75)</f>
        <v>49024.537299999996</v>
      </c>
      <c r="L76" s="1165">
        <f>SUM(,L59,L75)</f>
        <v>111618.16</v>
      </c>
      <c r="M76" s="1417"/>
      <c r="N76" s="1418"/>
    </row>
    <row r="77" spans="1:14">
      <c r="A77" s="50"/>
      <c r="B77" s="1127"/>
      <c r="C77" s="1127"/>
      <c r="D77" s="1127"/>
      <c r="E77" s="1127"/>
      <c r="F77" s="1128"/>
      <c r="G77" s="1128"/>
      <c r="H77" s="1128"/>
      <c r="I77" s="21"/>
      <c r="J77" s="21"/>
      <c r="K77" s="21"/>
      <c r="L77" s="21"/>
      <c r="M77" s="1125"/>
      <c r="N77" s="1125"/>
    </row>
    <row r="78" spans="1:14" ht="15">
      <c r="A78" s="9" t="s">
        <v>18</v>
      </c>
      <c r="B78" s="1419" t="s">
        <v>59</v>
      </c>
      <c r="C78" s="1419"/>
      <c r="D78" s="1419"/>
      <c r="E78" s="1419"/>
      <c r="F78" s="1128"/>
      <c r="G78" s="1128"/>
      <c r="H78" s="1128"/>
      <c r="I78" s="21"/>
      <c r="J78" s="21"/>
      <c r="K78" s="21"/>
      <c r="L78" s="21"/>
      <c r="M78" s="1125"/>
      <c r="N78" s="1125"/>
    </row>
    <row r="79" spans="1:14">
      <c r="B79" s="1420" t="s">
        <v>19</v>
      </c>
      <c r="C79" s="1420"/>
      <c r="D79" s="1420"/>
      <c r="E79" s="1420"/>
      <c r="F79" s="1128"/>
      <c r="G79" s="1128"/>
      <c r="H79" s="1128"/>
      <c r="I79" s="21"/>
      <c r="J79" s="21"/>
      <c r="K79" s="21"/>
      <c r="L79" s="21"/>
      <c r="N79" s="1125"/>
    </row>
    <row r="80" spans="1:14" ht="14" thickBot="1">
      <c r="B80" s="1125"/>
      <c r="C80" s="1125"/>
      <c r="D80" s="1125"/>
      <c r="E80" s="1125"/>
      <c r="F80" s="1128"/>
      <c r="G80" s="1128"/>
      <c r="H80" s="1128"/>
      <c r="I80" s="21"/>
      <c r="J80" s="21"/>
      <c r="K80" s="21"/>
      <c r="L80" s="21"/>
      <c r="N80" s="1125"/>
    </row>
    <row r="81" spans="1:14" s="363" customFormat="1" ht="16">
      <c r="A81" s="98"/>
      <c r="B81" s="99"/>
      <c r="C81" s="99"/>
      <c r="D81" s="99"/>
      <c r="E81" s="99"/>
      <c r="F81" s="100"/>
      <c r="G81" s="100"/>
      <c r="H81" s="100"/>
      <c r="I81" s="1468" t="s">
        <v>0</v>
      </c>
      <c r="J81" s="1468"/>
      <c r="K81" s="1468"/>
      <c r="L81" s="1468"/>
      <c r="M81" s="99"/>
      <c r="N81" s="101"/>
    </row>
    <row r="82" spans="1:14" ht="16">
      <c r="A82" s="97"/>
      <c r="B82" s="1469" t="s">
        <v>1</v>
      </c>
      <c r="C82" s="1469"/>
      <c r="D82" s="1469" t="s">
        <v>2</v>
      </c>
      <c r="E82" s="1469"/>
      <c r="F82" s="1863" t="s">
        <v>3</v>
      </c>
      <c r="G82" s="1863"/>
      <c r="H82" s="1028" t="s">
        <v>3</v>
      </c>
      <c r="I82" s="127" t="s">
        <v>195</v>
      </c>
      <c r="J82" s="102"/>
      <c r="K82" s="102"/>
      <c r="L82" s="128"/>
      <c r="M82" s="1525" t="s">
        <v>4</v>
      </c>
      <c r="N82" s="1526"/>
    </row>
    <row r="83" spans="1:14" ht="19" thickBot="1">
      <c r="A83" s="103" t="s">
        <v>5</v>
      </c>
      <c r="B83" s="1473" t="s">
        <v>6</v>
      </c>
      <c r="C83" s="1473"/>
      <c r="D83" s="1473" t="s">
        <v>7</v>
      </c>
      <c r="E83" s="1473"/>
      <c r="F83" s="1864" t="s">
        <v>7</v>
      </c>
      <c r="G83" s="1864"/>
      <c r="H83" s="1029" t="s">
        <v>58</v>
      </c>
      <c r="I83" s="1007" t="s">
        <v>196</v>
      </c>
      <c r="J83" s="1005" t="s">
        <v>8</v>
      </c>
      <c r="K83" s="1005" t="s">
        <v>9</v>
      </c>
      <c r="L83" s="401" t="s">
        <v>10</v>
      </c>
      <c r="M83" s="1527" t="s">
        <v>145</v>
      </c>
      <c r="N83" s="1475"/>
    </row>
    <row r="84" spans="1:14" ht="24" thickBot="1">
      <c r="A84" s="88" t="s">
        <v>351</v>
      </c>
      <c r="B84" s="1702"/>
      <c r="C84" s="1703"/>
      <c r="D84" s="1704"/>
      <c r="E84" s="1705"/>
      <c r="F84" s="1865"/>
      <c r="G84" s="1866"/>
      <c r="H84" s="1030"/>
      <c r="I84" s="304"/>
      <c r="J84" s="304"/>
      <c r="K84" s="304"/>
      <c r="L84" s="305"/>
      <c r="M84" s="1708"/>
      <c r="N84" s="1709"/>
    </row>
    <row r="85" spans="1:14" s="1161" customFormat="1" ht="17" thickBot="1">
      <c r="A85" s="110" t="s">
        <v>189</v>
      </c>
      <c r="B85" s="1456"/>
      <c r="C85" s="1457"/>
      <c r="D85" s="1457"/>
      <c r="E85" s="1457"/>
      <c r="F85" s="1854"/>
      <c r="G85" s="1854"/>
      <c r="H85" s="1212"/>
      <c r="I85" s="1141"/>
      <c r="J85" s="1141"/>
      <c r="K85" s="1141"/>
      <c r="L85" s="1141"/>
      <c r="M85" s="1485"/>
      <c r="N85" s="1486"/>
    </row>
    <row r="86" spans="1:14" s="1087" customFormat="1">
      <c r="A86" s="1057" t="s">
        <v>29</v>
      </c>
      <c r="B86" s="1503">
        <f>'Chino Hills'!N361</f>
        <v>21</v>
      </c>
      <c r="C86" s="1461"/>
      <c r="D86" s="1501">
        <f>F86*325900</f>
        <v>168359.94000000003</v>
      </c>
      <c r="E86" s="1461"/>
      <c r="F86" s="1460">
        <f>0.0246*B86</f>
        <v>0.51660000000000006</v>
      </c>
      <c r="G86" s="1461"/>
      <c r="H86" s="1073">
        <f>F86*20</f>
        <v>10.332000000000001</v>
      </c>
      <c r="I86" s="1052">
        <v>0</v>
      </c>
      <c r="J86" s="1052">
        <f>B86*60</f>
        <v>1260</v>
      </c>
      <c r="K86" s="1052">
        <f>B86*40</f>
        <v>840</v>
      </c>
      <c r="L86" s="1054">
        <f>K86+J86+I86</f>
        <v>2100</v>
      </c>
      <c r="M86" s="1507">
        <f t="shared" ref="M86:M93" si="32">IF(ISERROR(L86/(F86*771)),0,L86/(F86*771))</f>
        <v>5.272426265118682</v>
      </c>
      <c r="N86" s="1508"/>
    </row>
    <row r="87" spans="1:14" s="1087" customFormat="1">
      <c r="A87" s="1057" t="s">
        <v>33</v>
      </c>
      <c r="B87" s="1503">
        <f>'Chino Hills'!N362</f>
        <v>76</v>
      </c>
      <c r="C87" s="1461"/>
      <c r="D87" s="1501">
        <f>F87*325900</f>
        <v>854509.80000000016</v>
      </c>
      <c r="E87" s="1461"/>
      <c r="F87" s="1460">
        <f>0.0345*B87</f>
        <v>2.6220000000000003</v>
      </c>
      <c r="G87" s="1461"/>
      <c r="H87" s="1073">
        <f>F87*14</f>
        <v>36.708000000000006</v>
      </c>
      <c r="I87" s="1052">
        <f>0*B87</f>
        <v>0</v>
      </c>
      <c r="J87" s="1052">
        <f>B87*65</f>
        <v>4940</v>
      </c>
      <c r="K87" s="1052">
        <f>B87*85</f>
        <v>6460</v>
      </c>
      <c r="L87" s="1054">
        <f t="shared" ref="L87:L93" si="33">K87+J87+I87</f>
        <v>11400</v>
      </c>
      <c r="M87" s="1507">
        <f t="shared" si="32"/>
        <v>5.6392037444312857</v>
      </c>
      <c r="N87" s="1508"/>
    </row>
    <row r="88" spans="1:14" s="1087" customFormat="1">
      <c r="A88" s="1057" t="s">
        <v>364</v>
      </c>
      <c r="B88" s="1503">
        <f>'Chino Hills'!N363</f>
        <v>33</v>
      </c>
      <c r="C88" s="1461"/>
      <c r="D88" s="1501">
        <f>F88*325851</f>
        <v>47313.565199999997</v>
      </c>
      <c r="E88" s="1461"/>
      <c r="F88" s="1460">
        <f>0.0044*B88</f>
        <v>0.1452</v>
      </c>
      <c r="G88" s="1461"/>
      <c r="H88" s="1073">
        <f>F88*5</f>
        <v>0.72599999999999998</v>
      </c>
      <c r="I88" s="1052">
        <f>0*B88</f>
        <v>0</v>
      </c>
      <c r="J88" s="1052">
        <f>B88*3</f>
        <v>99</v>
      </c>
      <c r="K88" s="1052">
        <f>B88*2</f>
        <v>66</v>
      </c>
      <c r="L88" s="1054">
        <f t="shared" si="33"/>
        <v>165</v>
      </c>
      <c r="M88" s="1507">
        <f t="shared" si="32"/>
        <v>1.4738827968399955</v>
      </c>
      <c r="N88" s="1508"/>
    </row>
    <row r="89" spans="1:14" s="1087" customFormat="1">
      <c r="A89" s="1057" t="s">
        <v>52</v>
      </c>
      <c r="B89" s="1503">
        <f>'Chino Hills'!N364</f>
        <v>39</v>
      </c>
      <c r="C89" s="1461"/>
      <c r="D89" s="1501">
        <f>F89*325900</f>
        <v>526198.14</v>
      </c>
      <c r="E89" s="1461"/>
      <c r="F89" s="1460">
        <f>0.0414*B89</f>
        <v>1.6146</v>
      </c>
      <c r="G89" s="1461"/>
      <c r="H89" s="1073">
        <f>F89*10</f>
        <v>16.146000000000001</v>
      </c>
      <c r="I89" s="1052">
        <v>0</v>
      </c>
      <c r="J89" s="1052">
        <f>B89*70</f>
        <v>2730</v>
      </c>
      <c r="K89" s="1052">
        <f>B89*80</f>
        <v>3120</v>
      </c>
      <c r="L89" s="1054">
        <f t="shared" si="33"/>
        <v>5850</v>
      </c>
      <c r="M89" s="1507">
        <f t="shared" si="32"/>
        <v>4.6993364536927382</v>
      </c>
      <c r="N89" s="1508"/>
    </row>
    <row r="90" spans="1:14" s="1087" customFormat="1">
      <c r="A90" s="1057" t="s">
        <v>323</v>
      </c>
      <c r="B90" s="1503">
        <f>'Chino Hills'!N365</f>
        <v>0</v>
      </c>
      <c r="C90" s="1461"/>
      <c r="D90" s="1494">
        <f>F90*325900</f>
        <v>0</v>
      </c>
      <c r="E90" s="1495"/>
      <c r="F90" s="1515">
        <v>0</v>
      </c>
      <c r="G90" s="1495"/>
      <c r="H90" s="1074">
        <f>F90*10</f>
        <v>0</v>
      </c>
      <c r="I90" s="1052">
        <v>0</v>
      </c>
      <c r="J90" s="1052">
        <f t="shared" ref="J90:J93" si="34">B90*65</f>
        <v>0</v>
      </c>
      <c r="K90" s="1052">
        <f t="shared" ref="K90:K93" si="35">B90*40</f>
        <v>0</v>
      </c>
      <c r="L90" s="1054">
        <f t="shared" si="33"/>
        <v>0</v>
      </c>
      <c r="M90" s="1507">
        <f t="shared" si="32"/>
        <v>0</v>
      </c>
      <c r="N90" s="1508"/>
    </row>
    <row r="91" spans="1:14" s="1087" customFormat="1">
      <c r="A91" s="1057" t="s">
        <v>214</v>
      </c>
      <c r="B91" s="1503">
        <f>'Chino Hills'!N366</f>
        <v>2</v>
      </c>
      <c r="C91" s="1461"/>
      <c r="D91" s="1501">
        <f>F91*325900</f>
        <v>0</v>
      </c>
      <c r="E91" s="1461"/>
      <c r="F91" s="1460">
        <v>0</v>
      </c>
      <c r="G91" s="1461"/>
      <c r="H91" s="1073">
        <f>F91*5</f>
        <v>0</v>
      </c>
      <c r="I91" s="1052">
        <v>0</v>
      </c>
      <c r="J91" s="1052">
        <f>B91*0</f>
        <v>0</v>
      </c>
      <c r="K91" s="1052">
        <f>B91*35</f>
        <v>70</v>
      </c>
      <c r="L91" s="1054">
        <f t="shared" si="33"/>
        <v>70</v>
      </c>
      <c r="M91" s="1507">
        <f t="shared" si="32"/>
        <v>0</v>
      </c>
      <c r="N91" s="1508"/>
    </row>
    <row r="92" spans="1:14" s="1087" customFormat="1">
      <c r="A92" s="1057" t="s">
        <v>331</v>
      </c>
      <c r="B92" s="1503">
        <f>'Chino Hills'!N367</f>
        <v>2</v>
      </c>
      <c r="C92" s="1461"/>
      <c r="D92" s="1501">
        <f>F92*325900</f>
        <v>0</v>
      </c>
      <c r="E92" s="1461"/>
      <c r="F92" s="1460">
        <v>0</v>
      </c>
      <c r="G92" s="1461"/>
      <c r="H92" s="1073">
        <v>0</v>
      </c>
      <c r="I92" s="1052">
        <v>0</v>
      </c>
      <c r="J92" s="1052">
        <f>B92*0</f>
        <v>0</v>
      </c>
      <c r="K92" s="1052">
        <f>B92*300</f>
        <v>600</v>
      </c>
      <c r="L92" s="1054">
        <f t="shared" si="33"/>
        <v>600</v>
      </c>
      <c r="M92" s="1507">
        <f t="shared" si="32"/>
        <v>0</v>
      </c>
      <c r="N92" s="1508"/>
    </row>
    <row r="93" spans="1:14" s="1087" customFormat="1" ht="14" thickBot="1">
      <c r="A93" s="1057" t="s">
        <v>269</v>
      </c>
      <c r="B93" s="1503">
        <f>'Chino Hills'!N368</f>
        <v>0</v>
      </c>
      <c r="C93" s="1461"/>
      <c r="D93" s="1501">
        <f>F93*0.0095</f>
        <v>0</v>
      </c>
      <c r="E93" s="1461"/>
      <c r="F93" s="1460">
        <f>B93*0.0414</f>
        <v>0</v>
      </c>
      <c r="G93" s="1461"/>
      <c r="H93" s="1073">
        <f>F93*10</f>
        <v>0</v>
      </c>
      <c r="I93" s="1052">
        <v>0</v>
      </c>
      <c r="J93" s="1052">
        <f t="shared" si="34"/>
        <v>0</v>
      </c>
      <c r="K93" s="1052">
        <f t="shared" si="35"/>
        <v>0</v>
      </c>
      <c r="L93" s="1054">
        <f t="shared" si="33"/>
        <v>0</v>
      </c>
      <c r="M93" s="1507">
        <f t="shared" si="32"/>
        <v>0</v>
      </c>
      <c r="N93" s="1508"/>
    </row>
    <row r="94" spans="1:14" s="1228" customFormat="1" ht="17" thickBot="1">
      <c r="A94" s="1224" t="s">
        <v>190</v>
      </c>
      <c r="B94" s="1524"/>
      <c r="C94" s="1502"/>
      <c r="D94" s="1502"/>
      <c r="E94" s="1502"/>
      <c r="F94" s="1502"/>
      <c r="G94" s="1502"/>
      <c r="H94" s="1225"/>
      <c r="I94" s="1226"/>
      <c r="J94" s="1226"/>
      <c r="K94" s="1226"/>
      <c r="L94" s="1226"/>
      <c r="M94" s="1226"/>
      <c r="N94" s="1227"/>
    </row>
    <row r="95" spans="1:14" s="1087" customFormat="1">
      <c r="A95" s="1057" t="s">
        <v>382</v>
      </c>
      <c r="B95" s="1503">
        <f>'Chino Hills'!N370</f>
        <v>100</v>
      </c>
      <c r="C95" s="1461"/>
      <c r="D95" s="1501">
        <f>F95*325900</f>
        <v>143396</v>
      </c>
      <c r="E95" s="1461"/>
      <c r="F95" s="1460">
        <f>B95*0.0044</f>
        <v>0.44</v>
      </c>
      <c r="G95" s="1461"/>
      <c r="H95" s="1073">
        <f>F95*5</f>
        <v>2.2000000000000002</v>
      </c>
      <c r="I95" s="1052">
        <v>0</v>
      </c>
      <c r="J95" s="1052">
        <f>L95-K95</f>
        <v>150</v>
      </c>
      <c r="K95" s="1052">
        <f>B95*2</f>
        <v>200</v>
      </c>
      <c r="L95" s="1054">
        <v>350</v>
      </c>
      <c r="M95" s="1507">
        <f>IF(ISERROR(L95/(F95*771)),0,L95/(F95*771))</f>
        <v>1.0317179577879967</v>
      </c>
      <c r="N95" s="1508"/>
    </row>
    <row r="96" spans="1:14" s="1087" customFormat="1">
      <c r="A96" s="1057" t="s">
        <v>354</v>
      </c>
      <c r="B96" s="1503">
        <f>'Chino Hills'!N371</f>
        <v>54</v>
      </c>
      <c r="C96" s="1461"/>
      <c r="D96" s="1494">
        <f>F96*325900</f>
        <v>2586668.3000000003</v>
      </c>
      <c r="E96" s="1495"/>
      <c r="F96" s="1515">
        <v>7.9370000000000003</v>
      </c>
      <c r="G96" s="1495"/>
      <c r="H96" s="1074">
        <f>F96*7.5</f>
        <v>59.527500000000003</v>
      </c>
      <c r="I96" s="1052">
        <f>(B96*958)*0.5</f>
        <v>25866</v>
      </c>
      <c r="J96" s="1052">
        <f>(B96*958)*0.02</f>
        <v>1034.6400000000001</v>
      </c>
      <c r="K96" s="1052">
        <f>(B96*958)*0.48</f>
        <v>24831.360000000001</v>
      </c>
      <c r="L96" s="1054">
        <f t="shared" ref="L96:L98" si="36">K96+J96+I96</f>
        <v>51732</v>
      </c>
      <c r="M96" s="1507">
        <f>IF(ISERROR(L96/(F96*771)),0,L96/(F96*771))</f>
        <v>8.4537326779124893</v>
      </c>
      <c r="N96" s="1508"/>
    </row>
    <row r="97" spans="1:21" s="1087" customFormat="1">
      <c r="A97" s="1057" t="s">
        <v>372</v>
      </c>
      <c r="B97" s="1503">
        <f>'Chino Hills'!N372</f>
        <v>34</v>
      </c>
      <c r="C97" s="1461"/>
      <c r="D97" s="1494">
        <f>F97*325900</f>
        <v>539690.4</v>
      </c>
      <c r="E97" s="1495"/>
      <c r="F97" s="1515">
        <f>0.0414*40</f>
        <v>1.6559999999999999</v>
      </c>
      <c r="G97" s="1495"/>
      <c r="H97" s="1074">
        <f>F97*10</f>
        <v>16.559999999999999</v>
      </c>
      <c r="I97" s="1052">
        <v>0</v>
      </c>
      <c r="J97" s="1052">
        <f>(B97*705)*0.84</f>
        <v>20134.8</v>
      </c>
      <c r="K97" s="1052">
        <f>(B97*705)*0.16</f>
        <v>3835.2000000000003</v>
      </c>
      <c r="L97" s="1054">
        <f t="shared" si="36"/>
        <v>23970</v>
      </c>
      <c r="M97" s="1507">
        <f>IF(ISERROR(L97/(F97*771)),0,L97/(F97*771))</f>
        <v>18.773849132502495</v>
      </c>
      <c r="N97" s="1508"/>
    </row>
    <row r="98" spans="1:21" s="1087" customFormat="1" ht="14" thickBot="1">
      <c r="A98" s="1057" t="s">
        <v>266</v>
      </c>
      <c r="B98" s="1503">
        <f>'Chino Hills'!N373</f>
        <v>90</v>
      </c>
      <c r="C98" s="1461"/>
      <c r="D98" s="1516">
        <f>F98*325900</f>
        <v>3461057.9999999995</v>
      </c>
      <c r="E98" s="1517"/>
      <c r="F98" s="1518">
        <f>B98*0.118</f>
        <v>10.62</v>
      </c>
      <c r="G98" s="1517"/>
      <c r="H98" s="1074">
        <f>F98*10</f>
        <v>106.19999999999999</v>
      </c>
      <c r="I98" s="1052">
        <v>0</v>
      </c>
      <c r="J98" s="1088">
        <f>(B98*461)*0.53</f>
        <v>21989.7</v>
      </c>
      <c r="K98" s="1088">
        <f>(B98*461)*0.47</f>
        <v>19500.3</v>
      </c>
      <c r="L98" s="1054">
        <f t="shared" si="36"/>
        <v>41490</v>
      </c>
      <c r="M98" s="1507">
        <f>IF(ISERROR(L98/(F98*771)),0,L98/(F98*771))</f>
        <v>5.0671590934071977</v>
      </c>
      <c r="N98" s="1508"/>
    </row>
    <row r="99" spans="1:21" s="1055" customFormat="1" ht="14" thickBot="1">
      <c r="A99" s="1060" t="s">
        <v>60</v>
      </c>
      <c r="B99" s="1519">
        <f>SUM(B86:C98)</f>
        <v>451</v>
      </c>
      <c r="C99" s="1520"/>
      <c r="D99" s="1521">
        <f>SUM(D86:E98)</f>
        <v>8327194.1452000011</v>
      </c>
      <c r="E99" s="1520"/>
      <c r="F99" s="1519">
        <f>SUM(F86:G98)</f>
        <v>25.551400000000001</v>
      </c>
      <c r="G99" s="1520"/>
      <c r="H99" s="1061">
        <f>SUM(H86:H98)</f>
        <v>248.39949999999999</v>
      </c>
      <c r="I99" s="1062">
        <f>SUM(I86:I98)</f>
        <v>25866</v>
      </c>
      <c r="J99" s="1062">
        <f t="shared" ref="J99:L99" si="37">SUM(J86:J98)</f>
        <v>52338.14</v>
      </c>
      <c r="K99" s="1062">
        <f t="shared" si="37"/>
        <v>59522.86</v>
      </c>
      <c r="L99" s="1062">
        <f t="shared" si="37"/>
        <v>137727</v>
      </c>
      <c r="M99" s="1522"/>
      <c r="N99" s="1523"/>
    </row>
    <row r="100" spans="1:21" s="1228" customFormat="1" ht="17" thickBot="1">
      <c r="A100" s="1224" t="s">
        <v>194</v>
      </c>
      <c r="B100" s="1524"/>
      <c r="C100" s="1502"/>
      <c r="D100" s="1502"/>
      <c r="E100" s="1502"/>
      <c r="F100" s="1502"/>
      <c r="G100" s="1502"/>
      <c r="H100" s="1225"/>
      <c r="I100" s="1229"/>
      <c r="J100" s="1229"/>
      <c r="K100" s="1229"/>
      <c r="L100" s="1229"/>
      <c r="M100" s="1229"/>
      <c r="N100" s="1230"/>
    </row>
    <row r="101" spans="1:21" s="1055" customFormat="1">
      <c r="A101" s="1049" t="s">
        <v>29</v>
      </c>
      <c r="B101" s="1491">
        <f>'Chino Hills'!N376</f>
        <v>0</v>
      </c>
      <c r="C101" s="1426"/>
      <c r="D101" s="1500">
        <f>F101*325900</f>
        <v>0</v>
      </c>
      <c r="E101" s="1426"/>
      <c r="F101" s="1425">
        <f>0.0246*B101</f>
        <v>0</v>
      </c>
      <c r="G101" s="1426"/>
      <c r="H101" s="1050">
        <f>F101*20</f>
        <v>0</v>
      </c>
      <c r="I101" s="1051">
        <v>0</v>
      </c>
      <c r="J101" s="1053">
        <f>B101*60</f>
        <v>0</v>
      </c>
      <c r="K101" s="1053">
        <f>B101*40</f>
        <v>0</v>
      </c>
      <c r="L101" s="1054">
        <f t="shared" ref="L101:L109" si="38">K101+J101+I101</f>
        <v>0</v>
      </c>
      <c r="M101" s="1496">
        <f t="shared" ref="M101:M112" si="39">IF(ISERROR(L101/(F101*771)),0,L101/(F101*771))</f>
        <v>0</v>
      </c>
      <c r="N101" s="1497"/>
      <c r="U101" s="1063"/>
    </row>
    <row r="102" spans="1:21" s="1055" customFormat="1">
      <c r="A102" s="1049" t="s">
        <v>51</v>
      </c>
      <c r="B102" s="1491">
        <f>'Chino Hills'!N377</f>
        <v>0</v>
      </c>
      <c r="C102" s="1426"/>
      <c r="D102" s="1500">
        <f>F102*325900</f>
        <v>0</v>
      </c>
      <c r="E102" s="1426"/>
      <c r="F102" s="1425">
        <f>0.1227*B102</f>
        <v>0</v>
      </c>
      <c r="G102" s="1426"/>
      <c r="H102" s="1050">
        <f>F102*20</f>
        <v>0</v>
      </c>
      <c r="I102" s="1051">
        <v>0</v>
      </c>
      <c r="J102" s="1053">
        <f>B102*200</f>
        <v>0</v>
      </c>
      <c r="K102" s="1053">
        <f>B102*200</f>
        <v>0</v>
      </c>
      <c r="L102" s="1054">
        <f t="shared" si="38"/>
        <v>0</v>
      </c>
      <c r="M102" s="1496">
        <f t="shared" si="39"/>
        <v>0</v>
      </c>
      <c r="N102" s="1497"/>
    </row>
    <row r="103" spans="1:21" s="1055" customFormat="1">
      <c r="A103" s="1064" t="s">
        <v>204</v>
      </c>
      <c r="B103" s="1491">
        <f>'Chino Hills'!N378</f>
        <v>0</v>
      </c>
      <c r="C103" s="1426"/>
      <c r="D103" s="1500">
        <f>F103*325851</f>
        <v>0</v>
      </c>
      <c r="E103" s="1426"/>
      <c r="F103" s="1425">
        <f>0.644*B103</f>
        <v>0</v>
      </c>
      <c r="G103" s="1426"/>
      <c r="H103" s="1050">
        <f>F103*5</f>
        <v>0</v>
      </c>
      <c r="I103" s="1051">
        <v>0</v>
      </c>
      <c r="J103" s="1053">
        <f>B103*0</f>
        <v>0</v>
      </c>
      <c r="K103" s="1053">
        <f>B103*0</f>
        <v>0</v>
      </c>
      <c r="L103" s="1054">
        <f t="shared" si="38"/>
        <v>0</v>
      </c>
      <c r="M103" s="1496">
        <f t="shared" si="39"/>
        <v>0</v>
      </c>
      <c r="N103" s="1497"/>
    </row>
    <row r="104" spans="1:21" s="1055" customFormat="1">
      <c r="A104" s="1057" t="s">
        <v>30</v>
      </c>
      <c r="B104" s="1491">
        <f>'Chino Hills'!N379</f>
        <v>0</v>
      </c>
      <c r="C104" s="1426"/>
      <c r="D104" s="1500">
        <f t="shared" ref="D104:D112" si="40">F104*325900</f>
        <v>0</v>
      </c>
      <c r="E104" s="1426"/>
      <c r="F104" s="1513">
        <f>0.0129*B104</f>
        <v>0</v>
      </c>
      <c r="G104" s="1514"/>
      <c r="H104" s="1050">
        <f>F104*10</f>
        <v>0</v>
      </c>
      <c r="I104" s="1051">
        <v>0</v>
      </c>
      <c r="J104" s="1053">
        <f>B104*0</f>
        <v>0</v>
      </c>
      <c r="K104" s="1053">
        <f>B104*0</f>
        <v>0</v>
      </c>
      <c r="L104" s="1054">
        <f t="shared" si="38"/>
        <v>0</v>
      </c>
      <c r="M104" s="1496">
        <f t="shared" si="39"/>
        <v>0</v>
      </c>
      <c r="N104" s="1497"/>
    </row>
    <row r="105" spans="1:21" s="1055" customFormat="1">
      <c r="A105" s="1057" t="s">
        <v>363</v>
      </c>
      <c r="B105" s="1491">
        <f>'Chino Hills'!N380</f>
        <v>0</v>
      </c>
      <c r="C105" s="1426"/>
      <c r="D105" s="1500">
        <f t="shared" si="40"/>
        <v>0</v>
      </c>
      <c r="E105" s="1426"/>
      <c r="F105" s="1425">
        <f>0.0044*B105</f>
        <v>0</v>
      </c>
      <c r="G105" s="1426"/>
      <c r="H105" s="1050">
        <f>F105*5</f>
        <v>0</v>
      </c>
      <c r="I105" s="1051">
        <v>0</v>
      </c>
      <c r="J105" s="1053">
        <f>B105*2</f>
        <v>0</v>
      </c>
      <c r="K105" s="1053">
        <f>B105*2</f>
        <v>0</v>
      </c>
      <c r="L105" s="1054">
        <f t="shared" si="38"/>
        <v>0</v>
      </c>
      <c r="M105" s="1496">
        <f t="shared" si="39"/>
        <v>0</v>
      </c>
      <c r="N105" s="1497"/>
    </row>
    <row r="106" spans="1:21" s="1055" customFormat="1">
      <c r="A106" s="1057" t="s">
        <v>122</v>
      </c>
      <c r="B106" s="1491">
        <f>'Chino Hills'!N381</f>
        <v>0</v>
      </c>
      <c r="C106" s="1426"/>
      <c r="D106" s="1500">
        <f t="shared" si="40"/>
        <v>0</v>
      </c>
      <c r="E106" s="1426"/>
      <c r="F106" s="1425">
        <f>0.018*B106</f>
        <v>0</v>
      </c>
      <c r="G106" s="1426"/>
      <c r="H106" s="1050">
        <f>F106*10</f>
        <v>0</v>
      </c>
      <c r="I106" s="1051">
        <v>0</v>
      </c>
      <c r="J106" s="1053">
        <f>B106*2</f>
        <v>0</v>
      </c>
      <c r="K106" s="1053">
        <f>B106*13</f>
        <v>0</v>
      </c>
      <c r="L106" s="1054">
        <f t="shared" si="38"/>
        <v>0</v>
      </c>
      <c r="M106" s="1496">
        <f t="shared" si="39"/>
        <v>0</v>
      </c>
      <c r="N106" s="1497"/>
    </row>
    <row r="107" spans="1:21" s="1055" customFormat="1">
      <c r="A107" s="1049" t="s">
        <v>184</v>
      </c>
      <c r="B107" s="1491">
        <f>'Chino Hills'!N382</f>
        <v>0</v>
      </c>
      <c r="C107" s="1426"/>
      <c r="D107" s="1500">
        <f t="shared" si="40"/>
        <v>0</v>
      </c>
      <c r="E107" s="1426"/>
      <c r="F107" s="1425">
        <f>B107*0.0129</f>
        <v>0</v>
      </c>
      <c r="G107" s="1426"/>
      <c r="H107" s="1050">
        <f>F107*10</f>
        <v>0</v>
      </c>
      <c r="I107" s="1051">
        <v>0</v>
      </c>
      <c r="J107" s="1053">
        <f>B107*0</f>
        <v>0</v>
      </c>
      <c r="K107" s="1053">
        <f>B107*0</f>
        <v>0</v>
      </c>
      <c r="L107" s="1054">
        <f t="shared" si="38"/>
        <v>0</v>
      </c>
      <c r="M107" s="1496">
        <f t="shared" si="39"/>
        <v>0</v>
      </c>
      <c r="N107" s="1497"/>
    </row>
    <row r="108" spans="1:21" s="1065" customFormat="1">
      <c r="A108" s="1059" t="s">
        <v>187</v>
      </c>
      <c r="B108" s="1491">
        <f>'Chino Hills'!N383</f>
        <v>0</v>
      </c>
      <c r="C108" s="1426"/>
      <c r="D108" s="1500">
        <f t="shared" si="40"/>
        <v>0</v>
      </c>
      <c r="E108" s="1426"/>
      <c r="F108" s="1425">
        <f>B108*0.023</f>
        <v>0</v>
      </c>
      <c r="G108" s="1426"/>
      <c r="H108" s="1050">
        <f>F108*5</f>
        <v>0</v>
      </c>
      <c r="I108" s="1051">
        <v>0</v>
      </c>
      <c r="J108" s="1053">
        <f>B108*10</f>
        <v>0</v>
      </c>
      <c r="K108" s="1053">
        <f>B108*10</f>
        <v>0</v>
      </c>
      <c r="L108" s="1054">
        <f t="shared" si="38"/>
        <v>0</v>
      </c>
      <c r="M108" s="1496">
        <f t="shared" si="39"/>
        <v>0</v>
      </c>
      <c r="N108" s="1497"/>
    </row>
    <row r="109" spans="1:21" s="1065" customFormat="1">
      <c r="A109" s="1059" t="s">
        <v>188</v>
      </c>
      <c r="B109" s="1491">
        <f>'Chino Hills'!N384</f>
        <v>0</v>
      </c>
      <c r="C109" s="1426"/>
      <c r="D109" s="1500">
        <f t="shared" si="40"/>
        <v>0</v>
      </c>
      <c r="E109" s="1426"/>
      <c r="F109" s="1509">
        <f>B109*0.154</f>
        <v>0</v>
      </c>
      <c r="G109" s="1510"/>
      <c r="H109" s="1066">
        <f>F109*10</f>
        <v>0</v>
      </c>
      <c r="I109" s="1051">
        <v>0</v>
      </c>
      <c r="J109" s="1053">
        <f>B109*1000</f>
        <v>0</v>
      </c>
      <c r="K109" s="1053">
        <f>B109*1000</f>
        <v>0</v>
      </c>
      <c r="L109" s="1054">
        <f t="shared" si="38"/>
        <v>0</v>
      </c>
      <c r="M109" s="1496">
        <f t="shared" si="39"/>
        <v>0</v>
      </c>
      <c r="N109" s="1497"/>
    </row>
    <row r="110" spans="1:21" s="1065" customFormat="1">
      <c r="A110" s="1059" t="s">
        <v>323</v>
      </c>
      <c r="B110" s="1491">
        <f>'Chino Hills'!N385</f>
        <v>0</v>
      </c>
      <c r="C110" s="1426"/>
      <c r="D110" s="1492">
        <f t="shared" si="40"/>
        <v>0</v>
      </c>
      <c r="E110" s="1493"/>
      <c r="F110" s="1494">
        <v>0</v>
      </c>
      <c r="G110" s="1495"/>
      <c r="H110" s="1058">
        <f>F110*10</f>
        <v>0</v>
      </c>
      <c r="I110" s="1051">
        <v>0</v>
      </c>
      <c r="J110" s="1053">
        <f>B110*0</f>
        <v>0</v>
      </c>
      <c r="K110" s="1053">
        <f>B110*0</f>
        <v>0</v>
      </c>
      <c r="L110" s="1054">
        <f>K110+J110+I110</f>
        <v>0</v>
      </c>
      <c r="M110" s="1496">
        <f t="shared" si="39"/>
        <v>0</v>
      </c>
      <c r="N110" s="1497"/>
    </row>
    <row r="111" spans="1:21" s="1065" customFormat="1">
      <c r="A111" s="1059" t="s">
        <v>269</v>
      </c>
      <c r="B111" s="1491">
        <f>'Chino Hills'!N386</f>
        <v>0</v>
      </c>
      <c r="C111" s="1426"/>
      <c r="D111" s="1492">
        <f t="shared" si="40"/>
        <v>0</v>
      </c>
      <c r="E111" s="1493"/>
      <c r="F111" s="1498">
        <v>0</v>
      </c>
      <c r="G111" s="1499"/>
      <c r="H111" s="1067">
        <v>0</v>
      </c>
      <c r="I111" s="1051">
        <v>0</v>
      </c>
      <c r="J111" s="1053">
        <f>B111*0</f>
        <v>0</v>
      </c>
      <c r="K111" s="1053">
        <f>B111*0</f>
        <v>0</v>
      </c>
      <c r="L111" s="1054">
        <f t="shared" ref="L111:L112" si="41">K111+J111+I111</f>
        <v>0</v>
      </c>
      <c r="M111" s="1496">
        <f t="shared" si="39"/>
        <v>0</v>
      </c>
      <c r="N111" s="1497"/>
    </row>
    <row r="112" spans="1:21" s="1065" customFormat="1" ht="14" thickBot="1">
      <c r="A112" s="1059" t="s">
        <v>268</v>
      </c>
      <c r="B112" s="1491">
        <f>'Chino Hills'!N387</f>
        <v>288</v>
      </c>
      <c r="C112" s="1426"/>
      <c r="D112" s="1500">
        <f t="shared" si="40"/>
        <v>394208.64</v>
      </c>
      <c r="E112" s="1426"/>
      <c r="F112" s="1501">
        <f>(B112*0.0084)/2</f>
        <v>1.2096</v>
      </c>
      <c r="G112" s="1461"/>
      <c r="H112" s="1056">
        <v>0</v>
      </c>
      <c r="I112" s="1051">
        <v>0</v>
      </c>
      <c r="J112" s="1053">
        <f>B112*10</f>
        <v>2880</v>
      </c>
      <c r="K112" s="1053">
        <f>B112*5</f>
        <v>1440</v>
      </c>
      <c r="L112" s="1054">
        <f t="shared" si="41"/>
        <v>4320</v>
      </c>
      <c r="M112" s="1496">
        <f t="shared" si="39"/>
        <v>4.6322030757828427</v>
      </c>
      <c r="N112" s="1497"/>
    </row>
    <row r="113" spans="1:14" s="1228" customFormat="1" ht="17" thickBot="1">
      <c r="A113" s="1224" t="s">
        <v>192</v>
      </c>
      <c r="B113" s="1502"/>
      <c r="C113" s="1502"/>
      <c r="D113" s="1502"/>
      <c r="E113" s="1502"/>
      <c r="F113" s="1502"/>
      <c r="G113" s="1502"/>
      <c r="H113" s="1225"/>
      <c r="I113" s="1229"/>
      <c r="J113" s="1229"/>
      <c r="K113" s="1229"/>
      <c r="L113" s="1229"/>
      <c r="M113" s="1229"/>
      <c r="N113" s="1230"/>
    </row>
    <row r="114" spans="1:14" s="1087" customFormat="1" ht="14" thickBot="1">
      <c r="A114" s="1068" t="s">
        <v>383</v>
      </c>
      <c r="B114" s="1503">
        <f>'Chino Hills'!N389</f>
        <v>0</v>
      </c>
      <c r="C114" s="1461"/>
      <c r="D114" s="1504">
        <f>F114*325900</f>
        <v>0</v>
      </c>
      <c r="E114" s="1505"/>
      <c r="F114" s="1506">
        <f>0.004*B114</f>
        <v>0</v>
      </c>
      <c r="G114" s="1505"/>
      <c r="H114" s="1073">
        <f>F114*5</f>
        <v>0</v>
      </c>
      <c r="I114" s="1089">
        <v>0</v>
      </c>
      <c r="J114" s="1089">
        <f>L114-K114</f>
        <v>0</v>
      </c>
      <c r="K114" s="1089">
        <f>B114*2</f>
        <v>0</v>
      </c>
      <c r="L114" s="1054">
        <v>0</v>
      </c>
      <c r="M114" s="1507">
        <f>IF(ISERROR(L114/(F114*771)),0,L114/(F114*771))</f>
        <v>0</v>
      </c>
      <c r="N114" s="1508"/>
    </row>
    <row r="115" spans="1:14" s="533" customFormat="1" ht="14" thickBot="1">
      <c r="A115" s="53" t="s">
        <v>60</v>
      </c>
      <c r="B115" s="1438">
        <f>SUM(B101:B114)</f>
        <v>288</v>
      </c>
      <c r="C115" s="1439"/>
      <c r="D115" s="1441">
        <f>SUM(D101:E114)</f>
        <v>394208.64</v>
      </c>
      <c r="E115" s="1439"/>
      <c r="F115" s="1441">
        <f>SUM(F101:G114)</f>
        <v>1.2096</v>
      </c>
      <c r="G115" s="1439"/>
      <c r="H115" s="1001">
        <f>SUM(H101:H114)</f>
        <v>0</v>
      </c>
      <c r="I115" s="146">
        <f>SUM(I101:I114)</f>
        <v>0</v>
      </c>
      <c r="J115" s="146">
        <f>SUM(J101:J114)</f>
        <v>2880</v>
      </c>
      <c r="K115" s="146">
        <f>SUM(K101:K114)</f>
        <v>1440</v>
      </c>
      <c r="L115" s="160">
        <f>SUM(L101:L114)</f>
        <v>4320</v>
      </c>
      <c r="M115" s="1442"/>
      <c r="N115" s="1443"/>
    </row>
    <row r="116" spans="1:14" s="1161" customFormat="1" ht="17" thickBot="1">
      <c r="A116" s="1163" t="s">
        <v>17</v>
      </c>
      <c r="B116" s="1414">
        <f>SUM(,B99,B115)</f>
        <v>739</v>
      </c>
      <c r="C116" s="1415"/>
      <c r="D116" s="1416">
        <f>SUM(,D99,D115)</f>
        <v>8721402.7852000017</v>
      </c>
      <c r="E116" s="1415"/>
      <c r="F116" s="1416">
        <f>SUM(,F99,F115)</f>
        <v>26.761000000000003</v>
      </c>
      <c r="G116" s="1415"/>
      <c r="H116" s="1164">
        <f>SUM(H99,H115)</f>
        <v>248.39949999999999</v>
      </c>
      <c r="I116" s="1165">
        <f>SUM(,I99,I115)</f>
        <v>25866</v>
      </c>
      <c r="J116" s="1165">
        <f>SUM(,J99,J115)</f>
        <v>55218.14</v>
      </c>
      <c r="K116" s="1165">
        <f>SUM(,K99,K115)</f>
        <v>60962.86</v>
      </c>
      <c r="L116" s="1235">
        <f>SUM(,L99,L115)</f>
        <v>142047</v>
      </c>
      <c r="M116" s="1417"/>
      <c r="N116" s="1418"/>
    </row>
    <row r="117" spans="1:14">
      <c r="A117" s="50"/>
      <c r="B117" s="1027"/>
      <c r="C117" s="1027"/>
      <c r="D117" s="1027"/>
      <c r="E117" s="1027"/>
      <c r="F117" s="51"/>
      <c r="G117" s="51"/>
      <c r="H117" s="51"/>
      <c r="I117" s="21"/>
      <c r="J117" s="21"/>
      <c r="K117" s="21"/>
      <c r="L117" s="21"/>
      <c r="M117" s="1012"/>
      <c r="N117" s="1012"/>
    </row>
    <row r="118" spans="1:14" ht="15">
      <c r="A118" s="9" t="s">
        <v>18</v>
      </c>
      <c r="B118" s="1695" t="s">
        <v>59</v>
      </c>
      <c r="C118" s="1695"/>
      <c r="D118" s="1695"/>
      <c r="E118" s="1695"/>
      <c r="F118" s="51"/>
      <c r="G118" s="51"/>
      <c r="H118" s="51"/>
      <c r="I118" s="21"/>
      <c r="J118" s="21"/>
      <c r="K118" s="21"/>
      <c r="L118" s="21"/>
      <c r="M118" s="1012"/>
      <c r="N118" s="1012"/>
    </row>
    <row r="119" spans="1:14">
      <c r="B119" s="1420" t="s">
        <v>19</v>
      </c>
      <c r="C119" s="1420"/>
      <c r="D119" s="1420"/>
      <c r="E119" s="1420"/>
      <c r="F119" s="51"/>
      <c r="G119" s="51"/>
      <c r="H119" s="51"/>
      <c r="I119" s="21"/>
      <c r="J119" s="21"/>
      <c r="K119" s="21"/>
      <c r="L119" s="21"/>
      <c r="M119" s="1012"/>
      <c r="N119" s="1012"/>
    </row>
    <row r="120" spans="1:14" ht="14" thickBot="1">
      <c r="B120" s="1012"/>
      <c r="C120" s="1012"/>
      <c r="D120" s="1012"/>
      <c r="E120" s="1012"/>
      <c r="F120" s="51"/>
      <c r="G120" s="51"/>
      <c r="H120" s="51"/>
      <c r="I120" s="21"/>
      <c r="J120" s="21"/>
      <c r="K120" s="21"/>
      <c r="L120" s="21"/>
      <c r="M120" s="1012"/>
      <c r="N120" s="1012"/>
    </row>
    <row r="121" spans="1:14" s="363" customFormat="1" ht="16">
      <c r="A121" s="98"/>
      <c r="B121" s="99"/>
      <c r="C121" s="99"/>
      <c r="D121" s="99"/>
      <c r="E121" s="99"/>
      <c r="F121" s="100"/>
      <c r="G121" s="100"/>
      <c r="H121" s="100"/>
      <c r="I121" s="1468" t="s">
        <v>0</v>
      </c>
      <c r="J121" s="1468"/>
      <c r="K121" s="1468"/>
      <c r="L121" s="1468"/>
      <c r="M121" s="99"/>
      <c r="N121" s="101"/>
    </row>
    <row r="122" spans="1:14" ht="16">
      <c r="A122" s="97"/>
      <c r="B122" s="1469" t="s">
        <v>1</v>
      </c>
      <c r="C122" s="1469"/>
      <c r="D122" s="1469" t="s">
        <v>2</v>
      </c>
      <c r="E122" s="1469"/>
      <c r="F122" s="1863" t="s">
        <v>3</v>
      </c>
      <c r="G122" s="1863"/>
      <c r="H122" s="773" t="s">
        <v>3</v>
      </c>
      <c r="I122" s="127" t="s">
        <v>195</v>
      </c>
      <c r="J122" s="102"/>
      <c r="K122" s="102"/>
      <c r="L122" s="128"/>
      <c r="M122" s="1525" t="s">
        <v>4</v>
      </c>
      <c r="N122" s="1526"/>
    </row>
    <row r="123" spans="1:14" ht="19" thickBot="1">
      <c r="A123" s="103" t="s">
        <v>5</v>
      </c>
      <c r="B123" s="1473" t="s">
        <v>6</v>
      </c>
      <c r="C123" s="1473"/>
      <c r="D123" s="1473" t="s">
        <v>7</v>
      </c>
      <c r="E123" s="1473"/>
      <c r="F123" s="1864" t="s">
        <v>7</v>
      </c>
      <c r="G123" s="1864"/>
      <c r="H123" s="774" t="s">
        <v>58</v>
      </c>
      <c r="I123" s="758" t="s">
        <v>196</v>
      </c>
      <c r="J123" s="756" t="s">
        <v>8</v>
      </c>
      <c r="K123" s="756" t="s">
        <v>9</v>
      </c>
      <c r="L123" s="401" t="s">
        <v>10</v>
      </c>
      <c r="M123" s="1527" t="s">
        <v>145</v>
      </c>
      <c r="N123" s="1475"/>
    </row>
    <row r="124" spans="1:14" ht="24" thickBot="1">
      <c r="A124" s="88" t="s">
        <v>318</v>
      </c>
      <c r="B124" s="1702"/>
      <c r="C124" s="1703"/>
      <c r="D124" s="1704"/>
      <c r="E124" s="1705"/>
      <c r="F124" s="1865"/>
      <c r="G124" s="1866"/>
      <c r="H124" s="861"/>
      <c r="I124" s="304"/>
      <c r="J124" s="304"/>
      <c r="K124" s="304"/>
      <c r="L124" s="305"/>
      <c r="M124" s="1708"/>
      <c r="N124" s="1709"/>
    </row>
    <row r="125" spans="1:14" s="1161" customFormat="1" ht="17" thickBot="1">
      <c r="A125" s="110" t="s">
        <v>189</v>
      </c>
      <c r="B125" s="1456"/>
      <c r="C125" s="1457"/>
      <c r="D125" s="1457"/>
      <c r="E125" s="1457"/>
      <c r="F125" s="1854"/>
      <c r="G125" s="1854"/>
      <c r="H125" s="1212"/>
      <c r="I125" s="1141"/>
      <c r="J125" s="1141"/>
      <c r="K125" s="1141"/>
      <c r="L125" s="1141"/>
      <c r="M125" s="1485"/>
      <c r="N125" s="1486"/>
    </row>
    <row r="126" spans="1:14">
      <c r="A126" s="68" t="s">
        <v>29</v>
      </c>
      <c r="B126" s="1421">
        <f>'Chino Hills'!N326</f>
        <v>23</v>
      </c>
      <c r="C126" s="1422"/>
      <c r="D126" s="1431">
        <f>F126*325900</f>
        <v>184394.22</v>
      </c>
      <c r="E126" s="1422"/>
      <c r="F126" s="1431">
        <f>0.0246*B126</f>
        <v>0.56579999999999997</v>
      </c>
      <c r="G126" s="1422"/>
      <c r="H126" s="760">
        <f>F126*20</f>
        <v>11.315999999999999</v>
      </c>
      <c r="I126" s="151">
        <v>0</v>
      </c>
      <c r="J126" s="150">
        <v>478</v>
      </c>
      <c r="K126" s="150">
        <v>940</v>
      </c>
      <c r="L126" s="174">
        <f>K126+J126+I126</f>
        <v>1418</v>
      </c>
      <c r="M126" s="1539">
        <f t="shared" ref="M126" si="42">IF(ISERROR(L126/(F126*744)),0,L126/(F126*744))</f>
        <v>3.3685294777211445</v>
      </c>
      <c r="N126" s="1540"/>
    </row>
    <row r="127" spans="1:14">
      <c r="A127" s="68" t="s">
        <v>33</v>
      </c>
      <c r="B127" s="1421">
        <f>'Chino Hills'!N327</f>
        <v>101</v>
      </c>
      <c r="C127" s="1422"/>
      <c r="D127" s="1431">
        <f>F127*325900</f>
        <v>1135598.55</v>
      </c>
      <c r="E127" s="1422"/>
      <c r="F127" s="1431">
        <f>0.0345*B127</f>
        <v>3.4845000000000002</v>
      </c>
      <c r="G127" s="1422"/>
      <c r="H127" s="760">
        <f>F127*14</f>
        <v>48.783000000000001</v>
      </c>
      <c r="I127" s="150">
        <f>0*B127</f>
        <v>0</v>
      </c>
      <c r="J127" s="150">
        <v>2340</v>
      </c>
      <c r="K127" s="150">
        <v>8585</v>
      </c>
      <c r="L127" s="174">
        <f t="shared" ref="L127:L154" si="43">K127+J127+I127</f>
        <v>10925</v>
      </c>
      <c r="M127" s="1539">
        <f t="shared" ref="M127:M133" si="44">IF(ISERROR(L127/(F127*744)),0,L127/(F127*744))</f>
        <v>4.2141310905284071</v>
      </c>
      <c r="N127" s="1540"/>
    </row>
    <row r="128" spans="1:14">
      <c r="A128" s="68" t="s">
        <v>56</v>
      </c>
      <c r="B128" s="1421">
        <f>'Chino Hills'!N328</f>
        <v>80</v>
      </c>
      <c r="C128" s="1422"/>
      <c r="D128" s="1431">
        <f>F128*325851</f>
        <v>114699.55200000001</v>
      </c>
      <c r="E128" s="1422"/>
      <c r="F128" s="1871">
        <f>0.0044*B128</f>
        <v>0.35200000000000004</v>
      </c>
      <c r="G128" s="1450"/>
      <c r="H128" s="760">
        <f>F128*5</f>
        <v>1.7600000000000002</v>
      </c>
      <c r="I128" s="150">
        <f>0*B128</f>
        <v>0</v>
      </c>
      <c r="J128" s="150">
        <v>80</v>
      </c>
      <c r="K128" s="150">
        <v>131.07</v>
      </c>
      <c r="L128" s="174">
        <f t="shared" si="43"/>
        <v>211.07</v>
      </c>
      <c r="M128" s="1539">
        <f t="shared" si="44"/>
        <v>0.80595521749755605</v>
      </c>
      <c r="N128" s="1540"/>
    </row>
    <row r="129" spans="1:19">
      <c r="A129" s="257" t="s">
        <v>52</v>
      </c>
      <c r="B129" s="1563">
        <f>'Chino Hills'!N329</f>
        <v>71</v>
      </c>
      <c r="C129" s="1424"/>
      <c r="D129" s="1423">
        <f>F129*325900</f>
        <v>957950.46</v>
      </c>
      <c r="E129" s="1424"/>
      <c r="F129" s="1447">
        <f>0.0414*B129</f>
        <v>2.9394</v>
      </c>
      <c r="G129" s="1448"/>
      <c r="H129" s="905">
        <f>F129*10</f>
        <v>29.393999999999998</v>
      </c>
      <c r="I129" s="151">
        <v>0</v>
      </c>
      <c r="J129" s="173">
        <v>2384.9699999999998</v>
      </c>
      <c r="K129" s="173">
        <v>5680</v>
      </c>
      <c r="L129" s="174">
        <f t="shared" si="43"/>
        <v>8064.9699999999993</v>
      </c>
      <c r="M129" s="1539">
        <f t="shared" si="44"/>
        <v>3.6878320204328143</v>
      </c>
      <c r="N129" s="1540"/>
    </row>
    <row r="130" spans="1:19">
      <c r="A130" s="254" t="s">
        <v>329</v>
      </c>
      <c r="B130" s="1563">
        <f>'Chino Hills'!N330</f>
        <v>13</v>
      </c>
      <c r="C130" s="1424"/>
      <c r="D130" s="1423">
        <f>F130*325900</f>
        <v>484636.11299999995</v>
      </c>
      <c r="E130" s="1424"/>
      <c r="F130" s="1447">
        <v>1.4870699999999999</v>
      </c>
      <c r="G130" s="1448"/>
      <c r="H130" s="905">
        <f>F130*10</f>
        <v>14.870699999999999</v>
      </c>
      <c r="I130" s="151">
        <v>0</v>
      </c>
      <c r="J130" s="173">
        <v>0</v>
      </c>
      <c r="K130" s="173">
        <v>22878</v>
      </c>
      <c r="L130" s="174">
        <f t="shared" si="43"/>
        <v>22878</v>
      </c>
      <c r="M130" s="1539">
        <f t="shared" si="44"/>
        <v>20.6782464846981</v>
      </c>
      <c r="N130" s="1540"/>
    </row>
    <row r="131" spans="1:19">
      <c r="A131" s="254" t="s">
        <v>214</v>
      </c>
      <c r="B131" s="1421">
        <f>'Chino Hills'!N331</f>
        <v>1</v>
      </c>
      <c r="C131" s="1422"/>
      <c r="D131" s="1431">
        <f>F131*325900</f>
        <v>619.21</v>
      </c>
      <c r="E131" s="1422"/>
      <c r="F131" s="1869">
        <f>0.0019*B131</f>
        <v>1.9E-3</v>
      </c>
      <c r="G131" s="1870"/>
      <c r="H131" s="923">
        <f>F131*5</f>
        <v>9.4999999999999998E-3</v>
      </c>
      <c r="I131" s="151">
        <v>0</v>
      </c>
      <c r="J131" s="173">
        <v>0</v>
      </c>
      <c r="K131" s="173">
        <v>35</v>
      </c>
      <c r="L131" s="174">
        <f t="shared" si="43"/>
        <v>35</v>
      </c>
      <c r="M131" s="1539">
        <f t="shared" si="44"/>
        <v>24.759479343520091</v>
      </c>
      <c r="N131" s="1540"/>
    </row>
    <row r="132" spans="1:19">
      <c r="A132" s="254" t="s">
        <v>331</v>
      </c>
      <c r="B132" s="1421">
        <f>'Chino Hills'!N332</f>
        <v>0</v>
      </c>
      <c r="C132" s="1422"/>
      <c r="D132" s="1431">
        <f>F132*325900</f>
        <v>0</v>
      </c>
      <c r="E132" s="1422"/>
      <c r="F132" s="1467">
        <v>0</v>
      </c>
      <c r="G132" s="1433"/>
      <c r="H132" s="898">
        <v>0</v>
      </c>
      <c r="I132" s="151">
        <v>0</v>
      </c>
      <c r="J132" s="173">
        <v>0</v>
      </c>
      <c r="K132" s="173">
        <v>0</v>
      </c>
      <c r="L132" s="174">
        <f t="shared" si="43"/>
        <v>0</v>
      </c>
      <c r="M132" s="1539">
        <f t="shared" si="44"/>
        <v>0</v>
      </c>
      <c r="N132" s="1540"/>
    </row>
    <row r="133" spans="1:19" ht="14" thickBot="1">
      <c r="A133" s="258" t="s">
        <v>269</v>
      </c>
      <c r="B133" s="1421">
        <f>'Chino Hills'!N333</f>
        <v>0</v>
      </c>
      <c r="C133" s="1422"/>
      <c r="D133" s="1431">
        <f>F133*0.0095</f>
        <v>0</v>
      </c>
      <c r="E133" s="1422"/>
      <c r="F133" s="1467">
        <f>B133*0.0414</f>
        <v>0</v>
      </c>
      <c r="G133" s="1433"/>
      <c r="H133" s="765">
        <f>F133*10</f>
        <v>0</v>
      </c>
      <c r="I133" s="151">
        <v>0</v>
      </c>
      <c r="J133" s="173">
        <v>0</v>
      </c>
      <c r="K133" s="173">
        <v>0</v>
      </c>
      <c r="L133" s="174">
        <f t="shared" si="43"/>
        <v>0</v>
      </c>
      <c r="M133" s="1539">
        <f t="shared" si="44"/>
        <v>0</v>
      </c>
      <c r="N133" s="1540"/>
    </row>
    <row r="134" spans="1:19" s="1161" customFormat="1" ht="17" thickBot="1">
      <c r="A134" s="110" t="s">
        <v>190</v>
      </c>
      <c r="B134" s="1456"/>
      <c r="C134" s="1457"/>
      <c r="D134" s="1457"/>
      <c r="E134" s="1457"/>
      <c r="F134" s="1854"/>
      <c r="G134" s="1854"/>
      <c r="H134" s="1212"/>
      <c r="I134" s="195"/>
      <c r="J134" s="195"/>
      <c r="K134" s="195"/>
      <c r="L134" s="195"/>
      <c r="M134" s="1541"/>
      <c r="N134" s="1542"/>
    </row>
    <row r="135" spans="1:19">
      <c r="A135" s="254" t="s">
        <v>205</v>
      </c>
      <c r="B135" s="1421">
        <f>'Chino Hills'!N335</f>
        <v>124</v>
      </c>
      <c r="C135" s="1422"/>
      <c r="D135" s="1431">
        <f>F135*325900</f>
        <v>177811.04000000004</v>
      </c>
      <c r="E135" s="1422"/>
      <c r="F135" s="1467">
        <f>B135*0.0044</f>
        <v>0.54560000000000008</v>
      </c>
      <c r="G135" s="1433"/>
      <c r="H135" s="765">
        <f>F135*5</f>
        <v>2.7280000000000006</v>
      </c>
      <c r="I135" s="151">
        <v>0</v>
      </c>
      <c r="J135" s="173">
        <v>198.4</v>
      </c>
      <c r="K135" s="173">
        <v>248</v>
      </c>
      <c r="L135" s="174">
        <f t="shared" si="43"/>
        <v>446.4</v>
      </c>
      <c r="M135" s="1539">
        <f t="shared" ref="M135" si="45">IF(ISERROR(L135/(F135*744)),0,L135/(F135*744))</f>
        <v>1.0997067448680349</v>
      </c>
      <c r="N135" s="1540"/>
    </row>
    <row r="136" spans="1:19">
      <c r="A136" s="254" t="s">
        <v>342</v>
      </c>
      <c r="B136" s="1563">
        <f>'Chino Hills'!N336</f>
        <v>38</v>
      </c>
      <c r="C136" s="1424"/>
      <c r="D136" s="1447">
        <f>F136*325900</f>
        <v>1868058.8</v>
      </c>
      <c r="E136" s="1448"/>
      <c r="F136" s="1447">
        <v>5.7320000000000002</v>
      </c>
      <c r="G136" s="1448"/>
      <c r="H136" s="905">
        <v>40.552</v>
      </c>
      <c r="I136" s="173">
        <v>19124.77</v>
      </c>
      <c r="J136" s="173">
        <v>1057.53</v>
      </c>
      <c r="K136" s="173">
        <v>18067.27</v>
      </c>
      <c r="L136" s="174">
        <f t="shared" si="43"/>
        <v>38249.57</v>
      </c>
      <c r="M136" s="1539">
        <f t="shared" ref="M136:M138" si="46">IF(ISERROR(L136/(F136*744)),0,L136/(F136*744))</f>
        <v>8.9690705452881012</v>
      </c>
      <c r="N136" s="1540"/>
    </row>
    <row r="137" spans="1:19">
      <c r="A137" s="254" t="s">
        <v>349</v>
      </c>
      <c r="B137" s="1563">
        <f>'Chino Hills'!N337</f>
        <v>9</v>
      </c>
      <c r="C137" s="1424"/>
      <c r="D137" s="1447">
        <f>F137*325900</f>
        <v>121430.34</v>
      </c>
      <c r="E137" s="1448"/>
      <c r="F137" s="1903">
        <v>0.37259999999999999</v>
      </c>
      <c r="G137" s="1904"/>
      <c r="H137" s="905">
        <v>3.726</v>
      </c>
      <c r="I137" s="173">
        <v>0</v>
      </c>
      <c r="J137" s="173">
        <v>5048</v>
      </c>
      <c r="K137" s="173">
        <v>882</v>
      </c>
      <c r="L137" s="174">
        <f t="shared" si="43"/>
        <v>5930</v>
      </c>
      <c r="M137" s="1539">
        <f t="shared" si="46"/>
        <v>21.39138515170929</v>
      </c>
      <c r="N137" s="1540"/>
    </row>
    <row r="138" spans="1:19" ht="14" thickBot="1">
      <c r="A138" s="254" t="s">
        <v>266</v>
      </c>
      <c r="B138" s="1563">
        <f>'Chino Hills'!N338</f>
        <v>73</v>
      </c>
      <c r="C138" s="1424"/>
      <c r="D138" s="1616">
        <f>F138*325900</f>
        <v>1724988.7</v>
      </c>
      <c r="E138" s="1583"/>
      <c r="F138" s="1458">
        <v>5.2930000000000001</v>
      </c>
      <c r="G138" s="1459"/>
      <c r="H138" s="914">
        <f>F138*10</f>
        <v>52.93</v>
      </c>
      <c r="I138" s="151">
        <v>0</v>
      </c>
      <c r="J138" s="286">
        <v>12133.22</v>
      </c>
      <c r="K138" s="286">
        <v>10691.78</v>
      </c>
      <c r="L138" s="174">
        <f t="shared" si="43"/>
        <v>22825</v>
      </c>
      <c r="M138" s="1539">
        <f t="shared" si="46"/>
        <v>5.7961011601851906</v>
      </c>
      <c r="N138" s="1540"/>
    </row>
    <row r="139" spans="1:19" s="533" customFormat="1" ht="14" thickBot="1">
      <c r="A139" s="53" t="s">
        <v>60</v>
      </c>
      <c r="B139" s="1452">
        <f>SUM(B126:C138)</f>
        <v>533</v>
      </c>
      <c r="C139" s="1453"/>
      <c r="D139" s="1694">
        <f>SUM(D126:E138)</f>
        <v>6770186.9849999994</v>
      </c>
      <c r="E139" s="1453"/>
      <c r="F139" s="1694">
        <f>SUM(F126:G138)</f>
        <v>20.773870000000002</v>
      </c>
      <c r="G139" s="1453"/>
      <c r="H139" s="777">
        <f>SUM(H126:H138)</f>
        <v>206.0692</v>
      </c>
      <c r="I139" s="859">
        <f>SUM(I126:I138)</f>
        <v>19124.77</v>
      </c>
      <c r="J139" s="859">
        <f t="shared" ref="J139:K139" si="47">SUM(J126:J138)</f>
        <v>23720.119999999995</v>
      </c>
      <c r="K139" s="859">
        <f t="shared" si="47"/>
        <v>68138.12</v>
      </c>
      <c r="L139" s="859">
        <f t="shared" ref="L139" si="48">SUM(L126:L138)</f>
        <v>110983.01000000001</v>
      </c>
      <c r="M139" s="1694"/>
      <c r="N139" s="1603"/>
      <c r="S139" s="541"/>
    </row>
    <row r="140" spans="1:19" s="1161" customFormat="1" ht="17" thickBot="1">
      <c r="A140" s="110" t="s">
        <v>194</v>
      </c>
      <c r="B140" s="1456"/>
      <c r="C140" s="1457"/>
      <c r="D140" s="1457"/>
      <c r="E140" s="1457"/>
      <c r="F140" s="1854"/>
      <c r="G140" s="1854"/>
      <c r="H140" s="1240"/>
      <c r="I140" s="997"/>
      <c r="J140" s="997"/>
      <c r="K140" s="997"/>
      <c r="L140" s="997"/>
      <c r="M140" s="1541"/>
      <c r="N140" s="1542"/>
    </row>
    <row r="141" spans="1:19">
      <c r="A141" s="68" t="s">
        <v>29</v>
      </c>
      <c r="B141" s="1421">
        <f>'Chino Hills'!N342</f>
        <v>0</v>
      </c>
      <c r="C141" s="1422"/>
      <c r="D141" s="1431">
        <f>F141*325900</f>
        <v>0</v>
      </c>
      <c r="E141" s="1422"/>
      <c r="F141" s="1431">
        <f>0.0246*B141</f>
        <v>0</v>
      </c>
      <c r="G141" s="1422"/>
      <c r="H141" s="760">
        <f>F141*20</f>
        <v>0</v>
      </c>
      <c r="I141" s="151">
        <v>0</v>
      </c>
      <c r="J141" s="150">
        <v>0</v>
      </c>
      <c r="K141" s="150">
        <v>0</v>
      </c>
      <c r="L141" s="174">
        <f t="shared" si="43"/>
        <v>0</v>
      </c>
      <c r="M141" s="1539">
        <f t="shared" ref="M141" si="49">IF(ISERROR(L141/(F141*744)),0,L141/(F141*744))</f>
        <v>0</v>
      </c>
      <c r="N141" s="1540"/>
    </row>
    <row r="142" spans="1:19">
      <c r="A142" s="68" t="s">
        <v>51</v>
      </c>
      <c r="B142" s="1421">
        <f>'Chino Hills'!N343</f>
        <v>0</v>
      </c>
      <c r="C142" s="1422"/>
      <c r="D142" s="1431">
        <f>F142*325900</f>
        <v>0</v>
      </c>
      <c r="E142" s="1422"/>
      <c r="F142" s="1431">
        <f>0.1227*B142</f>
        <v>0</v>
      </c>
      <c r="G142" s="1422"/>
      <c r="H142" s="760">
        <f>F142*20</f>
        <v>0</v>
      </c>
      <c r="I142" s="151">
        <v>0</v>
      </c>
      <c r="J142" s="150">
        <v>0</v>
      </c>
      <c r="K142" s="150">
        <v>0</v>
      </c>
      <c r="L142" s="174">
        <f t="shared" si="43"/>
        <v>0</v>
      </c>
      <c r="M142" s="1539">
        <f t="shared" ref="M142:M152" si="50">IF(ISERROR(L142/(F142*744)),0,L142/(F142*744))</f>
        <v>0</v>
      </c>
      <c r="N142" s="1540"/>
    </row>
    <row r="143" spans="1:19">
      <c r="A143" s="2" t="s">
        <v>204</v>
      </c>
      <c r="B143" s="1421">
        <f>'Chino Hills'!N344</f>
        <v>0</v>
      </c>
      <c r="C143" s="1422"/>
      <c r="D143" s="1431">
        <f>F143*325851</f>
        <v>0</v>
      </c>
      <c r="E143" s="1422"/>
      <c r="F143" s="1431">
        <f>0.644*B143</f>
        <v>0</v>
      </c>
      <c r="G143" s="1422"/>
      <c r="H143" s="760">
        <f>F143*5</f>
        <v>0</v>
      </c>
      <c r="I143" s="151">
        <v>0</v>
      </c>
      <c r="J143" s="150">
        <v>0</v>
      </c>
      <c r="K143" s="150">
        <v>0</v>
      </c>
      <c r="L143" s="174">
        <f t="shared" si="43"/>
        <v>0</v>
      </c>
      <c r="M143" s="1539">
        <f t="shared" si="50"/>
        <v>0</v>
      </c>
      <c r="N143" s="1540"/>
    </row>
    <row r="144" spans="1:19">
      <c r="A144" s="254" t="s">
        <v>30</v>
      </c>
      <c r="B144" s="1421">
        <f>'Chino Hills'!N345</f>
        <v>0</v>
      </c>
      <c r="C144" s="1422"/>
      <c r="D144" s="1431">
        <f t="shared" ref="D144:D152" si="51">F144*325900</f>
        <v>0</v>
      </c>
      <c r="E144" s="1422"/>
      <c r="F144" s="1431">
        <f>0.0129*B144</f>
        <v>0</v>
      </c>
      <c r="G144" s="1422"/>
      <c r="H144" s="760">
        <f>F144*10</f>
        <v>0</v>
      </c>
      <c r="I144" s="151">
        <v>0</v>
      </c>
      <c r="J144" s="151">
        <v>0</v>
      </c>
      <c r="K144" s="151">
        <v>0</v>
      </c>
      <c r="L144" s="174">
        <f t="shared" si="43"/>
        <v>0</v>
      </c>
      <c r="M144" s="1539">
        <f t="shared" si="50"/>
        <v>0</v>
      </c>
      <c r="N144" s="1540"/>
    </row>
    <row r="145" spans="1:14">
      <c r="A145" s="69" t="s">
        <v>56</v>
      </c>
      <c r="B145" s="1421">
        <f>'Chino Hills'!N346</f>
        <v>5175</v>
      </c>
      <c r="C145" s="1422"/>
      <c r="D145" s="1431">
        <f t="shared" si="51"/>
        <v>7420743.0000000009</v>
      </c>
      <c r="E145" s="1422"/>
      <c r="F145" s="1431">
        <f>0.0044*B145</f>
        <v>22.770000000000003</v>
      </c>
      <c r="G145" s="1422"/>
      <c r="H145" s="760">
        <f>F145*5</f>
        <v>113.85000000000002</v>
      </c>
      <c r="I145" s="151">
        <v>0</v>
      </c>
      <c r="J145" s="173">
        <v>10350</v>
      </c>
      <c r="K145" s="173">
        <v>10350</v>
      </c>
      <c r="L145" s="174">
        <f t="shared" si="43"/>
        <v>20700</v>
      </c>
      <c r="M145" s="1539">
        <f t="shared" si="50"/>
        <v>1.2218963831867058</v>
      </c>
      <c r="N145" s="1540"/>
    </row>
    <row r="146" spans="1:14">
      <c r="A146" s="254" t="s">
        <v>122</v>
      </c>
      <c r="B146" s="1421">
        <f>'Chino Hills'!N347</f>
        <v>0</v>
      </c>
      <c r="C146" s="1422"/>
      <c r="D146" s="1431">
        <f t="shared" si="51"/>
        <v>0</v>
      </c>
      <c r="E146" s="1422"/>
      <c r="F146" s="1431">
        <f>0.018*B146</f>
        <v>0</v>
      </c>
      <c r="G146" s="1422"/>
      <c r="H146" s="760">
        <f>F146*10</f>
        <v>0</v>
      </c>
      <c r="I146" s="151">
        <v>0</v>
      </c>
      <c r="J146" s="150">
        <v>0</v>
      </c>
      <c r="K146" s="150">
        <v>0</v>
      </c>
      <c r="L146" s="174">
        <f t="shared" si="43"/>
        <v>0</v>
      </c>
      <c r="M146" s="1539">
        <f t="shared" si="50"/>
        <v>0</v>
      </c>
      <c r="N146" s="1540"/>
    </row>
    <row r="147" spans="1:14">
      <c r="A147" s="257" t="s">
        <v>184</v>
      </c>
      <c r="B147" s="1421">
        <f>'Chino Hills'!N348</f>
        <v>0</v>
      </c>
      <c r="C147" s="1422"/>
      <c r="D147" s="1431">
        <f t="shared" si="51"/>
        <v>0</v>
      </c>
      <c r="E147" s="1422"/>
      <c r="F147" s="1431">
        <f>B147*0.0129</f>
        <v>0</v>
      </c>
      <c r="G147" s="1422"/>
      <c r="H147" s="760">
        <f>F147*10</f>
        <v>0</v>
      </c>
      <c r="I147" s="151">
        <v>0</v>
      </c>
      <c r="J147" s="150">
        <v>0</v>
      </c>
      <c r="K147" s="150">
        <v>0</v>
      </c>
      <c r="L147" s="174">
        <f t="shared" si="43"/>
        <v>0</v>
      </c>
      <c r="M147" s="1539">
        <f t="shared" si="50"/>
        <v>0</v>
      </c>
      <c r="N147" s="1540"/>
    </row>
    <row r="148" spans="1:14" s="57" customFormat="1">
      <c r="A148" s="258" t="s">
        <v>187</v>
      </c>
      <c r="B148" s="1421">
        <f>'Chino Hills'!N349</f>
        <v>0</v>
      </c>
      <c r="C148" s="1422"/>
      <c r="D148" s="1736">
        <f t="shared" si="51"/>
        <v>0</v>
      </c>
      <c r="E148" s="1446"/>
      <c r="F148" s="1431">
        <f>B148*0.023</f>
        <v>0</v>
      </c>
      <c r="G148" s="1422"/>
      <c r="H148" s="761">
        <f>F148*5</f>
        <v>0</v>
      </c>
      <c r="I148" s="151">
        <v>0</v>
      </c>
      <c r="J148" s="151">
        <v>0</v>
      </c>
      <c r="K148" s="151">
        <v>0</v>
      </c>
      <c r="L148" s="174">
        <f t="shared" si="43"/>
        <v>0</v>
      </c>
      <c r="M148" s="1539">
        <f t="shared" si="50"/>
        <v>0</v>
      </c>
      <c r="N148" s="1540"/>
    </row>
    <row r="149" spans="1:14" s="57" customFormat="1">
      <c r="A149" s="258" t="s">
        <v>188</v>
      </c>
      <c r="B149" s="1421">
        <f>'Chino Hills'!N350</f>
        <v>0</v>
      </c>
      <c r="C149" s="1422"/>
      <c r="D149" s="1736">
        <f t="shared" si="51"/>
        <v>0</v>
      </c>
      <c r="E149" s="1446"/>
      <c r="F149" s="1736">
        <f>B149*0.154</f>
        <v>0</v>
      </c>
      <c r="G149" s="1446"/>
      <c r="H149" s="761">
        <f>F149*10</f>
        <v>0</v>
      </c>
      <c r="I149" s="151">
        <v>0</v>
      </c>
      <c r="J149" s="151">
        <v>0</v>
      </c>
      <c r="K149" s="151">
        <v>0</v>
      </c>
      <c r="L149" s="174">
        <f t="shared" si="43"/>
        <v>0</v>
      </c>
      <c r="M149" s="1539">
        <f t="shared" si="50"/>
        <v>0</v>
      </c>
      <c r="N149" s="1540"/>
    </row>
    <row r="150" spans="1:14" s="57" customFormat="1">
      <c r="A150" s="258" t="s">
        <v>334</v>
      </c>
      <c r="B150" s="1563">
        <f>'Chino Hills'!N351</f>
        <v>7</v>
      </c>
      <c r="C150" s="1424"/>
      <c r="D150" s="1868">
        <f t="shared" si="51"/>
        <v>5200337.415</v>
      </c>
      <c r="E150" s="1579"/>
      <c r="F150" s="1868">
        <v>15.956849999999999</v>
      </c>
      <c r="G150" s="1579"/>
      <c r="H150" s="914">
        <f>F150*10</f>
        <v>159.5685</v>
      </c>
      <c r="I150" s="151">
        <v>0</v>
      </c>
      <c r="J150" s="151">
        <v>59215</v>
      </c>
      <c r="K150" s="151">
        <v>139745</v>
      </c>
      <c r="L150" s="174">
        <f>K150+J150+I150</f>
        <v>198960</v>
      </c>
      <c r="M150" s="1539">
        <f t="shared" si="50"/>
        <v>16.758906352990074</v>
      </c>
      <c r="N150" s="1540"/>
    </row>
    <row r="151" spans="1:14" s="57" customFormat="1">
      <c r="A151" s="258" t="s">
        <v>269</v>
      </c>
      <c r="B151" s="1563">
        <f>'Chino Hills'!N352</f>
        <v>0</v>
      </c>
      <c r="C151" s="1424"/>
      <c r="D151" s="1868">
        <f t="shared" si="51"/>
        <v>0</v>
      </c>
      <c r="E151" s="1579"/>
      <c r="F151" s="1868">
        <v>0</v>
      </c>
      <c r="G151" s="1579"/>
      <c r="H151" s="914">
        <v>0</v>
      </c>
      <c r="I151" s="151">
        <v>0</v>
      </c>
      <c r="J151" s="151">
        <v>0</v>
      </c>
      <c r="K151" s="151">
        <v>0</v>
      </c>
      <c r="L151" s="174">
        <f t="shared" si="43"/>
        <v>0</v>
      </c>
      <c r="M151" s="1539">
        <f t="shared" si="50"/>
        <v>0</v>
      </c>
      <c r="N151" s="1540"/>
    </row>
    <row r="152" spans="1:14" s="57" customFormat="1" ht="14" thickBot="1">
      <c r="A152" s="258" t="s">
        <v>268</v>
      </c>
      <c r="B152" s="1421">
        <f>'Chino Hills'!N353</f>
        <v>0</v>
      </c>
      <c r="C152" s="1422"/>
      <c r="D152" s="1736">
        <f t="shared" si="51"/>
        <v>0</v>
      </c>
      <c r="E152" s="1446"/>
      <c r="F152" s="1736">
        <f>(B152*0.0084)/2</f>
        <v>0</v>
      </c>
      <c r="G152" s="1446"/>
      <c r="H152" s="761">
        <v>0</v>
      </c>
      <c r="I152" s="151">
        <v>0</v>
      </c>
      <c r="J152" s="151">
        <v>0</v>
      </c>
      <c r="K152" s="151">
        <v>0</v>
      </c>
      <c r="L152" s="174">
        <f t="shared" si="43"/>
        <v>0</v>
      </c>
      <c r="M152" s="1539">
        <f t="shared" si="50"/>
        <v>0</v>
      </c>
      <c r="N152" s="1540"/>
    </row>
    <row r="153" spans="1:14" s="1161" customFormat="1" ht="17" thickBot="1">
      <c r="A153" s="110" t="s">
        <v>192</v>
      </c>
      <c r="B153" s="1456"/>
      <c r="C153" s="1457"/>
      <c r="D153" s="1457"/>
      <c r="E153" s="1457"/>
      <c r="F153" s="1854"/>
      <c r="G153" s="1854"/>
      <c r="H153" s="1240"/>
      <c r="I153" s="997"/>
      <c r="J153" s="997"/>
      <c r="K153" s="997"/>
      <c r="L153" s="997"/>
      <c r="M153" s="1541"/>
      <c r="N153" s="1542"/>
    </row>
    <row r="154" spans="1:14" ht="14" thickBot="1">
      <c r="A154" s="76" t="s">
        <v>165</v>
      </c>
      <c r="B154" s="1421">
        <f>'Chino Hills'!N355</f>
        <v>0</v>
      </c>
      <c r="C154" s="1422"/>
      <c r="D154" s="1734">
        <f>F154*325900</f>
        <v>0</v>
      </c>
      <c r="E154" s="1430"/>
      <c r="F154" s="1867">
        <f>0.004*B154</f>
        <v>0</v>
      </c>
      <c r="G154" s="1747"/>
      <c r="H154" s="948">
        <f>F154*5</f>
        <v>0</v>
      </c>
      <c r="I154" s="323">
        <v>0</v>
      </c>
      <c r="J154" s="140">
        <v>0</v>
      </c>
      <c r="K154" s="140">
        <f>(B154*2)</f>
        <v>0</v>
      </c>
      <c r="L154" s="174">
        <f t="shared" si="43"/>
        <v>0</v>
      </c>
      <c r="M154" s="1539">
        <f t="shared" ref="M154" si="52">IF(ISERROR(L154/(F154*744)),0,L154/(F154*744))</f>
        <v>0</v>
      </c>
      <c r="N154" s="1540"/>
    </row>
    <row r="155" spans="1:14" s="533" customFormat="1" ht="14" thickBot="1">
      <c r="A155" s="53" t="s">
        <v>60</v>
      </c>
      <c r="B155" s="1438">
        <f>SUM(B141:B154)</f>
        <v>5182</v>
      </c>
      <c r="C155" s="1439"/>
      <c r="D155" s="1441">
        <f>SUM(D141:E154)</f>
        <v>12621080.415000001</v>
      </c>
      <c r="E155" s="1439"/>
      <c r="F155" s="1441">
        <f>SUM(F141:G154)</f>
        <v>38.726849999999999</v>
      </c>
      <c r="G155" s="1439"/>
      <c r="H155" s="750">
        <f>SUM(H141:H154)</f>
        <v>273.41849999999999</v>
      </c>
      <c r="I155" s="146">
        <f>SUM(I141:I154)</f>
        <v>0</v>
      </c>
      <c r="J155" s="146">
        <f>SUM(J141:J154)</f>
        <v>69565</v>
      </c>
      <c r="K155" s="146">
        <f>SUM(K141:K154)</f>
        <v>150095</v>
      </c>
      <c r="L155" s="160">
        <f>SUM(L141:L154)</f>
        <v>219660</v>
      </c>
      <c r="M155" s="1442"/>
      <c r="N155" s="1443"/>
    </row>
    <row r="156" spans="1:14" s="1161" customFormat="1" ht="17" thickBot="1">
      <c r="A156" s="1163" t="s">
        <v>17</v>
      </c>
      <c r="B156" s="1414">
        <f>SUM(,B139,B155)</f>
        <v>5715</v>
      </c>
      <c r="C156" s="1415"/>
      <c r="D156" s="1416">
        <f>SUM(,D139,D155)</f>
        <v>19391267.399999999</v>
      </c>
      <c r="E156" s="1415"/>
      <c r="F156" s="1416">
        <f>SUM(,F139,F155)</f>
        <v>59.500720000000001</v>
      </c>
      <c r="G156" s="1415"/>
      <c r="H156" s="1164">
        <f>SUM(H139,H155)</f>
        <v>479.48770000000002</v>
      </c>
      <c r="I156" s="1165">
        <f>SUM(,I139,I155)</f>
        <v>19124.77</v>
      </c>
      <c r="J156" s="1165">
        <f>SUM(,J139,J155)</f>
        <v>93285.119999999995</v>
      </c>
      <c r="K156" s="1165">
        <f>SUM(,K139,K155)</f>
        <v>218233.12</v>
      </c>
      <c r="L156" s="1235">
        <f>SUM(,L139,L155)</f>
        <v>330643.01</v>
      </c>
      <c r="M156" s="1417"/>
      <c r="N156" s="1418"/>
    </row>
    <row r="157" spans="1:14">
      <c r="A157" s="50"/>
      <c r="B157" s="770"/>
      <c r="C157" s="770"/>
      <c r="D157" s="770"/>
      <c r="E157" s="770"/>
      <c r="F157" s="51"/>
      <c r="G157" s="51"/>
      <c r="H157" s="51"/>
      <c r="I157" s="21"/>
      <c r="J157" s="21"/>
      <c r="K157" s="21"/>
      <c r="L157" s="21"/>
      <c r="M157" s="767"/>
      <c r="N157" s="767"/>
    </row>
    <row r="158" spans="1:14" ht="15">
      <c r="A158" s="9" t="s">
        <v>18</v>
      </c>
      <c r="B158" s="1695" t="s">
        <v>59</v>
      </c>
      <c r="C158" s="1695"/>
      <c r="D158" s="1695"/>
      <c r="E158" s="1695"/>
      <c r="F158" s="51"/>
      <c r="G158" s="51"/>
      <c r="H158" s="51"/>
      <c r="I158" s="21"/>
      <c r="J158" s="21"/>
      <c r="K158" s="21"/>
      <c r="L158" s="21"/>
      <c r="M158" s="767"/>
      <c r="N158" s="767"/>
    </row>
    <row r="159" spans="1:14">
      <c r="B159" s="1420" t="s">
        <v>19</v>
      </c>
      <c r="C159" s="1420"/>
      <c r="D159" s="1420"/>
      <c r="E159" s="1420"/>
      <c r="F159" s="51"/>
      <c r="G159" s="51"/>
      <c r="H159" s="51"/>
      <c r="I159" s="21"/>
      <c r="J159" s="21"/>
      <c r="K159" s="21"/>
      <c r="L159" s="21"/>
      <c r="M159" s="767"/>
      <c r="N159" s="767"/>
    </row>
    <row r="160" spans="1:14" ht="14" thickBot="1">
      <c r="B160" s="778"/>
      <c r="C160" s="778"/>
      <c r="D160" s="778"/>
      <c r="E160" s="778"/>
      <c r="F160" s="51"/>
      <c r="G160" s="51"/>
      <c r="H160" s="51"/>
      <c r="I160" s="21"/>
      <c r="J160" s="21"/>
      <c r="K160" s="21"/>
      <c r="L160" s="21"/>
      <c r="M160" s="778"/>
      <c r="N160" s="778"/>
    </row>
    <row r="161" spans="1:14" s="363" customFormat="1" ht="16">
      <c r="A161" s="98"/>
      <c r="B161" s="99"/>
      <c r="C161" s="99"/>
      <c r="D161" s="99"/>
      <c r="E161" s="99"/>
      <c r="F161" s="100"/>
      <c r="G161" s="100"/>
      <c r="H161" s="100"/>
      <c r="I161" s="1468" t="s">
        <v>0</v>
      </c>
      <c r="J161" s="1468"/>
      <c r="K161" s="1468"/>
      <c r="L161" s="1468"/>
      <c r="M161" s="99"/>
      <c r="N161" s="101"/>
    </row>
    <row r="162" spans="1:14" ht="16">
      <c r="A162" s="97"/>
      <c r="B162" s="1469" t="s">
        <v>1</v>
      </c>
      <c r="C162" s="1469"/>
      <c r="D162" s="1469" t="s">
        <v>2</v>
      </c>
      <c r="E162" s="1469"/>
      <c r="F162" s="1863" t="s">
        <v>3</v>
      </c>
      <c r="G162" s="1863"/>
      <c r="H162" s="773" t="s">
        <v>3</v>
      </c>
      <c r="I162" s="127" t="s">
        <v>195</v>
      </c>
      <c r="J162" s="102"/>
      <c r="K162" s="102"/>
      <c r="L162" s="128"/>
      <c r="M162" s="1525" t="s">
        <v>4</v>
      </c>
      <c r="N162" s="1526"/>
    </row>
    <row r="163" spans="1:14" ht="19" thickBot="1">
      <c r="A163" s="103" t="s">
        <v>5</v>
      </c>
      <c r="B163" s="1473" t="s">
        <v>6</v>
      </c>
      <c r="C163" s="1473"/>
      <c r="D163" s="1473" t="s">
        <v>7</v>
      </c>
      <c r="E163" s="1473"/>
      <c r="F163" s="1864" t="s">
        <v>7</v>
      </c>
      <c r="G163" s="1864"/>
      <c r="H163" s="774" t="s">
        <v>58</v>
      </c>
      <c r="I163" s="758" t="s">
        <v>196</v>
      </c>
      <c r="J163" s="756" t="s">
        <v>8</v>
      </c>
      <c r="K163" s="756" t="s">
        <v>9</v>
      </c>
      <c r="L163" s="401" t="s">
        <v>10</v>
      </c>
      <c r="M163" s="1527" t="s">
        <v>145</v>
      </c>
      <c r="N163" s="1475"/>
    </row>
    <row r="164" spans="1:14" ht="24" thickBot="1">
      <c r="A164" s="88" t="s">
        <v>265</v>
      </c>
      <c r="B164" s="1476"/>
      <c r="C164" s="1477"/>
      <c r="D164" s="1478"/>
      <c r="E164" s="1479"/>
      <c r="F164" s="1878"/>
      <c r="G164" s="1879"/>
      <c r="H164" s="775"/>
      <c r="I164" s="213"/>
      <c r="J164" s="213"/>
      <c r="K164" s="213"/>
      <c r="L164" s="214"/>
      <c r="M164" s="1482"/>
      <c r="N164" s="1483"/>
    </row>
    <row r="165" spans="1:14" s="1161" customFormat="1" ht="17" thickBot="1">
      <c r="A165" s="108" t="s">
        <v>189</v>
      </c>
      <c r="B165" s="1456"/>
      <c r="C165" s="1586"/>
      <c r="D165" s="1567"/>
      <c r="E165" s="1586"/>
      <c r="F165" s="1619"/>
      <c r="G165" s="1620"/>
      <c r="H165" s="1157"/>
      <c r="I165" s="109"/>
      <c r="J165" s="109"/>
      <c r="K165" s="109"/>
      <c r="L165" s="1141"/>
      <c r="M165" s="1617"/>
      <c r="N165" s="1486"/>
    </row>
    <row r="166" spans="1:14">
      <c r="A166" s="68" t="s">
        <v>29</v>
      </c>
      <c r="B166" s="1731">
        <f>'Chino Hills'!N292</f>
        <v>331</v>
      </c>
      <c r="C166" s="1732"/>
      <c r="D166" s="1855">
        <f>F166*325900</f>
        <v>4584598.25</v>
      </c>
      <c r="E166" s="1732"/>
      <c r="F166" s="1855">
        <f>0.0425*B166</f>
        <v>14.067500000000001</v>
      </c>
      <c r="G166" s="1732"/>
      <c r="H166" s="760">
        <f>F166*20</f>
        <v>281.35000000000002</v>
      </c>
      <c r="I166" s="151">
        <v>0</v>
      </c>
      <c r="J166" s="150">
        <v>5194</v>
      </c>
      <c r="K166" s="150">
        <v>31577.5</v>
      </c>
      <c r="L166" s="311">
        <f t="shared" ref="L166:L172" si="53">I166+J166+K166</f>
        <v>36771.5</v>
      </c>
      <c r="M166" s="1599">
        <f>IF(ISERROR(L166/(F166*721)),0,L166/(F166*721))</f>
        <v>3.6254269402008883</v>
      </c>
      <c r="N166" s="1600"/>
    </row>
    <row r="167" spans="1:14">
      <c r="A167" s="68" t="s">
        <v>33</v>
      </c>
      <c r="B167" s="1421">
        <f>'Chino Hills'!N293</f>
        <v>107</v>
      </c>
      <c r="C167" s="1422"/>
      <c r="D167" s="1431">
        <f>F167*325900</f>
        <v>1203059.8500000001</v>
      </c>
      <c r="E167" s="1422"/>
      <c r="F167" s="1431">
        <f>B167*0.0345</f>
        <v>3.6915000000000004</v>
      </c>
      <c r="G167" s="1422"/>
      <c r="H167" s="760">
        <f>F167*15</f>
        <v>55.372500000000009</v>
      </c>
      <c r="I167" s="150">
        <f>0*B167</f>
        <v>0</v>
      </c>
      <c r="J167" s="150">
        <v>3250</v>
      </c>
      <c r="K167" s="150">
        <v>8925</v>
      </c>
      <c r="L167" s="150">
        <f t="shared" si="53"/>
        <v>12175</v>
      </c>
      <c r="M167" s="1539">
        <f t="shared" ref="M167:M172" si="54">IF(ISERROR(L167/(F167*721)),0,L167/(F167*721))</f>
        <v>4.5743651823743976</v>
      </c>
      <c r="N167" s="1540"/>
    </row>
    <row r="168" spans="1:14">
      <c r="A168" s="68" t="s">
        <v>56</v>
      </c>
      <c r="B168" s="1421">
        <f>'Chino Hills'!N294</f>
        <v>52</v>
      </c>
      <c r="C168" s="1422"/>
      <c r="D168" s="1431">
        <f>F168*325851</f>
        <v>74554.708800000008</v>
      </c>
      <c r="E168" s="1422"/>
      <c r="F168" s="1431">
        <f>0.0044*B168</f>
        <v>0.2288</v>
      </c>
      <c r="G168" s="1422"/>
      <c r="H168" s="760">
        <f>F168*5</f>
        <v>1.1440000000000001</v>
      </c>
      <c r="I168" s="150">
        <f>0*B168</f>
        <v>0</v>
      </c>
      <c r="J168" s="150">
        <v>0</v>
      </c>
      <c r="K168" s="150">
        <v>141.66999999999999</v>
      </c>
      <c r="L168" s="150">
        <f t="shared" si="53"/>
        <v>141.66999999999999</v>
      </c>
      <c r="M168" s="1539">
        <f t="shared" si="54"/>
        <v>0.85878926898344365</v>
      </c>
      <c r="N168" s="1540"/>
    </row>
    <row r="169" spans="1:14">
      <c r="A169" s="68" t="s">
        <v>52</v>
      </c>
      <c r="B169" s="1421">
        <f>'Chino Hills'!N295</f>
        <v>30</v>
      </c>
      <c r="C169" s="1422"/>
      <c r="D169" s="1431">
        <f>F169*325900</f>
        <v>3177525</v>
      </c>
      <c r="E169" s="1422"/>
      <c r="F169" s="1467">
        <f>0.325*B169</f>
        <v>9.75</v>
      </c>
      <c r="G169" s="1433"/>
      <c r="H169" s="765">
        <f>F169*10</f>
        <v>97.5</v>
      </c>
      <c r="I169" s="151">
        <v>0</v>
      </c>
      <c r="J169" s="173">
        <v>636.61</v>
      </c>
      <c r="K169" s="173">
        <v>2266.8200000000002</v>
      </c>
      <c r="L169" s="173">
        <f t="shared" si="53"/>
        <v>2903.4300000000003</v>
      </c>
      <c r="M169" s="1539">
        <f t="shared" si="54"/>
        <v>0.41302037768057187</v>
      </c>
      <c r="N169" s="1540"/>
    </row>
    <row r="170" spans="1:14">
      <c r="A170" s="254" t="s">
        <v>297</v>
      </c>
      <c r="B170" s="1421">
        <f>'Chino Hills'!N296</f>
        <v>76</v>
      </c>
      <c r="C170" s="1422"/>
      <c r="D170" s="1431">
        <f>F170*325900</f>
        <v>4613596.8319999995</v>
      </c>
      <c r="E170" s="1422"/>
      <c r="F170" s="1467">
        <f>(108896*0.00013)</f>
        <v>14.156479999999998</v>
      </c>
      <c r="G170" s="1433"/>
      <c r="H170" s="765">
        <f>F170*10</f>
        <v>141.56479999999999</v>
      </c>
      <c r="I170" s="151">
        <v>0</v>
      </c>
      <c r="J170" s="173">
        <v>0</v>
      </c>
      <c r="K170" s="173">
        <v>208966</v>
      </c>
      <c r="L170" s="173">
        <f>I170+J170+K170</f>
        <v>208966</v>
      </c>
      <c r="M170" s="1539">
        <f t="shared" si="54"/>
        <v>20.473169646942651</v>
      </c>
      <c r="N170" s="1540"/>
    </row>
    <row r="171" spans="1:14">
      <c r="A171" s="254" t="s">
        <v>214</v>
      </c>
      <c r="B171" s="1421">
        <f>'Chino Hills'!N297</f>
        <v>69</v>
      </c>
      <c r="C171" s="1422"/>
      <c r="D171" s="1431">
        <f>F171*325900</f>
        <v>42725.49</v>
      </c>
      <c r="E171" s="1422"/>
      <c r="F171" s="1876">
        <f>0.0019*B171</f>
        <v>0.13109999999999999</v>
      </c>
      <c r="G171" s="1877"/>
      <c r="H171" s="765">
        <f>F171*5</f>
        <v>0.65549999999999997</v>
      </c>
      <c r="I171" s="151">
        <v>0</v>
      </c>
      <c r="J171" s="173">
        <f>0*B171</f>
        <v>0</v>
      </c>
      <c r="K171" s="173">
        <v>5158.95</v>
      </c>
      <c r="L171" s="173">
        <f t="shared" si="53"/>
        <v>5158.95</v>
      </c>
      <c r="M171" s="1539">
        <f t="shared" si="54"/>
        <v>54.578722026679188</v>
      </c>
      <c r="N171" s="1540"/>
    </row>
    <row r="172" spans="1:14" ht="14" thickBot="1">
      <c r="A172" s="258" t="s">
        <v>269</v>
      </c>
      <c r="B172" s="1429">
        <f>'Chino Hills'!N298</f>
        <v>0</v>
      </c>
      <c r="C172" s="1430"/>
      <c r="D172" s="1734">
        <f>F172*0.0095</f>
        <v>0</v>
      </c>
      <c r="E172" s="1430"/>
      <c r="F172" s="1744">
        <f>B172*0.0414</f>
        <v>0</v>
      </c>
      <c r="G172" s="1437"/>
      <c r="H172" s="765">
        <f>F172*10</f>
        <v>0</v>
      </c>
      <c r="I172" s="151">
        <v>0</v>
      </c>
      <c r="J172" s="173">
        <f>0*B172</f>
        <v>0</v>
      </c>
      <c r="K172" s="173">
        <f>B172*75</f>
        <v>0</v>
      </c>
      <c r="L172" s="173">
        <f t="shared" si="53"/>
        <v>0</v>
      </c>
      <c r="M172" s="1561">
        <f t="shared" si="54"/>
        <v>0</v>
      </c>
      <c r="N172" s="1562"/>
    </row>
    <row r="173" spans="1:14" s="1161" customFormat="1" ht="17" thickBot="1">
      <c r="A173" s="110" t="s">
        <v>190</v>
      </c>
      <c r="B173" s="1456"/>
      <c r="C173" s="1586"/>
      <c r="D173" s="1567"/>
      <c r="E173" s="1586"/>
      <c r="F173" s="1619"/>
      <c r="G173" s="1620"/>
      <c r="H173" s="1157"/>
      <c r="I173" s="194"/>
      <c r="J173" s="194"/>
      <c r="K173" s="194"/>
      <c r="L173" s="194"/>
      <c r="M173" s="1593"/>
      <c r="N173" s="1542"/>
    </row>
    <row r="174" spans="1:14">
      <c r="A174" s="254" t="s">
        <v>205</v>
      </c>
      <c r="B174" s="1731">
        <f>'Chino Hills'!N300</f>
        <v>295</v>
      </c>
      <c r="C174" s="1732"/>
      <c r="D174" s="1855">
        <f>F174*325900</f>
        <v>423018.2</v>
      </c>
      <c r="E174" s="1732"/>
      <c r="F174" s="1795">
        <f>B174*0.0044</f>
        <v>1.298</v>
      </c>
      <c r="G174" s="1466"/>
      <c r="H174" s="765">
        <f>F174*5</f>
        <v>6.49</v>
      </c>
      <c r="I174" s="151">
        <v>0</v>
      </c>
      <c r="J174" s="173">
        <f>(B174*1.6)</f>
        <v>472</v>
      </c>
      <c r="K174" s="173">
        <f>(B174*2)</f>
        <v>590</v>
      </c>
      <c r="L174" s="173">
        <f>I174+J174+K174</f>
        <v>1062</v>
      </c>
      <c r="M174" s="1599">
        <f>IF(ISERROR(L174/(F174*721)),0,L174/(F174*721))</f>
        <v>1.1347875425545328</v>
      </c>
      <c r="N174" s="1600"/>
    </row>
    <row r="175" spans="1:14">
      <c r="A175" s="254" t="s">
        <v>314</v>
      </c>
      <c r="B175" s="1421">
        <f>'Chino Hills'!N301</f>
        <v>12</v>
      </c>
      <c r="C175" s="1422"/>
      <c r="D175" s="1467">
        <f>F175*325900</f>
        <v>2246167.98</v>
      </c>
      <c r="E175" s="1433"/>
      <c r="F175" s="1447">
        <v>6.8921999999999999</v>
      </c>
      <c r="G175" s="1448"/>
      <c r="H175" s="754">
        <v>65.335999999999999</v>
      </c>
      <c r="I175" s="173">
        <v>6354.35</v>
      </c>
      <c r="J175" s="173">
        <v>0</v>
      </c>
      <c r="K175" s="173">
        <v>6354.35</v>
      </c>
      <c r="L175" s="151">
        <f>I175+J175+K175</f>
        <v>12708.7</v>
      </c>
      <c r="M175" s="1539">
        <f>IF(ISERROR(L175/(F175*721)),0,L175/(F175*721))</f>
        <v>2.5574549468592629</v>
      </c>
      <c r="N175" s="1540"/>
    </row>
    <row r="176" spans="1:14">
      <c r="A176" s="254" t="s">
        <v>298</v>
      </c>
      <c r="B176" s="1421">
        <f>'Chino Hills'!N302</f>
        <v>0</v>
      </c>
      <c r="C176" s="1422"/>
      <c r="D176" s="1431">
        <v>0</v>
      </c>
      <c r="E176" s="1422"/>
      <c r="F176" s="1736">
        <f>B176*0.00013</f>
        <v>0</v>
      </c>
      <c r="G176" s="1446"/>
      <c r="H176" s="761">
        <v>0</v>
      </c>
      <c r="I176" s="151">
        <v>0</v>
      </c>
      <c r="J176" s="173">
        <v>0</v>
      </c>
      <c r="K176" s="151">
        <v>0</v>
      </c>
      <c r="L176" s="151">
        <f>I176+J176+K176</f>
        <v>0</v>
      </c>
      <c r="M176" s="1539">
        <f>IF(ISERROR(L176/(F176*721)),0,L176/(F176*721))</f>
        <v>0</v>
      </c>
      <c r="N176" s="1540"/>
    </row>
    <row r="177" spans="1:19" ht="14" thickBot="1">
      <c r="A177" s="254" t="s">
        <v>266</v>
      </c>
      <c r="B177" s="1429">
        <f>'Chino Hills'!N303</f>
        <v>10</v>
      </c>
      <c r="C177" s="1430"/>
      <c r="D177" s="1737">
        <f>F177*325900</f>
        <v>3910800</v>
      </c>
      <c r="E177" s="1726"/>
      <c r="F177" s="1458">
        <v>12</v>
      </c>
      <c r="G177" s="1459"/>
      <c r="H177" s="761">
        <f>F177*10</f>
        <v>120</v>
      </c>
      <c r="I177" s="151">
        <v>0</v>
      </c>
      <c r="J177" s="286">
        <v>3418.89</v>
      </c>
      <c r="K177" s="286">
        <v>2281.11</v>
      </c>
      <c r="L177" s="151">
        <f>J177+K177</f>
        <v>5700</v>
      </c>
      <c r="M177" s="1561">
        <f>IF(ISERROR(L177/(F177*721)),0,L177/(F177*721))</f>
        <v>0.6588072122052705</v>
      </c>
      <c r="N177" s="1562"/>
    </row>
    <row r="178" spans="1:19" s="533" customFormat="1" ht="14" thickBot="1">
      <c r="A178" s="256" t="s">
        <v>60</v>
      </c>
      <c r="B178" s="1438">
        <f>SUM(B166:B177)</f>
        <v>982</v>
      </c>
      <c r="C178" s="1439"/>
      <c r="D178" s="1441">
        <f>SUM(D166:E177)</f>
        <v>20276046.310800001</v>
      </c>
      <c r="E178" s="1439"/>
      <c r="F178" s="1441">
        <f>SUM(F166:G177)</f>
        <v>62.215580000000003</v>
      </c>
      <c r="G178" s="1439"/>
      <c r="H178" s="750">
        <f>SUM(H166:H177)</f>
        <v>769.41279999999995</v>
      </c>
      <c r="I178" s="146">
        <f>SUM(I166:I177)</f>
        <v>6354.35</v>
      </c>
      <c r="J178" s="146">
        <f>SUM(J166:J177)</f>
        <v>12971.5</v>
      </c>
      <c r="K178" s="146">
        <f>SUM(K166:K177)</f>
        <v>266261.39999999997</v>
      </c>
      <c r="L178" s="160">
        <f>SUM(L166:L177)</f>
        <v>285587.25</v>
      </c>
      <c r="M178" s="1441"/>
      <c r="N178" s="1730"/>
      <c r="S178" s="541"/>
    </row>
    <row r="179" spans="1:19" s="1161" customFormat="1" ht="17" thickBot="1">
      <c r="A179" s="108" t="s">
        <v>194</v>
      </c>
      <c r="B179" s="1456"/>
      <c r="C179" s="1586"/>
      <c r="D179" s="1567"/>
      <c r="E179" s="1586"/>
      <c r="F179" s="1619"/>
      <c r="G179" s="1620"/>
      <c r="H179" s="1150"/>
      <c r="I179" s="184"/>
      <c r="J179" s="184"/>
      <c r="K179" s="184"/>
      <c r="L179" s="184"/>
      <c r="M179" s="1593"/>
      <c r="N179" s="1542"/>
    </row>
    <row r="180" spans="1:19">
      <c r="A180" s="68" t="s">
        <v>29</v>
      </c>
      <c r="B180" s="1731">
        <f>'Chino Hills'!N307</f>
        <v>14</v>
      </c>
      <c r="C180" s="1732"/>
      <c r="D180" s="1855">
        <f>F180*325900</f>
        <v>193910.50000000003</v>
      </c>
      <c r="E180" s="1732"/>
      <c r="F180" s="1855">
        <f>0.0425*B180</f>
        <v>0.59500000000000008</v>
      </c>
      <c r="G180" s="1732"/>
      <c r="H180" s="760">
        <f>F180*20</f>
        <v>11.900000000000002</v>
      </c>
      <c r="I180" s="151">
        <v>0</v>
      </c>
      <c r="J180" s="150">
        <v>0</v>
      </c>
      <c r="K180" s="150">
        <v>2030</v>
      </c>
      <c r="L180" s="150">
        <f t="shared" ref="L180:L191" si="55">SUM(I180:K180)</f>
        <v>2030</v>
      </c>
      <c r="M180" s="1599">
        <f t="shared" ref="M180:M191" si="56">IF(ISERROR(L180/(F180*721)),0,L180/(F180*721))</f>
        <v>4.7319898833319725</v>
      </c>
      <c r="N180" s="1600"/>
    </row>
    <row r="181" spans="1:19">
      <c r="A181" s="68" t="s">
        <v>51</v>
      </c>
      <c r="B181" s="1421">
        <f>'Chino Hills'!N308</f>
        <v>0</v>
      </c>
      <c r="C181" s="1422"/>
      <c r="D181" s="1431">
        <f>F181*325900</f>
        <v>0</v>
      </c>
      <c r="E181" s="1422"/>
      <c r="F181" s="1431">
        <f>0.644*B181</f>
        <v>0</v>
      </c>
      <c r="G181" s="1422"/>
      <c r="H181" s="760">
        <f>F181*20</f>
        <v>0</v>
      </c>
      <c r="I181" s="151">
        <v>0</v>
      </c>
      <c r="J181" s="150">
        <v>0</v>
      </c>
      <c r="K181" s="150">
        <v>0</v>
      </c>
      <c r="L181" s="150">
        <f t="shared" si="55"/>
        <v>0</v>
      </c>
      <c r="M181" s="1539">
        <f t="shared" si="56"/>
        <v>0</v>
      </c>
      <c r="N181" s="1540"/>
    </row>
    <row r="182" spans="1:19">
      <c r="A182" s="2" t="s">
        <v>204</v>
      </c>
      <c r="B182" s="1421">
        <f>'Chino Hills'!N309</f>
        <v>0</v>
      </c>
      <c r="C182" s="1422"/>
      <c r="D182" s="1431">
        <f>F182*325851</f>
        <v>0</v>
      </c>
      <c r="E182" s="1422"/>
      <c r="F182" s="1431">
        <f>0.1227*B182</f>
        <v>0</v>
      </c>
      <c r="G182" s="1422"/>
      <c r="H182" s="760">
        <f>F182*5</f>
        <v>0</v>
      </c>
      <c r="I182" s="151">
        <v>0</v>
      </c>
      <c r="J182" s="150">
        <v>0</v>
      </c>
      <c r="K182" s="150">
        <v>0</v>
      </c>
      <c r="L182" s="150">
        <f t="shared" si="55"/>
        <v>0</v>
      </c>
      <c r="M182" s="1539">
        <f t="shared" si="56"/>
        <v>0</v>
      </c>
      <c r="N182" s="1540"/>
    </row>
    <row r="183" spans="1:19">
      <c r="A183" s="254" t="s">
        <v>30</v>
      </c>
      <c r="B183" s="1421">
        <f>'Chino Hills'!N310</f>
        <v>38</v>
      </c>
      <c r="C183" s="1422"/>
      <c r="D183" s="1431">
        <f t="shared" ref="D183:D191" si="57">F183*325900</f>
        <v>4024865</v>
      </c>
      <c r="E183" s="1422"/>
      <c r="F183" s="1431">
        <f>0.325*B183</f>
        <v>12.35</v>
      </c>
      <c r="G183" s="1422"/>
      <c r="H183" s="760">
        <f>F183*10</f>
        <v>123.5</v>
      </c>
      <c r="I183" s="151">
        <v>0</v>
      </c>
      <c r="J183" s="151">
        <v>0</v>
      </c>
      <c r="K183" s="151">
        <v>15050</v>
      </c>
      <c r="L183" s="150">
        <f t="shared" si="55"/>
        <v>15050</v>
      </c>
      <c r="M183" s="1539">
        <f t="shared" si="56"/>
        <v>1.690185134232145</v>
      </c>
      <c r="N183" s="1540"/>
    </row>
    <row r="184" spans="1:19">
      <c r="A184" s="69" t="s">
        <v>56</v>
      </c>
      <c r="B184" s="1421">
        <f>'Chino Hills'!N311</f>
        <v>800</v>
      </c>
      <c r="C184" s="1422"/>
      <c r="D184" s="1431">
        <f t="shared" si="57"/>
        <v>1147168</v>
      </c>
      <c r="E184" s="1422"/>
      <c r="F184" s="1431">
        <f>0.0044*B184</f>
        <v>3.52</v>
      </c>
      <c r="G184" s="1422"/>
      <c r="H184" s="760">
        <f>F184*5</f>
        <v>17.600000000000001</v>
      </c>
      <c r="I184" s="151">
        <v>0</v>
      </c>
      <c r="J184" s="173">
        <v>0</v>
      </c>
      <c r="K184" s="173">
        <v>3200</v>
      </c>
      <c r="L184" s="150">
        <f t="shared" si="55"/>
        <v>3200</v>
      </c>
      <c r="M184" s="1539">
        <f t="shared" si="56"/>
        <v>1.2608750472828143</v>
      </c>
      <c r="N184" s="1540"/>
    </row>
    <row r="185" spans="1:19">
      <c r="A185" s="254" t="s">
        <v>122</v>
      </c>
      <c r="B185" s="1421">
        <f>'Chino Hills'!N312</f>
        <v>0</v>
      </c>
      <c r="C185" s="1422"/>
      <c r="D185" s="1431">
        <f t="shared" si="57"/>
        <v>0</v>
      </c>
      <c r="E185" s="1422"/>
      <c r="F185" s="1431">
        <f>0.018*B185</f>
        <v>0</v>
      </c>
      <c r="G185" s="1422"/>
      <c r="H185" s="760">
        <f>F185*10</f>
        <v>0</v>
      </c>
      <c r="I185" s="151">
        <v>0</v>
      </c>
      <c r="J185" s="150">
        <v>0</v>
      </c>
      <c r="K185" s="150">
        <v>0</v>
      </c>
      <c r="L185" s="150">
        <f t="shared" si="55"/>
        <v>0</v>
      </c>
      <c r="M185" s="1539">
        <f t="shared" si="56"/>
        <v>0</v>
      </c>
      <c r="N185" s="1540"/>
    </row>
    <row r="186" spans="1:19">
      <c r="A186" s="257" t="s">
        <v>184</v>
      </c>
      <c r="B186" s="1421">
        <f>'Chino Hills'!N313</f>
        <v>0</v>
      </c>
      <c r="C186" s="1422"/>
      <c r="D186" s="1431">
        <f t="shared" si="57"/>
        <v>0</v>
      </c>
      <c r="E186" s="1422"/>
      <c r="F186" s="1431">
        <f>B186*0.023</f>
        <v>0</v>
      </c>
      <c r="G186" s="1422"/>
      <c r="H186" s="760">
        <f>F186*10</f>
        <v>0</v>
      </c>
      <c r="I186" s="151">
        <v>0</v>
      </c>
      <c r="J186" s="150">
        <v>0</v>
      </c>
      <c r="K186" s="150">
        <v>0</v>
      </c>
      <c r="L186" s="150">
        <f t="shared" si="55"/>
        <v>0</v>
      </c>
      <c r="M186" s="1539">
        <f t="shared" si="56"/>
        <v>0</v>
      </c>
      <c r="N186" s="1540"/>
    </row>
    <row r="187" spans="1:19" s="57" customFormat="1">
      <c r="A187" s="258" t="s">
        <v>187</v>
      </c>
      <c r="B187" s="1421">
        <f>'Chino Hills'!N314</f>
        <v>0</v>
      </c>
      <c r="C187" s="1422"/>
      <c r="D187" s="1736">
        <f t="shared" si="57"/>
        <v>0</v>
      </c>
      <c r="E187" s="1446"/>
      <c r="F187" s="1431">
        <f>B187*0.0129</f>
        <v>0</v>
      </c>
      <c r="G187" s="1422"/>
      <c r="H187" s="761">
        <f>F187*5</f>
        <v>0</v>
      </c>
      <c r="I187" s="151">
        <v>0</v>
      </c>
      <c r="J187" s="151">
        <v>0</v>
      </c>
      <c r="K187" s="151">
        <v>0</v>
      </c>
      <c r="L187" s="151">
        <f t="shared" si="55"/>
        <v>0</v>
      </c>
      <c r="M187" s="1539">
        <f t="shared" si="56"/>
        <v>0</v>
      </c>
      <c r="N187" s="1540"/>
    </row>
    <row r="188" spans="1:19" s="57" customFormat="1">
      <c r="A188" s="258" t="s">
        <v>188</v>
      </c>
      <c r="B188" s="1421">
        <f>'Chino Hills'!N315</f>
        <v>0</v>
      </c>
      <c r="C188" s="1422"/>
      <c r="D188" s="1736">
        <f t="shared" si="57"/>
        <v>0</v>
      </c>
      <c r="E188" s="1446"/>
      <c r="F188" s="1736">
        <f>B188*154</f>
        <v>0</v>
      </c>
      <c r="G188" s="1446"/>
      <c r="H188" s="761">
        <f>F188*10</f>
        <v>0</v>
      </c>
      <c r="I188" s="151">
        <v>0</v>
      </c>
      <c r="J188" s="151">
        <v>0</v>
      </c>
      <c r="K188" s="151">
        <v>0</v>
      </c>
      <c r="L188" s="151">
        <f t="shared" si="55"/>
        <v>0</v>
      </c>
      <c r="M188" s="1539">
        <f t="shared" si="56"/>
        <v>0</v>
      </c>
      <c r="N188" s="1540"/>
    </row>
    <row r="189" spans="1:19" s="57" customFormat="1">
      <c r="A189" s="258" t="s">
        <v>288</v>
      </c>
      <c r="B189" s="1421">
        <f>'Chino Hills'!N316</f>
        <v>14</v>
      </c>
      <c r="C189" s="1422"/>
      <c r="D189" s="1736">
        <f t="shared" si="57"/>
        <v>12146661.266999999</v>
      </c>
      <c r="E189" s="1446"/>
      <c r="F189" s="1736">
        <f>(286701*0.00013)</f>
        <v>37.271129999999999</v>
      </c>
      <c r="G189" s="1446"/>
      <c r="H189" s="761">
        <f>F189*10</f>
        <v>372.71129999999999</v>
      </c>
      <c r="I189" s="151">
        <v>0</v>
      </c>
      <c r="J189" s="151">
        <v>224980.65</v>
      </c>
      <c r="K189" s="151">
        <v>570402</v>
      </c>
      <c r="L189" s="151">
        <f t="shared" si="55"/>
        <v>795382.65</v>
      </c>
      <c r="M189" s="1539">
        <f t="shared" si="56"/>
        <v>29.598403645646059</v>
      </c>
      <c r="N189" s="1540"/>
    </row>
    <row r="190" spans="1:19" s="57" customFormat="1">
      <c r="A190" s="258" t="s">
        <v>269</v>
      </c>
      <c r="B190" s="1421">
        <f>'Chino Hills'!N317</f>
        <v>0</v>
      </c>
      <c r="C190" s="1422"/>
      <c r="D190" s="1736">
        <f t="shared" si="57"/>
        <v>0</v>
      </c>
      <c r="E190" s="1446"/>
      <c r="F190" s="1736">
        <v>0</v>
      </c>
      <c r="G190" s="1446"/>
      <c r="H190" s="761">
        <v>0</v>
      </c>
      <c r="I190" s="151">
        <v>0</v>
      </c>
      <c r="J190" s="151">
        <v>0</v>
      </c>
      <c r="K190" s="151">
        <v>0</v>
      </c>
      <c r="L190" s="151">
        <f t="shared" si="55"/>
        <v>0</v>
      </c>
      <c r="M190" s="1539">
        <f t="shared" si="56"/>
        <v>0</v>
      </c>
      <c r="N190" s="1540"/>
    </row>
    <row r="191" spans="1:19" s="57" customFormat="1" ht="14" thickBot="1">
      <c r="A191" s="258" t="s">
        <v>268</v>
      </c>
      <c r="B191" s="1429">
        <f>'Chino Hills'!N318</f>
        <v>0</v>
      </c>
      <c r="C191" s="1430"/>
      <c r="D191" s="1737">
        <f t="shared" si="57"/>
        <v>0</v>
      </c>
      <c r="E191" s="1726"/>
      <c r="F191" s="1737">
        <f>(B191*0.0084)/2</f>
        <v>0</v>
      </c>
      <c r="G191" s="1726"/>
      <c r="H191" s="761">
        <v>0</v>
      </c>
      <c r="I191" s="151">
        <v>0</v>
      </c>
      <c r="J191" s="151">
        <v>0</v>
      </c>
      <c r="K191" s="151">
        <v>0</v>
      </c>
      <c r="L191" s="151">
        <f t="shared" si="55"/>
        <v>0</v>
      </c>
      <c r="M191" s="1561">
        <f t="shared" si="56"/>
        <v>0</v>
      </c>
      <c r="N191" s="1562"/>
    </row>
    <row r="192" spans="1:19" s="1161" customFormat="1" ht="17" thickBot="1">
      <c r="A192" s="108" t="s">
        <v>192</v>
      </c>
      <c r="B192" s="1456"/>
      <c r="C192" s="1586"/>
      <c r="D192" s="1567"/>
      <c r="E192" s="1586"/>
      <c r="F192" s="1619"/>
      <c r="G192" s="1620"/>
      <c r="H192" s="1150"/>
      <c r="I192" s="184"/>
      <c r="J192" s="184"/>
      <c r="K192" s="184"/>
      <c r="L192" s="184"/>
      <c r="M192" s="1593"/>
      <c r="N192" s="1542"/>
    </row>
    <row r="193" spans="1:14" ht="14" thickBot="1">
      <c r="A193" s="76" t="s">
        <v>165</v>
      </c>
      <c r="B193" s="1769">
        <f>'Chino Hills'!N320</f>
        <v>544</v>
      </c>
      <c r="C193" s="1770"/>
      <c r="D193" s="1872">
        <f>F193*325900</f>
        <v>709158.40000000002</v>
      </c>
      <c r="E193" s="1770"/>
      <c r="F193" s="1873">
        <f>0.004*B193</f>
        <v>2.1760000000000002</v>
      </c>
      <c r="G193" s="1874"/>
      <c r="H193" s="763">
        <f>F193*5</f>
        <v>10.88</v>
      </c>
      <c r="I193" s="215">
        <v>0</v>
      </c>
      <c r="J193" s="140">
        <v>1242.8</v>
      </c>
      <c r="K193" s="140">
        <f>(B193*2)</f>
        <v>1088</v>
      </c>
      <c r="L193" s="140">
        <f>SUM(I193:K193)</f>
        <v>2330.8000000000002</v>
      </c>
      <c r="M193" s="1875">
        <f>IF(ISERROR(L193/(F193*721)),0,L193/(F193*721))</f>
        <v>1.4856306600310025</v>
      </c>
      <c r="N193" s="1455"/>
    </row>
    <row r="194" spans="1:14" s="533" customFormat="1" ht="14" thickBot="1">
      <c r="A194" s="53" t="s">
        <v>60</v>
      </c>
      <c r="B194" s="1438">
        <f>SUM(B180:B193)</f>
        <v>1410</v>
      </c>
      <c r="C194" s="1439"/>
      <c r="D194" s="1441">
        <f>SUM(D180:E193)</f>
        <v>18221763.166999996</v>
      </c>
      <c r="E194" s="1439"/>
      <c r="F194" s="1441">
        <f>SUM(F180:G193)</f>
        <v>55.912130000000005</v>
      </c>
      <c r="G194" s="1439"/>
      <c r="H194" s="750">
        <f>SUM(H180:H193)</f>
        <v>536.59129999999993</v>
      </c>
      <c r="I194" s="146">
        <f>SUM(I180:I193)</f>
        <v>0</v>
      </c>
      <c r="J194" s="146">
        <f>SUM(J180:J193)</f>
        <v>226223.44999999998</v>
      </c>
      <c r="K194" s="146">
        <f>SUM(K180:K193)</f>
        <v>591770</v>
      </c>
      <c r="L194" s="160">
        <f>SUM(L180:L193)</f>
        <v>817993.45000000007</v>
      </c>
      <c r="M194" s="1442"/>
      <c r="N194" s="1443"/>
    </row>
    <row r="195" spans="1:14" s="1161" customFormat="1" ht="17" thickBot="1">
      <c r="A195" s="1163" t="s">
        <v>17</v>
      </c>
      <c r="B195" s="1414">
        <f>SUM(,B178,B194)</f>
        <v>2392</v>
      </c>
      <c r="C195" s="1415"/>
      <c r="D195" s="1416">
        <f>SUM(,D178,D194)</f>
        <v>38497809.477799997</v>
      </c>
      <c r="E195" s="1415"/>
      <c r="F195" s="1416">
        <f>SUM(,F178,F194)</f>
        <v>118.12771000000001</v>
      </c>
      <c r="G195" s="1415"/>
      <c r="H195" s="1164">
        <f>SUM(H178,H194)</f>
        <v>1306.0040999999999</v>
      </c>
      <c r="I195" s="1165">
        <f>SUM(,I178,I194)</f>
        <v>6354.35</v>
      </c>
      <c r="J195" s="1165">
        <f>SUM(,J178,J194)</f>
        <v>239194.94999999998</v>
      </c>
      <c r="K195" s="1165">
        <f>SUM(,K178,K194)</f>
        <v>858031.39999999991</v>
      </c>
      <c r="L195" s="1235">
        <f>SUM(,L178,L194)</f>
        <v>1103580.7000000002</v>
      </c>
      <c r="M195" s="1417"/>
      <c r="N195" s="1418"/>
    </row>
    <row r="196" spans="1:14">
      <c r="A196" s="50"/>
      <c r="B196" s="770"/>
      <c r="C196" s="770"/>
      <c r="D196" s="770"/>
      <c r="E196" s="770"/>
      <c r="F196" s="51"/>
      <c r="G196" s="51"/>
      <c r="H196" s="51"/>
      <c r="I196" s="21"/>
      <c r="J196" s="21"/>
      <c r="K196" s="21"/>
      <c r="L196" s="21"/>
      <c r="M196" s="767"/>
      <c r="N196" s="767"/>
    </row>
    <row r="197" spans="1:14" ht="15">
      <c r="A197" s="9" t="s">
        <v>18</v>
      </c>
      <c r="B197" s="1695" t="s">
        <v>59</v>
      </c>
      <c r="C197" s="1695"/>
      <c r="D197" s="1695"/>
      <c r="E197" s="1695"/>
      <c r="F197" s="51"/>
      <c r="G197" s="51"/>
      <c r="H197" s="51"/>
      <c r="I197" s="21"/>
      <c r="J197" s="21"/>
      <c r="K197" s="21"/>
      <c r="L197" s="21"/>
      <c r="M197" s="767"/>
      <c r="N197" s="767"/>
    </row>
    <row r="198" spans="1:14">
      <c r="B198" s="1420" t="s">
        <v>19</v>
      </c>
      <c r="C198" s="1420"/>
      <c r="D198" s="1420"/>
      <c r="E198" s="1420"/>
      <c r="F198" s="51"/>
      <c r="G198" s="51"/>
      <c r="H198" s="51"/>
      <c r="I198" s="21"/>
      <c r="J198" s="21"/>
      <c r="K198" s="21"/>
      <c r="L198" s="21"/>
      <c r="M198" s="767"/>
      <c r="N198" s="767"/>
    </row>
    <row r="199" spans="1:14" ht="14" thickBot="1">
      <c r="B199" s="729"/>
      <c r="C199" s="729"/>
      <c r="D199" s="729"/>
      <c r="E199" s="729"/>
      <c r="F199" s="51"/>
      <c r="G199" s="51"/>
      <c r="H199" s="51"/>
      <c r="I199" s="21"/>
      <c r="J199" s="21"/>
      <c r="K199" s="21"/>
      <c r="L199" s="21"/>
      <c r="M199" s="568"/>
      <c r="N199" s="568"/>
    </row>
    <row r="200" spans="1:14" s="363" customFormat="1" ht="16">
      <c r="A200" s="98"/>
      <c r="B200" s="99"/>
      <c r="C200" s="99"/>
      <c r="D200" s="99"/>
      <c r="E200" s="99"/>
      <c r="F200" s="100"/>
      <c r="G200" s="100"/>
      <c r="H200" s="100"/>
      <c r="I200" s="1468" t="s">
        <v>0</v>
      </c>
      <c r="J200" s="1468"/>
      <c r="K200" s="1468"/>
      <c r="L200" s="1468"/>
      <c r="M200" s="99"/>
      <c r="N200" s="101"/>
    </row>
    <row r="201" spans="1:14" ht="16">
      <c r="A201" s="97"/>
      <c r="B201" s="1469" t="s">
        <v>1</v>
      </c>
      <c r="C201" s="1469"/>
      <c r="D201" s="1469" t="s">
        <v>2</v>
      </c>
      <c r="E201" s="1469"/>
      <c r="F201" s="1863" t="s">
        <v>3</v>
      </c>
      <c r="G201" s="1863"/>
      <c r="H201" s="730" t="s">
        <v>3</v>
      </c>
      <c r="I201" s="127" t="s">
        <v>197</v>
      </c>
      <c r="J201" s="102"/>
      <c r="K201" s="102"/>
      <c r="L201" s="128"/>
      <c r="M201" s="1469" t="s">
        <v>4</v>
      </c>
      <c r="N201" s="1526"/>
    </row>
    <row r="202" spans="1:14" ht="19" thickBot="1">
      <c r="A202" s="103" t="s">
        <v>5</v>
      </c>
      <c r="B202" s="1473" t="s">
        <v>6</v>
      </c>
      <c r="C202" s="1473"/>
      <c r="D202" s="1473" t="s">
        <v>7</v>
      </c>
      <c r="E202" s="1473"/>
      <c r="F202" s="1864" t="s">
        <v>7</v>
      </c>
      <c r="G202" s="1864"/>
      <c r="H202" s="731" t="s">
        <v>58</v>
      </c>
      <c r="I202" s="726" t="s">
        <v>196</v>
      </c>
      <c r="J202" s="724" t="s">
        <v>8</v>
      </c>
      <c r="K202" s="724" t="s">
        <v>9</v>
      </c>
      <c r="L202" s="401" t="s">
        <v>10</v>
      </c>
      <c r="M202" s="1473" t="s">
        <v>145</v>
      </c>
      <c r="N202" s="1475"/>
    </row>
    <row r="203" spans="1:14" ht="24" thickBot="1">
      <c r="A203" s="255" t="s">
        <v>232</v>
      </c>
      <c r="B203" s="1476"/>
      <c r="C203" s="1477"/>
      <c r="D203" s="1890"/>
      <c r="E203" s="1479"/>
      <c r="F203" s="1878"/>
      <c r="G203" s="1879"/>
      <c r="H203" s="247"/>
      <c r="I203" s="177"/>
      <c r="J203" s="177"/>
      <c r="K203" s="177"/>
      <c r="L203" s="178"/>
      <c r="M203" s="1891"/>
      <c r="N203" s="1892"/>
    </row>
    <row r="204" spans="1:14" s="1161" customFormat="1" ht="17" thickBot="1">
      <c r="A204" s="110" t="str">
        <f>'Ontario Total'!A204</f>
        <v>SoCal Water$mart Residential Rebates</v>
      </c>
      <c r="B204" s="1456"/>
      <c r="C204" s="1586"/>
      <c r="D204" s="1457"/>
      <c r="E204" s="1586"/>
      <c r="F204" s="1619"/>
      <c r="G204" s="1620"/>
      <c r="H204" s="1157"/>
      <c r="I204" s="179"/>
      <c r="J204" s="179"/>
      <c r="K204" s="179"/>
      <c r="L204" s="180"/>
      <c r="M204" s="1593"/>
      <c r="N204" s="1542"/>
    </row>
    <row r="205" spans="1:14">
      <c r="A205" s="68" t="str">
        <f>'Ontario Total'!A205</f>
        <v>High Efficiency Toilets (HET)</v>
      </c>
      <c r="B205" s="1731">
        <f>'Chino Hills'!N253</f>
        <v>342</v>
      </c>
      <c r="C205" s="1732"/>
      <c r="D205" s="1767">
        <f t="shared" ref="D205:D209" si="58">F205*325900</f>
        <v>4736956.5000000009</v>
      </c>
      <c r="E205" s="1732"/>
      <c r="F205" s="1855">
        <f>0.0425*B205</f>
        <v>14.535000000000002</v>
      </c>
      <c r="G205" s="1732"/>
      <c r="H205" s="242">
        <f>F205*20</f>
        <v>290.70000000000005</v>
      </c>
      <c r="I205" s="151">
        <v>0</v>
      </c>
      <c r="J205" s="150">
        <f>50*B205</f>
        <v>17100</v>
      </c>
      <c r="K205" s="150">
        <f>B205*50</f>
        <v>17100</v>
      </c>
      <c r="L205" s="172">
        <f t="shared" ref="L205:L210" si="59">I205+J205+K205</f>
        <v>34200</v>
      </c>
      <c r="M205" s="1599">
        <f>IF(ISERROR(L205/(F205*752)),0,L205/(F205*752))</f>
        <v>3.1289111389236539</v>
      </c>
      <c r="N205" s="1600"/>
    </row>
    <row r="206" spans="1:14">
      <c r="A206" s="68" t="str">
        <f>'Ontario Total'!A206</f>
        <v>High Efficiency Clothes Washers (HECW)</v>
      </c>
      <c r="B206" s="1421">
        <f>'Chino Hills'!N254</f>
        <v>154</v>
      </c>
      <c r="C206" s="1422"/>
      <c r="D206" s="1444">
        <f t="shared" si="58"/>
        <v>1385205.3599999999</v>
      </c>
      <c r="E206" s="1422"/>
      <c r="F206" s="1431">
        <f>0.0276*B206</f>
        <v>4.2504</v>
      </c>
      <c r="G206" s="1422"/>
      <c r="H206" s="242">
        <f>F206*15</f>
        <v>63.756</v>
      </c>
      <c r="I206" s="151">
        <f>0*B206</f>
        <v>0</v>
      </c>
      <c r="J206" s="150">
        <f>65*B206</f>
        <v>10010</v>
      </c>
      <c r="K206" s="150">
        <f>B206*85</f>
        <v>13090</v>
      </c>
      <c r="L206" s="172">
        <f t="shared" si="59"/>
        <v>23100</v>
      </c>
      <c r="M206" s="1539">
        <f>IF(ISERROR(L206/(F206*752)),0,L206/(F206*752))</f>
        <v>7.227104532839963</v>
      </c>
      <c r="N206" s="1540"/>
    </row>
    <row r="207" spans="1:14">
      <c r="A207" s="68" t="str">
        <f>'Ontario Total'!A207</f>
        <v>Rotating Nozzles for Pop-up Spray Heads</v>
      </c>
      <c r="B207" s="1421">
        <f>'Chino Hills'!N255</f>
        <v>409</v>
      </c>
      <c r="C207" s="1422"/>
      <c r="D207" s="1444">
        <f t="shared" si="58"/>
        <v>533172.4</v>
      </c>
      <c r="E207" s="1422"/>
      <c r="F207" s="1431">
        <f>0.004*B207</f>
        <v>1.6360000000000001</v>
      </c>
      <c r="G207" s="1422"/>
      <c r="H207" s="242">
        <f>F207*5</f>
        <v>8.18</v>
      </c>
      <c r="I207" s="151">
        <f>0*B207</f>
        <v>0</v>
      </c>
      <c r="J207" s="150">
        <f>1*B207</f>
        <v>409</v>
      </c>
      <c r="K207" s="150">
        <f>B207*4</f>
        <v>1636</v>
      </c>
      <c r="L207" s="172">
        <f t="shared" si="59"/>
        <v>2045</v>
      </c>
      <c r="M207" s="1539">
        <f>IF(ISERROR(L207/(F207*752)),0,L207/(F207*752))</f>
        <v>1.6622340425531912</v>
      </c>
      <c r="N207" s="1540"/>
    </row>
    <row r="208" spans="1:14">
      <c r="A208" s="68" t="str">
        <f>'Ontario Total'!A208</f>
        <v>Weather based Irrigation Controllers (WBIC)</v>
      </c>
      <c r="B208" s="1421">
        <f>'Chino Hills'!N256</f>
        <v>8</v>
      </c>
      <c r="C208" s="1422"/>
      <c r="D208" s="1432">
        <f t="shared" si="58"/>
        <v>847340</v>
      </c>
      <c r="E208" s="1433"/>
      <c r="F208" s="1467">
        <f>0.325*B208</f>
        <v>2.6</v>
      </c>
      <c r="G208" s="1433"/>
      <c r="H208" s="243">
        <f>F208*10</f>
        <v>26</v>
      </c>
      <c r="I208" s="151">
        <v>0</v>
      </c>
      <c r="J208" s="173">
        <f>70*B208</f>
        <v>560</v>
      </c>
      <c r="K208" s="173">
        <f>B208*80</f>
        <v>640</v>
      </c>
      <c r="L208" s="172">
        <f t="shared" si="59"/>
        <v>1200</v>
      </c>
      <c r="M208" s="1539">
        <f>IF(ISERROR(L208/(F208*752)),0,L208/(F208*752))</f>
        <v>0.61374795417348604</v>
      </c>
      <c r="N208" s="1540"/>
    </row>
    <row r="209" spans="1:14">
      <c r="A209" s="254" t="s">
        <v>259</v>
      </c>
      <c r="B209" s="1421">
        <f>'Chino Hills'!N257</f>
        <v>3</v>
      </c>
      <c r="C209" s="1422"/>
      <c r="D209" s="1432">
        <f t="shared" si="58"/>
        <v>61921</v>
      </c>
      <c r="E209" s="1433"/>
      <c r="F209" s="1888">
        <v>0.19</v>
      </c>
      <c r="G209" s="1889"/>
      <c r="H209" s="243">
        <f>F209*10</f>
        <v>1.9</v>
      </c>
      <c r="I209" s="151">
        <v>0</v>
      </c>
      <c r="J209" s="173">
        <v>0</v>
      </c>
      <c r="K209" s="173">
        <v>3010</v>
      </c>
      <c r="L209" s="172">
        <f t="shared" si="59"/>
        <v>3010</v>
      </c>
      <c r="M209" s="1539">
        <f>IF(ISERROR(L209/(F209*727)),0,L209/(F209*727))</f>
        <v>21.791066386737132</v>
      </c>
      <c r="N209" s="1540"/>
    </row>
    <row r="210" spans="1:14" ht="14" thickBot="1">
      <c r="A210" s="254" t="s">
        <v>214</v>
      </c>
      <c r="B210" s="1421">
        <f>'Chino Hills'!N258</f>
        <v>24</v>
      </c>
      <c r="C210" s="1422"/>
      <c r="D210" s="1432">
        <v>2542020</v>
      </c>
      <c r="E210" s="1433"/>
      <c r="F210" s="1432">
        <v>8</v>
      </c>
      <c r="G210" s="1433"/>
      <c r="H210" s="942">
        <v>78</v>
      </c>
      <c r="I210" s="151">
        <v>0</v>
      </c>
      <c r="J210" s="173">
        <f>0*B210</f>
        <v>0</v>
      </c>
      <c r="K210" s="173">
        <f>B210*75</f>
        <v>1800</v>
      </c>
      <c r="L210" s="172">
        <f t="shared" si="59"/>
        <v>1800</v>
      </c>
      <c r="M210" s="1539">
        <f>IF(ISERROR(L210/(F210*727)),0,L210/(F210*727))</f>
        <v>0.30949105914718017</v>
      </c>
      <c r="N210" s="1540"/>
    </row>
    <row r="211" spans="1:14" s="1161" customFormat="1" ht="17" thickBot="1">
      <c r="A211" s="110" t="str">
        <f>'Ontario Total'!A211</f>
        <v>IEUA Locally Implemented Residential Programs</v>
      </c>
      <c r="B211" s="1456"/>
      <c r="C211" s="1586"/>
      <c r="D211" s="1567"/>
      <c r="E211" s="1586"/>
      <c r="F211" s="1457"/>
      <c r="G211" s="1586"/>
      <c r="H211" s="1142"/>
      <c r="I211" s="179"/>
      <c r="J211" s="179"/>
      <c r="K211" s="179"/>
      <c r="L211" s="180"/>
      <c r="M211" s="1593"/>
      <c r="N211" s="1542"/>
    </row>
    <row r="212" spans="1:14">
      <c r="A212" s="78" t="s">
        <v>205</v>
      </c>
      <c r="B212" s="1421">
        <f>'Chino Hills'!N260</f>
        <v>737</v>
      </c>
      <c r="C212" s="1422"/>
      <c r="D212" s="1467">
        <f>F212*325900</f>
        <v>960753.2</v>
      </c>
      <c r="E212" s="1433"/>
      <c r="F212" s="1432">
        <f>B212*0.004</f>
        <v>2.948</v>
      </c>
      <c r="G212" s="1432"/>
      <c r="H212" s="19">
        <f>F212*5</f>
        <v>14.74</v>
      </c>
      <c r="I212" s="151">
        <v>0</v>
      </c>
      <c r="J212" s="151">
        <v>0</v>
      </c>
      <c r="K212" s="151">
        <v>5850</v>
      </c>
      <c r="L212" s="172">
        <f>I212+J212+K212</f>
        <v>5850</v>
      </c>
      <c r="M212" s="1539">
        <f>IF(ISERROR(L212/(F212*752)),0,L212/(F212*752))</f>
        <v>2.6388247351251479</v>
      </c>
      <c r="N212" s="1540"/>
    </row>
    <row r="213" spans="1:14">
      <c r="A213" s="78" t="s">
        <v>245</v>
      </c>
      <c r="B213" s="1421">
        <f>'Chino Hills'!N261</f>
        <v>43</v>
      </c>
      <c r="C213" s="1422"/>
      <c r="D213" s="1467">
        <f>F213*325900</f>
        <v>8473400</v>
      </c>
      <c r="E213" s="1433"/>
      <c r="F213" s="1451">
        <v>26</v>
      </c>
      <c r="G213" s="1448"/>
      <c r="H213" s="79">
        <v>236</v>
      </c>
      <c r="I213" s="151">
        <v>44560.05</v>
      </c>
      <c r="J213" s="151">
        <v>0</v>
      </c>
      <c r="K213" s="151">
        <v>44560.05</v>
      </c>
      <c r="L213" s="172">
        <f>I213+J213+K213</f>
        <v>89120.1</v>
      </c>
      <c r="M213" s="1539">
        <f>IF(ISERROR(L213/(F213*752)),0,L213/(F213*752))</f>
        <v>4.5581065875613751</v>
      </c>
      <c r="N213" s="1540"/>
    </row>
    <row r="214" spans="1:14" ht="14" thickBot="1">
      <c r="A214" s="78" t="s">
        <v>237</v>
      </c>
      <c r="B214" s="1421">
        <f>'Chino Hills'!N262</f>
        <v>16</v>
      </c>
      <c r="C214" s="1422"/>
      <c r="D214" s="1744">
        <v>268235</v>
      </c>
      <c r="E214" s="1437"/>
      <c r="F214" s="1436">
        <v>1</v>
      </c>
      <c r="G214" s="1437"/>
      <c r="H214" s="249">
        <v>8</v>
      </c>
      <c r="I214" s="219">
        <v>0</v>
      </c>
      <c r="J214" s="219">
        <f>46764-K214</f>
        <v>19124</v>
      </c>
      <c r="K214" s="219">
        <f>13820*2</f>
        <v>27640</v>
      </c>
      <c r="L214" s="172">
        <f>I214+J214+K214</f>
        <v>46764</v>
      </c>
      <c r="M214" s="1539">
        <f>IF(ISERROR(L214/(F214*752)),0,L214/(F214*752))</f>
        <v>62.186170212765958</v>
      </c>
      <c r="N214" s="1540"/>
    </row>
    <row r="215" spans="1:14" s="533" customFormat="1" ht="14" thickBot="1">
      <c r="A215" s="53" t="s">
        <v>60</v>
      </c>
      <c r="B215" s="1438">
        <f>SUM(B205:B214)</f>
        <v>1736</v>
      </c>
      <c r="C215" s="1439"/>
      <c r="D215" s="1441">
        <v>19809003.559999999</v>
      </c>
      <c r="E215" s="1439"/>
      <c r="F215" s="1440">
        <f>SUM(F205:G214)</f>
        <v>61.159400000000005</v>
      </c>
      <c r="G215" s="1440"/>
      <c r="H215" s="56">
        <v>728</v>
      </c>
      <c r="I215" s="146">
        <f>SUM(I205:I214)</f>
        <v>44560.05</v>
      </c>
      <c r="J215" s="146">
        <f>SUM(J205:J214)</f>
        <v>47203</v>
      </c>
      <c r="K215" s="146">
        <f>SUM(K205:K214)</f>
        <v>115326.05</v>
      </c>
      <c r="L215" s="160">
        <f>SUM(L205:L214)</f>
        <v>207089.1</v>
      </c>
      <c r="M215" s="1440"/>
      <c r="N215" s="1730"/>
    </row>
    <row r="216" spans="1:14" s="91" customFormat="1" ht="17" hidden="1" thickBot="1">
      <c r="A216" s="108" t="str">
        <f>'Ontario Total'!A216</f>
        <v xml:space="preserve">IEUA High Efficiency Toilet (HET) Installation Prog. </v>
      </c>
      <c r="B216" s="1456"/>
      <c r="C216" s="1586"/>
      <c r="D216" s="1567"/>
      <c r="E216" s="1586"/>
      <c r="F216" s="1882"/>
      <c r="G216" s="1883"/>
      <c r="H216" s="246"/>
      <c r="I216" s="179"/>
      <c r="J216" s="179"/>
      <c r="K216" s="179"/>
      <c r="L216" s="180"/>
      <c r="M216" s="1593"/>
      <c r="N216" s="1542"/>
    </row>
    <row r="217" spans="1:14" hidden="1">
      <c r="A217" s="32" t="str">
        <f>'Ontario Total'!A217</f>
        <v>IEUA Multi-Family Direct Install Prog. (HET)</v>
      </c>
      <c r="B217" s="1421"/>
      <c r="C217" s="1422"/>
      <c r="D217" s="1855">
        <f>F217*325851</f>
        <v>0</v>
      </c>
      <c r="E217" s="1732"/>
      <c r="F217" s="1884">
        <f>0.0425*B217</f>
        <v>0</v>
      </c>
      <c r="G217" s="1885"/>
      <c r="H217" s="252">
        <f>F217*20</f>
        <v>0</v>
      </c>
      <c r="I217" s="311">
        <f>73.34*B217</f>
        <v>0</v>
      </c>
      <c r="J217" s="311">
        <f>35.66*B217</f>
        <v>0</v>
      </c>
      <c r="K217" s="311">
        <f>B217*50</f>
        <v>0</v>
      </c>
      <c r="L217" s="314">
        <f>I217+J217+K217</f>
        <v>0</v>
      </c>
      <c r="M217" s="1599">
        <f>IF(ISERROR(L217/(F217*727)),0,L217/(F217*727))</f>
        <v>0</v>
      </c>
      <c r="N217" s="1600"/>
    </row>
    <row r="218" spans="1:14" ht="14" hidden="1" thickBot="1">
      <c r="A218" s="32" t="str">
        <f>'Ontario Total'!A218</f>
        <v>IEUA Single-Family Direct Install Prog. (HET)</v>
      </c>
      <c r="B218" s="1421"/>
      <c r="C218" s="1422"/>
      <c r="D218" s="1734">
        <f>F218*325851</f>
        <v>0</v>
      </c>
      <c r="E218" s="1430"/>
      <c r="F218" s="1886">
        <f>0.0425*B218</f>
        <v>0</v>
      </c>
      <c r="G218" s="1887"/>
      <c r="H218" s="251">
        <f>F218*20</f>
        <v>0</v>
      </c>
      <c r="I218" s="364">
        <f>73.34*B218</f>
        <v>0</v>
      </c>
      <c r="J218" s="364">
        <f>35.66*B218</f>
        <v>0</v>
      </c>
      <c r="K218" s="364">
        <f>B218*50</f>
        <v>0</v>
      </c>
      <c r="L218" s="364">
        <f>I218+J218+K218</f>
        <v>0</v>
      </c>
      <c r="M218" s="1638">
        <f>IF(ISERROR(L218/(F218*727)),0,L218/(F218*727))</f>
        <v>0</v>
      </c>
      <c r="N218" s="1562"/>
    </row>
    <row r="219" spans="1:14" s="533" customFormat="1" ht="14" hidden="1" thickBot="1">
      <c r="A219" s="53" t="s">
        <v>60</v>
      </c>
      <c r="B219" s="1438"/>
      <c r="C219" s="1439"/>
      <c r="D219" s="1441">
        <f>SUM(D217:D218)</f>
        <v>0</v>
      </c>
      <c r="E219" s="1439"/>
      <c r="F219" s="1440">
        <f>SUM(F217:F218)</f>
        <v>0</v>
      </c>
      <c r="G219" s="1439"/>
      <c r="H219" s="482">
        <f>SUM(H217:H218)</f>
        <v>0</v>
      </c>
      <c r="I219" s="136">
        <f>SUM(I217:I218)</f>
        <v>0</v>
      </c>
      <c r="J219" s="143">
        <f>SUM(J217:J218)</f>
        <v>0</v>
      </c>
      <c r="K219" s="143">
        <f>SUM(K217:K218)</f>
        <v>0</v>
      </c>
      <c r="L219" s="136">
        <f>SUM(L217:L218)</f>
        <v>0</v>
      </c>
      <c r="M219" s="1657"/>
      <c r="N219" s="1790"/>
    </row>
    <row r="220" spans="1:14" s="1161" customFormat="1" ht="17" thickBot="1">
      <c r="A220" s="108" t="str">
        <f>'Ontario Total'!A220</f>
        <v>SoCal Water$mart Commercial Rebates</v>
      </c>
      <c r="B220" s="1456"/>
      <c r="C220" s="1586"/>
      <c r="D220" s="1567"/>
      <c r="E220" s="1586"/>
      <c r="F220" s="1854"/>
      <c r="G220" s="1620"/>
      <c r="H220" s="1142"/>
      <c r="I220" s="179"/>
      <c r="J220" s="179"/>
      <c r="K220" s="179"/>
      <c r="L220" s="180"/>
      <c r="M220" s="1593"/>
      <c r="N220" s="1542"/>
    </row>
    <row r="221" spans="1:14">
      <c r="A221" s="32" t="str">
        <f>'Ontario Total'!A221</f>
        <v>High Efficiency Toilets (HET)</v>
      </c>
      <c r="B221" s="1421">
        <f>'Chino Hills'!N270</f>
        <v>2</v>
      </c>
      <c r="C221" s="1422"/>
      <c r="D221" s="1431">
        <f>F221*325900</f>
        <v>27701.500000000004</v>
      </c>
      <c r="E221" s="1422"/>
      <c r="F221" s="1767">
        <f>0.0425*B221</f>
        <v>8.5000000000000006E-2</v>
      </c>
      <c r="G221" s="1732"/>
      <c r="H221" s="242">
        <f>F221*20</f>
        <v>1.7000000000000002</v>
      </c>
      <c r="I221" s="151">
        <v>0</v>
      </c>
      <c r="J221" s="151">
        <f>135*B221</f>
        <v>270</v>
      </c>
      <c r="K221" s="151">
        <f>165*B221</f>
        <v>330</v>
      </c>
      <c r="L221" s="172">
        <f>SUM(I221:K221)</f>
        <v>600</v>
      </c>
      <c r="M221" s="1599">
        <f>IF(ISERROR(L221/(F221*752)),0,L221/(F221*752))</f>
        <v>9.386733416770964</v>
      </c>
      <c r="N221" s="1600"/>
    </row>
    <row r="222" spans="1:14">
      <c r="A222" s="32" t="str">
        <f>'Ontario Total'!A222</f>
        <v>Waterless Urinals</v>
      </c>
      <c r="B222" s="1421">
        <f>'Chino Hills'!N271</f>
        <v>0</v>
      </c>
      <c r="C222" s="1422"/>
      <c r="D222" s="1431">
        <f t="shared" ref="D222:D233" si="60">F222*325900</f>
        <v>0</v>
      </c>
      <c r="E222" s="1422"/>
      <c r="F222" s="1444">
        <f>0.1227*B222</f>
        <v>0</v>
      </c>
      <c r="G222" s="1422"/>
      <c r="H222" s="242">
        <f>F222*20</f>
        <v>0</v>
      </c>
      <c r="I222" s="151">
        <v>0</v>
      </c>
      <c r="J222" s="151">
        <f>B222*50</f>
        <v>0</v>
      </c>
      <c r="K222" s="151">
        <f>200*B222</f>
        <v>0</v>
      </c>
      <c r="L222" s="172">
        <f t="shared" ref="L222:L234" si="61">SUM(I222:K222)</f>
        <v>0</v>
      </c>
      <c r="M222" s="1539">
        <f>IF(ISERROR(L222/(F222*752)),0,L222/(F222*752))</f>
        <v>0</v>
      </c>
      <c r="N222" s="1540"/>
    </row>
    <row r="223" spans="1:14">
      <c r="A223" s="32" t="s">
        <v>204</v>
      </c>
      <c r="B223" s="1421">
        <f>'Chino Hills'!N272</f>
        <v>0</v>
      </c>
      <c r="C223" s="1422"/>
      <c r="D223" s="1431">
        <f t="shared" si="60"/>
        <v>0</v>
      </c>
      <c r="E223" s="1422"/>
      <c r="F223" s="1444">
        <f>0.644*B223</f>
        <v>0</v>
      </c>
      <c r="G223" s="1422"/>
      <c r="H223" s="242">
        <f>F223*5</f>
        <v>0</v>
      </c>
      <c r="I223" s="151">
        <v>0</v>
      </c>
      <c r="J223" s="151">
        <f>B223*500</f>
        <v>0</v>
      </c>
      <c r="K223" s="151">
        <f>B223*1750</f>
        <v>0</v>
      </c>
      <c r="L223" s="172">
        <f t="shared" si="61"/>
        <v>0</v>
      </c>
      <c r="M223" s="1539">
        <f t="shared" ref="M223:M234" si="62">IF(ISERROR(L223/(F223*752)),0,L223/(F223*752))</f>
        <v>0</v>
      </c>
      <c r="N223" s="1540"/>
    </row>
    <row r="224" spans="1:14" hidden="1">
      <c r="A224" s="32" t="str">
        <f>'Ontario Total'!A224</f>
        <v>High Efficiency Clothes Washers</v>
      </c>
      <c r="B224" s="1421">
        <f>'Chino Hills'!N273</f>
        <v>0</v>
      </c>
      <c r="C224" s="1422"/>
      <c r="D224" s="1431">
        <f t="shared" si="60"/>
        <v>0</v>
      </c>
      <c r="E224" s="1422"/>
      <c r="F224" s="1444">
        <f>0.0276*B224</f>
        <v>0</v>
      </c>
      <c r="G224" s="1422"/>
      <c r="H224" s="242">
        <f>F224*10</f>
        <v>0</v>
      </c>
      <c r="I224" s="151">
        <v>0</v>
      </c>
      <c r="J224" s="151">
        <f>100*B224</f>
        <v>0</v>
      </c>
      <c r="K224" s="151">
        <f>80*B224</f>
        <v>0</v>
      </c>
      <c r="L224" s="172">
        <f t="shared" si="61"/>
        <v>0</v>
      </c>
      <c r="M224" s="1539">
        <f t="shared" si="62"/>
        <v>0</v>
      </c>
      <c r="N224" s="1540"/>
    </row>
    <row r="225" spans="1:14" hidden="1">
      <c r="A225" s="35" t="s">
        <v>47</v>
      </c>
      <c r="B225" s="1421">
        <f>'Chino Hills'!N274</f>
        <v>0</v>
      </c>
      <c r="C225" s="1422"/>
      <c r="D225" s="1431">
        <f t="shared" si="60"/>
        <v>0</v>
      </c>
      <c r="E225" s="1422"/>
      <c r="F225" s="1444">
        <f>0.1534*B225</f>
        <v>0</v>
      </c>
      <c r="G225" s="1422"/>
      <c r="H225" s="242">
        <f>F225*5</f>
        <v>0</v>
      </c>
      <c r="I225" s="151">
        <v>0</v>
      </c>
      <c r="J225" s="151">
        <f>0*B225</f>
        <v>0</v>
      </c>
      <c r="K225" s="151">
        <f>150*B225</f>
        <v>0</v>
      </c>
      <c r="L225" s="172">
        <f t="shared" si="61"/>
        <v>0</v>
      </c>
      <c r="M225" s="1539">
        <f t="shared" si="62"/>
        <v>0</v>
      </c>
      <c r="N225" s="1540"/>
    </row>
    <row r="226" spans="1:14">
      <c r="A226" s="32" t="str">
        <f>'Ontario Total'!A226</f>
        <v>Weather Based Irrigation Controllers (WBIC)</v>
      </c>
      <c r="B226" s="1421">
        <f>'Chino Hills'!N275</f>
        <v>9</v>
      </c>
      <c r="C226" s="1422"/>
      <c r="D226" s="1431">
        <f t="shared" si="60"/>
        <v>953257.50000000012</v>
      </c>
      <c r="E226" s="1422"/>
      <c r="F226" s="1444">
        <f>0.325*B226</f>
        <v>2.9250000000000003</v>
      </c>
      <c r="G226" s="1422"/>
      <c r="H226" s="242">
        <f>F226*10</f>
        <v>29.250000000000004</v>
      </c>
      <c r="I226" s="151">
        <v>0</v>
      </c>
      <c r="J226" s="151">
        <v>7934</v>
      </c>
      <c r="K226" s="151">
        <v>30416</v>
      </c>
      <c r="L226" s="172">
        <f t="shared" si="61"/>
        <v>38350</v>
      </c>
      <c r="M226" s="1539">
        <f t="shared" si="62"/>
        <v>17.434988179669027</v>
      </c>
      <c r="N226" s="1540"/>
    </row>
    <row r="227" spans="1:14" hidden="1">
      <c r="A227" s="33" t="s">
        <v>53</v>
      </c>
      <c r="B227" s="1421">
        <f>'Chino Hills'!N276</f>
        <v>0</v>
      </c>
      <c r="C227" s="1422"/>
      <c r="D227" s="1431">
        <f t="shared" si="60"/>
        <v>0</v>
      </c>
      <c r="E227" s="1422"/>
      <c r="F227" s="1444">
        <f>0.00014*B227</f>
        <v>0</v>
      </c>
      <c r="G227" s="1422"/>
      <c r="H227" s="242">
        <f>F227*10</f>
        <v>0</v>
      </c>
      <c r="I227" s="151">
        <v>0</v>
      </c>
      <c r="J227" s="151">
        <f>0.45*B227</f>
        <v>0</v>
      </c>
      <c r="K227" s="151">
        <f>0.3*B227</f>
        <v>0</v>
      </c>
      <c r="L227" s="172">
        <f t="shared" si="61"/>
        <v>0</v>
      </c>
      <c r="M227" s="1539">
        <f t="shared" si="62"/>
        <v>0</v>
      </c>
      <c r="N227" s="1540"/>
    </row>
    <row r="228" spans="1:14">
      <c r="A228" s="32" t="str">
        <f>'Ontario Total'!A228</f>
        <v>Rotating Nozzles for Pop-up Spray Heads</v>
      </c>
      <c r="B228" s="1421">
        <f>'Chino Hills'!N277</f>
        <v>372</v>
      </c>
      <c r="C228" s="1422"/>
      <c r="D228" s="1431">
        <f t="shared" si="60"/>
        <v>484939.2</v>
      </c>
      <c r="E228" s="1422"/>
      <c r="F228" s="1444">
        <f>0.004*B228</f>
        <v>1.488</v>
      </c>
      <c r="G228" s="1422"/>
      <c r="H228" s="242">
        <f>F228*5</f>
        <v>7.4399999999999995</v>
      </c>
      <c r="I228" s="151">
        <v>0</v>
      </c>
      <c r="J228" s="151">
        <f>B228*1</f>
        <v>372</v>
      </c>
      <c r="K228" s="151">
        <f>4*B228</f>
        <v>1488</v>
      </c>
      <c r="L228" s="172">
        <f t="shared" si="61"/>
        <v>1860</v>
      </c>
      <c r="M228" s="1539">
        <f t="shared" si="62"/>
        <v>1.6622340425531916</v>
      </c>
      <c r="N228" s="1540"/>
    </row>
    <row r="229" spans="1:14">
      <c r="A229" s="32" t="str">
        <f>'Ontario Total'!A229</f>
        <v>Large Rotary Nozzles</v>
      </c>
      <c r="B229" s="1421">
        <f>'Chino Hills'!N278</f>
        <v>0</v>
      </c>
      <c r="C229" s="1422"/>
      <c r="D229" s="1431">
        <f t="shared" si="60"/>
        <v>0</v>
      </c>
      <c r="E229" s="1422"/>
      <c r="F229" s="1444">
        <f>0.018*B229</f>
        <v>0</v>
      </c>
      <c r="G229" s="1422"/>
      <c r="H229" s="242">
        <f t="shared" ref="H229:H234" si="63">F229*10</f>
        <v>0</v>
      </c>
      <c r="I229" s="151">
        <v>0</v>
      </c>
      <c r="J229" s="151">
        <f>0*B229</f>
        <v>0</v>
      </c>
      <c r="K229" s="151">
        <f>13*B229</f>
        <v>0</v>
      </c>
      <c r="L229" s="172">
        <f t="shared" si="61"/>
        <v>0</v>
      </c>
      <c r="M229" s="1539">
        <f t="shared" si="62"/>
        <v>0</v>
      </c>
      <c r="N229" s="1540"/>
    </row>
    <row r="230" spans="1:14" hidden="1">
      <c r="A230" s="33" t="s">
        <v>102</v>
      </c>
      <c r="B230" s="1421">
        <f>'Chino Hills'!N279</f>
        <v>0</v>
      </c>
      <c r="C230" s="1422"/>
      <c r="D230" s="1431">
        <f t="shared" si="60"/>
        <v>0</v>
      </c>
      <c r="E230" s="1422"/>
      <c r="F230" s="1444">
        <f>0.018*B230</f>
        <v>0</v>
      </c>
      <c r="G230" s="1422"/>
      <c r="H230" s="242">
        <f t="shared" si="63"/>
        <v>0</v>
      </c>
      <c r="I230" s="151">
        <v>1</v>
      </c>
      <c r="J230" s="151">
        <f>0*B230</f>
        <v>0</v>
      </c>
      <c r="K230" s="151">
        <f>13*B230</f>
        <v>0</v>
      </c>
      <c r="L230" s="172">
        <f t="shared" si="61"/>
        <v>1</v>
      </c>
      <c r="M230" s="1539">
        <f t="shared" si="62"/>
        <v>0</v>
      </c>
      <c r="N230" s="1540"/>
    </row>
    <row r="231" spans="1:14">
      <c r="A231" s="32" t="str">
        <f>'Ontario Total'!A231</f>
        <v xml:space="preserve">Central Computerized Irrigation Controller </v>
      </c>
      <c r="B231" s="1421">
        <f>'Chino Hills'!N280</f>
        <v>0</v>
      </c>
      <c r="C231" s="1422"/>
      <c r="D231" s="1431">
        <f t="shared" si="60"/>
        <v>0</v>
      </c>
      <c r="E231" s="1422"/>
      <c r="F231" s="1444">
        <f>0.018*B231</f>
        <v>0</v>
      </c>
      <c r="G231" s="1422"/>
      <c r="H231" s="242">
        <f t="shared" si="63"/>
        <v>0</v>
      </c>
      <c r="I231" s="151">
        <v>0</v>
      </c>
      <c r="J231" s="151">
        <v>0</v>
      </c>
      <c r="K231" s="151">
        <v>0</v>
      </c>
      <c r="L231" s="172">
        <f t="shared" si="61"/>
        <v>0</v>
      </c>
      <c r="M231" s="1539">
        <f t="shared" si="62"/>
        <v>0</v>
      </c>
      <c r="N231" s="1540"/>
    </row>
    <row r="232" spans="1:14" s="57" customFormat="1">
      <c r="A232" s="144" t="str">
        <f>'Ontario Total'!A232</f>
        <v>Laminar Flow Restrictor</v>
      </c>
      <c r="B232" s="1421">
        <f>'Chino Hills'!N281</f>
        <v>0</v>
      </c>
      <c r="C232" s="1422"/>
      <c r="D232" s="1431">
        <f t="shared" si="60"/>
        <v>0</v>
      </c>
      <c r="E232" s="1422"/>
      <c r="F232" s="1445">
        <f>0.018*B232</f>
        <v>0</v>
      </c>
      <c r="G232" s="1446"/>
      <c r="H232" s="244">
        <f t="shared" si="63"/>
        <v>0</v>
      </c>
      <c r="I232" s="151">
        <v>0</v>
      </c>
      <c r="J232" s="151">
        <v>0</v>
      </c>
      <c r="K232" s="151">
        <v>0</v>
      </c>
      <c r="L232" s="170">
        <f t="shared" si="61"/>
        <v>0</v>
      </c>
      <c r="M232" s="1539">
        <f t="shared" si="62"/>
        <v>0</v>
      </c>
      <c r="N232" s="1540"/>
    </row>
    <row r="233" spans="1:14" s="57" customFormat="1">
      <c r="A233" s="144" t="str">
        <f>'Ontario Total'!A233</f>
        <v>Air-Cooled Ice Machine</v>
      </c>
      <c r="B233" s="1421">
        <f>'Chino Hills'!N282</f>
        <v>0</v>
      </c>
      <c r="C233" s="1422"/>
      <c r="D233" s="1431">
        <f t="shared" si="60"/>
        <v>0</v>
      </c>
      <c r="E233" s="1422"/>
      <c r="F233" s="1445">
        <f>0.018*B233</f>
        <v>0</v>
      </c>
      <c r="G233" s="1446"/>
      <c r="H233" s="244">
        <f t="shared" si="63"/>
        <v>0</v>
      </c>
      <c r="I233" s="151">
        <v>0</v>
      </c>
      <c r="J233" s="151">
        <v>0</v>
      </c>
      <c r="K233" s="151">
        <v>0</v>
      </c>
      <c r="L233" s="170">
        <f t="shared" si="61"/>
        <v>0</v>
      </c>
      <c r="M233" s="1539">
        <f t="shared" si="62"/>
        <v>0</v>
      </c>
      <c r="N233" s="1540"/>
    </row>
    <row r="234" spans="1:14" s="57" customFormat="1" ht="14" thickBot="1">
      <c r="A234" s="107" t="s">
        <v>251</v>
      </c>
      <c r="B234" s="1421">
        <v>23</v>
      </c>
      <c r="C234" s="1422"/>
      <c r="D234" s="1431">
        <f>F234*325900</f>
        <v>22107651.370999999</v>
      </c>
      <c r="E234" s="1422"/>
      <c r="F234" s="1725">
        <f>521813*0.00013</f>
        <v>67.83569</v>
      </c>
      <c r="G234" s="1726"/>
      <c r="H234" s="244">
        <f t="shared" si="63"/>
        <v>678.3569</v>
      </c>
      <c r="I234" s="151">
        <v>0</v>
      </c>
      <c r="J234" s="151">
        <v>486569.65</v>
      </c>
      <c r="K234" s="151">
        <v>1077150</v>
      </c>
      <c r="L234" s="170">
        <f t="shared" si="61"/>
        <v>1563719.65</v>
      </c>
      <c r="M234" s="1539">
        <f t="shared" si="62"/>
        <v>30.653693184096589</v>
      </c>
      <c r="N234" s="1540"/>
    </row>
    <row r="235" spans="1:14" s="57" customFormat="1" ht="14" hidden="1" thickBot="1">
      <c r="A235" s="107"/>
      <c r="B235" s="569"/>
      <c r="C235" s="570"/>
      <c r="D235" s="571"/>
      <c r="E235" s="570"/>
      <c r="F235" s="579"/>
      <c r="G235" s="578"/>
      <c r="H235" s="572"/>
      <c r="I235" s="151"/>
      <c r="J235" s="151"/>
      <c r="K235" s="151"/>
      <c r="L235" s="170"/>
      <c r="M235" s="563"/>
      <c r="N235" s="564"/>
    </row>
    <row r="236" spans="1:14" s="1161" customFormat="1" ht="17" thickBot="1">
      <c r="A236" s="108" t="str">
        <f>'Ontario Total'!A236</f>
        <v>IEUA Locally Implemented Commercial Programs</v>
      </c>
      <c r="B236" s="1456"/>
      <c r="C236" s="1586"/>
      <c r="D236" s="1567"/>
      <c r="E236" s="1586"/>
      <c r="F236" s="1854"/>
      <c r="G236" s="1620"/>
      <c r="H236" s="1150"/>
      <c r="I236" s="109"/>
      <c r="J236" s="109"/>
      <c r="K236" s="109"/>
      <c r="L236" s="1141"/>
      <c r="M236" s="1617"/>
      <c r="N236" s="1486"/>
    </row>
    <row r="237" spans="1:14" hidden="1">
      <c r="A237" s="32" t="str">
        <f>'Ontario Total'!A237</f>
        <v>Fontana Unified School Retrofit Program</v>
      </c>
      <c r="B237" s="1421"/>
      <c r="C237" s="1422"/>
      <c r="D237" s="1431">
        <f>F237*325851</f>
        <v>0</v>
      </c>
      <c r="E237" s="1422"/>
      <c r="F237" s="1760">
        <f>0.018*B237</f>
        <v>0</v>
      </c>
      <c r="G237" s="1757"/>
      <c r="H237" s="245">
        <f>F237*10</f>
        <v>0</v>
      </c>
      <c r="I237" s="220"/>
      <c r="J237" s="151"/>
      <c r="K237" s="151"/>
      <c r="L237" s="172">
        <f>SUM(I237:K237)</f>
        <v>0</v>
      </c>
      <c r="M237" s="1539">
        <f>IF(ISERROR(L237/(F237*727)),0,L237/(F237*727))</f>
        <v>0</v>
      </c>
      <c r="N237" s="1540"/>
    </row>
    <row r="238" spans="1:14" ht="14" thickBot="1">
      <c r="A238" s="32" t="s">
        <v>165</v>
      </c>
      <c r="B238" s="1421">
        <f>'Chino Hills'!N286</f>
        <v>0</v>
      </c>
      <c r="C238" s="1422"/>
      <c r="D238" s="1444">
        <f>F238*325900</f>
        <v>0</v>
      </c>
      <c r="E238" s="1422"/>
      <c r="F238" s="1720">
        <f>0.004*B238</f>
        <v>0</v>
      </c>
      <c r="G238" s="1721"/>
      <c r="H238" s="242">
        <f>F238*5</f>
        <v>0</v>
      </c>
      <c r="I238" s="151">
        <v>0</v>
      </c>
      <c r="J238" s="151">
        <f>0*B238</f>
        <v>0</v>
      </c>
      <c r="K238" s="151">
        <f>3.25*B238</f>
        <v>0</v>
      </c>
      <c r="L238" s="172">
        <f>SUM(I238:K238)</f>
        <v>0</v>
      </c>
      <c r="M238" s="1880">
        <f>IF(ISERROR(L238/(F238*752)),0,L238/(F238*752))</f>
        <v>0</v>
      </c>
      <c r="N238" s="1881"/>
    </row>
    <row r="239" spans="1:14" s="533" customFormat="1" ht="14" thickBot="1">
      <c r="A239" s="53" t="s">
        <v>60</v>
      </c>
      <c r="B239" s="1438">
        <f>SUM(B221:C238)</f>
        <v>406</v>
      </c>
      <c r="C239" s="1439"/>
      <c r="D239" s="1440">
        <f>SUM(D221:E238)</f>
        <v>23573549.570999999</v>
      </c>
      <c r="E239" s="1440"/>
      <c r="F239" s="1441">
        <f>SUM(F221:G238)</f>
        <v>72.333690000000004</v>
      </c>
      <c r="G239" s="1439"/>
      <c r="H239" s="482">
        <f>SUM(H221:H238)</f>
        <v>716.74689999999998</v>
      </c>
      <c r="I239" s="136">
        <v>0</v>
      </c>
      <c r="J239" s="136">
        <f>SUM(J221:J238)</f>
        <v>495145.65</v>
      </c>
      <c r="K239" s="136">
        <f>SUM(K221:K238)</f>
        <v>1109384</v>
      </c>
      <c r="L239" s="136">
        <f>SUM(L221:L238)</f>
        <v>1604530.65</v>
      </c>
      <c r="M239" s="1442"/>
      <c r="N239" s="1443"/>
    </row>
    <row r="240" spans="1:14" s="1168" customFormat="1" ht="17" thickBot="1">
      <c r="A240" s="1182" t="s">
        <v>17</v>
      </c>
      <c r="B240" s="1416">
        <f>SUM(B215+B219+B239)</f>
        <v>2142</v>
      </c>
      <c r="C240" s="1415"/>
      <c r="D240" s="1416">
        <f>SUM(D215+D219+D239)</f>
        <v>43382553.130999997</v>
      </c>
      <c r="E240" s="1415"/>
      <c r="F240" s="1416">
        <f>F239+F215</f>
        <v>133.49309</v>
      </c>
      <c r="G240" s="1415"/>
      <c r="H240" s="1164">
        <v>1444</v>
      </c>
      <c r="I240" s="1169">
        <f>SUM(I215+I219+I239)</f>
        <v>44560.05</v>
      </c>
      <c r="J240" s="1169">
        <f>SUM(J215+J219+J239)</f>
        <v>542348.65</v>
      </c>
      <c r="K240" s="1169">
        <f>SUM(K215+K219+K239)</f>
        <v>1224710.05</v>
      </c>
      <c r="L240" s="1169">
        <f>SUM(L215+L219+L239)</f>
        <v>1811619.75</v>
      </c>
      <c r="M240" s="1417"/>
      <c r="N240" s="1418"/>
    </row>
    <row r="241" spans="1:14" ht="16">
      <c r="A241" s="60"/>
      <c r="B241" s="61"/>
      <c r="C241" s="61"/>
      <c r="D241" s="61"/>
      <c r="E241" s="61"/>
      <c r="F241" s="61"/>
      <c r="G241" s="61"/>
      <c r="H241" s="62"/>
      <c r="I241" s="62"/>
      <c r="J241" s="62"/>
      <c r="K241" s="62"/>
      <c r="L241" s="62"/>
      <c r="M241" s="64"/>
      <c r="N241" s="65"/>
    </row>
    <row r="242" spans="1:14" ht="16">
      <c r="A242" s="9" t="s">
        <v>18</v>
      </c>
      <c r="B242" s="1419" t="s">
        <v>59</v>
      </c>
      <c r="C242" s="1419"/>
      <c r="D242" s="1419"/>
      <c r="E242" s="1419"/>
      <c r="F242" s="61"/>
      <c r="G242" s="61"/>
      <c r="H242" s="62"/>
      <c r="I242" s="62"/>
      <c r="J242" s="62"/>
      <c r="K242" s="62"/>
      <c r="L242" s="62"/>
      <c r="M242" s="64"/>
      <c r="N242" s="65"/>
    </row>
    <row r="243" spans="1:14" ht="16">
      <c r="A243" s="57"/>
      <c r="B243" s="1420" t="s">
        <v>19</v>
      </c>
      <c r="C243" s="1420"/>
      <c r="D243" s="1420"/>
      <c r="E243" s="1420"/>
      <c r="F243" s="61"/>
      <c r="G243" s="61"/>
      <c r="H243" s="62"/>
      <c r="I243" s="62"/>
      <c r="J243" s="62"/>
      <c r="K243" s="62"/>
      <c r="L243" s="62"/>
      <c r="M243" s="64"/>
      <c r="N243" s="65"/>
    </row>
    <row r="244" spans="1:14" ht="17" thickBot="1">
      <c r="A244" s="57"/>
      <c r="B244" s="820"/>
      <c r="C244" s="820"/>
      <c r="D244" s="820"/>
      <c r="E244" s="820"/>
      <c r="F244" s="61"/>
      <c r="G244" s="61"/>
      <c r="H244" s="62"/>
      <c r="I244" s="62"/>
      <c r="J244" s="62"/>
      <c r="K244" s="62"/>
      <c r="L244" s="62"/>
      <c r="M244" s="64"/>
      <c r="N244" s="65"/>
    </row>
    <row r="245" spans="1:14" s="363" customFormat="1" ht="16">
      <c r="A245" s="98"/>
      <c r="B245" s="99"/>
      <c r="C245" s="99"/>
      <c r="D245" s="99"/>
      <c r="E245" s="99"/>
      <c r="F245" s="100"/>
      <c r="G245" s="100"/>
      <c r="H245" s="100"/>
      <c r="I245" s="1468" t="s">
        <v>0</v>
      </c>
      <c r="J245" s="1468"/>
      <c r="K245" s="1468"/>
      <c r="L245" s="1468"/>
      <c r="M245" s="99"/>
      <c r="N245" s="101"/>
    </row>
    <row r="246" spans="1:14" ht="16">
      <c r="A246" s="97"/>
      <c r="B246" s="1469" t="s">
        <v>1</v>
      </c>
      <c r="C246" s="1469"/>
      <c r="D246" s="1469" t="s">
        <v>2</v>
      </c>
      <c r="E246" s="1469"/>
      <c r="F246" s="1863" t="s">
        <v>3</v>
      </c>
      <c r="G246" s="1863"/>
      <c r="H246" s="827" t="s">
        <v>3</v>
      </c>
      <c r="I246" s="127" t="s">
        <v>197</v>
      </c>
      <c r="J246" s="102"/>
      <c r="K246" s="102"/>
      <c r="L246" s="128"/>
      <c r="M246" s="1469" t="s">
        <v>4</v>
      </c>
      <c r="N246" s="1526"/>
    </row>
    <row r="247" spans="1:14" ht="19" thickBot="1">
      <c r="A247" s="103" t="s">
        <v>5</v>
      </c>
      <c r="B247" s="1473" t="s">
        <v>6</v>
      </c>
      <c r="C247" s="1473"/>
      <c r="D247" s="1473" t="s">
        <v>7</v>
      </c>
      <c r="E247" s="1473"/>
      <c r="F247" s="1864" t="s">
        <v>7</v>
      </c>
      <c r="G247" s="1864"/>
      <c r="H247" s="828" t="s">
        <v>58</v>
      </c>
      <c r="I247" s="797" t="s">
        <v>196</v>
      </c>
      <c r="J247" s="795" t="s">
        <v>8</v>
      </c>
      <c r="K247" s="795" t="s">
        <v>9</v>
      </c>
      <c r="L247" s="401" t="s">
        <v>10</v>
      </c>
      <c r="M247" s="1473" t="s">
        <v>145</v>
      </c>
      <c r="N247" s="1475"/>
    </row>
    <row r="248" spans="1:14" ht="24" thickBot="1">
      <c r="A248" s="88" t="s">
        <v>211</v>
      </c>
      <c r="B248" s="1476"/>
      <c r="C248" s="1477"/>
      <c r="D248" s="1478"/>
      <c r="E248" s="1479"/>
      <c r="F248" s="1878"/>
      <c r="G248" s="1879"/>
      <c r="H248" s="829"/>
      <c r="I248" s="177"/>
      <c r="J248" s="177"/>
      <c r="K248" s="177"/>
      <c r="L248" s="178"/>
      <c r="M248" s="1891"/>
      <c r="N248" s="1892"/>
    </row>
    <row r="249" spans="1:14" s="1161" customFormat="1" ht="17" thickBot="1">
      <c r="A249" s="108" t="str">
        <f>'Ontario Total'!A249</f>
        <v>SoCal Water$mart Residential Rebates</v>
      </c>
      <c r="B249" s="1456"/>
      <c r="C249" s="1586"/>
      <c r="D249" s="1567"/>
      <c r="E249" s="1586"/>
      <c r="F249" s="1619"/>
      <c r="G249" s="1620"/>
      <c r="H249" s="1157"/>
      <c r="I249" s="179"/>
      <c r="J249" s="179"/>
      <c r="K249" s="179"/>
      <c r="L249" s="180"/>
      <c r="M249" s="1593"/>
      <c r="N249" s="1542"/>
    </row>
    <row r="250" spans="1:14">
      <c r="A250" s="32" t="str">
        <f>'Ontario Total'!A250</f>
        <v>High Efficiency Toilets (HET)</v>
      </c>
      <c r="B250" s="1731">
        <f>'Chino Hills'!N215</f>
        <v>76</v>
      </c>
      <c r="C250" s="1732"/>
      <c r="D250" s="1855">
        <f t="shared" ref="D250:D255" si="64">F250*325851</f>
        <v>1052498.7300000002</v>
      </c>
      <c r="E250" s="1732"/>
      <c r="F250" s="1899">
        <f>0.0425*B250</f>
        <v>3.2300000000000004</v>
      </c>
      <c r="G250" s="1885"/>
      <c r="H250" s="957">
        <f>F250*20</f>
        <v>64.600000000000009</v>
      </c>
      <c r="I250" s="151">
        <v>0</v>
      </c>
      <c r="J250" s="150">
        <f>50*B250</f>
        <v>3800</v>
      </c>
      <c r="K250" s="150">
        <f>B250*50</f>
        <v>3800</v>
      </c>
      <c r="L250" s="172">
        <f t="shared" ref="L250:L255" si="65">I250+J250+K250</f>
        <v>7600</v>
      </c>
      <c r="M250" s="1599">
        <f>IF(ISERROR(L250/(F250*752)),0,L250/(F250*752))</f>
        <v>3.1289111389236539</v>
      </c>
      <c r="N250" s="1600"/>
    </row>
    <row r="251" spans="1:14">
      <c r="A251" s="32" t="str">
        <f>'Ontario Total'!A251</f>
        <v>High Efficiency Clothes Washers (HECW)</v>
      </c>
      <c r="B251" s="1421">
        <f>'Chino Hills'!N216</f>
        <v>140</v>
      </c>
      <c r="C251" s="1422"/>
      <c r="D251" s="1431">
        <f t="shared" si="64"/>
        <v>1259088.264</v>
      </c>
      <c r="E251" s="1422"/>
      <c r="F251" s="1871">
        <f>0.0276*B251</f>
        <v>3.8639999999999999</v>
      </c>
      <c r="G251" s="1450"/>
      <c r="H251" s="957">
        <f>F251*15</f>
        <v>57.96</v>
      </c>
      <c r="I251" s="151">
        <f>0*B251</f>
        <v>0</v>
      </c>
      <c r="J251" s="150">
        <f>65*B251</f>
        <v>9100</v>
      </c>
      <c r="K251" s="150">
        <f>B251*85</f>
        <v>11900</v>
      </c>
      <c r="L251" s="172">
        <f t="shared" si="65"/>
        <v>21000</v>
      </c>
      <c r="M251" s="1539">
        <f>IF(ISERROR(L251/(F251*752)),0,L251/(F251*752))</f>
        <v>7.227104532839963</v>
      </c>
      <c r="N251" s="1540"/>
    </row>
    <row r="252" spans="1:14">
      <c r="A252" s="32" t="str">
        <f>'Ontario Total'!A252</f>
        <v>Rotating Nozzles for Pop-up Spray Heads</v>
      </c>
      <c r="B252" s="1421">
        <f>'Chino Hills'!N217</f>
        <v>3</v>
      </c>
      <c r="C252" s="1422"/>
      <c r="D252" s="1431">
        <f t="shared" si="64"/>
        <v>3910.212</v>
      </c>
      <c r="E252" s="1422"/>
      <c r="F252" s="1871">
        <f>0.004*B252</f>
        <v>1.2E-2</v>
      </c>
      <c r="G252" s="1450"/>
      <c r="H252" s="957">
        <f>F252*5</f>
        <v>0.06</v>
      </c>
      <c r="I252" s="151">
        <f>0*B252</f>
        <v>0</v>
      </c>
      <c r="J252" s="150">
        <f>1*B252</f>
        <v>3</v>
      </c>
      <c r="K252" s="150">
        <f>B252*4</f>
        <v>12</v>
      </c>
      <c r="L252" s="172">
        <f t="shared" si="65"/>
        <v>15</v>
      </c>
      <c r="M252" s="1539">
        <f>IF(ISERROR(L252/(F252*752)),0,L252/(F252*752))</f>
        <v>1.6622340425531914</v>
      </c>
      <c r="N252" s="1540"/>
    </row>
    <row r="253" spans="1:14">
      <c r="A253" s="32" t="str">
        <f>'Ontario Total'!A253</f>
        <v>Weather based Irrigation Controllers (WBIC)</v>
      </c>
      <c r="B253" s="1421">
        <f>'Chino Hills'!N218</f>
        <v>4</v>
      </c>
      <c r="C253" s="1422"/>
      <c r="D253" s="1467">
        <f t="shared" si="64"/>
        <v>423606.3</v>
      </c>
      <c r="E253" s="1433"/>
      <c r="F253" s="1876">
        <f>0.325*B253</f>
        <v>1.3</v>
      </c>
      <c r="G253" s="1877"/>
      <c r="H253" s="956">
        <f>F253*10</f>
        <v>13</v>
      </c>
      <c r="I253" s="151">
        <v>0</v>
      </c>
      <c r="J253" s="173">
        <f>70*B253</f>
        <v>280</v>
      </c>
      <c r="K253" s="173">
        <f>B253*80</f>
        <v>320</v>
      </c>
      <c r="L253" s="172">
        <f t="shared" si="65"/>
        <v>600</v>
      </c>
      <c r="M253" s="1539">
        <f>IF(ISERROR(L253/(F253*752)),0,L253/(F253*752))</f>
        <v>0.61374795417348604</v>
      </c>
      <c r="N253" s="1540"/>
    </row>
    <row r="254" spans="1:14" hidden="1">
      <c r="A254" s="76" t="s">
        <v>164</v>
      </c>
      <c r="B254" s="1421">
        <f>'Chino Hills'!N219</f>
        <v>0</v>
      </c>
      <c r="C254" s="1422"/>
      <c r="D254" s="1467">
        <f t="shared" si="64"/>
        <v>0</v>
      </c>
      <c r="E254" s="1433"/>
      <c r="F254" s="1876">
        <f>0.325*B254</f>
        <v>0</v>
      </c>
      <c r="G254" s="1877"/>
      <c r="H254" s="956">
        <f>F254*10</f>
        <v>0</v>
      </c>
      <c r="I254" s="151">
        <v>0</v>
      </c>
      <c r="J254" s="173">
        <f>70*B254</f>
        <v>0</v>
      </c>
      <c r="K254" s="173">
        <f>B254*80</f>
        <v>0</v>
      </c>
      <c r="L254" s="172">
        <f t="shared" si="65"/>
        <v>0</v>
      </c>
      <c r="M254" s="1539">
        <f>IF(ISERROR(L254/(F254*727)),0,L254/(F254*727))</f>
        <v>0</v>
      </c>
      <c r="N254" s="1540"/>
    </row>
    <row r="255" spans="1:14" ht="14" thickBot="1">
      <c r="A255" s="76" t="s">
        <v>214</v>
      </c>
      <c r="B255" s="1421">
        <f>'Chino Hills'!N220</f>
        <v>0</v>
      </c>
      <c r="C255" s="1422"/>
      <c r="D255" s="1467">
        <f t="shared" si="64"/>
        <v>0</v>
      </c>
      <c r="E255" s="1433"/>
      <c r="F255" s="1876">
        <f>0.325*B255</f>
        <v>0</v>
      </c>
      <c r="G255" s="1877"/>
      <c r="H255" s="956">
        <f>F255*5</f>
        <v>0</v>
      </c>
      <c r="I255" s="151">
        <v>0</v>
      </c>
      <c r="J255" s="173">
        <f>0*B255</f>
        <v>0</v>
      </c>
      <c r="K255" s="173">
        <f>B255*75</f>
        <v>0</v>
      </c>
      <c r="L255" s="172">
        <f t="shared" si="65"/>
        <v>0</v>
      </c>
      <c r="M255" s="1561">
        <v>0</v>
      </c>
      <c r="N255" s="1562"/>
    </row>
    <row r="256" spans="1:14" s="1161" customFormat="1" ht="17" thickBot="1">
      <c r="A256" s="108" t="str">
        <f>'Ontario Total'!A256</f>
        <v>IEUA Locally Implemented Residential Programs</v>
      </c>
      <c r="B256" s="1456"/>
      <c r="C256" s="1586"/>
      <c r="D256" s="1567"/>
      <c r="E256" s="1586"/>
      <c r="F256" s="1567"/>
      <c r="G256" s="1586"/>
      <c r="H256" s="1142"/>
      <c r="I256" s="179"/>
      <c r="J256" s="179"/>
      <c r="K256" s="179"/>
      <c r="L256" s="180"/>
      <c r="M256" s="1593"/>
      <c r="N256" s="1542"/>
    </row>
    <row r="257" spans="1:14">
      <c r="A257" s="78" t="s">
        <v>205</v>
      </c>
      <c r="B257" s="1421">
        <f>'Chino Hills'!N222</f>
        <v>490</v>
      </c>
      <c r="C257" s="1422"/>
      <c r="D257" s="1467">
        <f>F257*325900</f>
        <v>638764</v>
      </c>
      <c r="E257" s="1432"/>
      <c r="F257" s="1876">
        <f>B257*0.004</f>
        <v>1.96</v>
      </c>
      <c r="G257" s="1902"/>
      <c r="H257" s="975">
        <f>F257*5</f>
        <v>9.8000000000000007</v>
      </c>
      <c r="I257" s="151">
        <v>0</v>
      </c>
      <c r="J257" s="151">
        <v>0</v>
      </c>
      <c r="K257" s="151">
        <f>1625*3.25</f>
        <v>5281.25</v>
      </c>
      <c r="L257" s="172">
        <f>I257+J257+K257</f>
        <v>5281.25</v>
      </c>
      <c r="M257" s="1539">
        <f>IF(ISERROR(L257/(F257*752)),0,L257/(F257*752))</f>
        <v>3.5831320560138948</v>
      </c>
      <c r="N257" s="1540"/>
    </row>
    <row r="258" spans="1:14">
      <c r="A258" s="78" t="s">
        <v>227</v>
      </c>
      <c r="B258" s="1421">
        <f>'Chino Hills'!N223</f>
        <v>30</v>
      </c>
      <c r="C258" s="1422"/>
      <c r="D258" s="1467">
        <f>F258*325900</f>
        <v>6192100</v>
      </c>
      <c r="E258" s="1433"/>
      <c r="F258" s="1903">
        <v>19</v>
      </c>
      <c r="G258" s="1904"/>
      <c r="H258" s="976">
        <v>177</v>
      </c>
      <c r="I258" s="151">
        <v>16455.349999999999</v>
      </c>
      <c r="J258" s="151">
        <v>0</v>
      </c>
      <c r="K258" s="151">
        <v>16455.349999999999</v>
      </c>
      <c r="L258" s="172">
        <f>I258+J258+K258</f>
        <v>32910.699999999997</v>
      </c>
      <c r="M258" s="1539">
        <f>IF(ISERROR(L258/(F258*752)),0,L258/(F258*752))</f>
        <v>2.3033804591265397</v>
      </c>
      <c r="N258" s="1540"/>
    </row>
    <row r="259" spans="1:14" ht="14" thickBot="1">
      <c r="A259" s="78" t="s">
        <v>222</v>
      </c>
      <c r="B259" s="1421">
        <f>'Chino Hills'!N224</f>
        <v>8</v>
      </c>
      <c r="C259" s="1422"/>
      <c r="D259" s="1744">
        <f>F259*325900</f>
        <v>268235.25399999996</v>
      </c>
      <c r="E259" s="1437"/>
      <c r="F259" s="1905">
        <f>5879*0.00014</f>
        <v>0.8230599999999999</v>
      </c>
      <c r="G259" s="1906"/>
      <c r="H259" s="951">
        <f>F259*10</f>
        <v>8.230599999999999</v>
      </c>
      <c r="I259" s="219">
        <v>0</v>
      </c>
      <c r="J259" s="219">
        <v>14158.77</v>
      </c>
      <c r="K259" s="219">
        <v>5879</v>
      </c>
      <c r="L259" s="172">
        <f>I259+J259+K259</f>
        <v>20037.77</v>
      </c>
      <c r="M259" s="1539">
        <f>IF(ISERROR(L259/(F259*752)),0,L259/(F259*752))</f>
        <v>32.374274955265541</v>
      </c>
      <c r="N259" s="1540"/>
    </row>
    <row r="260" spans="1:14" s="533" customFormat="1" ht="14" thickBot="1">
      <c r="A260" s="53" t="s">
        <v>60</v>
      </c>
      <c r="B260" s="1438">
        <f>SUM(B250:C259)</f>
        <v>751</v>
      </c>
      <c r="C260" s="1439"/>
      <c r="D260" s="1440">
        <f>SUM(D250:E259)</f>
        <v>9838202.7599999998</v>
      </c>
      <c r="E260" s="1440"/>
      <c r="F260" s="1441">
        <f>SUM(F250:G259)</f>
        <v>30.189059999999998</v>
      </c>
      <c r="G260" s="1440"/>
      <c r="H260" s="56">
        <f>SUM(H250:H259)</f>
        <v>330.6506</v>
      </c>
      <c r="I260" s="146">
        <f>SUM(I250:I259)</f>
        <v>16455.349999999999</v>
      </c>
      <c r="J260" s="146">
        <f>SUM(J250:J259)</f>
        <v>27341.77</v>
      </c>
      <c r="K260" s="146">
        <f>SUM(K250:K259)</f>
        <v>43647.6</v>
      </c>
      <c r="L260" s="160">
        <f>SUM(L250:L259)</f>
        <v>87444.72</v>
      </c>
      <c r="M260" s="1440"/>
      <c r="N260" s="1730"/>
    </row>
    <row r="261" spans="1:14" s="91" customFormat="1" ht="17" hidden="1" thickBot="1">
      <c r="A261" s="108" t="str">
        <f>'Ontario Total'!A261</f>
        <v xml:space="preserve">IEUA High Efficiency Toilet (HET) Installation Prog. </v>
      </c>
      <c r="B261" s="1456"/>
      <c r="C261" s="1586"/>
      <c r="D261" s="1567"/>
      <c r="E261" s="1586"/>
      <c r="F261" s="1900"/>
      <c r="G261" s="1883"/>
      <c r="H261" s="831"/>
      <c r="I261" s="179"/>
      <c r="J261" s="179"/>
      <c r="K261" s="179"/>
      <c r="L261" s="180"/>
      <c r="M261" s="1593"/>
      <c r="N261" s="1542"/>
    </row>
    <row r="262" spans="1:14" ht="14" hidden="1" thickBot="1">
      <c r="A262" s="32" t="str">
        <f>'Ontario Total'!A262</f>
        <v>IEUA Multi-Family Direct Install Prog. (HET)</v>
      </c>
      <c r="B262" s="1421">
        <f>'Chino Hills'!N227</f>
        <v>0</v>
      </c>
      <c r="C262" s="1422"/>
      <c r="D262" s="1855">
        <f>F262*325851</f>
        <v>0</v>
      </c>
      <c r="E262" s="1732"/>
      <c r="F262" s="1899">
        <f>0.0425*B262</f>
        <v>0</v>
      </c>
      <c r="G262" s="1885"/>
      <c r="H262" s="830">
        <f>F262*20</f>
        <v>0</v>
      </c>
      <c r="I262" s="311">
        <f>73.34*B262</f>
        <v>0</v>
      </c>
      <c r="J262" s="311">
        <f>35.66*B262</f>
        <v>0</v>
      </c>
      <c r="K262" s="311">
        <f>B262*50</f>
        <v>0</v>
      </c>
      <c r="L262" s="314">
        <f>I262+J262+K262</f>
        <v>0</v>
      </c>
      <c r="M262" s="1599">
        <f>IF(ISERROR(L262/(F262*727)),0,L262/(F262*727))</f>
        <v>0</v>
      </c>
      <c r="N262" s="1600"/>
    </row>
    <row r="263" spans="1:14" ht="14" hidden="1" thickBot="1">
      <c r="A263" s="32" t="str">
        <f>'Ontario Total'!A263</f>
        <v>IEUA Single-Family Direct Install Prog. (HET)</v>
      </c>
      <c r="B263" s="1421">
        <f>'Chino Hills'!N228</f>
        <v>0</v>
      </c>
      <c r="C263" s="1422"/>
      <c r="D263" s="1734">
        <f>F263*325851</f>
        <v>0</v>
      </c>
      <c r="E263" s="1430"/>
      <c r="F263" s="1901">
        <f>0.0425*B263</f>
        <v>0</v>
      </c>
      <c r="G263" s="1887"/>
      <c r="H263" s="832">
        <f>F263*20</f>
        <v>0</v>
      </c>
      <c r="I263" s="364">
        <f>73.34*B263</f>
        <v>0</v>
      </c>
      <c r="J263" s="364">
        <f>35.66*B263</f>
        <v>0</v>
      </c>
      <c r="K263" s="364">
        <f>B263*50</f>
        <v>0</v>
      </c>
      <c r="L263" s="364">
        <f>I263+J263+K263</f>
        <v>0</v>
      </c>
      <c r="M263" s="1638">
        <f>IF(ISERROR(L263/(F263*727)),0,L263/(F263*727))</f>
        <v>0</v>
      </c>
      <c r="N263" s="1562"/>
    </row>
    <row r="264" spans="1:14" s="533" customFormat="1" ht="14" hidden="1" thickBot="1">
      <c r="A264" s="53" t="s">
        <v>60</v>
      </c>
      <c r="B264" s="1438">
        <f>SUM(B262:B263)</f>
        <v>0</v>
      </c>
      <c r="C264" s="1730"/>
      <c r="D264" s="1438">
        <f>SUM(D262:D263)</f>
        <v>0</v>
      </c>
      <c r="E264" s="1730"/>
      <c r="F264" s="1438">
        <f>SUM(F262:F263)</f>
        <v>0</v>
      </c>
      <c r="G264" s="1439"/>
      <c r="H264" s="786">
        <f>SUM(H262:H263)</f>
        <v>0</v>
      </c>
      <c r="I264" s="136">
        <f>SUM(I262:I263)</f>
        <v>0</v>
      </c>
      <c r="J264" s="143">
        <f>SUM(J262:J263)</f>
        <v>0</v>
      </c>
      <c r="K264" s="143">
        <f>SUM(K262:K263)</f>
        <v>0</v>
      </c>
      <c r="L264" s="136">
        <f>SUM(L262:L263)</f>
        <v>0</v>
      </c>
      <c r="M264" s="1657"/>
      <c r="N264" s="1790"/>
    </row>
    <row r="265" spans="1:14" s="1161" customFormat="1" ht="17" thickBot="1">
      <c r="A265" s="108" t="str">
        <f>'Ontario Total'!A265</f>
        <v>SoCal Water$mart Commercial Rebates</v>
      </c>
      <c r="B265" s="1456"/>
      <c r="C265" s="1586"/>
      <c r="D265" s="1567"/>
      <c r="E265" s="1586"/>
      <c r="F265" s="1619"/>
      <c r="G265" s="1620"/>
      <c r="H265" s="1142"/>
      <c r="I265" s="109"/>
      <c r="J265" s="109"/>
      <c r="K265" s="109"/>
      <c r="L265" s="1141"/>
      <c r="M265" s="1617"/>
      <c r="N265" s="1486"/>
    </row>
    <row r="266" spans="1:14">
      <c r="A266" s="32" t="str">
        <f>'Ontario Total'!A266</f>
        <v>High Efficiency Toilets (HET)</v>
      </c>
      <c r="B266" s="1421">
        <f>'Chino Hills'!N231</f>
        <v>0</v>
      </c>
      <c r="C266" s="1422"/>
      <c r="D266" s="1855">
        <f t="shared" ref="D266:D272" si="66">F266*325851</f>
        <v>0</v>
      </c>
      <c r="E266" s="1732"/>
      <c r="F266" s="1899">
        <f>0.0425*B266</f>
        <v>0</v>
      </c>
      <c r="G266" s="1885"/>
      <c r="H266" s="957">
        <f>F266*20</f>
        <v>0</v>
      </c>
      <c r="I266" s="151">
        <v>0</v>
      </c>
      <c r="J266" s="151">
        <f>135*B266</f>
        <v>0</v>
      </c>
      <c r="K266" s="151">
        <f>165*B266</f>
        <v>0</v>
      </c>
      <c r="L266" s="172">
        <f>SUM(I266:K266)</f>
        <v>0</v>
      </c>
      <c r="M266" s="1599">
        <f>IF(ISERROR(L266/(F266*752)),0,L266/(F266*752))</f>
        <v>0</v>
      </c>
      <c r="N266" s="1600"/>
    </row>
    <row r="267" spans="1:14">
      <c r="A267" s="32" t="str">
        <f>'Ontario Total'!A267</f>
        <v>Waterless Urinals</v>
      </c>
      <c r="B267" s="1421">
        <f>'Chino Hills'!N232</f>
        <v>0</v>
      </c>
      <c r="C267" s="1422"/>
      <c r="D267" s="1431">
        <f t="shared" si="66"/>
        <v>0</v>
      </c>
      <c r="E267" s="1422"/>
      <c r="F267" s="1871">
        <f>0.1227*B267</f>
        <v>0</v>
      </c>
      <c r="G267" s="1450"/>
      <c r="H267" s="957">
        <f>F267*20</f>
        <v>0</v>
      </c>
      <c r="I267" s="151">
        <v>0</v>
      </c>
      <c r="J267" s="151">
        <f>B267*50</f>
        <v>0</v>
      </c>
      <c r="K267" s="151">
        <f>200*B267</f>
        <v>0</v>
      </c>
      <c r="L267" s="172">
        <f t="shared" ref="L267:L278" si="67">SUM(I267:K267)</f>
        <v>0</v>
      </c>
      <c r="M267" s="1539">
        <f>IF(ISERROR(L267/(F267*752)),0,L267/(F267*752))</f>
        <v>0</v>
      </c>
      <c r="N267" s="1540"/>
    </row>
    <row r="268" spans="1:14">
      <c r="A268" s="32" t="s">
        <v>204</v>
      </c>
      <c r="B268" s="1421">
        <f>'Chino Hills'!N233</f>
        <v>0</v>
      </c>
      <c r="C268" s="1422"/>
      <c r="D268" s="1431">
        <f t="shared" si="66"/>
        <v>0</v>
      </c>
      <c r="E268" s="1422"/>
      <c r="F268" s="1871">
        <f>0.644*B268</f>
        <v>0</v>
      </c>
      <c r="G268" s="1450"/>
      <c r="H268" s="957">
        <f>F268*5</f>
        <v>0</v>
      </c>
      <c r="I268" s="151">
        <v>0</v>
      </c>
      <c r="J268" s="151">
        <f>B268*500</f>
        <v>0</v>
      </c>
      <c r="K268" s="151">
        <f>B268*1750</f>
        <v>0</v>
      </c>
      <c r="L268" s="172">
        <f t="shared" si="67"/>
        <v>0</v>
      </c>
      <c r="M268" s="1539">
        <f t="shared" ref="M268:M279" si="68">IF(ISERROR(L268/(F268*752)),0,L268/(F268*752))</f>
        <v>0</v>
      </c>
      <c r="N268" s="1540"/>
    </row>
    <row r="269" spans="1:14" hidden="1">
      <c r="A269" s="32" t="str">
        <f>'Ontario Total'!A269</f>
        <v>High Efficiency Clothes Washers</v>
      </c>
      <c r="B269" s="1421">
        <f>'Chino Hills'!N234</f>
        <v>0</v>
      </c>
      <c r="C269" s="1422"/>
      <c r="D269" s="1431">
        <f t="shared" si="66"/>
        <v>0</v>
      </c>
      <c r="E269" s="1422"/>
      <c r="F269" s="1871">
        <f>0.0276*B269</f>
        <v>0</v>
      </c>
      <c r="G269" s="1450"/>
      <c r="H269" s="957">
        <f>F269*10</f>
        <v>0</v>
      </c>
      <c r="I269" s="151">
        <v>0</v>
      </c>
      <c r="J269" s="151">
        <f>100*B269</f>
        <v>0</v>
      </c>
      <c r="K269" s="151">
        <f>80*B269</f>
        <v>0</v>
      </c>
      <c r="L269" s="172">
        <f t="shared" si="67"/>
        <v>0</v>
      </c>
      <c r="M269" s="1539">
        <f t="shared" si="68"/>
        <v>0</v>
      </c>
      <c r="N269" s="1540"/>
    </row>
    <row r="270" spans="1:14" hidden="1">
      <c r="A270" s="35" t="s">
        <v>47</v>
      </c>
      <c r="B270" s="1421">
        <f>'Chino Hills'!N235</f>
        <v>0</v>
      </c>
      <c r="C270" s="1422"/>
      <c r="D270" s="1431">
        <f t="shared" si="66"/>
        <v>0</v>
      </c>
      <c r="E270" s="1422"/>
      <c r="F270" s="1871">
        <f>0.1534*B270</f>
        <v>0</v>
      </c>
      <c r="G270" s="1450"/>
      <c r="H270" s="957">
        <f>F270*5</f>
        <v>0</v>
      </c>
      <c r="I270" s="151">
        <v>0</v>
      </c>
      <c r="J270" s="151">
        <f>0*B270</f>
        <v>0</v>
      </c>
      <c r="K270" s="151">
        <f>150*B270</f>
        <v>0</v>
      </c>
      <c r="L270" s="172">
        <f t="shared" si="67"/>
        <v>0</v>
      </c>
      <c r="M270" s="1539">
        <f t="shared" si="68"/>
        <v>0</v>
      </c>
      <c r="N270" s="1540"/>
    </row>
    <row r="271" spans="1:14">
      <c r="A271" s="32" t="str">
        <f>'Ontario Total'!A271</f>
        <v>Weather Based Irrigation Controllers (WBIC)</v>
      </c>
      <c r="B271" s="1421">
        <f>'Chino Hills'!N236</f>
        <v>52</v>
      </c>
      <c r="C271" s="1422"/>
      <c r="D271" s="1431">
        <f t="shared" si="66"/>
        <v>5506881.9000000004</v>
      </c>
      <c r="E271" s="1422"/>
      <c r="F271" s="1871">
        <f>0.325*B271</f>
        <v>16.900000000000002</v>
      </c>
      <c r="G271" s="1450"/>
      <c r="H271" s="957">
        <f>F271*10</f>
        <v>169.00000000000003</v>
      </c>
      <c r="I271" s="151">
        <v>0</v>
      </c>
      <c r="J271" s="151">
        <v>7934</v>
      </c>
      <c r="K271" s="151">
        <v>30416</v>
      </c>
      <c r="L271" s="172">
        <f t="shared" si="67"/>
        <v>38350</v>
      </c>
      <c r="M271" s="1539">
        <f t="shared" si="68"/>
        <v>3.0175941080196398</v>
      </c>
      <c r="N271" s="1540"/>
    </row>
    <row r="272" spans="1:14" hidden="1">
      <c r="A272" s="33" t="s">
        <v>53</v>
      </c>
      <c r="B272" s="1421">
        <f>'Chino Hills'!N237</f>
        <v>0</v>
      </c>
      <c r="C272" s="1422"/>
      <c r="D272" s="1431">
        <f t="shared" si="66"/>
        <v>0</v>
      </c>
      <c r="E272" s="1422"/>
      <c r="F272" s="1871">
        <f>0.00014*B272</f>
        <v>0</v>
      </c>
      <c r="G272" s="1450"/>
      <c r="H272" s="957">
        <f>F272*10</f>
        <v>0</v>
      </c>
      <c r="I272" s="151">
        <v>0</v>
      </c>
      <c r="J272" s="151">
        <f>0.45*B272</f>
        <v>0</v>
      </c>
      <c r="K272" s="151">
        <f>0.3*B272</f>
        <v>0</v>
      </c>
      <c r="L272" s="172">
        <f t="shared" si="67"/>
        <v>0</v>
      </c>
      <c r="M272" s="1539">
        <f t="shared" si="68"/>
        <v>0</v>
      </c>
      <c r="N272" s="1540"/>
    </row>
    <row r="273" spans="1:14">
      <c r="A273" s="32" t="str">
        <f>'Ontario Total'!A273</f>
        <v>Rotating Nozzles for Pop-up Spray Heads</v>
      </c>
      <c r="B273" s="1421">
        <f>'Chino Hills'!N238</f>
        <v>1805</v>
      </c>
      <c r="C273" s="1422"/>
      <c r="D273" s="1431">
        <f t="shared" ref="D273:D279" si="69">F273*325851</f>
        <v>2352644.2199999997</v>
      </c>
      <c r="E273" s="1422"/>
      <c r="F273" s="1871">
        <f>0.004*B273</f>
        <v>7.22</v>
      </c>
      <c r="G273" s="1450"/>
      <c r="H273" s="957">
        <f>F273*5</f>
        <v>36.1</v>
      </c>
      <c r="I273" s="151">
        <v>0</v>
      </c>
      <c r="J273" s="151">
        <f>B273*1</f>
        <v>1805</v>
      </c>
      <c r="K273" s="151">
        <f>4*B273</f>
        <v>7220</v>
      </c>
      <c r="L273" s="172">
        <f t="shared" si="67"/>
        <v>9025</v>
      </c>
      <c r="M273" s="1539">
        <f t="shared" si="68"/>
        <v>1.6622340425531916</v>
      </c>
      <c r="N273" s="1540"/>
    </row>
    <row r="274" spans="1:14">
      <c r="A274" s="32" t="str">
        <f>'Ontario Total'!A274</f>
        <v>Large Rotary Nozzles</v>
      </c>
      <c r="B274" s="1421">
        <f>'Chino Hills'!N239</f>
        <v>0</v>
      </c>
      <c r="C274" s="1422"/>
      <c r="D274" s="1431">
        <f t="shared" si="69"/>
        <v>0</v>
      </c>
      <c r="E274" s="1422"/>
      <c r="F274" s="1871">
        <f t="shared" ref="F274:F279" si="70">0.018*B274</f>
        <v>0</v>
      </c>
      <c r="G274" s="1450"/>
      <c r="H274" s="957">
        <f t="shared" ref="H274:H279" si="71">F274*10</f>
        <v>0</v>
      </c>
      <c r="I274" s="151">
        <v>0</v>
      </c>
      <c r="J274" s="151">
        <f>0*B274</f>
        <v>0</v>
      </c>
      <c r="K274" s="151">
        <f>13*B274</f>
        <v>0</v>
      </c>
      <c r="L274" s="172">
        <f t="shared" si="67"/>
        <v>0</v>
      </c>
      <c r="M274" s="1539">
        <f t="shared" si="68"/>
        <v>0</v>
      </c>
      <c r="N274" s="1540"/>
    </row>
    <row r="275" spans="1:14" hidden="1">
      <c r="A275" s="33" t="s">
        <v>102</v>
      </c>
      <c r="B275" s="1421">
        <f>'Chino Hills'!N240</f>
        <v>0</v>
      </c>
      <c r="C275" s="1422"/>
      <c r="D275" s="1431">
        <f t="shared" si="69"/>
        <v>0</v>
      </c>
      <c r="E275" s="1422"/>
      <c r="F275" s="1871">
        <f t="shared" si="70"/>
        <v>0</v>
      </c>
      <c r="G275" s="1450"/>
      <c r="H275" s="957">
        <f t="shared" si="71"/>
        <v>0</v>
      </c>
      <c r="I275" s="151">
        <v>1</v>
      </c>
      <c r="J275" s="151">
        <f>0*B275</f>
        <v>0</v>
      </c>
      <c r="K275" s="151">
        <f>13*B275</f>
        <v>0</v>
      </c>
      <c r="L275" s="172">
        <f t="shared" si="67"/>
        <v>1</v>
      </c>
      <c r="M275" s="1539">
        <f t="shared" si="68"/>
        <v>0</v>
      </c>
      <c r="N275" s="1540"/>
    </row>
    <row r="276" spans="1:14">
      <c r="A276" s="32" t="str">
        <f>'Ontario Total'!A276</f>
        <v xml:space="preserve">Central Computerized Irrigation Controller </v>
      </c>
      <c r="B276" s="1421">
        <f>'Chino Hills'!N241</f>
        <v>0</v>
      </c>
      <c r="C276" s="1422"/>
      <c r="D276" s="1444">
        <f t="shared" si="69"/>
        <v>0</v>
      </c>
      <c r="E276" s="1422"/>
      <c r="F276" s="1871">
        <f t="shared" si="70"/>
        <v>0</v>
      </c>
      <c r="G276" s="1450"/>
      <c r="H276" s="957">
        <f t="shared" si="71"/>
        <v>0</v>
      </c>
      <c r="I276" s="151">
        <v>0</v>
      </c>
      <c r="J276" s="151">
        <v>0</v>
      </c>
      <c r="K276" s="151">
        <v>0</v>
      </c>
      <c r="L276" s="172">
        <f t="shared" si="67"/>
        <v>0</v>
      </c>
      <c r="M276" s="1539">
        <f t="shared" si="68"/>
        <v>0</v>
      </c>
      <c r="N276" s="1540"/>
    </row>
    <row r="277" spans="1:14" s="57" customFormat="1">
      <c r="A277" s="144" t="str">
        <f>'Ontario Total'!A277</f>
        <v>Laminar Flow Restrictor</v>
      </c>
      <c r="B277" s="1421">
        <f>'Chino Hills'!N242</f>
        <v>0</v>
      </c>
      <c r="C277" s="1422"/>
      <c r="D277" s="1445">
        <f t="shared" si="69"/>
        <v>0</v>
      </c>
      <c r="E277" s="1446"/>
      <c r="F277" s="1897">
        <f t="shared" si="70"/>
        <v>0</v>
      </c>
      <c r="G277" s="1898"/>
      <c r="H277" s="966">
        <f t="shared" si="71"/>
        <v>0</v>
      </c>
      <c r="I277" s="151">
        <v>0</v>
      </c>
      <c r="J277" s="151">
        <v>0</v>
      </c>
      <c r="K277" s="151">
        <v>0</v>
      </c>
      <c r="L277" s="170">
        <f t="shared" si="67"/>
        <v>0</v>
      </c>
      <c r="M277" s="1539">
        <f t="shared" si="68"/>
        <v>0</v>
      </c>
      <c r="N277" s="1540"/>
    </row>
    <row r="278" spans="1:14" s="57" customFormat="1">
      <c r="A278" s="144" t="str">
        <f>'Ontario Total'!A278</f>
        <v>Air-Cooled Ice Machine</v>
      </c>
      <c r="B278" s="1421">
        <f>'Chino Hills'!N243</f>
        <v>0</v>
      </c>
      <c r="C278" s="1422"/>
      <c r="D278" s="1445">
        <f t="shared" si="69"/>
        <v>0</v>
      </c>
      <c r="E278" s="1446"/>
      <c r="F278" s="1897">
        <f t="shared" si="70"/>
        <v>0</v>
      </c>
      <c r="G278" s="1898"/>
      <c r="H278" s="966">
        <f t="shared" si="71"/>
        <v>0</v>
      </c>
      <c r="I278" s="151">
        <v>0</v>
      </c>
      <c r="J278" s="151">
        <v>0</v>
      </c>
      <c r="K278" s="151">
        <v>0</v>
      </c>
      <c r="L278" s="170">
        <f t="shared" si="67"/>
        <v>0</v>
      </c>
      <c r="M278" s="1539">
        <f t="shared" si="68"/>
        <v>0</v>
      </c>
      <c r="N278" s="1540"/>
    </row>
    <row r="279" spans="1:14" s="57" customFormat="1" ht="14" thickBot="1">
      <c r="A279" s="144" t="s">
        <v>213</v>
      </c>
      <c r="B279" s="1429">
        <f>'Chino Hills'!N244</f>
        <v>0</v>
      </c>
      <c r="C279" s="1430"/>
      <c r="D279" s="1737">
        <f t="shared" si="69"/>
        <v>0</v>
      </c>
      <c r="E279" s="1726"/>
      <c r="F279" s="1895">
        <f t="shared" si="70"/>
        <v>0</v>
      </c>
      <c r="G279" s="1896"/>
      <c r="H279" s="966">
        <f t="shared" si="71"/>
        <v>0</v>
      </c>
      <c r="I279" s="151">
        <v>0</v>
      </c>
      <c r="J279" s="151">
        <v>0</v>
      </c>
      <c r="K279" s="151">
        <v>0</v>
      </c>
      <c r="L279" s="170">
        <f>SUM(I279:K279)</f>
        <v>0</v>
      </c>
      <c r="M279" s="1539">
        <f t="shared" si="68"/>
        <v>0</v>
      </c>
      <c r="N279" s="1540"/>
    </row>
    <row r="280" spans="1:14" s="1161" customFormat="1" ht="17" thickBot="1">
      <c r="A280" s="108" t="str">
        <f>'Ontario Total'!A280</f>
        <v>IEUA Locally Implemented Commercial Programs</v>
      </c>
      <c r="B280" s="1456"/>
      <c r="C280" s="1586"/>
      <c r="D280" s="1567"/>
      <c r="E280" s="1586"/>
      <c r="F280" s="1619"/>
      <c r="G280" s="1620"/>
      <c r="H280" s="1150"/>
      <c r="I280" s="179"/>
      <c r="J280" s="179"/>
      <c r="K280" s="179"/>
      <c r="L280" s="180"/>
      <c r="M280" s="1617"/>
      <c r="N280" s="1486"/>
    </row>
    <row r="281" spans="1:14" hidden="1">
      <c r="A281" s="32" t="str">
        <f>'Ontario Total'!A281</f>
        <v>Fontana Unified School Retrofit Program</v>
      </c>
      <c r="B281" s="1421">
        <f>'Chino Hills'!N246</f>
        <v>0</v>
      </c>
      <c r="C281" s="1422"/>
      <c r="D281" s="1444">
        <f>F281*325851</f>
        <v>0</v>
      </c>
      <c r="E281" s="1422"/>
      <c r="F281" s="1756">
        <f>0.018*B281</f>
        <v>0</v>
      </c>
      <c r="G281" s="1757"/>
      <c r="H281" s="834">
        <f>F281*10</f>
        <v>0</v>
      </c>
      <c r="I281" s="188"/>
      <c r="J281" s="183"/>
      <c r="K281" s="183"/>
      <c r="L281" s="172">
        <f>SUM(I281:K281)</f>
        <v>0</v>
      </c>
      <c r="M281" s="1539">
        <f>IF(ISERROR(L281/(F281*727)),0,L281/(F281*727))</f>
        <v>0</v>
      </c>
      <c r="N281" s="1540"/>
    </row>
    <row r="282" spans="1:14" ht="14" thickBot="1">
      <c r="A282" s="32" t="s">
        <v>165</v>
      </c>
      <c r="B282" s="1563">
        <f>'Chino Hills'!N247</f>
        <v>2635</v>
      </c>
      <c r="C282" s="1424"/>
      <c r="D282" s="1536">
        <f>F282*325851</f>
        <v>3434469.5400000005</v>
      </c>
      <c r="E282" s="1424"/>
      <c r="F282" s="1547">
        <f>0.004*B282</f>
        <v>10.540000000000001</v>
      </c>
      <c r="G282" s="1548"/>
      <c r="H282" s="781">
        <f>F282*5</f>
        <v>52.7</v>
      </c>
      <c r="I282" s="151">
        <v>0</v>
      </c>
      <c r="J282" s="151">
        <f>0*B282</f>
        <v>0</v>
      </c>
      <c r="K282" s="151">
        <f>3.25*B282</f>
        <v>8563.75</v>
      </c>
      <c r="L282" s="172">
        <f>SUM(I282:K282)</f>
        <v>8563.75</v>
      </c>
      <c r="M282" s="1561">
        <f>IF(ISERROR(L282/(F282*752)),0,L282/(F282*752))</f>
        <v>1.0804521276595744</v>
      </c>
      <c r="N282" s="1562"/>
    </row>
    <row r="283" spans="1:14" s="533" customFormat="1" ht="14" thickBot="1">
      <c r="A283" s="53" t="s">
        <v>60</v>
      </c>
      <c r="B283" s="1438">
        <f>SUM(B266:C282)</f>
        <v>4492</v>
      </c>
      <c r="C283" s="1439"/>
      <c r="D283" s="1440">
        <f>SUM(D266:E282)</f>
        <v>11293995.66</v>
      </c>
      <c r="E283" s="1440"/>
      <c r="F283" s="1441">
        <f>SUM(F266:G282)</f>
        <v>34.660000000000004</v>
      </c>
      <c r="G283" s="1439"/>
      <c r="H283" s="786">
        <f>SUM(H266:H282)</f>
        <v>257.8</v>
      </c>
      <c r="I283" s="136">
        <v>0</v>
      </c>
      <c r="J283" s="136">
        <f>SUM(J266:J282)</f>
        <v>9739</v>
      </c>
      <c r="K283" s="136">
        <f>SUM(K266:K282)</f>
        <v>46199.75</v>
      </c>
      <c r="L283" s="136">
        <f>SUM(L266:L282)</f>
        <v>55939.75</v>
      </c>
      <c r="M283" s="1893"/>
      <c r="N283" s="1894"/>
    </row>
    <row r="284" spans="1:14" s="1168" customFormat="1" ht="17" thickBot="1">
      <c r="A284" s="1163" t="s">
        <v>17</v>
      </c>
      <c r="B284" s="1612">
        <f>SUM(B260+B264+B283)</f>
        <v>5243</v>
      </c>
      <c r="C284" s="1415"/>
      <c r="D284" s="1416">
        <f>SUM(D260+D264+D283)</f>
        <v>21132198.420000002</v>
      </c>
      <c r="E284" s="1415"/>
      <c r="F284" s="1416">
        <f>SUM(F260+F264+F283)</f>
        <v>64.849060000000009</v>
      </c>
      <c r="G284" s="1415"/>
      <c r="H284" s="1164">
        <f>SUM(H260+H264+H283)</f>
        <v>588.45060000000001</v>
      </c>
      <c r="I284" s="1169">
        <f>SUM(I260+I264+I283)</f>
        <v>16455.349999999999</v>
      </c>
      <c r="J284" s="1169">
        <f>SUM(J260+J264+J283)</f>
        <v>37080.770000000004</v>
      </c>
      <c r="K284" s="1169">
        <f>SUM(K260+K264+K283)</f>
        <v>89847.35</v>
      </c>
      <c r="L284" s="1169">
        <f>SUM(L260+L264+L283)</f>
        <v>143384.47</v>
      </c>
      <c r="M284" s="1417"/>
      <c r="N284" s="1418"/>
    </row>
    <row r="285" spans="1:14" ht="16">
      <c r="A285" s="60"/>
      <c r="B285" s="61"/>
      <c r="C285" s="61"/>
      <c r="D285" s="61"/>
      <c r="E285" s="61"/>
      <c r="F285" s="61"/>
      <c r="G285" s="61"/>
      <c r="H285" s="62"/>
      <c r="I285" s="62"/>
      <c r="J285" s="62"/>
      <c r="K285" s="62"/>
      <c r="L285" s="62"/>
      <c r="M285" s="64"/>
      <c r="N285" s="65"/>
    </row>
    <row r="286" spans="1:14" ht="16">
      <c r="A286" s="9" t="s">
        <v>18</v>
      </c>
      <c r="B286" s="1419" t="s">
        <v>59</v>
      </c>
      <c r="C286" s="1419"/>
      <c r="D286" s="1419"/>
      <c r="E286" s="1419"/>
      <c r="F286" s="61"/>
      <c r="G286" s="61"/>
      <c r="H286" s="62"/>
      <c r="I286" s="62"/>
      <c r="J286" s="62"/>
      <c r="K286" s="62"/>
      <c r="L286" s="62"/>
      <c r="M286" s="64"/>
      <c r="N286" s="65"/>
    </row>
    <row r="287" spans="1:14" ht="16">
      <c r="A287" s="57"/>
      <c r="B287" s="1420" t="s">
        <v>19</v>
      </c>
      <c r="C287" s="1420"/>
      <c r="D287" s="1420"/>
      <c r="E287" s="1420"/>
      <c r="F287" s="61"/>
      <c r="G287" s="61"/>
      <c r="H287" s="62"/>
      <c r="I287" s="62"/>
      <c r="J287" s="62"/>
      <c r="K287" s="62"/>
      <c r="L287" s="62"/>
      <c r="M287" s="64"/>
      <c r="N287" s="65"/>
    </row>
    <row r="288" spans="1:14" ht="17" thickBot="1">
      <c r="A288" s="57"/>
      <c r="B288" s="820"/>
      <c r="C288" s="820"/>
      <c r="D288" s="820"/>
      <c r="E288" s="820"/>
      <c r="F288" s="61"/>
      <c r="G288" s="61"/>
      <c r="H288" s="62"/>
      <c r="I288" s="62"/>
      <c r="J288" s="62"/>
      <c r="K288" s="62"/>
      <c r="L288" s="62"/>
      <c r="M288" s="64"/>
      <c r="N288" s="65"/>
    </row>
    <row r="289" spans="1:14" s="363" customFormat="1" ht="16">
      <c r="A289" s="98"/>
      <c r="B289" s="99"/>
      <c r="C289" s="99"/>
      <c r="D289" s="99"/>
      <c r="E289" s="99"/>
      <c r="F289" s="100"/>
      <c r="G289" s="100"/>
      <c r="H289" s="100"/>
      <c r="I289" s="1468" t="s">
        <v>0</v>
      </c>
      <c r="J289" s="1468"/>
      <c r="K289" s="1468"/>
      <c r="L289" s="1468"/>
      <c r="M289" s="99"/>
      <c r="N289" s="101"/>
    </row>
    <row r="290" spans="1:14" ht="16">
      <c r="A290" s="97"/>
      <c r="B290" s="1469" t="s">
        <v>1</v>
      </c>
      <c r="C290" s="1469"/>
      <c r="D290" s="1469" t="s">
        <v>2</v>
      </c>
      <c r="E290" s="1469"/>
      <c r="F290" s="1863" t="s">
        <v>3</v>
      </c>
      <c r="G290" s="1863"/>
      <c r="H290" s="827" t="s">
        <v>3</v>
      </c>
      <c r="I290" s="127" t="s">
        <v>197</v>
      </c>
      <c r="J290" s="102"/>
      <c r="K290" s="102"/>
      <c r="L290" s="128"/>
      <c r="M290" s="1469" t="s">
        <v>4</v>
      </c>
      <c r="N290" s="1526"/>
    </row>
    <row r="291" spans="1:14" ht="19" thickBot="1">
      <c r="A291" s="103" t="s">
        <v>5</v>
      </c>
      <c r="B291" s="1473" t="s">
        <v>6</v>
      </c>
      <c r="C291" s="1473"/>
      <c r="D291" s="1473" t="s">
        <v>7</v>
      </c>
      <c r="E291" s="1473"/>
      <c r="F291" s="1864" t="s">
        <v>7</v>
      </c>
      <c r="G291" s="1864"/>
      <c r="H291" s="828" t="s">
        <v>58</v>
      </c>
      <c r="I291" s="797" t="s">
        <v>196</v>
      </c>
      <c r="J291" s="795" t="s">
        <v>8</v>
      </c>
      <c r="K291" s="795" t="s">
        <v>9</v>
      </c>
      <c r="L291" s="401" t="s">
        <v>10</v>
      </c>
      <c r="M291" s="1473" t="s">
        <v>145</v>
      </c>
      <c r="N291" s="1475"/>
    </row>
    <row r="292" spans="1:14" ht="24" thickBot="1">
      <c r="A292" s="88" t="s">
        <v>185</v>
      </c>
      <c r="B292" s="1476"/>
      <c r="C292" s="1477"/>
      <c r="D292" s="1478"/>
      <c r="E292" s="1479"/>
      <c r="F292" s="1878"/>
      <c r="G292" s="1879"/>
      <c r="H292" s="829"/>
      <c r="I292" s="7"/>
      <c r="J292" s="7"/>
      <c r="K292" s="7"/>
      <c r="L292" s="8"/>
      <c r="M292" s="1764"/>
      <c r="N292" s="1765"/>
    </row>
    <row r="293" spans="1:14" s="1161" customFormat="1" ht="17" thickBot="1">
      <c r="A293" s="108" t="str">
        <f>'Ontario Total'!A293</f>
        <v>SoCal Water$mart Residential Rebates</v>
      </c>
      <c r="B293" s="1456"/>
      <c r="C293" s="1586"/>
      <c r="D293" s="1567"/>
      <c r="E293" s="1586"/>
      <c r="F293" s="1619"/>
      <c r="G293" s="1620"/>
      <c r="H293" s="1157"/>
      <c r="I293" s="109"/>
      <c r="J293" s="109"/>
      <c r="K293" s="109"/>
      <c r="L293" s="1141"/>
      <c r="M293" s="1617"/>
      <c r="N293" s="1486"/>
    </row>
    <row r="294" spans="1:14">
      <c r="A294" s="32" t="str">
        <f>'Ontario Total'!A294</f>
        <v>High Efficiency Toilets (HET)</v>
      </c>
      <c r="B294" s="1731">
        <f>'Chino Hills'!N178</f>
        <v>0</v>
      </c>
      <c r="C294" s="1732"/>
      <c r="D294" s="1855">
        <f>F294*325851</f>
        <v>0</v>
      </c>
      <c r="E294" s="1732"/>
      <c r="F294" s="1899">
        <f>0.0425*B294</f>
        <v>0</v>
      </c>
      <c r="G294" s="1885"/>
      <c r="H294" s="957">
        <f>F294*20</f>
        <v>0</v>
      </c>
      <c r="I294" s="130">
        <v>0</v>
      </c>
      <c r="J294" s="131">
        <f>50*B294</f>
        <v>0</v>
      </c>
      <c r="K294" s="131">
        <f>B294*50</f>
        <v>0</v>
      </c>
      <c r="L294" s="132">
        <f>I294+J294+K294</f>
        <v>0</v>
      </c>
      <c r="M294" s="1792">
        <f>IF(ISERROR(L294/(F294*727)),0,L294/(F294*727))</f>
        <v>0</v>
      </c>
      <c r="N294" s="1793"/>
    </row>
    <row r="295" spans="1:14">
      <c r="A295" s="32" t="str">
        <f>'Ontario Total'!A295</f>
        <v>High Efficiency Clothes Washers (HECW)</v>
      </c>
      <c r="B295" s="1421">
        <f>'Chino Hills'!N179</f>
        <v>125</v>
      </c>
      <c r="C295" s="1422"/>
      <c r="D295" s="1431">
        <f>F295*325851</f>
        <v>1124185.95</v>
      </c>
      <c r="E295" s="1422"/>
      <c r="F295" s="1871">
        <f>0.0276*B295</f>
        <v>3.4499999999999997</v>
      </c>
      <c r="G295" s="1450"/>
      <c r="H295" s="957">
        <f>F295*15</f>
        <v>51.749999999999993</v>
      </c>
      <c r="I295" s="130">
        <f>0*B295</f>
        <v>0</v>
      </c>
      <c r="J295" s="131">
        <f>65*B295</f>
        <v>8125</v>
      </c>
      <c r="K295" s="131">
        <f>B295*85</f>
        <v>10625</v>
      </c>
      <c r="L295" s="132">
        <f t="shared" ref="L295:L301" si="72">I295+J295+K295</f>
        <v>18750</v>
      </c>
      <c r="M295" s="1758">
        <f t="shared" ref="M295:M300" si="73">IF(ISERROR(L295/(F295*727)),0,L295/(F295*727))</f>
        <v>7.4756294479995224</v>
      </c>
      <c r="N295" s="1759"/>
    </row>
    <row r="296" spans="1:14">
      <c r="A296" s="32" t="str">
        <f>'Ontario Total'!A296</f>
        <v>Rotating Nozzles for Pop-up Spray Heads</v>
      </c>
      <c r="B296" s="1421">
        <f>'Chino Hills'!N180</f>
        <v>0</v>
      </c>
      <c r="C296" s="1422"/>
      <c r="D296" s="1431">
        <f>F296*325851</f>
        <v>0</v>
      </c>
      <c r="E296" s="1422"/>
      <c r="F296" s="1871">
        <f>0.004*B296</f>
        <v>0</v>
      </c>
      <c r="G296" s="1450"/>
      <c r="H296" s="957">
        <f>F296*5</f>
        <v>0</v>
      </c>
      <c r="I296" s="130">
        <f>0*B296</f>
        <v>0</v>
      </c>
      <c r="J296" s="131">
        <f>1*B296</f>
        <v>0</v>
      </c>
      <c r="K296" s="131">
        <f>B296*4</f>
        <v>0</v>
      </c>
      <c r="L296" s="132">
        <f t="shared" si="72"/>
        <v>0</v>
      </c>
      <c r="M296" s="1758">
        <f t="shared" si="73"/>
        <v>0</v>
      </c>
      <c r="N296" s="1759"/>
    </row>
    <row r="297" spans="1:14" ht="14" thickBot="1">
      <c r="A297" s="32" t="str">
        <f>'Ontario Total'!A297</f>
        <v>Weather based Irrigation Controllers (WBIC)</v>
      </c>
      <c r="B297" s="1421">
        <f>'Chino Hills'!N181</f>
        <v>5</v>
      </c>
      <c r="C297" s="1422"/>
      <c r="D297" s="1467">
        <f>F297*325851</f>
        <v>529507.875</v>
      </c>
      <c r="E297" s="1433"/>
      <c r="F297" s="1876">
        <f>0.325*B297</f>
        <v>1.625</v>
      </c>
      <c r="G297" s="1877"/>
      <c r="H297" s="956">
        <f>F297*10</f>
        <v>16.25</v>
      </c>
      <c r="I297" s="130">
        <v>0</v>
      </c>
      <c r="J297" s="133">
        <f>70*B297</f>
        <v>350</v>
      </c>
      <c r="K297" s="133">
        <f>B297*80</f>
        <v>400</v>
      </c>
      <c r="L297" s="132">
        <f t="shared" si="72"/>
        <v>750</v>
      </c>
      <c r="M297" s="1758">
        <f t="shared" si="73"/>
        <v>0.6348534546608825</v>
      </c>
      <c r="N297" s="1759"/>
    </row>
    <row r="298" spans="1:14" ht="14" hidden="1" thickBot="1">
      <c r="A298" s="76" t="s">
        <v>164</v>
      </c>
      <c r="B298" s="1421">
        <f>'Chino Hills'!N182</f>
        <v>0</v>
      </c>
      <c r="C298" s="1422"/>
      <c r="D298" s="1467">
        <v>0</v>
      </c>
      <c r="E298" s="1433"/>
      <c r="F298" s="1467">
        <v>0</v>
      </c>
      <c r="G298" s="1433"/>
      <c r="H298" s="812">
        <f>F298*10</f>
        <v>0</v>
      </c>
      <c r="I298" s="106">
        <v>0</v>
      </c>
      <c r="J298" s="19">
        <v>0</v>
      </c>
      <c r="K298" s="19">
        <v>0</v>
      </c>
      <c r="L298" s="806">
        <f t="shared" si="72"/>
        <v>0</v>
      </c>
      <c r="M298" s="1758">
        <f t="shared" si="73"/>
        <v>0</v>
      </c>
      <c r="N298" s="1759"/>
    </row>
    <row r="299" spans="1:14" s="1161" customFormat="1" ht="17" thickBot="1">
      <c r="A299" s="108" t="str">
        <f>'Ontario Total'!A299</f>
        <v>IEUA Locally Implemented Residential Programs</v>
      </c>
      <c r="B299" s="1456"/>
      <c r="C299" s="1586"/>
      <c r="D299" s="1567"/>
      <c r="E299" s="1586"/>
      <c r="F299" s="1567"/>
      <c r="G299" s="1586"/>
      <c r="H299" s="1142"/>
      <c r="I299" s="109"/>
      <c r="J299" s="109"/>
      <c r="K299" s="109"/>
      <c r="L299" s="1141"/>
      <c r="M299" s="1617"/>
      <c r="N299" s="1486"/>
    </row>
    <row r="300" spans="1:14">
      <c r="A300" s="78" t="s">
        <v>205</v>
      </c>
      <c r="B300" s="1421">
        <f>'Chino Hills'!N184</f>
        <v>3572</v>
      </c>
      <c r="C300" s="1422"/>
      <c r="D300" s="1467">
        <f>F300*325900</f>
        <v>4656459.2</v>
      </c>
      <c r="E300" s="1432"/>
      <c r="F300" s="1876">
        <f>B300*0.004</f>
        <v>14.288</v>
      </c>
      <c r="G300" s="1902"/>
      <c r="H300" s="975">
        <f>F300*5</f>
        <v>71.44</v>
      </c>
      <c r="I300" s="130">
        <v>0</v>
      </c>
      <c r="J300" s="130">
        <v>0</v>
      </c>
      <c r="K300" s="130">
        <f>1625*3.25</f>
        <v>5281.25</v>
      </c>
      <c r="L300" s="132">
        <f t="shared" si="72"/>
        <v>5281.25</v>
      </c>
      <c r="M300" s="1758">
        <f t="shared" si="73"/>
        <v>0.50842965538168639</v>
      </c>
      <c r="N300" s="1759"/>
    </row>
    <row r="301" spans="1:14">
      <c r="A301" s="32" t="s">
        <v>166</v>
      </c>
      <c r="B301" s="1421">
        <f>'Chino Hills'!N185</f>
        <v>21</v>
      </c>
      <c r="C301" s="1422"/>
      <c r="D301" s="1467">
        <f>F301*325900</f>
        <v>5540300</v>
      </c>
      <c r="E301" s="1433"/>
      <c r="F301" s="1876">
        <v>17</v>
      </c>
      <c r="G301" s="1877"/>
      <c r="H301" s="975">
        <v>135</v>
      </c>
      <c r="I301" s="130">
        <v>12311.33</v>
      </c>
      <c r="J301" s="130">
        <v>2003.75</v>
      </c>
      <c r="K301" s="130">
        <v>14315.5</v>
      </c>
      <c r="L301" s="132">
        <f t="shared" si="72"/>
        <v>28630.58</v>
      </c>
      <c r="M301" s="1758">
        <f>IF(ISERROR(L301/(F301*727)),0,L301/(F301*727))</f>
        <v>2.3165773929929609</v>
      </c>
      <c r="N301" s="1759"/>
    </row>
    <row r="302" spans="1:14" ht="14" thickBot="1">
      <c r="A302" s="78" t="s">
        <v>200</v>
      </c>
      <c r="B302" s="1421">
        <f>'Chino Hills'!N186</f>
        <v>4</v>
      </c>
      <c r="C302" s="1422"/>
      <c r="D302" s="1744">
        <f>F302*325900</f>
        <v>121638.91599999998</v>
      </c>
      <c r="E302" s="1437"/>
      <c r="F302" s="1905">
        <f>2666*0.00014</f>
        <v>0.37323999999999996</v>
      </c>
      <c r="G302" s="1906"/>
      <c r="H302" s="951">
        <f>F302*10</f>
        <v>3.7323999999999997</v>
      </c>
      <c r="I302" s="145">
        <f>2666*0.25</f>
        <v>666.5</v>
      </c>
      <c r="J302" s="145">
        <f>0.83*2666</f>
        <v>2212.7799999999997</v>
      </c>
      <c r="K302" s="145">
        <f>2666*1</f>
        <v>2666</v>
      </c>
      <c r="L302" s="131">
        <f>I302+J302+K302</f>
        <v>5545.28</v>
      </c>
      <c r="M302" s="1943">
        <f>IF(ISERROR(L302/(F302*727)),0,L302/(F302*727))</f>
        <v>20.436235016702696</v>
      </c>
      <c r="N302" s="1759"/>
    </row>
    <row r="303" spans="1:14" s="533" customFormat="1" ht="14" thickBot="1">
      <c r="A303" s="53" t="s">
        <v>60</v>
      </c>
      <c r="B303" s="1438">
        <f>SUM(B294:C302)</f>
        <v>3727</v>
      </c>
      <c r="C303" s="1439"/>
      <c r="D303" s="1441">
        <f>SUM(D294:E302)</f>
        <v>11972091.941</v>
      </c>
      <c r="E303" s="1439"/>
      <c r="F303" s="1441">
        <f>SUM(F294:G302)</f>
        <v>36.736240000000002</v>
      </c>
      <c r="G303" s="1439"/>
      <c r="H303" s="786">
        <f>SUM(H294:H302)</f>
        <v>278.17239999999998</v>
      </c>
      <c r="I303" s="146">
        <f>SUM(I294:I302)</f>
        <v>12977.83</v>
      </c>
      <c r="J303" s="146">
        <f>SUM(J294:J302)</f>
        <v>12691.529999999999</v>
      </c>
      <c r="K303" s="146">
        <f>SUM(K294:K302)</f>
        <v>33287.75</v>
      </c>
      <c r="L303" s="160">
        <f>SUM(L294:L302)</f>
        <v>58957.11</v>
      </c>
      <c r="M303" s="1440"/>
      <c r="N303" s="1730"/>
    </row>
    <row r="304" spans="1:14" s="1161" customFormat="1" ht="17" thickBot="1">
      <c r="A304" s="108" t="str">
        <f>'Ontario Total'!A304</f>
        <v xml:space="preserve">IEUA High Efficiency Toilet (HET) Installation Prog. </v>
      </c>
      <c r="B304" s="1456"/>
      <c r="C304" s="1586"/>
      <c r="D304" s="1567"/>
      <c r="E304" s="1586"/>
      <c r="F304" s="1567"/>
      <c r="G304" s="1586"/>
      <c r="H304" s="1142"/>
      <c r="I304" s="109"/>
      <c r="J304" s="109"/>
      <c r="K304" s="109"/>
      <c r="L304" s="109"/>
      <c r="M304" s="1485"/>
      <c r="N304" s="1486"/>
    </row>
    <row r="305" spans="1:18">
      <c r="A305" s="32" t="str">
        <f>'Ontario Total'!A305</f>
        <v>IEUA Multi-Family Direct Install Prog. (HET)</v>
      </c>
      <c r="B305" s="1421">
        <f>'Chino Hills'!N189</f>
        <v>0</v>
      </c>
      <c r="C305" s="1422"/>
      <c r="D305" s="1855">
        <f>F305*325851</f>
        <v>0</v>
      </c>
      <c r="E305" s="1732"/>
      <c r="F305" s="1899">
        <f>0.0425*B305</f>
        <v>0</v>
      </c>
      <c r="G305" s="1885"/>
      <c r="H305" s="958">
        <f>F305*20</f>
        <v>0</v>
      </c>
      <c r="I305" s="147">
        <f>73.34*B305</f>
        <v>0</v>
      </c>
      <c r="J305" s="147">
        <f>35.66*B305</f>
        <v>0</v>
      </c>
      <c r="K305" s="147">
        <f>B305*50</f>
        <v>0</v>
      </c>
      <c r="L305" s="147">
        <f>I305+J305+K305</f>
        <v>0</v>
      </c>
      <c r="M305" s="1942">
        <f>IF(ISERROR(L305/(F305*727)),0,L305/(F305*727))</f>
        <v>0</v>
      </c>
      <c r="N305" s="1793"/>
    </row>
    <row r="306" spans="1:18" ht="14" thickBot="1">
      <c r="A306" s="32" t="str">
        <f>'Ontario Total'!A306</f>
        <v>IEUA Single-Family Direct Install Prog. (HET)</v>
      </c>
      <c r="B306" s="1421">
        <f>'Chino Hills'!N190</f>
        <v>81</v>
      </c>
      <c r="C306" s="1422"/>
      <c r="D306" s="1734">
        <f>F306*325851</f>
        <v>1121742.0675000001</v>
      </c>
      <c r="E306" s="1430"/>
      <c r="F306" s="1901">
        <f>0.0425*B306</f>
        <v>3.4425000000000003</v>
      </c>
      <c r="G306" s="1887"/>
      <c r="H306" s="959">
        <f>F306*20</f>
        <v>68.850000000000009</v>
      </c>
      <c r="I306" s="148">
        <f>73.34*B306</f>
        <v>5940.54</v>
      </c>
      <c r="J306" s="148">
        <f>35.66*B306</f>
        <v>2888.4599999999996</v>
      </c>
      <c r="K306" s="148">
        <f>B306*50</f>
        <v>4050</v>
      </c>
      <c r="L306" s="148">
        <f>I306+J306+K306</f>
        <v>12879</v>
      </c>
      <c r="M306" s="1909">
        <f>IF(ISERROR(L306/(F306*727)),0,L306/(F306*727))</f>
        <v>5.146047414839388</v>
      </c>
      <c r="N306" s="1755"/>
    </row>
    <row r="307" spans="1:18" s="533" customFormat="1" ht="14" thickBot="1">
      <c r="A307" s="53" t="s">
        <v>60</v>
      </c>
      <c r="B307" s="1438">
        <f>SUM(B305:B306)</f>
        <v>81</v>
      </c>
      <c r="C307" s="1439"/>
      <c r="D307" s="1441">
        <f>SUM(D305:D306)</f>
        <v>1121742.0675000001</v>
      </c>
      <c r="E307" s="1439"/>
      <c r="F307" s="1441">
        <f>SUM(F305:F306)</f>
        <v>3.4425000000000003</v>
      </c>
      <c r="G307" s="1439"/>
      <c r="H307" s="786">
        <f>SUM(H305:H306)</f>
        <v>68.850000000000009</v>
      </c>
      <c r="I307" s="136">
        <f>SUM(I305:I306)</f>
        <v>5940.54</v>
      </c>
      <c r="J307" s="143">
        <f>SUM(J305:J306)</f>
        <v>2888.4599999999996</v>
      </c>
      <c r="K307" s="143">
        <f>SUM(K305:K306)</f>
        <v>4050</v>
      </c>
      <c r="L307" s="143">
        <f>SUM(L305:L306)</f>
        <v>12879</v>
      </c>
      <c r="M307" s="1856"/>
      <c r="N307" s="1790"/>
    </row>
    <row r="308" spans="1:18" s="1161" customFormat="1" ht="17" thickBot="1">
      <c r="A308" s="108" t="str">
        <f>'Ontario Total'!A308</f>
        <v>SoCal Water$mart Commercial Rebates</v>
      </c>
      <c r="B308" s="1456"/>
      <c r="C308" s="1586"/>
      <c r="D308" s="1567"/>
      <c r="E308" s="1586"/>
      <c r="F308" s="1567"/>
      <c r="G308" s="1586"/>
      <c r="H308" s="1142"/>
      <c r="I308" s="109"/>
      <c r="J308" s="109"/>
      <c r="K308" s="109"/>
      <c r="L308" s="109"/>
      <c r="M308" s="1485"/>
      <c r="N308" s="1486"/>
    </row>
    <row r="309" spans="1:18">
      <c r="A309" s="32" t="str">
        <f>'Ontario Total'!A309</f>
        <v>High Efficiency Toilets (HET)</v>
      </c>
      <c r="B309" s="1421">
        <f>'Chino Hills'!N193</f>
        <v>0</v>
      </c>
      <c r="C309" s="1422"/>
      <c r="D309" s="1855">
        <f t="shared" ref="D309:D315" si="74">F309*325851</f>
        <v>0</v>
      </c>
      <c r="E309" s="1732"/>
      <c r="F309" s="1899">
        <f>0.0425*B309</f>
        <v>0</v>
      </c>
      <c r="G309" s="1885"/>
      <c r="H309" s="957">
        <f>F309*20</f>
        <v>0</v>
      </c>
      <c r="I309" s="130">
        <v>0</v>
      </c>
      <c r="J309" s="130">
        <f>135*B309</f>
        <v>0</v>
      </c>
      <c r="K309" s="130">
        <f>165*B309</f>
        <v>0</v>
      </c>
      <c r="L309" s="131">
        <f>SUM(I309:K309)</f>
        <v>0</v>
      </c>
      <c r="M309" s="1942">
        <f>IF(ISERROR(L309/(F309*727)),0,L309/(F309*727))</f>
        <v>0</v>
      </c>
      <c r="N309" s="1793"/>
    </row>
    <row r="310" spans="1:18">
      <c r="A310" s="32" t="str">
        <f>'Ontario Total'!A310</f>
        <v>Waterless Urinals</v>
      </c>
      <c r="B310" s="1421">
        <f>'Chino Hills'!N194</f>
        <v>0</v>
      </c>
      <c r="C310" s="1422"/>
      <c r="D310" s="1431">
        <f t="shared" si="74"/>
        <v>0</v>
      </c>
      <c r="E310" s="1422"/>
      <c r="F310" s="1871">
        <f>0.1227*B310</f>
        <v>0</v>
      </c>
      <c r="G310" s="1450"/>
      <c r="H310" s="957">
        <f>F310*20</f>
        <v>0</v>
      </c>
      <c r="I310" s="130">
        <v>0</v>
      </c>
      <c r="J310" s="130">
        <f>B310*50</f>
        <v>0</v>
      </c>
      <c r="K310" s="130">
        <f>200*B310</f>
        <v>0</v>
      </c>
      <c r="L310" s="131">
        <f t="shared" ref="L310:L324" si="75">SUM(I310:K310)</f>
        <v>0</v>
      </c>
      <c r="M310" s="1943">
        <f t="shared" ref="M310:M324" si="76">IF(ISERROR(L310/(F310*727)),0,L310/(F310*727))</f>
        <v>0</v>
      </c>
      <c r="N310" s="1759"/>
    </row>
    <row r="311" spans="1:18">
      <c r="A311" s="32" t="s">
        <v>204</v>
      </c>
      <c r="B311" s="1421">
        <f>'Chino Hills'!N195</f>
        <v>0</v>
      </c>
      <c r="C311" s="1422"/>
      <c r="D311" s="1431">
        <f t="shared" si="74"/>
        <v>0</v>
      </c>
      <c r="E311" s="1422"/>
      <c r="F311" s="1871">
        <f>0.644*B311</f>
        <v>0</v>
      </c>
      <c r="G311" s="1450"/>
      <c r="H311" s="957">
        <f>F311*5</f>
        <v>0</v>
      </c>
      <c r="I311" s="130">
        <v>0</v>
      </c>
      <c r="J311" s="130">
        <f>B311*500</f>
        <v>0</v>
      </c>
      <c r="K311" s="130">
        <f>B311*1750</f>
        <v>0</v>
      </c>
      <c r="L311" s="131">
        <f t="shared" si="75"/>
        <v>0</v>
      </c>
      <c r="M311" s="1943">
        <f t="shared" si="76"/>
        <v>0</v>
      </c>
      <c r="N311" s="1759"/>
    </row>
    <row r="312" spans="1:18">
      <c r="A312" s="32" t="str">
        <f>'Ontario Total'!A312</f>
        <v>High Efficiency Clothes Washers</v>
      </c>
      <c r="B312" s="1421">
        <f>'Chino Hills'!N196</f>
        <v>0</v>
      </c>
      <c r="C312" s="1422"/>
      <c r="D312" s="1431">
        <f t="shared" si="74"/>
        <v>0</v>
      </c>
      <c r="E312" s="1422"/>
      <c r="F312" s="1871">
        <f>0.0276*B312</f>
        <v>0</v>
      </c>
      <c r="G312" s="1450"/>
      <c r="H312" s="957">
        <f>F312*10</f>
        <v>0</v>
      </c>
      <c r="I312" s="130">
        <v>0</v>
      </c>
      <c r="J312" s="130">
        <f>100*B312</f>
        <v>0</v>
      </c>
      <c r="K312" s="130">
        <f>80*B312</f>
        <v>0</v>
      </c>
      <c r="L312" s="131">
        <f t="shared" si="75"/>
        <v>0</v>
      </c>
      <c r="M312" s="1943">
        <f t="shared" si="76"/>
        <v>0</v>
      </c>
      <c r="N312" s="1759"/>
    </row>
    <row r="313" spans="1:18" hidden="1">
      <c r="A313" s="35" t="s">
        <v>47</v>
      </c>
      <c r="B313" s="1421">
        <f>'Chino Hills'!N197</f>
        <v>0</v>
      </c>
      <c r="C313" s="1422"/>
      <c r="D313" s="1431">
        <f t="shared" si="74"/>
        <v>0</v>
      </c>
      <c r="E313" s="1422"/>
      <c r="F313" s="1871">
        <f>0.1534*B313</f>
        <v>0</v>
      </c>
      <c r="G313" s="1450"/>
      <c r="H313" s="957">
        <f>F313*5</f>
        <v>0</v>
      </c>
      <c r="I313" s="130">
        <v>0</v>
      </c>
      <c r="J313" s="130">
        <f>0*B313</f>
        <v>0</v>
      </c>
      <c r="K313" s="130">
        <f>150*B313</f>
        <v>0</v>
      </c>
      <c r="L313" s="131">
        <f t="shared" si="75"/>
        <v>0</v>
      </c>
      <c r="M313" s="1943">
        <f t="shared" si="76"/>
        <v>0</v>
      </c>
      <c r="N313" s="1759"/>
    </row>
    <row r="314" spans="1:18">
      <c r="A314" s="32" t="str">
        <f>'Ontario Total'!A314</f>
        <v>Weather based Irrigation Controllers (WBIC)</v>
      </c>
      <c r="B314" s="1435">
        <v>9</v>
      </c>
      <c r="C314" s="1433"/>
      <c r="D314" s="1431">
        <f t="shared" si="74"/>
        <v>953114.17500000005</v>
      </c>
      <c r="E314" s="1422"/>
      <c r="F314" s="1871">
        <f>0.325*B314</f>
        <v>2.9250000000000003</v>
      </c>
      <c r="G314" s="1450"/>
      <c r="H314" s="957">
        <f>F314*10</f>
        <v>29.250000000000004</v>
      </c>
      <c r="I314" s="130">
        <v>0</v>
      </c>
      <c r="J314" s="130">
        <v>5517</v>
      </c>
      <c r="K314" s="130">
        <v>8500</v>
      </c>
      <c r="L314" s="131">
        <f t="shared" si="75"/>
        <v>14017</v>
      </c>
      <c r="M314" s="1943">
        <f t="shared" si="76"/>
        <v>6.5916599066530281</v>
      </c>
      <c r="N314" s="1759"/>
    </row>
    <row r="315" spans="1:18" hidden="1">
      <c r="A315" s="33" t="s">
        <v>53</v>
      </c>
      <c r="B315" s="1435">
        <f>'Chino Hills'!N199</f>
        <v>0</v>
      </c>
      <c r="C315" s="1433"/>
      <c r="D315" s="1431">
        <f t="shared" si="74"/>
        <v>0</v>
      </c>
      <c r="E315" s="1422"/>
      <c r="F315" s="1871">
        <f>0.00014*B315</f>
        <v>0</v>
      </c>
      <c r="G315" s="1450"/>
      <c r="H315" s="957">
        <f>F315*10</f>
        <v>0</v>
      </c>
      <c r="I315" s="130">
        <v>0</v>
      </c>
      <c r="J315" s="130">
        <f>0.45*B315</f>
        <v>0</v>
      </c>
      <c r="K315" s="130">
        <f>0.3*B315</f>
        <v>0</v>
      </c>
      <c r="L315" s="131">
        <f t="shared" si="75"/>
        <v>0</v>
      </c>
      <c r="M315" s="1943">
        <f t="shared" si="76"/>
        <v>0</v>
      </c>
      <c r="N315" s="1759"/>
    </row>
    <row r="316" spans="1:18">
      <c r="A316" s="32" t="str">
        <f>'Ontario Total'!A316</f>
        <v>Rotating Nozzles for Pop-up Spray Heads</v>
      </c>
      <c r="B316" s="1435">
        <v>1718</v>
      </c>
      <c r="C316" s="1433"/>
      <c r="D316" s="1431">
        <f t="shared" ref="D316:D321" si="77">F316*325851</f>
        <v>2239248.0720000002</v>
      </c>
      <c r="E316" s="1422"/>
      <c r="F316" s="1871">
        <f>0.004*B316</f>
        <v>6.8719999999999999</v>
      </c>
      <c r="G316" s="1450"/>
      <c r="H316" s="957">
        <f>F316*5</f>
        <v>34.36</v>
      </c>
      <c r="I316" s="130">
        <v>0</v>
      </c>
      <c r="J316" s="130">
        <f>B316*1</f>
        <v>1718</v>
      </c>
      <c r="K316" s="130">
        <f>4*B316</f>
        <v>6872</v>
      </c>
      <c r="L316" s="131">
        <f t="shared" si="75"/>
        <v>8590</v>
      </c>
      <c r="M316" s="1943">
        <f t="shared" si="76"/>
        <v>1.7193947730398902</v>
      </c>
      <c r="N316" s="1759"/>
    </row>
    <row r="317" spans="1:18">
      <c r="A317" s="32" t="str">
        <f>'Ontario Total'!A317</f>
        <v>Large Rotary Nozzles</v>
      </c>
      <c r="B317" s="1421">
        <f>'Chino Hills'!N201</f>
        <v>0</v>
      </c>
      <c r="C317" s="1422"/>
      <c r="D317" s="1431">
        <f t="shared" si="77"/>
        <v>0</v>
      </c>
      <c r="E317" s="1422"/>
      <c r="F317" s="1871">
        <f>0.018*B317</f>
        <v>0</v>
      </c>
      <c r="G317" s="1450"/>
      <c r="H317" s="957">
        <f>F317*10</f>
        <v>0</v>
      </c>
      <c r="I317" s="130">
        <v>0</v>
      </c>
      <c r="J317" s="130">
        <f>0*B317</f>
        <v>0</v>
      </c>
      <c r="K317" s="130">
        <f>13*B317</f>
        <v>0</v>
      </c>
      <c r="L317" s="131">
        <f t="shared" si="75"/>
        <v>0</v>
      </c>
      <c r="M317" s="1943">
        <f t="shared" si="76"/>
        <v>0</v>
      </c>
      <c r="N317" s="1759"/>
    </row>
    <row r="318" spans="1:18" hidden="1">
      <c r="A318" s="33" t="s">
        <v>102</v>
      </c>
      <c r="B318" s="1421">
        <f>'Chino Hills'!N202</f>
        <v>0</v>
      </c>
      <c r="C318" s="1422"/>
      <c r="D318" s="1431">
        <f t="shared" si="77"/>
        <v>0</v>
      </c>
      <c r="E318" s="1422"/>
      <c r="F318" s="1871">
        <f>0.018*B318</f>
        <v>0</v>
      </c>
      <c r="G318" s="1450"/>
      <c r="H318" s="957">
        <f>F318*10</f>
        <v>0</v>
      </c>
      <c r="I318" s="130">
        <v>1</v>
      </c>
      <c r="J318" s="130">
        <f>0*B318</f>
        <v>0</v>
      </c>
      <c r="K318" s="130">
        <f>13*B318</f>
        <v>0</v>
      </c>
      <c r="L318" s="131">
        <f t="shared" si="75"/>
        <v>1</v>
      </c>
      <c r="M318" s="1943">
        <f t="shared" si="76"/>
        <v>0</v>
      </c>
      <c r="N318" s="1759"/>
    </row>
    <row r="319" spans="1:18">
      <c r="A319" s="32" t="str">
        <f>'Ontario Total'!A319</f>
        <v xml:space="preserve">Central Computerized Irrigation Controller </v>
      </c>
      <c r="B319" s="1421">
        <f>'Chino Hills'!N203</f>
        <v>0</v>
      </c>
      <c r="C319" s="1422"/>
      <c r="D319" s="1431">
        <f t="shared" si="77"/>
        <v>0</v>
      </c>
      <c r="E319" s="1422"/>
      <c r="F319" s="1871">
        <f>0.018*B319</f>
        <v>0</v>
      </c>
      <c r="G319" s="1450"/>
      <c r="H319" s="957">
        <f>F319*10</f>
        <v>0</v>
      </c>
      <c r="I319" s="130">
        <v>0</v>
      </c>
      <c r="J319" s="130">
        <v>0</v>
      </c>
      <c r="K319" s="130">
        <v>0</v>
      </c>
      <c r="L319" s="131">
        <f t="shared" si="75"/>
        <v>0</v>
      </c>
      <c r="M319" s="1943">
        <f t="shared" si="76"/>
        <v>0</v>
      </c>
      <c r="N319" s="1759"/>
    </row>
    <row r="320" spans="1:18" s="57" customFormat="1">
      <c r="A320" s="144" t="str">
        <f>'Ontario Total'!A320</f>
        <v>Laminar Flow Restrictor</v>
      </c>
      <c r="B320" s="1945">
        <f>'Chino Hills'!N204</f>
        <v>0</v>
      </c>
      <c r="C320" s="1446"/>
      <c r="D320" s="1736">
        <f t="shared" si="77"/>
        <v>0</v>
      </c>
      <c r="E320" s="1446"/>
      <c r="F320" s="1897">
        <f>0.018*B320</f>
        <v>0</v>
      </c>
      <c r="G320" s="1898"/>
      <c r="H320" s="966">
        <f>F320*10</f>
        <v>0</v>
      </c>
      <c r="I320" s="130">
        <v>0</v>
      </c>
      <c r="J320" s="130">
        <v>0</v>
      </c>
      <c r="K320" s="130">
        <v>0</v>
      </c>
      <c r="L320" s="130">
        <f t="shared" si="75"/>
        <v>0</v>
      </c>
      <c r="M320" s="1944">
        <f t="shared" si="76"/>
        <v>0</v>
      </c>
      <c r="N320" s="1860"/>
      <c r="P320" s="66"/>
      <c r="Q320" s="66"/>
      <c r="R320" s="66"/>
    </row>
    <row r="321" spans="1:14" s="57" customFormat="1" ht="14" thickBot="1">
      <c r="A321" s="144" t="str">
        <f>'Ontario Total'!A321</f>
        <v>Air-Cooled Ice Machine</v>
      </c>
      <c r="B321" s="1945">
        <f>'Chino Hills'!N205</f>
        <v>0</v>
      </c>
      <c r="C321" s="1446"/>
      <c r="D321" s="1736">
        <f t="shared" si="77"/>
        <v>0</v>
      </c>
      <c r="E321" s="1446"/>
      <c r="F321" s="1897">
        <f>0.018*B321</f>
        <v>0</v>
      </c>
      <c r="G321" s="1898"/>
      <c r="H321" s="966">
        <f>F321*10</f>
        <v>0</v>
      </c>
      <c r="I321" s="130">
        <v>0</v>
      </c>
      <c r="J321" s="130">
        <v>0</v>
      </c>
      <c r="K321" s="130">
        <v>0</v>
      </c>
      <c r="L321" s="130">
        <f t="shared" si="75"/>
        <v>0</v>
      </c>
      <c r="M321" s="1944">
        <f t="shared" si="76"/>
        <v>0</v>
      </c>
      <c r="N321" s="1860"/>
    </row>
    <row r="322" spans="1:14" s="1161" customFormat="1" ht="17" thickBot="1">
      <c r="A322" s="108" t="str">
        <f>'Ontario Total'!A322</f>
        <v>IEUA Locally Implemented Commercial Programs</v>
      </c>
      <c r="B322" s="1456"/>
      <c r="C322" s="1586"/>
      <c r="D322" s="1567"/>
      <c r="E322" s="1586"/>
      <c r="F322" s="1567"/>
      <c r="G322" s="1586"/>
      <c r="H322" s="1142"/>
      <c r="I322" s="109"/>
      <c r="J322" s="109"/>
      <c r="K322" s="109"/>
      <c r="L322" s="109"/>
      <c r="M322" s="1485"/>
      <c r="N322" s="1486"/>
    </row>
    <row r="323" spans="1:14">
      <c r="A323" s="32" t="str">
        <f>'Ontario Total'!A323</f>
        <v>Fontana Unified School Retrofit Program</v>
      </c>
      <c r="B323" s="1421">
        <f>'Chino Hills'!N207</f>
        <v>0</v>
      </c>
      <c r="C323" s="1422"/>
      <c r="D323" s="1431">
        <f>F323*325851</f>
        <v>0</v>
      </c>
      <c r="E323" s="1422"/>
      <c r="F323" s="1871">
        <f>0.018*B323</f>
        <v>0</v>
      </c>
      <c r="G323" s="1450"/>
      <c r="H323" s="957">
        <f>F323*10</f>
        <v>0</v>
      </c>
      <c r="I323" s="149">
        <v>0</v>
      </c>
      <c r="J323" s="130">
        <v>0</v>
      </c>
      <c r="K323" s="130">
        <v>0</v>
      </c>
      <c r="L323" s="131">
        <f t="shared" si="75"/>
        <v>0</v>
      </c>
      <c r="M323" s="1943">
        <f t="shared" si="76"/>
        <v>0</v>
      </c>
      <c r="N323" s="1759"/>
    </row>
    <row r="324" spans="1:14" ht="14" thickBot="1">
      <c r="A324" s="32" t="s">
        <v>165</v>
      </c>
      <c r="B324" s="1421">
        <f>'Chino Hills'!N208</f>
        <v>1760</v>
      </c>
      <c r="C324" s="1422"/>
      <c r="D324" s="1431">
        <f>F324*325851</f>
        <v>2293991.04</v>
      </c>
      <c r="E324" s="1422"/>
      <c r="F324" s="1871">
        <f>0.004*B324</f>
        <v>7.04</v>
      </c>
      <c r="G324" s="1450"/>
      <c r="H324" s="957">
        <f>F324*5</f>
        <v>35.200000000000003</v>
      </c>
      <c r="I324" s="130">
        <v>0</v>
      </c>
      <c r="J324" s="130">
        <f>0*B324</f>
        <v>0</v>
      </c>
      <c r="K324" s="130">
        <f>3.25*B324</f>
        <v>5720</v>
      </c>
      <c r="L324" s="131">
        <f t="shared" si="75"/>
        <v>5720</v>
      </c>
      <c r="M324" s="1909">
        <f t="shared" si="76"/>
        <v>1.1176066024759286</v>
      </c>
      <c r="N324" s="1755"/>
    </row>
    <row r="325" spans="1:14" s="533" customFormat="1" ht="14" thickBot="1">
      <c r="A325" s="53" t="s">
        <v>60</v>
      </c>
      <c r="B325" s="1438">
        <f>SUM(B309:C324)</f>
        <v>3487</v>
      </c>
      <c r="C325" s="1439"/>
      <c r="D325" s="1441">
        <f>SUM(D309:E324)</f>
        <v>5486353.2870000005</v>
      </c>
      <c r="E325" s="1439"/>
      <c r="F325" s="1441">
        <f>SUM(F309:G324)</f>
        <v>16.837</v>
      </c>
      <c r="G325" s="1439"/>
      <c r="H325" s="786">
        <f>SUM(H309:H324)</f>
        <v>98.81</v>
      </c>
      <c r="I325" s="136">
        <v>0</v>
      </c>
      <c r="J325" s="136">
        <f>SUM(J309:J324)</f>
        <v>7235</v>
      </c>
      <c r="K325" s="136">
        <f>SUM(K309:K324)</f>
        <v>21092</v>
      </c>
      <c r="L325" s="143">
        <f>SUM(L309:L324)</f>
        <v>28328</v>
      </c>
      <c r="M325" s="1856"/>
      <c r="N325" s="1790"/>
    </row>
    <row r="326" spans="1:14" s="1168" customFormat="1" ht="17" thickBot="1">
      <c r="A326" s="1163" t="s">
        <v>17</v>
      </c>
      <c r="B326" s="1612">
        <f>SUM(B303+B307+B325)</f>
        <v>7295</v>
      </c>
      <c r="C326" s="1415"/>
      <c r="D326" s="1416">
        <f>SUM(D303+D307+D325)</f>
        <v>18580187.295500003</v>
      </c>
      <c r="E326" s="1415"/>
      <c r="F326" s="1416">
        <f>SUM(F303+F307+F325)</f>
        <v>57.015740000000008</v>
      </c>
      <c r="G326" s="1415"/>
      <c r="H326" s="1164">
        <f>SUM(H303+H307+H325)</f>
        <v>445.83240000000001</v>
      </c>
      <c r="I326" s="1169">
        <f>SUM(I303+I307+I325)</f>
        <v>18918.37</v>
      </c>
      <c r="J326" s="1169">
        <f>SUM(J303+J307+J325)</f>
        <v>22814.989999999998</v>
      </c>
      <c r="K326" s="1169">
        <f>SUM(K303+K307+K325)</f>
        <v>58429.75</v>
      </c>
      <c r="L326" s="1169">
        <f>SUM(L303+L307+L325)</f>
        <v>100164.11</v>
      </c>
      <c r="M326" s="1631"/>
      <c r="N326" s="1632"/>
    </row>
    <row r="327" spans="1:14" ht="16">
      <c r="A327" s="60"/>
      <c r="B327" s="61"/>
      <c r="C327" s="61"/>
      <c r="D327" s="61"/>
      <c r="E327" s="61"/>
      <c r="F327" s="61"/>
      <c r="G327" s="61"/>
      <c r="H327" s="62"/>
      <c r="I327" s="62"/>
      <c r="J327" s="62"/>
      <c r="K327" s="62"/>
      <c r="L327" s="62"/>
      <c r="M327" s="64"/>
      <c r="N327" s="65"/>
    </row>
    <row r="328" spans="1:14" ht="16">
      <c r="A328" s="9" t="s">
        <v>18</v>
      </c>
      <c r="B328" s="1419" t="s">
        <v>59</v>
      </c>
      <c r="C328" s="1419"/>
      <c r="D328" s="1419"/>
      <c r="E328" s="1419"/>
      <c r="F328" s="61"/>
      <c r="G328" s="61"/>
      <c r="H328" s="62"/>
      <c r="I328" s="62"/>
      <c r="J328" s="62"/>
      <c r="K328" s="62"/>
      <c r="L328" s="62"/>
      <c r="M328" s="64"/>
      <c r="N328" s="65"/>
    </row>
    <row r="329" spans="1:14" ht="16">
      <c r="A329" s="57"/>
      <c r="B329" s="1420" t="s">
        <v>19</v>
      </c>
      <c r="C329" s="1420"/>
      <c r="D329" s="1420"/>
      <c r="E329" s="1420"/>
      <c r="F329" s="61"/>
      <c r="G329" s="61"/>
      <c r="H329" s="62"/>
      <c r="I329" s="62"/>
      <c r="J329" s="62"/>
      <c r="K329" s="62"/>
      <c r="L329" s="62"/>
      <c r="M329" s="64"/>
      <c r="N329" s="65"/>
    </row>
    <row r="330" spans="1:14" ht="17" thickBot="1">
      <c r="A330" s="57"/>
      <c r="B330" s="820"/>
      <c r="C330" s="820"/>
      <c r="D330" s="820"/>
      <c r="E330" s="820"/>
      <c r="F330" s="61"/>
      <c r="G330" s="61"/>
      <c r="H330" s="62"/>
      <c r="I330" s="62"/>
      <c r="J330" s="62"/>
      <c r="K330" s="62"/>
      <c r="L330" s="62"/>
      <c r="M330" s="64"/>
      <c r="N330" s="65"/>
    </row>
    <row r="331" spans="1:14" s="363" customFormat="1" ht="16">
      <c r="A331" s="98"/>
      <c r="B331" s="99"/>
      <c r="C331" s="99"/>
      <c r="D331" s="99"/>
      <c r="E331" s="99"/>
      <c r="F331" s="100"/>
      <c r="G331" s="100"/>
      <c r="H331" s="100"/>
      <c r="I331" s="1468" t="s">
        <v>0</v>
      </c>
      <c r="J331" s="1468"/>
      <c r="K331" s="1468"/>
      <c r="L331" s="1468"/>
      <c r="M331" s="99"/>
      <c r="N331" s="101"/>
    </row>
    <row r="332" spans="1:14" ht="16">
      <c r="A332" s="97"/>
      <c r="B332" s="1469" t="s">
        <v>1</v>
      </c>
      <c r="C332" s="1469"/>
      <c r="D332" s="1469" t="s">
        <v>2</v>
      </c>
      <c r="E332" s="1469"/>
      <c r="F332" s="1863" t="s">
        <v>3</v>
      </c>
      <c r="G332" s="1863"/>
      <c r="H332" s="827" t="s">
        <v>3</v>
      </c>
      <c r="I332" s="127" t="s">
        <v>195</v>
      </c>
      <c r="J332" s="102"/>
      <c r="K332" s="102"/>
      <c r="L332" s="128"/>
      <c r="M332" s="1469" t="s">
        <v>4</v>
      </c>
      <c r="N332" s="1526"/>
    </row>
    <row r="333" spans="1:14" ht="19" thickBot="1">
      <c r="A333" s="103" t="s">
        <v>5</v>
      </c>
      <c r="B333" s="1473" t="s">
        <v>6</v>
      </c>
      <c r="C333" s="1473"/>
      <c r="D333" s="1473" t="s">
        <v>7</v>
      </c>
      <c r="E333" s="1473"/>
      <c r="F333" s="1864" t="s">
        <v>7</v>
      </c>
      <c r="G333" s="1864"/>
      <c r="H333" s="828" t="s">
        <v>58</v>
      </c>
      <c r="I333" s="797" t="s">
        <v>196</v>
      </c>
      <c r="J333" s="795" t="s">
        <v>8</v>
      </c>
      <c r="K333" s="795" t="s">
        <v>9</v>
      </c>
      <c r="L333" s="401" t="s">
        <v>10</v>
      </c>
      <c r="M333" s="1473" t="s">
        <v>145</v>
      </c>
      <c r="N333" s="1475"/>
    </row>
    <row r="334" spans="1:14" ht="24" thickBot="1">
      <c r="A334" s="88" t="s">
        <v>180</v>
      </c>
      <c r="B334" s="1476"/>
      <c r="C334" s="1477"/>
      <c r="D334" s="1478"/>
      <c r="E334" s="1479"/>
      <c r="F334" s="1878"/>
      <c r="G334" s="1879"/>
      <c r="H334" s="829"/>
      <c r="I334" s="7"/>
      <c r="J334" s="7"/>
      <c r="K334" s="7"/>
      <c r="L334" s="8"/>
      <c r="M334" s="1764"/>
      <c r="N334" s="1765"/>
    </row>
    <row r="335" spans="1:14" s="1161" customFormat="1" ht="17" thickBot="1">
      <c r="A335" s="108" t="s">
        <v>48</v>
      </c>
      <c r="B335" s="1456"/>
      <c r="C335" s="1586"/>
      <c r="D335" s="1567"/>
      <c r="E335" s="1586"/>
      <c r="F335" s="1619"/>
      <c r="G335" s="1620"/>
      <c r="H335" s="1157"/>
      <c r="I335" s="109"/>
      <c r="J335" s="109"/>
      <c r="K335" s="109"/>
      <c r="L335" s="1141"/>
      <c r="M335" s="1617"/>
      <c r="N335" s="1486"/>
    </row>
    <row r="336" spans="1:14" hidden="1">
      <c r="A336" s="32" t="s">
        <v>29</v>
      </c>
      <c r="B336" s="1731">
        <f>'Chino Hills'!N146</f>
        <v>0</v>
      </c>
      <c r="C336" s="1732"/>
      <c r="D336" s="1855">
        <f>F336*325851</f>
        <v>0</v>
      </c>
      <c r="E336" s="1732"/>
      <c r="F336" s="1899">
        <f>0.0425*B336</f>
        <v>0</v>
      </c>
      <c r="G336" s="1885"/>
      <c r="H336" s="834">
        <f>F336*20</f>
        <v>0</v>
      </c>
      <c r="I336" s="131">
        <v>0</v>
      </c>
      <c r="J336" s="131">
        <f>35*B336</f>
        <v>0</v>
      </c>
      <c r="K336" s="131">
        <f>B336*50</f>
        <v>0</v>
      </c>
      <c r="L336" s="132">
        <f>I336+J336+K336</f>
        <v>0</v>
      </c>
      <c r="M336" s="1792">
        <v>0</v>
      </c>
      <c r="N336" s="1793"/>
    </row>
    <row r="337" spans="1:14">
      <c r="A337" s="32" t="s">
        <v>33</v>
      </c>
      <c r="B337" s="1421">
        <f>'Chino Hills'!N147</f>
        <v>232</v>
      </c>
      <c r="C337" s="1422"/>
      <c r="D337" s="1431">
        <f>F337*325851</f>
        <v>2086489.1232</v>
      </c>
      <c r="E337" s="1422"/>
      <c r="F337" s="1871">
        <f>0.0276*B337</f>
        <v>6.4032</v>
      </c>
      <c r="G337" s="1450"/>
      <c r="H337" s="957">
        <f>F337*15</f>
        <v>96.048000000000002</v>
      </c>
      <c r="I337" s="131">
        <f>0*B337</f>
        <v>0</v>
      </c>
      <c r="J337" s="131">
        <v>0</v>
      </c>
      <c r="K337" s="131">
        <f>B337*85</f>
        <v>19720</v>
      </c>
      <c r="L337" s="132">
        <f>I337+J337+K337</f>
        <v>19720</v>
      </c>
      <c r="M337" s="1758">
        <f>L337/(F337*681)</f>
        <v>4.5223350145778802</v>
      </c>
      <c r="N337" s="1759"/>
    </row>
    <row r="338" spans="1:14">
      <c r="A338" s="32" t="s">
        <v>56</v>
      </c>
      <c r="B338" s="1421">
        <f>'Chino Hills'!N148</f>
        <v>31</v>
      </c>
      <c r="C338" s="1422"/>
      <c r="D338" s="1431">
        <f>F338*325851</f>
        <v>40405.523999999998</v>
      </c>
      <c r="E338" s="1422"/>
      <c r="F338" s="1871">
        <f>0.004*B338</f>
        <v>0.124</v>
      </c>
      <c r="G338" s="1450"/>
      <c r="H338" s="957">
        <f>F338*5</f>
        <v>0.62</v>
      </c>
      <c r="I338" s="131">
        <f>0*B338</f>
        <v>0</v>
      </c>
      <c r="J338" s="131">
        <f>2*B338</f>
        <v>62</v>
      </c>
      <c r="K338" s="131">
        <f>B338*3</f>
        <v>93</v>
      </c>
      <c r="L338" s="132">
        <f>I338+J338+K338</f>
        <v>155</v>
      </c>
      <c r="M338" s="1758">
        <f>L338/(F338*681)</f>
        <v>1.8355359765051396</v>
      </c>
      <c r="N338" s="1759"/>
    </row>
    <row r="339" spans="1:14">
      <c r="A339" s="78" t="s">
        <v>30</v>
      </c>
      <c r="B339" s="1421">
        <f>'Chino Hills'!N149</f>
        <v>7</v>
      </c>
      <c r="C339" s="1422"/>
      <c r="D339" s="1467">
        <f>F339*325851</f>
        <v>741311.02500000002</v>
      </c>
      <c r="E339" s="1433"/>
      <c r="F339" s="1902">
        <f>0.325*B339</f>
        <v>2.2749999999999999</v>
      </c>
      <c r="G339" s="1877"/>
      <c r="H339" s="956">
        <f>F339*10</f>
        <v>22.75</v>
      </c>
      <c r="I339" s="133">
        <v>0</v>
      </c>
      <c r="J339" s="133">
        <f>45*B339</f>
        <v>315</v>
      </c>
      <c r="K339" s="133">
        <f>B339*80</f>
        <v>560</v>
      </c>
      <c r="L339" s="134">
        <f>I339+J339+K339</f>
        <v>875</v>
      </c>
      <c r="M339" s="1758">
        <f>L339/(F339*681)</f>
        <v>0.56478030046311989</v>
      </c>
      <c r="N339" s="1759"/>
    </row>
    <row r="340" spans="1:14" hidden="1">
      <c r="A340" s="76" t="s">
        <v>164</v>
      </c>
      <c r="B340" s="1421">
        <f>'Chino Hills'!N150</f>
        <v>0</v>
      </c>
      <c r="C340" s="1422"/>
      <c r="D340" s="1467">
        <v>0</v>
      </c>
      <c r="E340" s="1433"/>
      <c r="F340" s="1902">
        <v>0</v>
      </c>
      <c r="G340" s="1877"/>
      <c r="H340" s="956">
        <f>F340*10</f>
        <v>0</v>
      </c>
      <c r="I340" s="133">
        <v>0</v>
      </c>
      <c r="J340" s="133">
        <v>0</v>
      </c>
      <c r="K340" s="133">
        <v>0</v>
      </c>
      <c r="L340" s="134">
        <v>0</v>
      </c>
      <c r="M340" s="1758">
        <v>0</v>
      </c>
      <c r="N340" s="1759"/>
    </row>
    <row r="341" spans="1:14">
      <c r="A341" s="76" t="s">
        <v>165</v>
      </c>
      <c r="B341" s="1421">
        <f>'Chino Hills'!N151</f>
        <v>1995</v>
      </c>
      <c r="C341" s="1444"/>
      <c r="D341" s="1467">
        <f>F341*325900</f>
        <v>2600682</v>
      </c>
      <c r="E341" s="1433"/>
      <c r="F341" s="1902">
        <f>B341*0.004</f>
        <v>7.98</v>
      </c>
      <c r="G341" s="1877"/>
      <c r="H341" s="956">
        <f>F341*5</f>
        <v>39.900000000000006</v>
      </c>
      <c r="I341" s="133">
        <v>0</v>
      </c>
      <c r="J341" s="133">
        <v>0</v>
      </c>
      <c r="K341" s="133">
        <f>1625*3</f>
        <v>4875</v>
      </c>
      <c r="L341" s="134">
        <f>SUM(I341:K341)</f>
        <v>4875</v>
      </c>
      <c r="M341" s="1758">
        <f>L341/(F341*681)</f>
        <v>0.89706645468296287</v>
      </c>
      <c r="N341" s="1759"/>
    </row>
    <row r="342" spans="1:14" ht="14" thickBot="1">
      <c r="A342" s="104" t="s">
        <v>166</v>
      </c>
      <c r="B342" s="1429">
        <f>'Chino Hills'!N152</f>
        <v>0</v>
      </c>
      <c r="C342" s="1430"/>
      <c r="D342" s="1744">
        <f>F342*325900</f>
        <v>0</v>
      </c>
      <c r="E342" s="1437"/>
      <c r="F342" s="1910">
        <f>B342*0.004</f>
        <v>0</v>
      </c>
      <c r="G342" s="1906"/>
      <c r="H342" s="951">
        <f>F342*5</f>
        <v>0</v>
      </c>
      <c r="I342" s="529">
        <v>0</v>
      </c>
      <c r="J342" s="529">
        <v>0</v>
      </c>
      <c r="K342" s="529">
        <v>0</v>
      </c>
      <c r="L342" s="530">
        <v>0</v>
      </c>
      <c r="M342" s="1754">
        <v>0</v>
      </c>
      <c r="N342" s="1755"/>
    </row>
    <row r="343" spans="1:14" s="533" customFormat="1" ht="14" thickBot="1">
      <c r="A343" s="53" t="s">
        <v>60</v>
      </c>
      <c r="B343" s="1438">
        <f>SUM(B336:C342)</f>
        <v>2265</v>
      </c>
      <c r="C343" s="1439"/>
      <c r="D343" s="1441">
        <f>SUM(D336:E342)</f>
        <v>5468887.6721999999</v>
      </c>
      <c r="E343" s="1439"/>
      <c r="F343" s="1440">
        <f>SUM(F336:G342)</f>
        <v>16.7822</v>
      </c>
      <c r="G343" s="1439"/>
      <c r="H343" s="786">
        <f>SUM(H336:H342)</f>
        <v>159.31800000000001</v>
      </c>
      <c r="I343" s="136">
        <f>SUM(I336:I342)</f>
        <v>0</v>
      </c>
      <c r="J343" s="136">
        <f>SUM(J336:J342)</f>
        <v>377</v>
      </c>
      <c r="K343" s="136">
        <f>SUM(K336:K342)</f>
        <v>25248</v>
      </c>
      <c r="L343" s="136">
        <f>SUM(L336:L342)</f>
        <v>25625</v>
      </c>
      <c r="M343" s="1657"/>
      <c r="N343" s="1790"/>
    </row>
    <row r="344" spans="1:14" s="1161" customFormat="1" ht="17" thickBot="1">
      <c r="A344" s="108" t="s">
        <v>146</v>
      </c>
      <c r="B344" s="1456"/>
      <c r="C344" s="1586"/>
      <c r="D344" s="1567"/>
      <c r="E344" s="1586"/>
      <c r="F344" s="1457"/>
      <c r="G344" s="1586"/>
      <c r="H344" s="1142"/>
      <c r="I344" s="161"/>
      <c r="J344" s="161"/>
      <c r="K344" s="161"/>
      <c r="L344" s="162"/>
      <c r="M344" s="1617"/>
      <c r="N344" s="1486"/>
    </row>
    <row r="345" spans="1:14">
      <c r="A345" s="76" t="s">
        <v>146</v>
      </c>
      <c r="B345" s="1421">
        <f>'Chino Hills'!N155</f>
        <v>0</v>
      </c>
      <c r="C345" s="1422"/>
      <c r="D345" s="1431">
        <f>F345*325851</f>
        <v>0</v>
      </c>
      <c r="E345" s="1422"/>
      <c r="F345" s="1449">
        <f>0.0425*B345</f>
        <v>0</v>
      </c>
      <c r="G345" s="1450"/>
      <c r="H345" s="1086">
        <f>F345*20</f>
        <v>0</v>
      </c>
      <c r="I345" s="131">
        <f>73.34*B345</f>
        <v>0</v>
      </c>
      <c r="J345" s="131">
        <f>35.66*B345</f>
        <v>0</v>
      </c>
      <c r="K345" s="131">
        <f>B345*50</f>
        <v>0</v>
      </c>
      <c r="L345" s="169">
        <f>I345+J345+K345</f>
        <v>0</v>
      </c>
      <c r="M345" s="1758">
        <v>0</v>
      </c>
      <c r="N345" s="1759"/>
    </row>
    <row r="346" spans="1:14" ht="14" thickBot="1">
      <c r="A346" s="76" t="s">
        <v>181</v>
      </c>
      <c r="B346" s="1429">
        <f>'Chino Hills'!N156</f>
        <v>33</v>
      </c>
      <c r="C346" s="1430"/>
      <c r="D346" s="1734">
        <f>F346*325851</f>
        <v>457006.02750000003</v>
      </c>
      <c r="E346" s="1430"/>
      <c r="F346" s="1886">
        <f>0.0425*B346</f>
        <v>1.4025000000000001</v>
      </c>
      <c r="G346" s="1887"/>
      <c r="H346" s="959">
        <f>F346*20</f>
        <v>28.05</v>
      </c>
      <c r="I346" s="148">
        <f>73.34*B346</f>
        <v>2420.2200000000003</v>
      </c>
      <c r="J346" s="148">
        <f>35.66*B346</f>
        <v>1176.78</v>
      </c>
      <c r="K346" s="148">
        <f>B346*50</f>
        <v>1650</v>
      </c>
      <c r="L346" s="148">
        <f>I346+J346+K346</f>
        <v>5247</v>
      </c>
      <c r="M346" s="1909">
        <v>0</v>
      </c>
      <c r="N346" s="1755"/>
    </row>
    <row r="347" spans="1:14" s="533" customFormat="1" ht="14" thickBot="1">
      <c r="A347" s="53" t="s">
        <v>60</v>
      </c>
      <c r="B347" s="1438">
        <f>SUM(B345:B346)</f>
        <v>33</v>
      </c>
      <c r="C347" s="1439"/>
      <c r="D347" s="1441">
        <f>SUM(D345:D346)</f>
        <v>457006.02750000003</v>
      </c>
      <c r="E347" s="1439"/>
      <c r="F347" s="1440">
        <f>SUM(F345:F346)</f>
        <v>1.4025000000000001</v>
      </c>
      <c r="G347" s="1439"/>
      <c r="H347" s="786">
        <f>SUM(H345:H346)</f>
        <v>28.05</v>
      </c>
      <c r="I347" s="136">
        <f>SUM(I345:I346)</f>
        <v>2420.2200000000003</v>
      </c>
      <c r="J347" s="143">
        <f>SUM(J345:J346)</f>
        <v>1176.78</v>
      </c>
      <c r="K347" s="143">
        <f>SUM(K345:K346)</f>
        <v>1650</v>
      </c>
      <c r="L347" s="136">
        <f>SUM(L345:L346)</f>
        <v>5247</v>
      </c>
      <c r="M347" s="1657"/>
      <c r="N347" s="1790"/>
    </row>
    <row r="348" spans="1:14" s="1161" customFormat="1" ht="17" thickBot="1">
      <c r="A348" s="108" t="s">
        <v>50</v>
      </c>
      <c r="B348" s="1456"/>
      <c r="C348" s="1586"/>
      <c r="D348" s="1567"/>
      <c r="E348" s="1586"/>
      <c r="F348" s="1457"/>
      <c r="G348" s="1586"/>
      <c r="H348" s="1142"/>
      <c r="I348" s="161"/>
      <c r="J348" s="161"/>
      <c r="K348" s="161"/>
      <c r="L348" s="162"/>
      <c r="M348" s="1617"/>
      <c r="N348" s="1486"/>
    </row>
    <row r="349" spans="1:14">
      <c r="A349" s="32" t="s">
        <v>29</v>
      </c>
      <c r="B349" s="1731">
        <f>'Chino Hills'!N159</f>
        <v>0</v>
      </c>
      <c r="C349" s="1732"/>
      <c r="D349" s="1855">
        <f t="shared" ref="D349:D355" si="78">F349*325851</f>
        <v>0</v>
      </c>
      <c r="E349" s="1732"/>
      <c r="F349" s="1884">
        <f>0.0425*B349</f>
        <v>0</v>
      </c>
      <c r="G349" s="1885"/>
      <c r="H349" s="957">
        <f>F349*20</f>
        <v>0</v>
      </c>
      <c r="I349" s="131">
        <v>0</v>
      </c>
      <c r="J349" s="131">
        <f>135*B349</f>
        <v>0</v>
      </c>
      <c r="K349" s="131">
        <f>165*B349</f>
        <v>0</v>
      </c>
      <c r="L349" s="132">
        <f>SUM(I349:K349)</f>
        <v>0</v>
      </c>
      <c r="M349" s="1792">
        <v>0</v>
      </c>
      <c r="N349" s="1793"/>
    </row>
    <row r="350" spans="1:14">
      <c r="A350" s="32" t="s">
        <v>51</v>
      </c>
      <c r="B350" s="1421">
        <f>'Chino Hills'!N160</f>
        <v>0</v>
      </c>
      <c r="C350" s="1422"/>
      <c r="D350" s="1431">
        <f t="shared" si="78"/>
        <v>0</v>
      </c>
      <c r="E350" s="1422"/>
      <c r="F350" s="1449">
        <f>0.1227*B350</f>
        <v>0</v>
      </c>
      <c r="G350" s="1450"/>
      <c r="H350" s="957">
        <f>F350*20</f>
        <v>0</v>
      </c>
      <c r="I350" s="131">
        <v>0</v>
      </c>
      <c r="J350" s="131">
        <f>B350*50</f>
        <v>0</v>
      </c>
      <c r="K350" s="131">
        <f>200*B350</f>
        <v>0</v>
      </c>
      <c r="L350" s="132">
        <f>SUM(I350:K350)</f>
        <v>0</v>
      </c>
      <c r="M350" s="1758">
        <v>0</v>
      </c>
      <c r="N350" s="1759"/>
    </row>
    <row r="351" spans="1:14">
      <c r="A351" s="34" t="s">
        <v>170</v>
      </c>
      <c r="B351" s="1421">
        <f>'Chino Hills'!N161</f>
        <v>0</v>
      </c>
      <c r="C351" s="1422"/>
      <c r="D351" s="1431">
        <f t="shared" si="78"/>
        <v>0</v>
      </c>
      <c r="E351" s="1422"/>
      <c r="F351" s="1449">
        <f>0.644*B351</f>
        <v>0</v>
      </c>
      <c r="G351" s="1450"/>
      <c r="H351" s="957">
        <f>F351*5</f>
        <v>0</v>
      </c>
      <c r="I351" s="131">
        <v>0</v>
      </c>
      <c r="J351" s="131">
        <f>B351*500</f>
        <v>0</v>
      </c>
      <c r="K351" s="131">
        <f>B351*1750</f>
        <v>0</v>
      </c>
      <c r="L351" s="132">
        <f>SUM(I351:K351)</f>
        <v>0</v>
      </c>
      <c r="M351" s="1758">
        <v>0</v>
      </c>
      <c r="N351" s="1759"/>
    </row>
    <row r="352" spans="1:14">
      <c r="A352" s="34" t="s">
        <v>13</v>
      </c>
      <c r="B352" s="1421">
        <f>'Chino Hills'!N162</f>
        <v>0</v>
      </c>
      <c r="C352" s="1422"/>
      <c r="D352" s="1431">
        <f t="shared" si="78"/>
        <v>0</v>
      </c>
      <c r="E352" s="1422"/>
      <c r="F352" s="1449">
        <f>0.0276*B352</f>
        <v>0</v>
      </c>
      <c r="G352" s="1450"/>
      <c r="H352" s="957">
        <f>F352*10</f>
        <v>0</v>
      </c>
      <c r="I352" s="131">
        <v>0</v>
      </c>
      <c r="J352" s="131">
        <f>100*B352</f>
        <v>0</v>
      </c>
      <c r="K352" s="131">
        <f>80*B352</f>
        <v>0</v>
      </c>
      <c r="L352" s="132">
        <f>SUM(I352:K352)</f>
        <v>0</v>
      </c>
      <c r="M352" s="1758">
        <v>0</v>
      </c>
      <c r="N352" s="1759"/>
    </row>
    <row r="353" spans="1:14" hidden="1">
      <c r="A353" s="35" t="s">
        <v>47</v>
      </c>
      <c r="B353" s="1421">
        <f>'Chino Hills'!N163</f>
        <v>0</v>
      </c>
      <c r="C353" s="1422"/>
      <c r="D353" s="1431">
        <f t="shared" si="78"/>
        <v>0</v>
      </c>
      <c r="E353" s="1422"/>
      <c r="F353" s="1449">
        <f>0.1534*B353</f>
        <v>0</v>
      </c>
      <c r="G353" s="1450"/>
      <c r="H353" s="957">
        <f>F353*5</f>
        <v>0</v>
      </c>
      <c r="I353" s="131">
        <v>0</v>
      </c>
      <c r="J353" s="131">
        <f>0*B353</f>
        <v>0</v>
      </c>
      <c r="K353" s="131">
        <f>150*B353</f>
        <v>0</v>
      </c>
      <c r="L353" s="132">
        <f>SUM(I353:K353)</f>
        <v>0</v>
      </c>
      <c r="M353" s="1758">
        <v>0</v>
      </c>
      <c r="N353" s="1759"/>
    </row>
    <row r="354" spans="1:14">
      <c r="A354" s="76" t="s">
        <v>30</v>
      </c>
      <c r="B354" s="1421">
        <f>'Chino Hills'!N164</f>
        <v>0</v>
      </c>
      <c r="C354" s="1422"/>
      <c r="D354" s="1431">
        <f t="shared" si="78"/>
        <v>0</v>
      </c>
      <c r="E354" s="1422"/>
      <c r="F354" s="1449">
        <f>0.325*B354</f>
        <v>0</v>
      </c>
      <c r="G354" s="1450"/>
      <c r="H354" s="957">
        <f>F354*10</f>
        <v>0</v>
      </c>
      <c r="I354" s="131">
        <v>0</v>
      </c>
      <c r="J354" s="131">
        <v>0</v>
      </c>
      <c r="K354" s="131">
        <v>0</v>
      </c>
      <c r="L354" s="132">
        <v>0</v>
      </c>
      <c r="M354" s="1758">
        <v>0</v>
      </c>
      <c r="N354" s="1759"/>
    </row>
    <row r="355" spans="1:14" hidden="1">
      <c r="A355" s="33" t="s">
        <v>53</v>
      </c>
      <c r="B355" s="1421">
        <f>'Chino Hills'!N165</f>
        <v>0</v>
      </c>
      <c r="C355" s="1422"/>
      <c r="D355" s="1431">
        <f t="shared" si="78"/>
        <v>0</v>
      </c>
      <c r="E355" s="1422"/>
      <c r="F355" s="1449">
        <f>0.00014*B355</f>
        <v>0</v>
      </c>
      <c r="G355" s="1450"/>
      <c r="H355" s="957">
        <f>F355*10</f>
        <v>0</v>
      </c>
      <c r="I355" s="131">
        <v>0</v>
      </c>
      <c r="J355" s="131">
        <f>0.45*B355</f>
        <v>0</v>
      </c>
      <c r="K355" s="131">
        <f>0.3*B355</f>
        <v>0</v>
      </c>
      <c r="L355" s="132">
        <f>SUM(I355:K355)</f>
        <v>0</v>
      </c>
      <c r="M355" s="1758">
        <v>0</v>
      </c>
      <c r="N355" s="1759"/>
    </row>
    <row r="356" spans="1:14">
      <c r="A356" s="33" t="s">
        <v>56</v>
      </c>
      <c r="B356" s="1421">
        <f>'Chino Hills'!N166</f>
        <v>0</v>
      </c>
      <c r="C356" s="1422"/>
      <c r="D356" s="1431">
        <f>F356*325851</f>
        <v>0</v>
      </c>
      <c r="E356" s="1422"/>
      <c r="F356" s="1449">
        <f>0.004*B356</f>
        <v>0</v>
      </c>
      <c r="G356" s="1450"/>
      <c r="H356" s="957">
        <f>F356*5</f>
        <v>0</v>
      </c>
      <c r="I356" s="131">
        <v>0</v>
      </c>
      <c r="J356" s="131">
        <f>0*B356</f>
        <v>0</v>
      </c>
      <c r="K356" s="131">
        <f>4*B356</f>
        <v>0</v>
      </c>
      <c r="L356" s="132">
        <f>SUM(I356:K356)</f>
        <v>0</v>
      </c>
      <c r="M356" s="1758">
        <v>0</v>
      </c>
      <c r="N356" s="1759"/>
    </row>
    <row r="357" spans="1:14">
      <c r="A357" s="76" t="s">
        <v>122</v>
      </c>
      <c r="B357" s="1421">
        <f>'Chino Hills'!N167</f>
        <v>0</v>
      </c>
      <c r="C357" s="1422"/>
      <c r="D357" s="1431">
        <f>F357*325851</f>
        <v>0</v>
      </c>
      <c r="E357" s="1422"/>
      <c r="F357" s="1449">
        <f>0.018*B357</f>
        <v>0</v>
      </c>
      <c r="G357" s="1450"/>
      <c r="H357" s="957">
        <f>F357*10</f>
        <v>0</v>
      </c>
      <c r="I357" s="131">
        <v>0</v>
      </c>
      <c r="J357" s="131">
        <f>0*B357</f>
        <v>0</v>
      </c>
      <c r="K357" s="131">
        <f>13*B357</f>
        <v>0</v>
      </c>
      <c r="L357" s="132">
        <f>SUM(I357:K357)</f>
        <v>0</v>
      </c>
      <c r="M357" s="1758">
        <v>0</v>
      </c>
      <c r="N357" s="1759"/>
    </row>
    <row r="358" spans="1:14" hidden="1">
      <c r="A358" s="33" t="s">
        <v>102</v>
      </c>
      <c r="B358" s="1421">
        <f>'Chino Hills'!N168</f>
        <v>0</v>
      </c>
      <c r="C358" s="1422"/>
      <c r="D358" s="1431">
        <f>F358*325851</f>
        <v>0</v>
      </c>
      <c r="E358" s="1422"/>
      <c r="F358" s="1449">
        <f>0.018*B358</f>
        <v>0</v>
      </c>
      <c r="G358" s="1450"/>
      <c r="H358" s="957">
        <f>F358*10</f>
        <v>0</v>
      </c>
      <c r="I358" s="131">
        <v>0</v>
      </c>
      <c r="J358" s="131">
        <f>0*B358</f>
        <v>0</v>
      </c>
      <c r="K358" s="131">
        <f>13*B358</f>
        <v>0</v>
      </c>
      <c r="L358" s="132">
        <f>SUM(I358:K358)</f>
        <v>0</v>
      </c>
      <c r="M358" s="1758">
        <v>1</v>
      </c>
      <c r="N358" s="1759"/>
    </row>
    <row r="359" spans="1:14" hidden="1">
      <c r="A359" s="33" t="s">
        <v>167</v>
      </c>
      <c r="B359" s="1421"/>
      <c r="C359" s="1422"/>
      <c r="D359" s="1431"/>
      <c r="E359" s="1422"/>
      <c r="F359" s="1449"/>
      <c r="G359" s="1450"/>
      <c r="H359" s="957"/>
      <c r="I359" s="169"/>
      <c r="J359" s="131"/>
      <c r="K359" s="131"/>
      <c r="L359" s="132"/>
      <c r="M359" s="1758"/>
      <c r="N359" s="1759"/>
    </row>
    <row r="360" spans="1:14">
      <c r="A360" s="33" t="s">
        <v>165</v>
      </c>
      <c r="B360" s="1421">
        <f>'Chino Hills'!N170</f>
        <v>0</v>
      </c>
      <c r="C360" s="1422"/>
      <c r="D360" s="1431">
        <f>F360*325851</f>
        <v>0</v>
      </c>
      <c r="E360" s="1444"/>
      <c r="F360" s="1871">
        <f>0.018*B360</f>
        <v>0</v>
      </c>
      <c r="G360" s="1450"/>
      <c r="H360" s="957">
        <f>F360*10</f>
        <v>0</v>
      </c>
      <c r="I360" s="131">
        <v>0</v>
      </c>
      <c r="J360" s="131">
        <f>0*B360</f>
        <v>0</v>
      </c>
      <c r="K360" s="131">
        <f>13*B360</f>
        <v>0</v>
      </c>
      <c r="L360" s="132">
        <f>SUM(I360:K360)</f>
        <v>0</v>
      </c>
      <c r="M360" s="1758">
        <v>0</v>
      </c>
      <c r="N360" s="1759"/>
    </row>
    <row r="361" spans="1:14" ht="14" thickBot="1">
      <c r="A361" s="78" t="s">
        <v>184</v>
      </c>
      <c r="B361" s="1421">
        <f>'Chino Hills'!N171</f>
        <v>0</v>
      </c>
      <c r="C361" s="1422"/>
      <c r="D361" s="1734">
        <f>F361*325851</f>
        <v>0</v>
      </c>
      <c r="E361" s="1430"/>
      <c r="F361" s="1449">
        <f>0.018*B361</f>
        <v>0</v>
      </c>
      <c r="G361" s="1450"/>
      <c r="H361" s="957">
        <f>F361*10</f>
        <v>0</v>
      </c>
      <c r="I361" s="131">
        <v>0</v>
      </c>
      <c r="J361" s="131">
        <v>0</v>
      </c>
      <c r="K361" s="131">
        <v>0</v>
      </c>
      <c r="L361" s="132">
        <v>0</v>
      </c>
      <c r="M361" s="1758">
        <v>0</v>
      </c>
      <c r="N361" s="1759"/>
    </row>
    <row r="362" spans="1:14" s="533" customFormat="1" ht="14" thickBot="1">
      <c r="A362" s="53" t="s">
        <v>60</v>
      </c>
      <c r="B362" s="1438">
        <f>SUM(B349:C361)</f>
        <v>0</v>
      </c>
      <c r="C362" s="1439"/>
      <c r="D362" s="1440">
        <f>SUM(D349:E361)</f>
        <v>0</v>
      </c>
      <c r="E362" s="1440"/>
      <c r="F362" s="1441">
        <f>SUM(F349:G361)</f>
        <v>0</v>
      </c>
      <c r="G362" s="1439"/>
      <c r="H362" s="786">
        <f>SUM(H349:H361)</f>
        <v>0</v>
      </c>
      <c r="I362" s="136">
        <f>SUM(I349:I361)</f>
        <v>0</v>
      </c>
      <c r="J362" s="136">
        <f>SUM(J349:J361)</f>
        <v>0</v>
      </c>
      <c r="K362" s="136">
        <f>SUM(K349:K361)</f>
        <v>0</v>
      </c>
      <c r="L362" s="136">
        <v>0</v>
      </c>
      <c r="M362" s="1657"/>
      <c r="N362" s="1790"/>
    </row>
    <row r="363" spans="1:14" s="1168" customFormat="1" ht="17" thickBot="1">
      <c r="A363" s="1163" t="s">
        <v>17</v>
      </c>
      <c r="B363" s="1612">
        <f>SUM(B343+B347+B362)</f>
        <v>2298</v>
      </c>
      <c r="C363" s="1415"/>
      <c r="D363" s="1416">
        <f>SUM(D343+D347+D362)</f>
        <v>5925893.6996999998</v>
      </c>
      <c r="E363" s="1415"/>
      <c r="F363" s="1416">
        <f>SUM(F343+F347+F362)</f>
        <v>18.184699999999999</v>
      </c>
      <c r="G363" s="1415"/>
      <c r="H363" s="1164">
        <f>SUM(H343+H347+H362)</f>
        <v>187.36800000000002</v>
      </c>
      <c r="I363" s="1169">
        <f>SUM(I343+I347+I362)</f>
        <v>2420.2200000000003</v>
      </c>
      <c r="J363" s="1169">
        <f>SUM(J343+J347+J362)</f>
        <v>1553.78</v>
      </c>
      <c r="K363" s="1169">
        <f>SUM(K343+K347+K362)</f>
        <v>26898</v>
      </c>
      <c r="L363" s="1169">
        <f>SUM(L343+L347+L362)</f>
        <v>30872</v>
      </c>
      <c r="M363" s="1631"/>
      <c r="N363" s="1632"/>
    </row>
    <row r="364" spans="1:14" ht="16">
      <c r="A364" s="60"/>
      <c r="B364" s="61"/>
      <c r="C364" s="61"/>
      <c r="D364" s="61"/>
      <c r="E364" s="61"/>
      <c r="F364" s="61"/>
      <c r="G364" s="61"/>
      <c r="H364" s="62"/>
      <c r="I364" s="62"/>
      <c r="J364" s="62"/>
      <c r="K364" s="62"/>
      <c r="L364" s="62"/>
      <c r="M364" s="64"/>
      <c r="N364" s="65"/>
    </row>
    <row r="365" spans="1:14" ht="16">
      <c r="A365" s="9" t="s">
        <v>18</v>
      </c>
      <c r="B365" s="1419" t="s">
        <v>59</v>
      </c>
      <c r="C365" s="1419"/>
      <c r="D365" s="1419"/>
      <c r="E365" s="1419"/>
      <c r="F365" s="61"/>
      <c r="G365" s="61"/>
      <c r="H365" s="62"/>
      <c r="I365" s="62"/>
      <c r="J365" s="62"/>
      <c r="K365" s="62"/>
      <c r="L365" s="62"/>
      <c r="M365" s="64"/>
      <c r="N365" s="65"/>
    </row>
    <row r="366" spans="1:14" ht="16">
      <c r="A366" s="57"/>
      <c r="B366" s="1420" t="s">
        <v>19</v>
      </c>
      <c r="C366" s="1420"/>
      <c r="D366" s="1420"/>
      <c r="E366" s="1420"/>
      <c r="F366" s="61"/>
      <c r="G366" s="61"/>
      <c r="H366" s="62"/>
      <c r="I366" s="62"/>
      <c r="J366" s="62"/>
      <c r="K366" s="62"/>
      <c r="L366" s="62"/>
      <c r="M366" s="64"/>
      <c r="N366" s="65"/>
    </row>
    <row r="367" spans="1:14" ht="17" thickBot="1">
      <c r="A367" s="57"/>
      <c r="B367" s="820"/>
      <c r="C367" s="820"/>
      <c r="D367" s="820"/>
      <c r="E367" s="820"/>
      <c r="F367" s="61"/>
      <c r="G367" s="61"/>
      <c r="H367" s="62"/>
      <c r="I367" s="62"/>
      <c r="J367" s="62"/>
      <c r="K367" s="62"/>
      <c r="L367" s="62"/>
      <c r="M367" s="64"/>
      <c r="N367" s="65"/>
    </row>
    <row r="368" spans="1:14" s="363" customFormat="1" ht="16">
      <c r="A368" s="98"/>
      <c r="B368" s="99"/>
      <c r="C368" s="99"/>
      <c r="D368" s="99"/>
      <c r="E368" s="99"/>
      <c r="F368" s="100"/>
      <c r="G368" s="100"/>
      <c r="H368" s="100"/>
      <c r="I368" s="1468" t="s">
        <v>0</v>
      </c>
      <c r="J368" s="1468"/>
      <c r="K368" s="1468"/>
      <c r="L368" s="1468"/>
      <c r="M368" s="99"/>
      <c r="N368" s="101"/>
    </row>
    <row r="369" spans="1:14" ht="16">
      <c r="A369" s="97"/>
      <c r="B369" s="1469" t="s">
        <v>1</v>
      </c>
      <c r="C369" s="1469"/>
      <c r="D369" s="1469" t="s">
        <v>2</v>
      </c>
      <c r="E369" s="1469"/>
      <c r="F369" s="1863" t="s">
        <v>3</v>
      </c>
      <c r="G369" s="1863"/>
      <c r="H369" s="827" t="s">
        <v>3</v>
      </c>
      <c r="I369" s="127" t="s">
        <v>195</v>
      </c>
      <c r="J369" s="102"/>
      <c r="K369" s="102"/>
      <c r="L369" s="128"/>
      <c r="M369" s="1469" t="s">
        <v>4</v>
      </c>
      <c r="N369" s="1526"/>
    </row>
    <row r="370" spans="1:14" ht="19" thickBot="1">
      <c r="A370" s="103" t="s">
        <v>5</v>
      </c>
      <c r="B370" s="1473" t="s">
        <v>6</v>
      </c>
      <c r="C370" s="1473"/>
      <c r="D370" s="1473" t="s">
        <v>7</v>
      </c>
      <c r="E370" s="1473"/>
      <c r="F370" s="1864" t="s">
        <v>7</v>
      </c>
      <c r="G370" s="1864"/>
      <c r="H370" s="828" t="s">
        <v>58</v>
      </c>
      <c r="I370" s="797" t="s">
        <v>196</v>
      </c>
      <c r="J370" s="795" t="s">
        <v>8</v>
      </c>
      <c r="K370" s="795" t="s">
        <v>9</v>
      </c>
      <c r="L370" s="401" t="s">
        <v>10</v>
      </c>
      <c r="M370" s="1473" t="s">
        <v>145</v>
      </c>
      <c r="N370" s="1475"/>
    </row>
    <row r="371" spans="1:14" ht="24" thickBot="1">
      <c r="A371" s="88" t="s">
        <v>163</v>
      </c>
      <c r="B371" s="1476"/>
      <c r="C371" s="1477"/>
      <c r="D371" s="1478"/>
      <c r="E371" s="1479"/>
      <c r="F371" s="1878"/>
      <c r="G371" s="1879"/>
      <c r="H371" s="829"/>
      <c r="I371" s="7"/>
      <c r="J371" s="7"/>
      <c r="K371" s="7"/>
      <c r="L371" s="8"/>
      <c r="M371" s="1764"/>
      <c r="N371" s="1765"/>
    </row>
    <row r="372" spans="1:14" s="1161" customFormat="1" ht="17" thickBot="1">
      <c r="A372" s="108" t="s">
        <v>48</v>
      </c>
      <c r="B372" s="1457"/>
      <c r="C372" s="1586"/>
      <c r="D372" s="1567"/>
      <c r="E372" s="1586"/>
      <c r="F372" s="1619"/>
      <c r="G372" s="1620"/>
      <c r="H372" s="1157"/>
      <c r="I372" s="109"/>
      <c r="J372" s="109"/>
      <c r="K372" s="109"/>
      <c r="L372" s="1141"/>
      <c r="M372" s="1617"/>
      <c r="N372" s="1486"/>
    </row>
    <row r="373" spans="1:14">
      <c r="A373" s="122" t="s">
        <v>29</v>
      </c>
      <c r="B373" s="1767">
        <f>'Chino Hills'!N117</f>
        <v>24</v>
      </c>
      <c r="C373" s="1732"/>
      <c r="D373" s="1855">
        <f>F373*325851</f>
        <v>332368.02</v>
      </c>
      <c r="E373" s="1732"/>
      <c r="F373" s="1899">
        <f>0.0425*B373</f>
        <v>1.02</v>
      </c>
      <c r="G373" s="1885"/>
      <c r="H373" s="957">
        <f>F373*20</f>
        <v>20.399999999999999</v>
      </c>
      <c r="I373" s="131">
        <v>0</v>
      </c>
      <c r="J373" s="131">
        <f>35*B373</f>
        <v>840</v>
      </c>
      <c r="K373" s="131">
        <f>B373*50</f>
        <v>1200</v>
      </c>
      <c r="L373" s="132">
        <f>I373+J373+K373</f>
        <v>2040</v>
      </c>
      <c r="M373" s="1792">
        <f>L373/(F373*498.5)</f>
        <v>4.0120361083249749</v>
      </c>
      <c r="N373" s="1793"/>
    </row>
    <row r="374" spans="1:14">
      <c r="A374" s="32" t="s">
        <v>33</v>
      </c>
      <c r="B374" s="1444">
        <f>'Chino Hills'!N118</f>
        <v>398</v>
      </c>
      <c r="C374" s="1422"/>
      <c r="D374" s="1431">
        <f>F374*325851</f>
        <v>3579408.0647999998</v>
      </c>
      <c r="E374" s="1422"/>
      <c r="F374" s="1871">
        <f>0.0276*B374</f>
        <v>10.9848</v>
      </c>
      <c r="G374" s="1450"/>
      <c r="H374" s="957">
        <f>F374*15</f>
        <v>164.77199999999999</v>
      </c>
      <c r="I374" s="131">
        <f>0*B374</f>
        <v>0</v>
      </c>
      <c r="J374" s="131">
        <v>0</v>
      </c>
      <c r="K374" s="131">
        <f>B374*85</f>
        <v>33830</v>
      </c>
      <c r="L374" s="132">
        <f>I374+J374+K374</f>
        <v>33830</v>
      </c>
      <c r="M374" s="1758">
        <f>L374/(F374*498.5)</f>
        <v>6.1779541523120081</v>
      </c>
      <c r="N374" s="1759"/>
    </row>
    <row r="375" spans="1:14">
      <c r="A375" s="32" t="s">
        <v>56</v>
      </c>
      <c r="B375" s="1444">
        <f>'Chino Hills'!N119</f>
        <v>95</v>
      </c>
      <c r="C375" s="1422"/>
      <c r="D375" s="1431">
        <f>F375*325851</f>
        <v>123823.38</v>
      </c>
      <c r="E375" s="1422"/>
      <c r="F375" s="1871">
        <f>0.004*B375</f>
        <v>0.38</v>
      </c>
      <c r="G375" s="1450"/>
      <c r="H375" s="957">
        <f>F375*5</f>
        <v>1.9</v>
      </c>
      <c r="I375" s="131">
        <f>0*B375</f>
        <v>0</v>
      </c>
      <c r="J375" s="131">
        <f>2*B375</f>
        <v>190</v>
      </c>
      <c r="K375" s="131">
        <f>B375*3</f>
        <v>285</v>
      </c>
      <c r="L375" s="132">
        <f>I375+J375+K375</f>
        <v>475</v>
      </c>
      <c r="M375" s="1758">
        <f>L375/(F375*498.5)</f>
        <v>2.5075225677031092</v>
      </c>
      <c r="N375" s="1759"/>
    </row>
    <row r="376" spans="1:14">
      <c r="A376" s="78" t="s">
        <v>30</v>
      </c>
      <c r="B376" s="1444">
        <f>'Chino Hills'!N120</f>
        <v>1</v>
      </c>
      <c r="C376" s="1422"/>
      <c r="D376" s="1467">
        <f>F376*325851</f>
        <v>105901.575</v>
      </c>
      <c r="E376" s="1433"/>
      <c r="F376" s="1876">
        <f>0.325*B376</f>
        <v>0.32500000000000001</v>
      </c>
      <c r="G376" s="1877"/>
      <c r="H376" s="956">
        <f>F376*10</f>
        <v>3.25</v>
      </c>
      <c r="I376" s="133">
        <v>0</v>
      </c>
      <c r="J376" s="133">
        <f>45*B376</f>
        <v>45</v>
      </c>
      <c r="K376" s="133">
        <f>B376*80</f>
        <v>80</v>
      </c>
      <c r="L376" s="134">
        <f>I376+J376+K376</f>
        <v>125</v>
      </c>
      <c r="M376" s="1758">
        <f>L376/(F376*498.5)</f>
        <v>0.77154540544711048</v>
      </c>
      <c r="N376" s="1759"/>
    </row>
    <row r="377" spans="1:14">
      <c r="A377" s="76" t="s">
        <v>53</v>
      </c>
      <c r="B377" s="1444">
        <f>'Chino Hills'!N121</f>
        <v>0</v>
      </c>
      <c r="C377" s="1422"/>
      <c r="D377" s="1467">
        <v>0</v>
      </c>
      <c r="E377" s="1433"/>
      <c r="F377" s="1876">
        <v>0</v>
      </c>
      <c r="G377" s="1877"/>
      <c r="H377" s="956">
        <f>F377*10</f>
        <v>0</v>
      </c>
      <c r="I377" s="133">
        <v>0</v>
      </c>
      <c r="J377" s="133">
        <v>0</v>
      </c>
      <c r="K377" s="133">
        <v>0</v>
      </c>
      <c r="L377" s="134">
        <v>0</v>
      </c>
      <c r="M377" s="1758">
        <v>0</v>
      </c>
      <c r="N377" s="1759"/>
    </row>
    <row r="378" spans="1:14" ht="14" thickBot="1">
      <c r="A378" s="104" t="s">
        <v>165</v>
      </c>
      <c r="B378" s="1444">
        <f>'Chino Hills'!N122</f>
        <v>65</v>
      </c>
      <c r="C378" s="1422"/>
      <c r="D378" s="1467">
        <f>F378*325900</f>
        <v>84734</v>
      </c>
      <c r="E378" s="1433"/>
      <c r="F378" s="1876">
        <f>B378*0.004</f>
        <v>0.26</v>
      </c>
      <c r="G378" s="1877"/>
      <c r="H378" s="956">
        <f>F378*5</f>
        <v>1.3</v>
      </c>
      <c r="I378" s="133">
        <v>0</v>
      </c>
      <c r="J378" s="133">
        <v>0</v>
      </c>
      <c r="K378" s="133">
        <f>1625*3</f>
        <v>4875</v>
      </c>
      <c r="L378" s="134">
        <f>SUM(I378:K378)</f>
        <v>4875</v>
      </c>
      <c r="M378" s="1758">
        <f>L378/(F378*498.5)</f>
        <v>37.612838515546635</v>
      </c>
      <c r="N378" s="1759"/>
    </row>
    <row r="379" spans="1:14" ht="14" hidden="1" thickBot="1">
      <c r="A379" s="76" t="s">
        <v>166</v>
      </c>
      <c r="B379" s="1444"/>
      <c r="C379" s="1422"/>
      <c r="D379" s="1467"/>
      <c r="E379" s="1433"/>
      <c r="F379" s="1905"/>
      <c r="G379" s="1906"/>
      <c r="H379" s="826"/>
      <c r="I379" s="334"/>
      <c r="J379" s="334"/>
      <c r="K379" s="334"/>
      <c r="L379" s="134"/>
      <c r="M379" s="1754"/>
      <c r="N379" s="1755"/>
    </row>
    <row r="380" spans="1:14" s="533" customFormat="1" ht="14" thickBot="1">
      <c r="A380" s="53" t="s">
        <v>60</v>
      </c>
      <c r="B380" s="1438">
        <f>SUM(B373:C378)</f>
        <v>583</v>
      </c>
      <c r="C380" s="1439"/>
      <c r="D380" s="1441">
        <f>SUM(D373:E378)</f>
        <v>4226235.0397999994</v>
      </c>
      <c r="E380" s="1439"/>
      <c r="F380" s="1440">
        <f>SUM(F373:G378)</f>
        <v>12.969799999999999</v>
      </c>
      <c r="G380" s="1439"/>
      <c r="H380" s="786">
        <f>SUM(H373:H378)</f>
        <v>191.62200000000001</v>
      </c>
      <c r="I380" s="136">
        <f>SUM(I373:I378)</f>
        <v>0</v>
      </c>
      <c r="J380" s="136">
        <f>SUM(J373:J378)</f>
        <v>1075</v>
      </c>
      <c r="K380" s="136">
        <f>SUM(K373:K378)</f>
        <v>40270</v>
      </c>
      <c r="L380" s="136">
        <f>SUM(L373:L378)</f>
        <v>41345</v>
      </c>
      <c r="M380" s="1657"/>
      <c r="N380" s="1790"/>
    </row>
    <row r="381" spans="1:14" s="1161" customFormat="1" ht="17" thickBot="1">
      <c r="A381" s="108" t="s">
        <v>146</v>
      </c>
      <c r="B381" s="1457"/>
      <c r="C381" s="1586"/>
      <c r="D381" s="1457"/>
      <c r="E381" s="1586"/>
      <c r="F381" s="1457"/>
      <c r="G381" s="1586"/>
      <c r="H381" s="1142"/>
      <c r="I381" s="161"/>
      <c r="J381" s="161"/>
      <c r="K381" s="161"/>
      <c r="L381" s="162"/>
      <c r="M381" s="1617"/>
      <c r="N381" s="1486"/>
    </row>
    <row r="382" spans="1:14" ht="14" thickBot="1">
      <c r="A382" s="76" t="s">
        <v>146</v>
      </c>
      <c r="B382" s="1933">
        <f>'Chino Hills'!N126</f>
        <v>0</v>
      </c>
      <c r="C382" s="1770"/>
      <c r="D382" s="1933">
        <f>F382*325851</f>
        <v>0</v>
      </c>
      <c r="E382" s="1770"/>
      <c r="F382" s="1934">
        <f>0.0425*B382</f>
        <v>0</v>
      </c>
      <c r="G382" s="1935"/>
      <c r="H382" s="957">
        <f>F382*20</f>
        <v>0</v>
      </c>
      <c r="I382" s="131">
        <f>73.34*B382</f>
        <v>0</v>
      </c>
      <c r="J382" s="131">
        <f>35.66*B382</f>
        <v>0</v>
      </c>
      <c r="K382" s="131">
        <f>B382*50</f>
        <v>0</v>
      </c>
      <c r="L382" s="132">
        <f>I382+J382+K382</f>
        <v>0</v>
      </c>
      <c r="M382" s="1936">
        <v>0</v>
      </c>
      <c r="N382" s="1937"/>
    </row>
    <row r="383" spans="1:14" s="533" customFormat="1" ht="14" thickBot="1">
      <c r="A383" s="53" t="s">
        <v>60</v>
      </c>
      <c r="B383" s="1440">
        <f>SUM(B382)</f>
        <v>0</v>
      </c>
      <c r="C383" s="1439"/>
      <c r="D383" s="1440">
        <f>SUM(D382)</f>
        <v>0</v>
      </c>
      <c r="E383" s="1439"/>
      <c r="F383" s="1440">
        <f>SUM(F382)</f>
        <v>0</v>
      </c>
      <c r="G383" s="1439"/>
      <c r="H383" s="786">
        <f>SUM(H382)</f>
        <v>0</v>
      </c>
      <c r="I383" s="136">
        <f>SUM(I382)</f>
        <v>0</v>
      </c>
      <c r="J383" s="143">
        <f>SUM(J382)</f>
        <v>0</v>
      </c>
      <c r="K383" s="143">
        <f>SUM(K382)</f>
        <v>0</v>
      </c>
      <c r="L383" s="136">
        <f>SUM(L382)</f>
        <v>0</v>
      </c>
      <c r="M383" s="1657"/>
      <c r="N383" s="1790"/>
    </row>
    <row r="384" spans="1:14" s="1161" customFormat="1" ht="17" thickBot="1">
      <c r="A384" s="108" t="s">
        <v>50</v>
      </c>
      <c r="B384" s="1457"/>
      <c r="C384" s="1586"/>
      <c r="D384" s="1457"/>
      <c r="E384" s="1586"/>
      <c r="F384" s="1457"/>
      <c r="G384" s="1586"/>
      <c r="H384" s="1142"/>
      <c r="I384" s="161"/>
      <c r="J384" s="161"/>
      <c r="K384" s="161"/>
      <c r="L384" s="162"/>
      <c r="M384" s="1617"/>
      <c r="N384" s="1486"/>
    </row>
    <row r="385" spans="1:14">
      <c r="A385" s="32" t="s">
        <v>29</v>
      </c>
      <c r="B385" s="1767">
        <f>'Chino Hills'!N129</f>
        <v>0</v>
      </c>
      <c r="C385" s="1732"/>
      <c r="D385" s="1767">
        <f t="shared" ref="D385:D391" si="79">F385*325851</f>
        <v>0</v>
      </c>
      <c r="E385" s="1732"/>
      <c r="F385" s="1884">
        <f>0.0425*B385</f>
        <v>0</v>
      </c>
      <c r="G385" s="1885"/>
      <c r="H385" s="957">
        <f>F385*20</f>
        <v>0</v>
      </c>
      <c r="I385" s="131">
        <v>0</v>
      </c>
      <c r="J385" s="131">
        <f>135*B385</f>
        <v>0</v>
      </c>
      <c r="K385" s="131">
        <f>165*B385</f>
        <v>0</v>
      </c>
      <c r="L385" s="132">
        <f t="shared" ref="L385:L392" si="80">SUM(I385:K385)</f>
        <v>0</v>
      </c>
      <c r="M385" s="1792">
        <v>0</v>
      </c>
      <c r="N385" s="1793"/>
    </row>
    <row r="386" spans="1:14">
      <c r="A386" s="32" t="s">
        <v>51</v>
      </c>
      <c r="B386" s="1444">
        <f>'Chino Hills'!N130</f>
        <v>81</v>
      </c>
      <c r="C386" s="1422"/>
      <c r="D386" s="1444">
        <f t="shared" si="79"/>
        <v>3238535.3337000003</v>
      </c>
      <c r="E386" s="1422"/>
      <c r="F386" s="1449">
        <f>0.1227*B386</f>
        <v>9.9387000000000008</v>
      </c>
      <c r="G386" s="1450"/>
      <c r="H386" s="957">
        <f>F386*20</f>
        <v>198.774</v>
      </c>
      <c r="I386" s="131">
        <v>0</v>
      </c>
      <c r="J386" s="131">
        <f>B386*50</f>
        <v>4050</v>
      </c>
      <c r="K386" s="131">
        <f>200*B386</f>
        <v>16200</v>
      </c>
      <c r="L386" s="132">
        <f t="shared" si="80"/>
        <v>20250</v>
      </c>
      <c r="M386" s="1758">
        <f>L386/(F386*498.5)</f>
        <v>4.0872413491493225</v>
      </c>
      <c r="N386" s="1759"/>
    </row>
    <row r="387" spans="1:14">
      <c r="A387" s="34" t="s">
        <v>170</v>
      </c>
      <c r="B387" s="1444">
        <f>'Chino Hills'!N131</f>
        <v>1</v>
      </c>
      <c r="C387" s="1422"/>
      <c r="D387" s="1444">
        <f t="shared" si="79"/>
        <v>209848.04399999999</v>
      </c>
      <c r="E387" s="1422"/>
      <c r="F387" s="1449">
        <f>0.644*B387</f>
        <v>0.64400000000000002</v>
      </c>
      <c r="G387" s="1450"/>
      <c r="H387" s="957">
        <f>F387*5</f>
        <v>3.22</v>
      </c>
      <c r="I387" s="131">
        <v>0</v>
      </c>
      <c r="J387" s="131">
        <f>B387*500</f>
        <v>500</v>
      </c>
      <c r="K387" s="131">
        <f>B387*1750</f>
        <v>1750</v>
      </c>
      <c r="L387" s="132">
        <f t="shared" si="80"/>
        <v>2250</v>
      </c>
      <c r="M387" s="1758">
        <f t="shared" ref="M387:M395" si="81">L387/(F387*498.5)</f>
        <v>7.0086034501018588</v>
      </c>
      <c r="N387" s="1759"/>
    </row>
    <row r="388" spans="1:14" ht="12.75" hidden="1" customHeight="1">
      <c r="A388" s="34" t="s">
        <v>13</v>
      </c>
      <c r="B388" s="1444">
        <f>'Chino Hills'!N132</f>
        <v>0</v>
      </c>
      <c r="C388" s="1422"/>
      <c r="D388" s="1444">
        <f t="shared" si="79"/>
        <v>0</v>
      </c>
      <c r="E388" s="1422"/>
      <c r="F388" s="1449">
        <f>0.0276*B388</f>
        <v>0</v>
      </c>
      <c r="G388" s="1450"/>
      <c r="H388" s="957">
        <f>F388*10</f>
        <v>0</v>
      </c>
      <c r="I388" s="131">
        <v>0</v>
      </c>
      <c r="J388" s="131">
        <f>100*B388</f>
        <v>0</v>
      </c>
      <c r="K388" s="131">
        <f>80*B388</f>
        <v>0</v>
      </c>
      <c r="L388" s="132">
        <f t="shared" si="80"/>
        <v>0</v>
      </c>
      <c r="M388" s="1758" t="e">
        <f t="shared" si="81"/>
        <v>#DIV/0!</v>
      </c>
      <c r="N388" s="1759"/>
    </row>
    <row r="389" spans="1:14" ht="12.75" hidden="1" customHeight="1">
      <c r="A389" s="35" t="s">
        <v>47</v>
      </c>
      <c r="B389" s="1444">
        <f>'Chino Hills'!N133</f>
        <v>0</v>
      </c>
      <c r="C389" s="1422"/>
      <c r="D389" s="1444">
        <f t="shared" si="79"/>
        <v>0</v>
      </c>
      <c r="E389" s="1422"/>
      <c r="F389" s="1449">
        <f>0.1534*B389</f>
        <v>0</v>
      </c>
      <c r="G389" s="1450"/>
      <c r="H389" s="957">
        <f>F389*5</f>
        <v>0</v>
      </c>
      <c r="I389" s="131">
        <v>0</v>
      </c>
      <c r="J389" s="131">
        <f>0*B389</f>
        <v>0</v>
      </c>
      <c r="K389" s="131">
        <f>150*B389</f>
        <v>0</v>
      </c>
      <c r="L389" s="132">
        <f t="shared" si="80"/>
        <v>0</v>
      </c>
      <c r="M389" s="1758" t="e">
        <f t="shared" si="81"/>
        <v>#DIV/0!</v>
      </c>
      <c r="N389" s="1759"/>
    </row>
    <row r="390" spans="1:14">
      <c r="A390" s="76" t="s">
        <v>30</v>
      </c>
      <c r="B390" s="1444">
        <f>'Chino Hills'!N134</f>
        <v>0</v>
      </c>
      <c r="C390" s="1422"/>
      <c r="D390" s="1444">
        <f t="shared" si="79"/>
        <v>0</v>
      </c>
      <c r="E390" s="1422"/>
      <c r="F390" s="1449">
        <f>0.325*B390</f>
        <v>0</v>
      </c>
      <c r="G390" s="1450"/>
      <c r="H390" s="957">
        <f>F390*10</f>
        <v>0</v>
      </c>
      <c r="I390" s="131">
        <v>0</v>
      </c>
      <c r="J390" s="131">
        <v>0</v>
      </c>
      <c r="K390" s="131">
        <v>0</v>
      </c>
      <c r="L390" s="132">
        <v>0</v>
      </c>
      <c r="M390" s="1758">
        <v>0</v>
      </c>
      <c r="N390" s="1759"/>
    </row>
    <row r="391" spans="1:14">
      <c r="A391" s="33" t="s">
        <v>53</v>
      </c>
      <c r="B391" s="1444">
        <f>'Chino Hills'!N135</f>
        <v>0</v>
      </c>
      <c r="C391" s="1422"/>
      <c r="D391" s="1444">
        <f t="shared" si="79"/>
        <v>0</v>
      </c>
      <c r="E391" s="1422"/>
      <c r="F391" s="1449">
        <f>0.00014*B391</f>
        <v>0</v>
      </c>
      <c r="G391" s="1450"/>
      <c r="H391" s="957">
        <f>F391*10</f>
        <v>0</v>
      </c>
      <c r="I391" s="131">
        <v>0</v>
      </c>
      <c r="J391" s="131">
        <f>0.45*B391</f>
        <v>0</v>
      </c>
      <c r="K391" s="131">
        <f>0.3*B391</f>
        <v>0</v>
      </c>
      <c r="L391" s="132">
        <f t="shared" si="80"/>
        <v>0</v>
      </c>
      <c r="M391" s="1758">
        <v>0</v>
      </c>
      <c r="N391" s="1759"/>
    </row>
    <row r="392" spans="1:14">
      <c r="A392" s="33" t="s">
        <v>56</v>
      </c>
      <c r="B392" s="1444">
        <f>'Chino Hills'!N136</f>
        <v>0</v>
      </c>
      <c r="C392" s="1422"/>
      <c r="D392" s="1444">
        <f>F392*325851</f>
        <v>0</v>
      </c>
      <c r="E392" s="1422"/>
      <c r="F392" s="1449">
        <f>0.004*B392</f>
        <v>0</v>
      </c>
      <c r="G392" s="1450"/>
      <c r="H392" s="957">
        <f>F392*5</f>
        <v>0</v>
      </c>
      <c r="I392" s="131">
        <v>0</v>
      </c>
      <c r="J392" s="131">
        <f>0*B392</f>
        <v>0</v>
      </c>
      <c r="K392" s="131">
        <f>4*B392</f>
        <v>0</v>
      </c>
      <c r="L392" s="132">
        <f t="shared" si="80"/>
        <v>0</v>
      </c>
      <c r="M392" s="1758">
        <v>0</v>
      </c>
      <c r="N392" s="1759"/>
    </row>
    <row r="393" spans="1:14" ht="14" thickBot="1">
      <c r="A393" s="76" t="s">
        <v>122</v>
      </c>
      <c r="B393" s="1536">
        <f>'Chino Hills'!N137</f>
        <v>0</v>
      </c>
      <c r="C393" s="1424"/>
      <c r="D393" s="1536">
        <f>F393*325851</f>
        <v>0</v>
      </c>
      <c r="E393" s="1424"/>
      <c r="F393" s="1939">
        <f>0.018*B393</f>
        <v>0</v>
      </c>
      <c r="G393" s="1940"/>
      <c r="H393" s="955">
        <f>F393*10</f>
        <v>0</v>
      </c>
      <c r="I393" s="150">
        <v>0</v>
      </c>
      <c r="J393" s="150">
        <f>0*B393</f>
        <v>0</v>
      </c>
      <c r="K393" s="150">
        <f>13*B393</f>
        <v>0</v>
      </c>
      <c r="L393" s="172">
        <f>SUM(I393:K393)</f>
        <v>0</v>
      </c>
      <c r="M393" s="1758">
        <v>0</v>
      </c>
      <c r="N393" s="1759"/>
    </row>
    <row r="394" spans="1:14" ht="12.75" hidden="1" customHeight="1">
      <c r="A394" s="69" t="s">
        <v>102</v>
      </c>
      <c r="B394" s="1423">
        <f>'Chino Hills'!N138</f>
        <v>0</v>
      </c>
      <c r="C394" s="1424"/>
      <c r="D394" s="1423">
        <f>F394*325851</f>
        <v>0</v>
      </c>
      <c r="E394" s="1424"/>
      <c r="F394" s="1941">
        <f>0.153*B394</f>
        <v>0</v>
      </c>
      <c r="G394" s="1940"/>
      <c r="H394" s="839">
        <f>F394*5</f>
        <v>0</v>
      </c>
      <c r="I394" s="150">
        <v>0</v>
      </c>
      <c r="J394" s="150">
        <f>0*B394</f>
        <v>0</v>
      </c>
      <c r="K394" s="150">
        <f>60*B394</f>
        <v>0</v>
      </c>
      <c r="L394" s="172">
        <f>SUM(I394:K394)</f>
        <v>0</v>
      </c>
      <c r="M394" s="1758" t="e">
        <f t="shared" si="81"/>
        <v>#DIV/0!</v>
      </c>
      <c r="N394" s="1759"/>
    </row>
    <row r="395" spans="1:14" ht="13.5" hidden="1" customHeight="1" thickBot="1">
      <c r="A395" s="78" t="s">
        <v>167</v>
      </c>
      <c r="B395" s="1570"/>
      <c r="C395" s="1544"/>
      <c r="D395" s="1693"/>
      <c r="E395" s="1459"/>
      <c r="F395" s="1907"/>
      <c r="G395" s="1908"/>
      <c r="H395" s="844"/>
      <c r="I395" s="286"/>
      <c r="J395" s="286"/>
      <c r="K395" s="286"/>
      <c r="L395" s="174"/>
      <c r="M395" s="1758" t="e">
        <f t="shared" si="81"/>
        <v>#DIV/0!</v>
      </c>
      <c r="N395" s="1759"/>
    </row>
    <row r="396" spans="1:14" s="533" customFormat="1" ht="14" thickBot="1">
      <c r="A396" s="53" t="s">
        <v>60</v>
      </c>
      <c r="B396" s="1440">
        <f>SUM(B385:C394)</f>
        <v>82</v>
      </c>
      <c r="C396" s="1439"/>
      <c r="D396" s="1440">
        <f>SUM(D385:E394)</f>
        <v>3448383.3777000001</v>
      </c>
      <c r="E396" s="1439"/>
      <c r="F396" s="1440">
        <f>SUM(F385:G394)</f>
        <v>10.582700000000001</v>
      </c>
      <c r="G396" s="1439"/>
      <c r="H396" s="786">
        <f>SUM(H385:H394)</f>
        <v>201.994</v>
      </c>
      <c r="I396" s="136">
        <f>SUM(I385:I394)</f>
        <v>0</v>
      </c>
      <c r="J396" s="143">
        <f>SUM(J385:J394)</f>
        <v>4550</v>
      </c>
      <c r="K396" s="143">
        <f>SUM(K385:K394)</f>
        <v>17950</v>
      </c>
      <c r="L396" s="136">
        <f>SUM(L385:L394)</f>
        <v>22500</v>
      </c>
      <c r="M396" s="1657"/>
      <c r="N396" s="1790"/>
    </row>
    <row r="397" spans="1:14" s="1168" customFormat="1" ht="17" thickBot="1">
      <c r="A397" s="1163" t="s">
        <v>17</v>
      </c>
      <c r="B397" s="1612">
        <f>SUM(B380+B383+B396)</f>
        <v>665</v>
      </c>
      <c r="C397" s="1415"/>
      <c r="D397" s="1612">
        <f>SUM(D380+D383+D396)</f>
        <v>7674618.4174999995</v>
      </c>
      <c r="E397" s="1415"/>
      <c r="F397" s="1612">
        <f>SUM(F380+F383+F396)</f>
        <v>23.552500000000002</v>
      </c>
      <c r="G397" s="1938"/>
      <c r="H397" s="1164">
        <f>SUM(H380+H383+H396)</f>
        <v>393.61599999999999</v>
      </c>
      <c r="I397" s="1169">
        <f>SUM(I380+I383+I396)</f>
        <v>0</v>
      </c>
      <c r="J397" s="1169">
        <f>SUM(J380+J383+J396)</f>
        <v>5625</v>
      </c>
      <c r="K397" s="1169">
        <f>SUM(K380+K383+K396)</f>
        <v>58220</v>
      </c>
      <c r="L397" s="1169">
        <f>SUM(L380+L383+L396)</f>
        <v>63845</v>
      </c>
      <c r="M397" s="1631"/>
      <c r="N397" s="1632"/>
    </row>
    <row r="398" spans="1:14" ht="16">
      <c r="A398" s="60"/>
      <c r="B398" s="61"/>
      <c r="C398" s="61"/>
      <c r="D398" s="61"/>
      <c r="E398" s="61"/>
      <c r="F398" s="61"/>
      <c r="G398" s="61"/>
      <c r="H398" s="62"/>
      <c r="I398" s="62"/>
      <c r="J398" s="62"/>
      <c r="K398" s="62"/>
      <c r="L398" s="62"/>
      <c r="M398" s="64"/>
      <c r="N398" s="65"/>
    </row>
    <row r="399" spans="1:14" ht="16">
      <c r="A399" s="9" t="s">
        <v>18</v>
      </c>
      <c r="B399" s="1695" t="s">
        <v>59</v>
      </c>
      <c r="C399" s="1695"/>
      <c r="D399" s="1695"/>
      <c r="E399" s="1695"/>
      <c r="F399" s="61"/>
      <c r="G399" s="61"/>
      <c r="H399" s="62"/>
      <c r="I399" s="62"/>
      <c r="J399" s="62"/>
      <c r="K399" s="62"/>
      <c r="L399" s="62"/>
      <c r="M399" s="64"/>
      <c r="N399" s="65"/>
    </row>
    <row r="400" spans="1:14" ht="16">
      <c r="A400" s="66"/>
      <c r="B400" s="1696" t="s">
        <v>19</v>
      </c>
      <c r="C400" s="1696"/>
      <c r="D400" s="1696"/>
      <c r="E400" s="1696"/>
      <c r="F400" s="61"/>
      <c r="G400" s="61"/>
      <c r="H400" s="62"/>
      <c r="I400" s="62"/>
      <c r="J400" s="62"/>
      <c r="K400" s="62"/>
      <c r="L400" s="62"/>
      <c r="M400" s="64"/>
      <c r="N400" s="65"/>
    </row>
    <row r="401" spans="1:14" ht="17" thickBot="1">
      <c r="A401" s="66"/>
      <c r="B401" s="820"/>
      <c r="C401" s="820"/>
      <c r="D401" s="820"/>
      <c r="E401" s="820"/>
      <c r="F401" s="61"/>
      <c r="G401" s="61"/>
      <c r="H401" s="62"/>
      <c r="I401" s="62"/>
      <c r="J401" s="62"/>
      <c r="K401" s="62"/>
      <c r="L401" s="62"/>
      <c r="M401" s="64"/>
      <c r="N401" s="65"/>
    </row>
    <row r="402" spans="1:14" s="363" customFormat="1" ht="16">
      <c r="A402" s="98"/>
      <c r="B402" s="99"/>
      <c r="C402" s="99"/>
      <c r="D402" s="99"/>
      <c r="E402" s="99"/>
      <c r="F402" s="100"/>
      <c r="G402" s="100"/>
      <c r="H402" s="100"/>
      <c r="I402" s="1468" t="s">
        <v>0</v>
      </c>
      <c r="J402" s="1468"/>
      <c r="K402" s="1468"/>
      <c r="L402" s="1468"/>
      <c r="M402" s="99"/>
      <c r="N402" s="101"/>
    </row>
    <row r="403" spans="1:14" ht="16">
      <c r="A403" s="97"/>
      <c r="B403" s="1469" t="s">
        <v>1</v>
      </c>
      <c r="C403" s="1469"/>
      <c r="D403" s="1469" t="s">
        <v>2</v>
      </c>
      <c r="E403" s="1469"/>
      <c r="F403" s="1863" t="s">
        <v>3</v>
      </c>
      <c r="G403" s="1863"/>
      <c r="H403" s="395" t="s">
        <v>3</v>
      </c>
      <c r="I403" s="127" t="s">
        <v>195</v>
      </c>
      <c r="J403" s="102"/>
      <c r="K403" s="102"/>
      <c r="L403" s="128"/>
      <c r="M403" s="1469" t="s">
        <v>4</v>
      </c>
      <c r="N403" s="1526"/>
    </row>
    <row r="404" spans="1:14" ht="19" thickBot="1">
      <c r="A404" s="103" t="s">
        <v>5</v>
      </c>
      <c r="B404" s="1469" t="s">
        <v>6</v>
      </c>
      <c r="C404" s="1469"/>
      <c r="D404" s="1469" t="s">
        <v>7</v>
      </c>
      <c r="E404" s="1469"/>
      <c r="F404" s="1863" t="s">
        <v>7</v>
      </c>
      <c r="G404" s="1863"/>
      <c r="H404" s="395" t="s">
        <v>58</v>
      </c>
      <c r="I404" s="396" t="s">
        <v>196</v>
      </c>
      <c r="J404" s="394" t="s">
        <v>8</v>
      </c>
      <c r="K404" s="394" t="s">
        <v>9</v>
      </c>
      <c r="L404" s="400" t="s">
        <v>10</v>
      </c>
      <c r="M404" s="1469" t="s">
        <v>145</v>
      </c>
      <c r="N404" s="1526"/>
    </row>
    <row r="405" spans="1:14" ht="24" thickBot="1">
      <c r="A405" s="88" t="s">
        <v>144</v>
      </c>
      <c r="B405" s="1476"/>
      <c r="C405" s="1477"/>
      <c r="D405" s="1478"/>
      <c r="E405" s="1479"/>
      <c r="F405" s="1914"/>
      <c r="G405" s="1879"/>
      <c r="H405" s="406"/>
      <c r="I405" s="7"/>
      <c r="J405" s="7"/>
      <c r="K405" s="7"/>
      <c r="L405" s="8"/>
      <c r="M405" s="1764"/>
      <c r="N405" s="1765"/>
    </row>
    <row r="406" spans="1:14" s="1161" customFormat="1" ht="17" thickBot="1">
      <c r="A406" s="108" t="s">
        <v>48</v>
      </c>
      <c r="B406" s="1457"/>
      <c r="C406" s="1586"/>
      <c r="D406" s="1567"/>
      <c r="E406" s="1586"/>
      <c r="F406" s="1854"/>
      <c r="G406" s="1620"/>
      <c r="H406" s="1157"/>
      <c r="I406" s="109"/>
      <c r="J406" s="109"/>
      <c r="K406" s="109"/>
      <c r="L406" s="1141"/>
      <c r="M406" s="1617"/>
      <c r="N406" s="1486"/>
    </row>
    <row r="407" spans="1:14" hidden="1">
      <c r="A407" s="122" t="s">
        <v>28</v>
      </c>
      <c r="B407" s="1444">
        <f>'Chino Hills'!N79</f>
        <v>0</v>
      </c>
      <c r="C407" s="1422"/>
      <c r="D407" s="1431">
        <f t="shared" ref="D407:D413" si="82">F407*325851</f>
        <v>0</v>
      </c>
      <c r="E407" s="1422"/>
      <c r="F407" s="1449">
        <f>0.0379*B407</f>
        <v>0</v>
      </c>
      <c r="G407" s="1450"/>
      <c r="H407" s="464">
        <f>F407*20</f>
        <v>0</v>
      </c>
      <c r="I407" s="131">
        <v>0</v>
      </c>
      <c r="J407" s="131">
        <f>0*B407</f>
        <v>0</v>
      </c>
      <c r="K407" s="131">
        <f>60*B407</f>
        <v>0</v>
      </c>
      <c r="L407" s="132">
        <f t="shared" ref="L407:L413" si="83">I407+J407+K407</f>
        <v>0</v>
      </c>
      <c r="M407" s="1758">
        <v>0</v>
      </c>
      <c r="N407" s="1759"/>
    </row>
    <row r="408" spans="1:14">
      <c r="A408" s="32" t="s">
        <v>29</v>
      </c>
      <c r="B408" s="1444">
        <f>'Chino Hills'!N80</f>
        <v>96</v>
      </c>
      <c r="C408" s="1422"/>
      <c r="D408" s="1431">
        <f t="shared" si="82"/>
        <v>1329472.08</v>
      </c>
      <c r="E408" s="1422"/>
      <c r="F408" s="1449">
        <f>0.0425*B408</f>
        <v>4.08</v>
      </c>
      <c r="G408" s="1450"/>
      <c r="H408" s="957">
        <f>F408*20</f>
        <v>81.599999999999994</v>
      </c>
      <c r="I408" s="131">
        <v>0</v>
      </c>
      <c r="J408" s="131">
        <f>35*B408</f>
        <v>3360</v>
      </c>
      <c r="K408" s="131">
        <f>B408*50</f>
        <v>4800</v>
      </c>
      <c r="L408" s="132">
        <f t="shared" si="83"/>
        <v>8160</v>
      </c>
      <c r="M408" s="1758">
        <f t="shared" ref="M408:M413" si="84">L408/(F408*498.5)</f>
        <v>4.0120361083249749</v>
      </c>
      <c r="N408" s="1759"/>
    </row>
    <row r="409" spans="1:14">
      <c r="A409" s="32" t="s">
        <v>33</v>
      </c>
      <c r="B409" s="1444">
        <f>'Chino Hills'!N81</f>
        <v>125</v>
      </c>
      <c r="C409" s="1422"/>
      <c r="D409" s="1431">
        <f t="shared" si="82"/>
        <v>1124185.95</v>
      </c>
      <c r="E409" s="1422"/>
      <c r="F409" s="1449">
        <f>0.0276*B409</f>
        <v>3.4499999999999997</v>
      </c>
      <c r="G409" s="1450"/>
      <c r="H409" s="957">
        <f>F409*15</f>
        <v>51.749999999999993</v>
      </c>
      <c r="I409" s="131">
        <f>0*B409</f>
        <v>0</v>
      </c>
      <c r="J409" s="131">
        <f>50*B409</f>
        <v>6250</v>
      </c>
      <c r="K409" s="131">
        <f>B409*110</f>
        <v>13750</v>
      </c>
      <c r="L409" s="132">
        <f t="shared" si="83"/>
        <v>20000</v>
      </c>
      <c r="M409" s="1758">
        <f t="shared" si="84"/>
        <v>11.6290901690579</v>
      </c>
      <c r="N409" s="1759"/>
    </row>
    <row r="410" spans="1:14">
      <c r="A410" s="32" t="s">
        <v>56</v>
      </c>
      <c r="B410" s="1444">
        <f>'Chino Hills'!N82</f>
        <v>324</v>
      </c>
      <c r="C410" s="1422"/>
      <c r="D410" s="1431">
        <f t="shared" si="82"/>
        <v>422302.89600000001</v>
      </c>
      <c r="E410" s="1422"/>
      <c r="F410" s="1449">
        <f>0.004*B410</f>
        <v>1.296</v>
      </c>
      <c r="G410" s="1450"/>
      <c r="H410" s="957">
        <f>F410*5</f>
        <v>6.48</v>
      </c>
      <c r="I410" s="131">
        <f>0*B410</f>
        <v>0</v>
      </c>
      <c r="J410" s="131">
        <f>2*B410</f>
        <v>648</v>
      </c>
      <c r="K410" s="131">
        <f>B410*4</f>
        <v>1296</v>
      </c>
      <c r="L410" s="132">
        <f t="shared" si="83"/>
        <v>1944</v>
      </c>
      <c r="M410" s="1758">
        <f t="shared" si="84"/>
        <v>3.009027081243731</v>
      </c>
      <c r="N410" s="1759"/>
    </row>
    <row r="411" spans="1:14">
      <c r="A411" s="78" t="s">
        <v>30</v>
      </c>
      <c r="B411" s="1444">
        <f>'Chino Hills'!N83</f>
        <v>1</v>
      </c>
      <c r="C411" s="1422"/>
      <c r="D411" s="1467">
        <f t="shared" si="82"/>
        <v>105901.575</v>
      </c>
      <c r="E411" s="1433"/>
      <c r="F411" s="1876">
        <f>0.325*B411</f>
        <v>0.32500000000000001</v>
      </c>
      <c r="G411" s="1877"/>
      <c r="H411" s="956">
        <f>F411*10</f>
        <v>3.25</v>
      </c>
      <c r="I411" s="133">
        <v>0</v>
      </c>
      <c r="J411" s="133">
        <f>45*B411</f>
        <v>45</v>
      </c>
      <c r="K411" s="133">
        <f>B411*80</f>
        <v>80</v>
      </c>
      <c r="L411" s="134">
        <f t="shared" si="83"/>
        <v>125</v>
      </c>
      <c r="M411" s="1758">
        <f t="shared" si="84"/>
        <v>0.77154540544711048</v>
      </c>
      <c r="N411" s="1759"/>
    </row>
    <row r="412" spans="1:14">
      <c r="A412" s="76" t="s">
        <v>157</v>
      </c>
      <c r="B412" s="1444">
        <v>1</v>
      </c>
      <c r="C412" s="1422"/>
      <c r="D412" s="1467">
        <f t="shared" si="82"/>
        <v>28010.151959999999</v>
      </c>
      <c r="E412" s="1433"/>
      <c r="F412" s="1876">
        <f>0.00014*614</f>
        <v>8.5959999999999995E-2</v>
      </c>
      <c r="G412" s="1877"/>
      <c r="H412" s="956">
        <f>F412*10</f>
        <v>0.85959999999999992</v>
      </c>
      <c r="I412" s="133">
        <v>0</v>
      </c>
      <c r="J412" s="133">
        <f>1228</f>
        <v>1228</v>
      </c>
      <c r="K412" s="133">
        <f>B412*0</f>
        <v>0</v>
      </c>
      <c r="L412" s="134">
        <f t="shared" si="83"/>
        <v>1228</v>
      </c>
      <c r="M412" s="1758">
        <f t="shared" si="84"/>
        <v>28.657400773749824</v>
      </c>
      <c r="N412" s="1759"/>
    </row>
    <row r="413" spans="1:14" ht="14" thickBot="1">
      <c r="A413" s="104" t="s">
        <v>152</v>
      </c>
      <c r="B413" s="1444">
        <f>'Chino Hills'!N85</f>
        <v>5</v>
      </c>
      <c r="C413" s="1422"/>
      <c r="D413" s="1467">
        <f t="shared" si="82"/>
        <v>134576.46299999999</v>
      </c>
      <c r="E413" s="1433"/>
      <c r="F413" s="1876">
        <f>0.00014*2950</f>
        <v>0.41299999999999998</v>
      </c>
      <c r="G413" s="1877"/>
      <c r="H413" s="956">
        <f>F413*10</f>
        <v>4.13</v>
      </c>
      <c r="I413" s="133">
        <v>0</v>
      </c>
      <c r="J413" s="133">
        <f>0.45*2950</f>
        <v>1327.5</v>
      </c>
      <c r="K413" s="133">
        <f>2950*0.3</f>
        <v>885</v>
      </c>
      <c r="L413" s="134">
        <f t="shared" si="83"/>
        <v>2212.5</v>
      </c>
      <c r="M413" s="1758">
        <f t="shared" si="84"/>
        <v>10.746525290156184</v>
      </c>
      <c r="N413" s="1759"/>
    </row>
    <row r="414" spans="1:14" s="533" customFormat="1" ht="14" thickBot="1">
      <c r="A414" s="53" t="s">
        <v>60</v>
      </c>
      <c r="B414" s="1440">
        <f>SUM(B407:C413)</f>
        <v>552</v>
      </c>
      <c r="C414" s="1609"/>
      <c r="D414" s="1441">
        <f>SUM(D407:E413)</f>
        <v>3144449.1159600005</v>
      </c>
      <c r="E414" s="1609"/>
      <c r="F414" s="1440">
        <f>SUM(F407:G413)</f>
        <v>9.6499599999999983</v>
      </c>
      <c r="G414" s="1439"/>
      <c r="H414" s="619">
        <f>SUM(H407:H413)</f>
        <v>148.06959999999998</v>
      </c>
      <c r="I414" s="143">
        <f>SUM(I407:I413)</f>
        <v>0</v>
      </c>
      <c r="J414" s="143">
        <f>SUM(J407:J413)</f>
        <v>12858.5</v>
      </c>
      <c r="K414" s="143">
        <f>SUM(K407:K413)</f>
        <v>20811</v>
      </c>
      <c r="L414" s="152">
        <f>SUM(L407:L413)</f>
        <v>33669.5</v>
      </c>
      <c r="M414" s="1657"/>
      <c r="N414" s="1622"/>
    </row>
    <row r="415" spans="1:14" s="1161" customFormat="1" ht="17" thickBot="1">
      <c r="A415" s="108" t="s">
        <v>146</v>
      </c>
      <c r="B415" s="1457"/>
      <c r="C415" s="1586"/>
      <c r="D415" s="1567"/>
      <c r="E415" s="1586"/>
      <c r="F415" s="1457"/>
      <c r="G415" s="1586"/>
      <c r="H415" s="1142"/>
      <c r="I415" s="161"/>
      <c r="J415" s="161"/>
      <c r="K415" s="161"/>
      <c r="L415" s="162"/>
      <c r="M415" s="1617"/>
      <c r="N415" s="1486"/>
    </row>
    <row r="416" spans="1:14" ht="14" thickBot="1">
      <c r="A416" s="76" t="s">
        <v>146</v>
      </c>
      <c r="B416" s="1444">
        <f>'Chino Hills'!N88</f>
        <v>0</v>
      </c>
      <c r="C416" s="1422"/>
      <c r="D416" s="1431">
        <f>F416*325851</f>
        <v>0</v>
      </c>
      <c r="E416" s="1422"/>
      <c r="F416" s="1449">
        <f>0.0425*B416</f>
        <v>0</v>
      </c>
      <c r="G416" s="1450"/>
      <c r="H416" s="957">
        <f>F416*20</f>
        <v>0</v>
      </c>
      <c r="I416" s="131">
        <f>73.34*B416</f>
        <v>0</v>
      </c>
      <c r="J416" s="131">
        <f>35.66*B416</f>
        <v>0</v>
      </c>
      <c r="K416" s="131">
        <f>B416*165</f>
        <v>0</v>
      </c>
      <c r="L416" s="132">
        <f>I416+J416+K416</f>
        <v>0</v>
      </c>
      <c r="M416" s="1758">
        <v>0</v>
      </c>
      <c r="N416" s="1759"/>
    </row>
    <row r="417" spans="1:14" s="533" customFormat="1" ht="14" thickBot="1">
      <c r="A417" s="53" t="s">
        <v>60</v>
      </c>
      <c r="B417" s="1440">
        <f>SUM(B416)</f>
        <v>0</v>
      </c>
      <c r="C417" s="1609"/>
      <c r="D417" s="1441">
        <f>SUM(D416)</f>
        <v>0</v>
      </c>
      <c r="E417" s="1609"/>
      <c r="F417" s="1440">
        <f>SUM(F416)</f>
        <v>0</v>
      </c>
      <c r="G417" s="1439"/>
      <c r="H417" s="619">
        <f>SUM(H416)</f>
        <v>0</v>
      </c>
      <c r="I417" s="136">
        <f>SUM(I416)</f>
        <v>0</v>
      </c>
      <c r="J417" s="143">
        <f>SUM(J416)</f>
        <v>0</v>
      </c>
      <c r="K417" s="143">
        <f>SUM(K416)</f>
        <v>0</v>
      </c>
      <c r="L417" s="136">
        <f>SUM(L416)</f>
        <v>0</v>
      </c>
      <c r="M417" s="1657"/>
      <c r="N417" s="1622"/>
    </row>
    <row r="418" spans="1:14" s="1161" customFormat="1" ht="17" thickBot="1">
      <c r="A418" s="108" t="s">
        <v>50</v>
      </c>
      <c r="B418" s="1457"/>
      <c r="C418" s="1586"/>
      <c r="D418" s="1567"/>
      <c r="E418" s="1586"/>
      <c r="F418" s="1457"/>
      <c r="G418" s="1586"/>
      <c r="H418" s="1142"/>
      <c r="I418" s="161"/>
      <c r="J418" s="161"/>
      <c r="K418" s="161"/>
      <c r="L418" s="162"/>
      <c r="M418" s="1617"/>
      <c r="N418" s="1486"/>
    </row>
    <row r="419" spans="1:14" hidden="1">
      <c r="A419" s="34" t="s">
        <v>26</v>
      </c>
      <c r="B419" s="1444">
        <f>'Chino Hills'!N91</f>
        <v>0</v>
      </c>
      <c r="C419" s="1422"/>
      <c r="D419" s="1431">
        <f t="shared" ref="D419:D427" si="85">F419*325851</f>
        <v>0</v>
      </c>
      <c r="E419" s="1422"/>
      <c r="F419" s="1444">
        <f>0.0379*B419</f>
        <v>0</v>
      </c>
      <c r="G419" s="1422"/>
      <c r="H419" s="626">
        <f>F419*20</f>
        <v>0</v>
      </c>
      <c r="I419" s="131">
        <v>0</v>
      </c>
      <c r="J419" s="131">
        <f>35.66*B419</f>
        <v>0</v>
      </c>
      <c r="K419" s="131">
        <f>135*B419</f>
        <v>0</v>
      </c>
      <c r="L419" s="132">
        <f>SUM(I419:K419)</f>
        <v>0</v>
      </c>
      <c r="M419" s="1758">
        <v>0</v>
      </c>
      <c r="N419" s="1759"/>
    </row>
    <row r="420" spans="1:14">
      <c r="A420" s="34" t="s">
        <v>25</v>
      </c>
      <c r="B420" s="1444">
        <f>'Chino Hills'!N92</f>
        <v>0</v>
      </c>
      <c r="C420" s="1422"/>
      <c r="D420" s="1431">
        <f t="shared" si="85"/>
        <v>0</v>
      </c>
      <c r="E420" s="1422"/>
      <c r="F420" s="1449">
        <f>0.0379*B420</f>
        <v>0</v>
      </c>
      <c r="G420" s="1450"/>
      <c r="H420" s="957">
        <f>F420*20</f>
        <v>0</v>
      </c>
      <c r="I420" s="131">
        <v>0</v>
      </c>
      <c r="J420" s="131">
        <f>0*B420</f>
        <v>0</v>
      </c>
      <c r="K420" s="131">
        <f>60*B420</f>
        <v>0</v>
      </c>
      <c r="L420" s="132">
        <f t="shared" ref="L420:L428" si="86">SUM(I420:K420)</f>
        <v>0</v>
      </c>
      <c r="M420" s="1758">
        <v>0</v>
      </c>
      <c r="N420" s="1759"/>
    </row>
    <row r="421" spans="1:14">
      <c r="A421" s="32" t="s">
        <v>29</v>
      </c>
      <c r="B421" s="1444">
        <f>'Chino Hills'!N93</f>
        <v>0</v>
      </c>
      <c r="C421" s="1422"/>
      <c r="D421" s="1431">
        <f t="shared" si="85"/>
        <v>0</v>
      </c>
      <c r="E421" s="1422"/>
      <c r="F421" s="1449">
        <f>0.0425*B421</f>
        <v>0</v>
      </c>
      <c r="G421" s="1450"/>
      <c r="H421" s="957">
        <f>F421*20</f>
        <v>0</v>
      </c>
      <c r="I421" s="131">
        <v>0</v>
      </c>
      <c r="J421" s="131">
        <f>135*B421</f>
        <v>0</v>
      </c>
      <c r="K421" s="131">
        <f>165*B421</f>
        <v>0</v>
      </c>
      <c r="L421" s="132">
        <f t="shared" si="86"/>
        <v>0</v>
      </c>
      <c r="M421" s="1758">
        <v>0</v>
      </c>
      <c r="N421" s="1759"/>
    </row>
    <row r="422" spans="1:14">
      <c r="A422" s="32" t="s">
        <v>51</v>
      </c>
      <c r="B422" s="1444">
        <f>'Chino Hills'!N94</f>
        <v>0</v>
      </c>
      <c r="C422" s="1422"/>
      <c r="D422" s="1431">
        <f t="shared" si="85"/>
        <v>0</v>
      </c>
      <c r="E422" s="1422"/>
      <c r="F422" s="1449">
        <f>0.1227*B422</f>
        <v>0</v>
      </c>
      <c r="G422" s="1450"/>
      <c r="H422" s="957">
        <f>F422*20</f>
        <v>0</v>
      </c>
      <c r="I422" s="131">
        <v>0</v>
      </c>
      <c r="J422" s="131">
        <f>0*B422</f>
        <v>0</v>
      </c>
      <c r="K422" s="131">
        <f>400*B422</f>
        <v>0</v>
      </c>
      <c r="L422" s="132">
        <f t="shared" si="86"/>
        <v>0</v>
      </c>
      <c r="M422" s="1758">
        <v>0</v>
      </c>
      <c r="N422" s="1759"/>
    </row>
    <row r="423" spans="1:14" hidden="1">
      <c r="A423" s="34" t="s">
        <v>20</v>
      </c>
      <c r="B423" s="1444">
        <f>'Chino Hills'!N95</f>
        <v>0</v>
      </c>
      <c r="C423" s="1422"/>
      <c r="D423" s="1431">
        <f t="shared" si="85"/>
        <v>0</v>
      </c>
      <c r="E423" s="1422"/>
      <c r="F423" s="1449">
        <f>0.644*B423</f>
        <v>0</v>
      </c>
      <c r="G423" s="1450"/>
      <c r="H423" s="957">
        <f>F423*5</f>
        <v>0</v>
      </c>
      <c r="I423" s="131">
        <v>0</v>
      </c>
      <c r="J423" s="131">
        <f>43.75*B423</f>
        <v>0</v>
      </c>
      <c r="K423" s="131">
        <f>625*B423</f>
        <v>0</v>
      </c>
      <c r="L423" s="132">
        <f t="shared" si="86"/>
        <v>0</v>
      </c>
      <c r="M423" s="1758">
        <v>0</v>
      </c>
      <c r="N423" s="1759"/>
    </row>
    <row r="424" spans="1:14">
      <c r="A424" s="34" t="s">
        <v>13</v>
      </c>
      <c r="B424" s="1444">
        <f>'Chino Hills'!N96</f>
        <v>0</v>
      </c>
      <c r="C424" s="1422"/>
      <c r="D424" s="1431">
        <f t="shared" si="85"/>
        <v>0</v>
      </c>
      <c r="E424" s="1422"/>
      <c r="F424" s="1449">
        <f>0.0276*B424</f>
        <v>0</v>
      </c>
      <c r="G424" s="1450"/>
      <c r="H424" s="957">
        <f>F424*10</f>
        <v>0</v>
      </c>
      <c r="I424" s="131">
        <v>0</v>
      </c>
      <c r="J424" s="131">
        <f>100*B424</f>
        <v>0</v>
      </c>
      <c r="K424" s="131">
        <f>80*B424</f>
        <v>0</v>
      </c>
      <c r="L424" s="132">
        <f t="shared" si="86"/>
        <v>0</v>
      </c>
      <c r="M424" s="1758">
        <v>0</v>
      </c>
      <c r="N424" s="1759"/>
    </row>
    <row r="425" spans="1:14">
      <c r="A425" s="35" t="s">
        <v>47</v>
      </c>
      <c r="B425" s="1444">
        <f>'Chino Hills'!N97</f>
        <v>0</v>
      </c>
      <c r="C425" s="1422"/>
      <c r="D425" s="1431">
        <f t="shared" si="85"/>
        <v>0</v>
      </c>
      <c r="E425" s="1422"/>
      <c r="F425" s="1449">
        <f>0.1534*B425</f>
        <v>0</v>
      </c>
      <c r="G425" s="1450"/>
      <c r="H425" s="957">
        <f>F425*5</f>
        <v>0</v>
      </c>
      <c r="I425" s="131">
        <v>0</v>
      </c>
      <c r="J425" s="131">
        <f>0*B425</f>
        <v>0</v>
      </c>
      <c r="K425" s="131">
        <f>150*B425</f>
        <v>0</v>
      </c>
      <c r="L425" s="132">
        <f t="shared" si="86"/>
        <v>0</v>
      </c>
      <c r="M425" s="1758">
        <v>0</v>
      </c>
      <c r="N425" s="1759"/>
    </row>
    <row r="426" spans="1:14">
      <c r="A426" s="76" t="s">
        <v>30</v>
      </c>
      <c r="B426" s="1444">
        <f>'Chino Hills'!N98</f>
        <v>10</v>
      </c>
      <c r="C426" s="1422"/>
      <c r="D426" s="1431">
        <f t="shared" si="85"/>
        <v>1059015.75</v>
      </c>
      <c r="E426" s="1422"/>
      <c r="F426" s="1449">
        <f>0.325*B426</f>
        <v>3.25</v>
      </c>
      <c r="G426" s="1450"/>
      <c r="H426" s="957">
        <f>F426*10</f>
        <v>32.5</v>
      </c>
      <c r="I426" s="131">
        <v>0</v>
      </c>
      <c r="J426" s="131">
        <v>3960</v>
      </c>
      <c r="K426" s="131">
        <v>6600</v>
      </c>
      <c r="L426" s="132">
        <f t="shared" si="86"/>
        <v>10560</v>
      </c>
      <c r="M426" s="1758">
        <f>L426/(F426*498.5)</f>
        <v>6.5180155852171904</v>
      </c>
      <c r="N426" s="1759"/>
    </row>
    <row r="427" spans="1:14">
      <c r="A427" s="33" t="s">
        <v>53</v>
      </c>
      <c r="B427" s="1444">
        <f>'Chino Hills'!N99</f>
        <v>0</v>
      </c>
      <c r="C427" s="1422"/>
      <c r="D427" s="1431">
        <f t="shared" si="85"/>
        <v>0</v>
      </c>
      <c r="E427" s="1422"/>
      <c r="F427" s="1449">
        <f>0.00014*B427</f>
        <v>0</v>
      </c>
      <c r="G427" s="1450"/>
      <c r="H427" s="957">
        <f>F427*10</f>
        <v>0</v>
      </c>
      <c r="I427" s="131">
        <v>0</v>
      </c>
      <c r="J427" s="131">
        <f>0.45*B427</f>
        <v>0</v>
      </c>
      <c r="K427" s="131">
        <f>0.3*B427</f>
        <v>0</v>
      </c>
      <c r="L427" s="132">
        <f t="shared" si="86"/>
        <v>0</v>
      </c>
      <c r="M427" s="1758">
        <v>0</v>
      </c>
      <c r="N427" s="1759"/>
    </row>
    <row r="428" spans="1:14">
      <c r="A428" s="33" t="s">
        <v>56</v>
      </c>
      <c r="B428" s="1444">
        <f>'Chino Hills'!N100</f>
        <v>0</v>
      </c>
      <c r="C428" s="1422"/>
      <c r="D428" s="1431">
        <f>F428*325851</f>
        <v>0</v>
      </c>
      <c r="E428" s="1422"/>
      <c r="F428" s="1449">
        <f>0.004*B428</f>
        <v>0</v>
      </c>
      <c r="G428" s="1450"/>
      <c r="H428" s="957">
        <f>F428*5</f>
        <v>0</v>
      </c>
      <c r="I428" s="131">
        <v>0</v>
      </c>
      <c r="J428" s="131">
        <f>0*B428</f>
        <v>0</v>
      </c>
      <c r="K428" s="131">
        <f>4*B428</f>
        <v>0</v>
      </c>
      <c r="L428" s="132">
        <f t="shared" si="86"/>
        <v>0</v>
      </c>
      <c r="M428" s="1758">
        <v>0</v>
      </c>
      <c r="N428" s="1759"/>
    </row>
    <row r="429" spans="1:14" hidden="1">
      <c r="A429" s="76" t="s">
        <v>122</v>
      </c>
      <c r="B429" s="1444">
        <f>'Chino Hills'!N101</f>
        <v>0</v>
      </c>
      <c r="C429" s="1422"/>
      <c r="D429" s="1431">
        <f>F429*325851</f>
        <v>0</v>
      </c>
      <c r="E429" s="1422"/>
      <c r="F429" s="1449">
        <f>0.018*B429</f>
        <v>0</v>
      </c>
      <c r="G429" s="1450"/>
      <c r="H429" s="957">
        <f>F429*10</f>
        <v>0</v>
      </c>
      <c r="I429" s="131">
        <v>0</v>
      </c>
      <c r="J429" s="131">
        <f>0*B429</f>
        <v>0</v>
      </c>
      <c r="K429" s="131">
        <f>13*B429</f>
        <v>0</v>
      </c>
      <c r="L429" s="132">
        <f>SUM(I429:K429)</f>
        <v>0</v>
      </c>
      <c r="M429" s="1758">
        <v>0</v>
      </c>
      <c r="N429" s="1759"/>
    </row>
    <row r="430" spans="1:14" ht="14" thickBot="1">
      <c r="A430" s="33" t="s">
        <v>102</v>
      </c>
      <c r="B430" s="1536">
        <f>'Chino Hills'!N102</f>
        <v>0</v>
      </c>
      <c r="C430" s="1424"/>
      <c r="D430" s="1423">
        <f>F430*325851</f>
        <v>0</v>
      </c>
      <c r="E430" s="1424"/>
      <c r="F430" s="1911">
        <f>0.153*B430</f>
        <v>0</v>
      </c>
      <c r="G430" s="1912"/>
      <c r="H430" s="955">
        <f>F430*5</f>
        <v>0</v>
      </c>
      <c r="I430" s="150">
        <v>0</v>
      </c>
      <c r="J430" s="150">
        <f>0*B430</f>
        <v>0</v>
      </c>
      <c r="K430" s="150">
        <f>60*B430</f>
        <v>0</v>
      </c>
      <c r="L430" s="172">
        <f>SUM(I430:K430)</f>
        <v>0</v>
      </c>
      <c r="M430" s="1758">
        <v>0</v>
      </c>
      <c r="N430" s="1759"/>
    </row>
    <row r="431" spans="1:14" s="533" customFormat="1" ht="14" thickBot="1">
      <c r="A431" s="53" t="s">
        <v>60</v>
      </c>
      <c r="B431" s="1440">
        <f>SUM(B419:C430)</f>
        <v>10</v>
      </c>
      <c r="C431" s="1609"/>
      <c r="D431" s="1441">
        <f>SUM(D419:E430)</f>
        <v>1059015.75</v>
      </c>
      <c r="E431" s="1609"/>
      <c r="F431" s="1440">
        <f>SUM(F419:G430)</f>
        <v>3.25</v>
      </c>
      <c r="G431" s="1439"/>
      <c r="H431" s="482">
        <f>SUM(H419:H430)</f>
        <v>32.5</v>
      </c>
      <c r="I431" s="136">
        <f>SUM(I419:I430)</f>
        <v>0</v>
      </c>
      <c r="J431" s="143">
        <f>SUM(J419:J430)</f>
        <v>3960</v>
      </c>
      <c r="K431" s="143">
        <f>SUM(K419:K430)</f>
        <v>6600</v>
      </c>
      <c r="L431" s="136">
        <f>SUM(L419:L430)</f>
        <v>10560</v>
      </c>
      <c r="M431" s="1657"/>
      <c r="N431" s="1790"/>
    </row>
    <row r="432" spans="1:14" s="91" customFormat="1" ht="17" hidden="1" thickBot="1">
      <c r="A432" s="108" t="s">
        <v>54</v>
      </c>
      <c r="B432" s="1457"/>
      <c r="C432" s="1913"/>
      <c r="D432" s="405"/>
      <c r="E432" s="399"/>
      <c r="F432" s="476"/>
      <c r="G432" s="460"/>
      <c r="H432" s="460"/>
      <c r="I432" s="161"/>
      <c r="J432" s="161"/>
      <c r="K432" s="161"/>
      <c r="L432" s="162"/>
      <c r="M432" s="410"/>
      <c r="N432" s="411"/>
    </row>
    <row r="433" spans="1:14" hidden="1">
      <c r="A433" s="1" t="s">
        <v>29</v>
      </c>
      <c r="B433" s="1431">
        <f>'Chino Hills'!N105</f>
        <v>0</v>
      </c>
      <c r="C433" s="1422"/>
      <c r="D433" s="1431">
        <f t="shared" ref="D433:D438" si="87">F433*325851</f>
        <v>0</v>
      </c>
      <c r="E433" s="1422"/>
      <c r="F433" s="1431">
        <f>0.0425*B433</f>
        <v>0</v>
      </c>
      <c r="G433" s="1422"/>
      <c r="H433" s="462">
        <f>F433*20</f>
        <v>0</v>
      </c>
      <c r="I433" s="131">
        <v>0</v>
      </c>
      <c r="J433" s="131">
        <f>35.66*B433</f>
        <v>0</v>
      </c>
      <c r="K433" s="131">
        <f>0*B433</f>
        <v>0</v>
      </c>
      <c r="L433" s="132">
        <f t="shared" ref="L433:L438" si="88">SUM(I433:K433)</f>
        <v>0</v>
      </c>
      <c r="M433" s="1758">
        <v>0</v>
      </c>
      <c r="N433" s="1759"/>
    </row>
    <row r="434" spans="1:14" hidden="1">
      <c r="A434" s="2" t="s">
        <v>51</v>
      </c>
      <c r="B434" s="1431">
        <f>'Chino Hills'!N106</f>
        <v>0</v>
      </c>
      <c r="C434" s="1422"/>
      <c r="D434" s="1431">
        <f t="shared" si="87"/>
        <v>0</v>
      </c>
      <c r="E434" s="1422"/>
      <c r="F434" s="1431">
        <f>0.125*B434</f>
        <v>0</v>
      </c>
      <c r="G434" s="1422"/>
      <c r="H434" s="462">
        <f>F434*20</f>
        <v>0</v>
      </c>
      <c r="I434" s="131">
        <v>0</v>
      </c>
      <c r="J434" s="131">
        <f>0*B434</f>
        <v>0</v>
      </c>
      <c r="K434" s="131">
        <f>0*B434</f>
        <v>0</v>
      </c>
      <c r="L434" s="132">
        <f t="shared" si="88"/>
        <v>0</v>
      </c>
      <c r="M434" s="1758">
        <v>0</v>
      </c>
      <c r="N434" s="1759"/>
    </row>
    <row r="435" spans="1:14" hidden="1">
      <c r="A435" s="2" t="s">
        <v>15</v>
      </c>
      <c r="B435" s="1431">
        <f>'Chino Hills'!N107</f>
        <v>0</v>
      </c>
      <c r="C435" s="1422"/>
      <c r="D435" s="1431">
        <f t="shared" si="87"/>
        <v>0</v>
      </c>
      <c r="E435" s="1422"/>
      <c r="F435" s="1431">
        <f>0.1534*B435</f>
        <v>0</v>
      </c>
      <c r="G435" s="1422"/>
      <c r="H435" s="462">
        <f>F435*5</f>
        <v>0</v>
      </c>
      <c r="I435" s="131">
        <v>0</v>
      </c>
      <c r="J435" s="131">
        <f>0*B435</f>
        <v>0</v>
      </c>
      <c r="K435" s="131">
        <f>0*B435</f>
        <v>0</v>
      </c>
      <c r="L435" s="132">
        <f t="shared" si="88"/>
        <v>0</v>
      </c>
      <c r="M435" s="1758">
        <v>0</v>
      </c>
      <c r="N435" s="1759"/>
    </row>
    <row r="436" spans="1:14" hidden="1">
      <c r="A436" s="2" t="s">
        <v>30</v>
      </c>
      <c r="B436" s="1431">
        <f>'Chino Hills'!N108</f>
        <v>0</v>
      </c>
      <c r="C436" s="1422"/>
      <c r="D436" s="1431">
        <f t="shared" si="87"/>
        <v>0</v>
      </c>
      <c r="E436" s="1422"/>
      <c r="F436" s="1431">
        <f>0.609*B436</f>
        <v>0</v>
      </c>
      <c r="G436" s="1422"/>
      <c r="H436" s="462">
        <f>F436*10</f>
        <v>0</v>
      </c>
      <c r="I436" s="131">
        <v>0</v>
      </c>
      <c r="J436" s="131">
        <f>0*B436</f>
        <v>0</v>
      </c>
      <c r="K436" s="131">
        <f>0*B436</f>
        <v>0</v>
      </c>
      <c r="L436" s="132">
        <f t="shared" si="88"/>
        <v>0</v>
      </c>
      <c r="M436" s="1758">
        <v>0</v>
      </c>
      <c r="N436" s="1759"/>
    </row>
    <row r="437" spans="1:14" hidden="1">
      <c r="A437" s="2" t="s">
        <v>55</v>
      </c>
      <c r="B437" s="1431">
        <f>'Chino Hills'!N109</f>
        <v>0</v>
      </c>
      <c r="C437" s="1422"/>
      <c r="D437" s="1431">
        <f t="shared" si="87"/>
        <v>0</v>
      </c>
      <c r="E437" s="1422"/>
      <c r="F437" s="1467">
        <f>0.992*B437</f>
        <v>0</v>
      </c>
      <c r="G437" s="1433"/>
      <c r="H437" s="462">
        <f>F437*10</f>
        <v>0</v>
      </c>
      <c r="I437" s="131">
        <v>0</v>
      </c>
      <c r="J437" s="131">
        <f>0*B437</f>
        <v>0</v>
      </c>
      <c r="K437" s="131">
        <f>4066.48*B437</f>
        <v>0</v>
      </c>
      <c r="L437" s="132">
        <f t="shared" si="88"/>
        <v>0</v>
      </c>
      <c r="M437" s="1758">
        <v>0</v>
      </c>
      <c r="N437" s="1759"/>
    </row>
    <row r="438" spans="1:14" ht="14" hidden="1" thickBot="1">
      <c r="A438" s="75" t="s">
        <v>53</v>
      </c>
      <c r="B438" s="1431">
        <f>'Chino Hills'!N110</f>
        <v>0</v>
      </c>
      <c r="C438" s="1422"/>
      <c r="D438" s="1431">
        <f t="shared" si="87"/>
        <v>0</v>
      </c>
      <c r="E438" s="1422"/>
      <c r="F438" s="1431">
        <f>0.00014*B438</f>
        <v>0</v>
      </c>
      <c r="G438" s="1422"/>
      <c r="H438" s="462">
        <f>F438*10</f>
        <v>0</v>
      </c>
      <c r="I438" s="131">
        <v>0</v>
      </c>
      <c r="J438" s="131">
        <f>0.3*B438</f>
        <v>0</v>
      </c>
      <c r="K438" s="131">
        <f>0.75*B438</f>
        <v>0</v>
      </c>
      <c r="L438" s="132">
        <f t="shared" si="88"/>
        <v>0</v>
      </c>
      <c r="M438" s="1758">
        <v>0</v>
      </c>
      <c r="N438" s="1759"/>
    </row>
    <row r="439" spans="1:14" s="533" customFormat="1" ht="14" hidden="1" thickBot="1">
      <c r="A439" s="53" t="s">
        <v>60</v>
      </c>
      <c r="B439" s="1438">
        <f>SUM(B433:C438)</f>
        <v>0</v>
      </c>
      <c r="C439" s="1609"/>
      <c r="D439" s="1438">
        <f>SUM(D433:E438)</f>
        <v>0</v>
      </c>
      <c r="E439" s="1609"/>
      <c r="F439" s="1438">
        <f>SUM(F433:G438)</f>
        <v>0</v>
      </c>
      <c r="G439" s="1439"/>
      <c r="H439" s="482">
        <f>SUM(H433:H438)</f>
        <v>0</v>
      </c>
      <c r="I439" s="136">
        <f>SUM(I433:I438)</f>
        <v>0</v>
      </c>
      <c r="J439" s="136">
        <f>SUM(J433:J438)</f>
        <v>0</v>
      </c>
      <c r="K439" s="136">
        <f>SUM(K433:K438)</f>
        <v>0</v>
      </c>
      <c r="L439" s="136">
        <f>SUM(L433:L438)</f>
        <v>0</v>
      </c>
      <c r="M439" s="1657"/>
      <c r="N439" s="1790"/>
    </row>
    <row r="440" spans="1:14" s="1168" customFormat="1" ht="17" thickBot="1">
      <c r="A440" s="1163" t="s">
        <v>17</v>
      </c>
      <c r="B440" s="1612">
        <f>SUM(B414+B417+B431+B439)</f>
        <v>562</v>
      </c>
      <c r="C440" s="1415"/>
      <c r="D440" s="1416">
        <f>SUM(D414+D417+D431+D439)</f>
        <v>4203464.8659600001</v>
      </c>
      <c r="E440" s="1415"/>
      <c r="F440" s="1416">
        <f>SUM(F414+F417+F431+F439)</f>
        <v>12.899959999999998</v>
      </c>
      <c r="G440" s="1415"/>
      <c r="H440" s="1164">
        <f>SUM(H414+H417+H431+H439)</f>
        <v>180.56959999999998</v>
      </c>
      <c r="I440" s="1169">
        <f>SUM(I414+I417+I431+I439)</f>
        <v>0</v>
      </c>
      <c r="J440" s="1169">
        <f>SUM(J414+J417+J431+J439)</f>
        <v>16818.5</v>
      </c>
      <c r="K440" s="1169">
        <f>SUM(K414+K417+K431+K439)</f>
        <v>27411</v>
      </c>
      <c r="L440" s="1169">
        <f>SUM(L414+L417+L431+L439)</f>
        <v>44229.5</v>
      </c>
      <c r="M440" s="1631"/>
      <c r="N440" s="1640"/>
    </row>
    <row r="441" spans="1:14" ht="16">
      <c r="A441" s="60"/>
      <c r="B441" s="61"/>
      <c r="C441" s="61"/>
      <c r="D441" s="61"/>
      <c r="E441" s="61"/>
      <c r="F441" s="61"/>
      <c r="G441" s="61"/>
      <c r="H441" s="62"/>
      <c r="I441" s="62"/>
      <c r="J441" s="62"/>
      <c r="K441" s="62"/>
      <c r="L441" s="62"/>
      <c r="M441" s="64"/>
      <c r="N441" s="65"/>
    </row>
    <row r="442" spans="1:14" ht="16">
      <c r="A442" s="9" t="s">
        <v>18</v>
      </c>
      <c r="B442" s="1419" t="s">
        <v>59</v>
      </c>
      <c r="C442" s="1419"/>
      <c r="D442" s="1419"/>
      <c r="E442" s="1419"/>
      <c r="F442" s="61"/>
      <c r="G442" s="61"/>
      <c r="H442" s="62"/>
      <c r="I442" s="62"/>
      <c r="J442" s="62"/>
      <c r="K442" s="62"/>
      <c r="L442" s="62"/>
      <c r="M442" s="64"/>
      <c r="N442" s="65"/>
    </row>
    <row r="443" spans="1:14" ht="16">
      <c r="A443" s="57"/>
      <c r="B443" s="1420" t="s">
        <v>19</v>
      </c>
      <c r="C443" s="1420"/>
      <c r="D443" s="1420"/>
      <c r="E443" s="1420"/>
      <c r="F443" s="61"/>
      <c r="G443" s="61"/>
      <c r="H443" s="62"/>
      <c r="I443" s="62"/>
      <c r="J443" s="62"/>
      <c r="K443" s="62"/>
      <c r="L443" s="62"/>
      <c r="M443" s="64"/>
      <c r="N443" s="65"/>
    </row>
    <row r="444" spans="1:14" ht="17" thickBot="1">
      <c r="A444" s="985"/>
      <c r="B444" s="820"/>
      <c r="C444" s="820"/>
      <c r="D444" s="820"/>
      <c r="E444" s="820"/>
      <c r="F444" s="61"/>
      <c r="G444" s="61"/>
      <c r="H444" s="62"/>
      <c r="I444" s="62"/>
      <c r="J444" s="62"/>
      <c r="K444" s="62"/>
      <c r="L444" s="62"/>
      <c r="M444" s="64"/>
      <c r="N444" s="65"/>
    </row>
    <row r="445" spans="1:14" s="363" customFormat="1" ht="16">
      <c r="A445" s="98"/>
      <c r="B445" s="99"/>
      <c r="C445" s="99"/>
      <c r="D445" s="99"/>
      <c r="E445" s="99"/>
      <c r="F445" s="100"/>
      <c r="G445" s="100"/>
      <c r="H445" s="100"/>
      <c r="I445" s="1468" t="s">
        <v>0</v>
      </c>
      <c r="J445" s="1468"/>
      <c r="K445" s="1468"/>
      <c r="L445" s="1468"/>
      <c r="M445" s="99"/>
      <c r="N445" s="101"/>
    </row>
    <row r="446" spans="1:14" ht="16">
      <c r="A446" s="97"/>
      <c r="B446" s="1469" t="s">
        <v>1</v>
      </c>
      <c r="C446" s="1469"/>
      <c r="D446" s="1469" t="s">
        <v>2</v>
      </c>
      <c r="E446" s="1469"/>
      <c r="F446" s="1863" t="s">
        <v>3</v>
      </c>
      <c r="G446" s="1863"/>
      <c r="H446" s="827" t="s">
        <v>3</v>
      </c>
      <c r="I446" s="127" t="s">
        <v>195</v>
      </c>
      <c r="J446" s="102"/>
      <c r="K446" s="102"/>
      <c r="L446" s="128"/>
      <c r="M446" s="1469" t="s">
        <v>4</v>
      </c>
      <c r="N446" s="1526"/>
    </row>
    <row r="447" spans="1:14" ht="19" thickBot="1">
      <c r="A447" s="103" t="s">
        <v>5</v>
      </c>
      <c r="B447" s="1473" t="s">
        <v>6</v>
      </c>
      <c r="C447" s="1473"/>
      <c r="D447" s="1473" t="s">
        <v>7</v>
      </c>
      <c r="E447" s="1473"/>
      <c r="F447" s="1864" t="s">
        <v>7</v>
      </c>
      <c r="G447" s="1864"/>
      <c r="H447" s="828" t="s">
        <v>58</v>
      </c>
      <c r="I447" s="797" t="s">
        <v>196</v>
      </c>
      <c r="J447" s="795" t="s">
        <v>8</v>
      </c>
      <c r="K447" s="795" t="s">
        <v>9</v>
      </c>
      <c r="L447" s="401" t="s">
        <v>10</v>
      </c>
      <c r="M447" s="1473" t="s">
        <v>145</v>
      </c>
      <c r="N447" s="1475"/>
    </row>
    <row r="448" spans="1:14" ht="24" thickBot="1">
      <c r="A448" s="88" t="s">
        <v>131</v>
      </c>
      <c r="B448" s="1764"/>
      <c r="C448" s="1477"/>
      <c r="D448" s="1478"/>
      <c r="E448" s="1479"/>
      <c r="F448" s="1878"/>
      <c r="G448" s="1879"/>
      <c r="H448" s="829"/>
      <c r="I448" s="7"/>
      <c r="J448" s="7"/>
      <c r="K448" s="7"/>
      <c r="L448" s="8"/>
      <c r="M448" s="1764"/>
      <c r="N448" s="1765"/>
    </row>
    <row r="449" spans="1:14" s="1161" customFormat="1" ht="17" thickBot="1">
      <c r="A449" s="108" t="s">
        <v>48</v>
      </c>
      <c r="B449" s="1567"/>
      <c r="C449" s="1586"/>
      <c r="D449" s="1567"/>
      <c r="E449" s="1586"/>
      <c r="F449" s="1619"/>
      <c r="G449" s="1620"/>
      <c r="H449" s="1157"/>
      <c r="I449" s="109"/>
      <c r="J449" s="109"/>
      <c r="K449" s="109"/>
      <c r="L449" s="1141"/>
      <c r="M449" s="1617"/>
      <c r="N449" s="1486"/>
    </row>
    <row r="450" spans="1:14">
      <c r="A450" s="32" t="s">
        <v>28</v>
      </c>
      <c r="B450" s="1431">
        <f>'Chino Hills'!N41</f>
        <v>0</v>
      </c>
      <c r="C450" s="1422"/>
      <c r="D450" s="1431">
        <f t="shared" ref="D450:D456" si="89">F450*325851</f>
        <v>0</v>
      </c>
      <c r="E450" s="1422"/>
      <c r="F450" s="1871">
        <f>0.0379*B450</f>
        <v>0</v>
      </c>
      <c r="G450" s="1450"/>
      <c r="H450" s="957">
        <f>F450*20</f>
        <v>0</v>
      </c>
      <c r="I450" s="131">
        <v>0</v>
      </c>
      <c r="J450" s="131">
        <f>0*B450</f>
        <v>0</v>
      </c>
      <c r="K450" s="131">
        <f>60*B450</f>
        <v>0</v>
      </c>
      <c r="L450" s="132">
        <f t="shared" ref="L450:L456" si="90">I450+J450+K450</f>
        <v>0</v>
      </c>
      <c r="M450" s="1758">
        <v>0</v>
      </c>
      <c r="N450" s="1759"/>
    </row>
    <row r="451" spans="1:14">
      <c r="A451" s="32" t="s">
        <v>29</v>
      </c>
      <c r="B451" s="1431">
        <v>70</v>
      </c>
      <c r="C451" s="1422"/>
      <c r="D451" s="1431">
        <f t="shared" si="89"/>
        <v>969406.72499999998</v>
      </c>
      <c r="E451" s="1422"/>
      <c r="F451" s="1871">
        <f>0.0425*B451</f>
        <v>2.9750000000000001</v>
      </c>
      <c r="G451" s="1450"/>
      <c r="H451" s="957">
        <f>F451*20</f>
        <v>59.5</v>
      </c>
      <c r="I451" s="131">
        <v>0</v>
      </c>
      <c r="J451" s="131">
        <f>0*B451</f>
        <v>0</v>
      </c>
      <c r="K451" s="131">
        <f>B451*165</f>
        <v>11550</v>
      </c>
      <c r="L451" s="132">
        <f t="shared" si="90"/>
        <v>11550</v>
      </c>
      <c r="M451" s="1758">
        <f t="shared" ref="M451:M456" si="91">L451/(F451*498.5)</f>
        <v>7.7880700926308331</v>
      </c>
      <c r="N451" s="1759"/>
    </row>
    <row r="452" spans="1:14">
      <c r="A452" s="32" t="s">
        <v>33</v>
      </c>
      <c r="B452" s="1431">
        <f>'Chino Hills'!N43</f>
        <v>207</v>
      </c>
      <c r="C452" s="1422"/>
      <c r="D452" s="1431">
        <f t="shared" si="89"/>
        <v>1861651.9331999999</v>
      </c>
      <c r="E452" s="1422"/>
      <c r="F452" s="1871">
        <f>0.0276*B452</f>
        <v>5.7131999999999996</v>
      </c>
      <c r="G452" s="1450"/>
      <c r="H452" s="957">
        <f>F452*15</f>
        <v>85.697999999999993</v>
      </c>
      <c r="I452" s="131">
        <f>0*B452</f>
        <v>0</v>
      </c>
      <c r="J452" s="131">
        <f>0*B452</f>
        <v>0</v>
      </c>
      <c r="K452" s="131">
        <f>B452*110</f>
        <v>22770</v>
      </c>
      <c r="L452" s="132">
        <f t="shared" si="90"/>
        <v>22770</v>
      </c>
      <c r="M452" s="1758">
        <f t="shared" si="91"/>
        <v>7.9949994912273059</v>
      </c>
      <c r="N452" s="1759"/>
    </row>
    <row r="453" spans="1:14">
      <c r="A453" s="32" t="s">
        <v>56</v>
      </c>
      <c r="B453" s="1431">
        <v>36</v>
      </c>
      <c r="C453" s="1422"/>
      <c r="D453" s="1431">
        <f t="shared" si="89"/>
        <v>46922.544000000009</v>
      </c>
      <c r="E453" s="1422"/>
      <c r="F453" s="1871">
        <f>0.004*B453</f>
        <v>0.14400000000000002</v>
      </c>
      <c r="G453" s="1450"/>
      <c r="H453" s="957">
        <f>F453*5</f>
        <v>0.72000000000000008</v>
      </c>
      <c r="I453" s="131">
        <f>0*B453</f>
        <v>0</v>
      </c>
      <c r="J453" s="131">
        <f>0*B453</f>
        <v>0</v>
      </c>
      <c r="K453" s="131">
        <f>B453*4</f>
        <v>144</v>
      </c>
      <c r="L453" s="132">
        <f t="shared" si="90"/>
        <v>144</v>
      </c>
      <c r="M453" s="1758">
        <f t="shared" si="91"/>
        <v>2.0060180541624875</v>
      </c>
      <c r="N453" s="1759"/>
    </row>
    <row r="454" spans="1:14">
      <c r="A454" s="78" t="s">
        <v>30</v>
      </c>
      <c r="B454" s="1467">
        <f>'Chino Hills'!N45</f>
        <v>1</v>
      </c>
      <c r="C454" s="1433"/>
      <c r="D454" s="1467">
        <f t="shared" si="89"/>
        <v>105901.575</v>
      </c>
      <c r="E454" s="1433"/>
      <c r="F454" s="1876">
        <f>0.325*B454</f>
        <v>0.32500000000000001</v>
      </c>
      <c r="G454" s="1877"/>
      <c r="H454" s="956">
        <f>F454*10</f>
        <v>3.25</v>
      </c>
      <c r="I454" s="133">
        <v>0</v>
      </c>
      <c r="J454" s="133">
        <f>0*B454</f>
        <v>0</v>
      </c>
      <c r="K454" s="133">
        <f>B454*80</f>
        <v>80</v>
      </c>
      <c r="L454" s="134">
        <f t="shared" si="90"/>
        <v>80</v>
      </c>
      <c r="M454" s="1758">
        <f t="shared" si="91"/>
        <v>0.49378905948615071</v>
      </c>
      <c r="N454" s="1759"/>
    </row>
    <row r="455" spans="1:14">
      <c r="A455" s="33" t="s">
        <v>106</v>
      </c>
      <c r="B455" s="1467">
        <f>'Chino Hills'!N46</f>
        <v>16</v>
      </c>
      <c r="C455" s="1433"/>
      <c r="D455" s="1467">
        <f t="shared" si="89"/>
        <v>765899.74146000005</v>
      </c>
      <c r="E455" s="1433"/>
      <c r="F455" s="1876">
        <f>0.00014*16789</f>
        <v>2.35046</v>
      </c>
      <c r="G455" s="1877"/>
      <c r="H455" s="956">
        <f>F455*10</f>
        <v>23.5046</v>
      </c>
      <c r="I455" s="133">
        <v>0</v>
      </c>
      <c r="J455" s="133">
        <f>25484</f>
        <v>25484</v>
      </c>
      <c r="K455" s="133">
        <f>B455*0</f>
        <v>0</v>
      </c>
      <c r="L455" s="134">
        <f t="shared" si="90"/>
        <v>25484</v>
      </c>
      <c r="M455" s="1758">
        <f t="shared" si="91"/>
        <v>21.749514602365846</v>
      </c>
      <c r="N455" s="1759"/>
    </row>
    <row r="456" spans="1:14" ht="14" thickBot="1">
      <c r="A456" s="33" t="s">
        <v>107</v>
      </c>
      <c r="B456" s="1467">
        <f>'Chino Hills'!N47</f>
        <v>23</v>
      </c>
      <c r="C456" s="1433"/>
      <c r="D456" s="1467">
        <f t="shared" si="89"/>
        <v>1288421.37102</v>
      </c>
      <c r="E456" s="1433"/>
      <c r="F456" s="1876">
        <f>0.00014*28243</f>
        <v>3.9540199999999999</v>
      </c>
      <c r="G456" s="1877"/>
      <c r="H456" s="956">
        <f>F456*10</f>
        <v>39.540199999999999</v>
      </c>
      <c r="I456" s="133">
        <v>0</v>
      </c>
      <c r="J456" s="133">
        <f>0.3*28243</f>
        <v>8472.9</v>
      </c>
      <c r="K456" s="133">
        <f>28243*0.3</f>
        <v>8472.9</v>
      </c>
      <c r="L456" s="134">
        <f t="shared" si="90"/>
        <v>16945.8</v>
      </c>
      <c r="M456" s="1758">
        <f t="shared" si="91"/>
        <v>8.5972202321249451</v>
      </c>
      <c r="N456" s="1759"/>
    </row>
    <row r="457" spans="1:14" s="533" customFormat="1" ht="14" thickBot="1">
      <c r="A457" s="53" t="s">
        <v>60</v>
      </c>
      <c r="B457" s="1438">
        <f>SUM(B450:C456)</f>
        <v>353</v>
      </c>
      <c r="C457" s="1609"/>
      <c r="D457" s="1441">
        <f>SUM(D450:E456)</f>
        <v>5038203.88968</v>
      </c>
      <c r="E457" s="1609"/>
      <c r="F457" s="1440">
        <f>SUM(F450:G456)</f>
        <v>15.461679999999999</v>
      </c>
      <c r="G457" s="1439"/>
      <c r="H457" s="786">
        <f>SUM(H450:H456)</f>
        <v>212.21279999999999</v>
      </c>
      <c r="I457" s="143">
        <f>SUM(I450:I456)</f>
        <v>0</v>
      </c>
      <c r="J457" s="143">
        <f>SUM(J450:J456)</f>
        <v>33956.9</v>
      </c>
      <c r="K457" s="143">
        <f>SUM(K450:K456)</f>
        <v>43016.9</v>
      </c>
      <c r="L457" s="152">
        <f>SUM(L450:L456)</f>
        <v>76973.8</v>
      </c>
      <c r="M457" s="1657"/>
      <c r="N457" s="1622"/>
    </row>
    <row r="458" spans="1:14" s="1161" customFormat="1" ht="17" thickBot="1">
      <c r="A458" s="108" t="s">
        <v>146</v>
      </c>
      <c r="B458" s="1456"/>
      <c r="C458" s="1586"/>
      <c r="D458" s="1567"/>
      <c r="E458" s="1586"/>
      <c r="F458" s="1457"/>
      <c r="G458" s="1586"/>
      <c r="H458" s="1142"/>
      <c r="I458" s="161"/>
      <c r="J458" s="161"/>
      <c r="K458" s="161"/>
      <c r="L458" s="162"/>
      <c r="M458" s="1617"/>
      <c r="N458" s="1486"/>
    </row>
    <row r="459" spans="1:14" ht="14" thickBot="1">
      <c r="A459" s="76" t="s">
        <v>146</v>
      </c>
      <c r="B459" s="1421">
        <f>'Chino Hills'!N50</f>
        <v>0</v>
      </c>
      <c r="C459" s="1422"/>
      <c r="D459" s="1431">
        <f>F459*325851</f>
        <v>0</v>
      </c>
      <c r="E459" s="1422"/>
      <c r="F459" s="1449">
        <f>0.0425*B459</f>
        <v>0</v>
      </c>
      <c r="G459" s="1450"/>
      <c r="H459" s="957">
        <f>F459*20</f>
        <v>0</v>
      </c>
      <c r="I459" s="131">
        <f>73.34*B459</f>
        <v>0</v>
      </c>
      <c r="J459" s="131">
        <f>35.66*B459</f>
        <v>0</v>
      </c>
      <c r="K459" s="131">
        <f>B459*165</f>
        <v>0</v>
      </c>
      <c r="L459" s="132">
        <f>I459+J459+K459</f>
        <v>0</v>
      </c>
      <c r="M459" s="1758">
        <v>0</v>
      </c>
      <c r="N459" s="1759"/>
    </row>
    <row r="460" spans="1:14" s="533" customFormat="1" ht="14" thickBot="1">
      <c r="A460" s="53" t="s">
        <v>60</v>
      </c>
      <c r="B460" s="1438">
        <f>SUM(B459)</f>
        <v>0</v>
      </c>
      <c r="C460" s="1609"/>
      <c r="D460" s="1441">
        <f>SUM(D459)</f>
        <v>0</v>
      </c>
      <c r="E460" s="1609"/>
      <c r="F460" s="1440">
        <f>SUM(F459)</f>
        <v>0</v>
      </c>
      <c r="G460" s="1439"/>
      <c r="H460" s="786">
        <f>SUM(H459)</f>
        <v>0</v>
      </c>
      <c r="I460" s="136">
        <f>SUM(I459)</f>
        <v>0</v>
      </c>
      <c r="J460" s="143">
        <f>SUM(J459)</f>
        <v>0</v>
      </c>
      <c r="K460" s="143">
        <f>SUM(K459)</f>
        <v>0</v>
      </c>
      <c r="L460" s="136">
        <f>SUM(L459)</f>
        <v>0</v>
      </c>
      <c r="M460" s="1657"/>
      <c r="N460" s="1622"/>
    </row>
    <row r="461" spans="1:14" s="1161" customFormat="1" ht="17" thickBot="1">
      <c r="A461" s="108" t="s">
        <v>50</v>
      </c>
      <c r="B461" s="1456"/>
      <c r="C461" s="1586"/>
      <c r="D461" s="1567"/>
      <c r="E461" s="1586"/>
      <c r="F461" s="1457"/>
      <c r="G461" s="1586"/>
      <c r="H461" s="1142"/>
      <c r="I461" s="161"/>
      <c r="J461" s="161"/>
      <c r="K461" s="161"/>
      <c r="L461" s="162"/>
      <c r="M461" s="1617"/>
      <c r="N461" s="1486"/>
    </row>
    <row r="462" spans="1:14">
      <c r="A462" s="34" t="s">
        <v>26</v>
      </c>
      <c r="B462" s="1421">
        <f>'Chino Hills'!N53</f>
        <v>0</v>
      </c>
      <c r="C462" s="1422"/>
      <c r="D462" s="1431">
        <f t="shared" ref="D462:D470" si="92">F462*325851</f>
        <v>0</v>
      </c>
      <c r="E462" s="1422"/>
      <c r="F462" s="1449">
        <f>0.0379*B462</f>
        <v>0</v>
      </c>
      <c r="G462" s="1450"/>
      <c r="H462" s="957">
        <f>F462*20</f>
        <v>0</v>
      </c>
      <c r="I462" s="131">
        <v>0</v>
      </c>
      <c r="J462" s="131">
        <f>35.66*B462</f>
        <v>0</v>
      </c>
      <c r="K462" s="131">
        <f>135*B462</f>
        <v>0</v>
      </c>
      <c r="L462" s="132">
        <f>SUM(I462:K462)</f>
        <v>0</v>
      </c>
      <c r="M462" s="1758">
        <v>0</v>
      </c>
      <c r="N462" s="1759"/>
    </row>
    <row r="463" spans="1:14">
      <c r="A463" s="34" t="s">
        <v>25</v>
      </c>
      <c r="B463" s="1431">
        <f>'Chino Hills'!N54</f>
        <v>0</v>
      </c>
      <c r="C463" s="1422"/>
      <c r="D463" s="1431">
        <f t="shared" si="92"/>
        <v>0</v>
      </c>
      <c r="E463" s="1422"/>
      <c r="F463" s="1449">
        <f>0.0379*B463</f>
        <v>0</v>
      </c>
      <c r="G463" s="1450"/>
      <c r="H463" s="957">
        <f>F463*20</f>
        <v>0</v>
      </c>
      <c r="I463" s="131">
        <v>0</v>
      </c>
      <c r="J463" s="131">
        <f>0*B463</f>
        <v>0</v>
      </c>
      <c r="K463" s="131">
        <f>135*B463</f>
        <v>0</v>
      </c>
      <c r="L463" s="132">
        <f t="shared" ref="L463:L471" si="93">SUM(I463:K463)</f>
        <v>0</v>
      </c>
      <c r="M463" s="1758">
        <v>0</v>
      </c>
      <c r="N463" s="1759"/>
    </row>
    <row r="464" spans="1:14">
      <c r="A464" s="32" t="s">
        <v>29</v>
      </c>
      <c r="B464" s="1431">
        <f>'Chino Hills'!N55</f>
        <v>387</v>
      </c>
      <c r="C464" s="1422"/>
      <c r="D464" s="1431">
        <f t="shared" si="92"/>
        <v>5359434.3225000007</v>
      </c>
      <c r="E464" s="1422"/>
      <c r="F464" s="1449">
        <f>0.0425*B464</f>
        <v>16.447500000000002</v>
      </c>
      <c r="G464" s="1450"/>
      <c r="H464" s="957">
        <f>F464*20</f>
        <v>328.95000000000005</v>
      </c>
      <c r="I464" s="131">
        <v>0</v>
      </c>
      <c r="J464" s="131">
        <f>135*B464</f>
        <v>52245</v>
      </c>
      <c r="K464" s="131">
        <f>165*B464</f>
        <v>63855</v>
      </c>
      <c r="L464" s="132">
        <f t="shared" si="93"/>
        <v>116100</v>
      </c>
      <c r="M464" s="1758">
        <f>L464/(F464*498.5)</f>
        <v>14.160127441146969</v>
      </c>
      <c r="N464" s="1759"/>
    </row>
    <row r="465" spans="1:14">
      <c r="A465" s="32" t="s">
        <v>51</v>
      </c>
      <c r="B465" s="1431">
        <f>'Chino Hills'!N56</f>
        <v>0</v>
      </c>
      <c r="C465" s="1422"/>
      <c r="D465" s="1431">
        <f t="shared" si="92"/>
        <v>0</v>
      </c>
      <c r="E465" s="1422"/>
      <c r="F465" s="1449">
        <f>0.1227*B465</f>
        <v>0</v>
      </c>
      <c r="G465" s="1450"/>
      <c r="H465" s="957">
        <f>F465*20</f>
        <v>0</v>
      </c>
      <c r="I465" s="131">
        <v>0</v>
      </c>
      <c r="J465" s="131">
        <f>0*B465</f>
        <v>0</v>
      </c>
      <c r="K465" s="131">
        <f>400*B465</f>
        <v>0</v>
      </c>
      <c r="L465" s="132">
        <f t="shared" si="93"/>
        <v>0</v>
      </c>
      <c r="M465" s="1758">
        <v>0</v>
      </c>
      <c r="N465" s="1759"/>
    </row>
    <row r="466" spans="1:14">
      <c r="A466" s="34" t="s">
        <v>20</v>
      </c>
      <c r="B466" s="1431">
        <f>'Chino Hills'!N57</f>
        <v>0</v>
      </c>
      <c r="C466" s="1422"/>
      <c r="D466" s="1431">
        <f t="shared" si="92"/>
        <v>0</v>
      </c>
      <c r="E466" s="1422"/>
      <c r="F466" s="1871">
        <f>0.644*B466</f>
        <v>0</v>
      </c>
      <c r="G466" s="1450"/>
      <c r="H466" s="957">
        <f>F466*5</f>
        <v>0</v>
      </c>
      <c r="I466" s="131">
        <v>0</v>
      </c>
      <c r="J466" s="131">
        <f>43.75*B466</f>
        <v>0</v>
      </c>
      <c r="K466" s="131">
        <f>625*B466</f>
        <v>0</v>
      </c>
      <c r="L466" s="132">
        <f t="shared" si="93"/>
        <v>0</v>
      </c>
      <c r="M466" s="1758">
        <v>0</v>
      </c>
      <c r="N466" s="1759"/>
    </row>
    <row r="467" spans="1:14">
      <c r="A467" s="34" t="s">
        <v>13</v>
      </c>
      <c r="B467" s="1431">
        <f>'Chino Hills'!N58</f>
        <v>5</v>
      </c>
      <c r="C467" s="1422"/>
      <c r="D467" s="1431">
        <f t="shared" si="92"/>
        <v>44967.438000000002</v>
      </c>
      <c r="E467" s="1422"/>
      <c r="F467" s="1871">
        <f>0.0276*B467</f>
        <v>0.13800000000000001</v>
      </c>
      <c r="G467" s="1450"/>
      <c r="H467" s="957">
        <f>F467*10</f>
        <v>1.3800000000000001</v>
      </c>
      <c r="I467" s="131">
        <v>0</v>
      </c>
      <c r="J467" s="131">
        <f>100*B467</f>
        <v>500</v>
      </c>
      <c r="K467" s="131">
        <f>80*B467</f>
        <v>400</v>
      </c>
      <c r="L467" s="132">
        <f t="shared" si="93"/>
        <v>900</v>
      </c>
      <c r="M467" s="1758">
        <f>L467/(F467*498.5)</f>
        <v>13.082726440190134</v>
      </c>
      <c r="N467" s="1759"/>
    </row>
    <row r="468" spans="1:14">
      <c r="A468" s="35" t="s">
        <v>47</v>
      </c>
      <c r="B468" s="1431">
        <f>'Chino Hills'!N59</f>
        <v>0</v>
      </c>
      <c r="C468" s="1422"/>
      <c r="D468" s="1431">
        <f t="shared" si="92"/>
        <v>0</v>
      </c>
      <c r="E468" s="1422"/>
      <c r="F468" s="1871">
        <f>0.1534*B468</f>
        <v>0</v>
      </c>
      <c r="G468" s="1450"/>
      <c r="H468" s="957">
        <f>F468*5</f>
        <v>0</v>
      </c>
      <c r="I468" s="131">
        <v>0</v>
      </c>
      <c r="J468" s="131">
        <f>0*B468</f>
        <v>0</v>
      </c>
      <c r="K468" s="131">
        <f>150*B468</f>
        <v>0</v>
      </c>
      <c r="L468" s="132">
        <f t="shared" si="93"/>
        <v>0</v>
      </c>
      <c r="M468" s="1758">
        <v>0</v>
      </c>
      <c r="N468" s="1759"/>
    </row>
    <row r="469" spans="1:14">
      <c r="A469" s="76" t="s">
        <v>30</v>
      </c>
      <c r="B469" s="1431">
        <f>'Chino Hills'!N60</f>
        <v>0</v>
      </c>
      <c r="C469" s="1422"/>
      <c r="D469" s="1431">
        <f t="shared" si="92"/>
        <v>0</v>
      </c>
      <c r="E469" s="1422"/>
      <c r="F469" s="1871">
        <f>0.325*B469</f>
        <v>0</v>
      </c>
      <c r="G469" s="1450"/>
      <c r="H469" s="957">
        <f>F469*10</f>
        <v>0</v>
      </c>
      <c r="I469" s="131">
        <v>0</v>
      </c>
      <c r="J469" s="131">
        <f>0*B469</f>
        <v>0</v>
      </c>
      <c r="K469" s="131">
        <f>669*B469</f>
        <v>0</v>
      </c>
      <c r="L469" s="132">
        <f t="shared" si="93"/>
        <v>0</v>
      </c>
      <c r="M469" s="1758">
        <v>0</v>
      </c>
      <c r="N469" s="1759"/>
    </row>
    <row r="470" spans="1:14">
      <c r="A470" s="33" t="s">
        <v>53</v>
      </c>
      <c r="B470" s="1431">
        <f>'Chino Hills'!N61</f>
        <v>0</v>
      </c>
      <c r="C470" s="1422"/>
      <c r="D470" s="1431">
        <f t="shared" si="92"/>
        <v>0</v>
      </c>
      <c r="E470" s="1422"/>
      <c r="F470" s="1871">
        <f>0.00014*B470</f>
        <v>0</v>
      </c>
      <c r="G470" s="1450"/>
      <c r="H470" s="957">
        <f>F470*10</f>
        <v>0</v>
      </c>
      <c r="I470" s="131">
        <v>0</v>
      </c>
      <c r="J470" s="131">
        <f>0.3*B470</f>
        <v>0</v>
      </c>
      <c r="K470" s="131">
        <f>0.3*B470</f>
        <v>0</v>
      </c>
      <c r="L470" s="132">
        <f t="shared" si="93"/>
        <v>0</v>
      </c>
      <c r="M470" s="1758">
        <v>0</v>
      </c>
      <c r="N470" s="1759"/>
    </row>
    <row r="471" spans="1:14">
      <c r="A471" s="33" t="s">
        <v>56</v>
      </c>
      <c r="B471" s="1431">
        <f>'Chino Hills'!N62</f>
        <v>0</v>
      </c>
      <c r="C471" s="1422"/>
      <c r="D471" s="1431">
        <f>F471*325851</f>
        <v>0</v>
      </c>
      <c r="E471" s="1422"/>
      <c r="F471" s="1871">
        <f>0.004*B471</f>
        <v>0</v>
      </c>
      <c r="G471" s="1450"/>
      <c r="H471" s="957">
        <f>F471*5</f>
        <v>0</v>
      </c>
      <c r="I471" s="131">
        <v>0</v>
      </c>
      <c r="J471" s="131">
        <f>0*B471</f>
        <v>0</v>
      </c>
      <c r="K471" s="131">
        <f>4*B471</f>
        <v>0</v>
      </c>
      <c r="L471" s="132">
        <f t="shared" si="93"/>
        <v>0</v>
      </c>
      <c r="M471" s="1758">
        <v>0</v>
      </c>
      <c r="N471" s="1759"/>
    </row>
    <row r="472" spans="1:14">
      <c r="A472" s="76" t="s">
        <v>122</v>
      </c>
      <c r="B472" s="1431">
        <f>'Chino Hills'!N63</f>
        <v>0</v>
      </c>
      <c r="C472" s="1422"/>
      <c r="D472" s="1431">
        <f>F472*325851</f>
        <v>0</v>
      </c>
      <c r="E472" s="1422"/>
      <c r="F472" s="1871">
        <f>0.018*B472</f>
        <v>0</v>
      </c>
      <c r="G472" s="1450"/>
      <c r="H472" s="957">
        <f>F472*10</f>
        <v>0</v>
      </c>
      <c r="I472" s="131">
        <v>0</v>
      </c>
      <c r="J472" s="131">
        <f>0*B472</f>
        <v>0</v>
      </c>
      <c r="K472" s="131">
        <f>13*B472</f>
        <v>0</v>
      </c>
      <c r="L472" s="132">
        <f>SUM(I472:K472)</f>
        <v>0</v>
      </c>
      <c r="M472" s="1758">
        <v>0</v>
      </c>
      <c r="N472" s="1759"/>
    </row>
    <row r="473" spans="1:14" ht="14" thickBot="1">
      <c r="A473" s="33" t="s">
        <v>102</v>
      </c>
      <c r="B473" s="1431">
        <f>'Chino Hills'!N64</f>
        <v>10</v>
      </c>
      <c r="C473" s="1422"/>
      <c r="D473" s="1444">
        <f>F473*325851</f>
        <v>498552.03</v>
      </c>
      <c r="E473" s="1422"/>
      <c r="F473" s="1886">
        <f>0.153*B473</f>
        <v>1.53</v>
      </c>
      <c r="G473" s="1887"/>
      <c r="H473" s="957">
        <f>F473*5</f>
        <v>7.65</v>
      </c>
      <c r="I473" s="131">
        <v>0</v>
      </c>
      <c r="J473" s="131">
        <f>0*B473</f>
        <v>0</v>
      </c>
      <c r="K473" s="131">
        <f>60*B473</f>
        <v>600</v>
      </c>
      <c r="L473" s="132">
        <f>SUM(I473:K473)</f>
        <v>600</v>
      </c>
      <c r="M473" s="1758">
        <f>L473/(F473*498.5)</f>
        <v>0.78667374673038715</v>
      </c>
      <c r="N473" s="1759"/>
    </row>
    <row r="474" spans="1:14" s="533" customFormat="1" ht="14" thickBot="1">
      <c r="A474" s="53" t="s">
        <v>60</v>
      </c>
      <c r="B474" s="1438">
        <f>SUM(B462:C473)</f>
        <v>402</v>
      </c>
      <c r="C474" s="1609"/>
      <c r="D474" s="1440">
        <f>SUM(D462:E473)</f>
        <v>5902953.7905000011</v>
      </c>
      <c r="E474" s="1609"/>
      <c r="F474" s="1440">
        <f>SUM(F462:G473)</f>
        <v>18.115500000000004</v>
      </c>
      <c r="G474" s="1439"/>
      <c r="H474" s="786">
        <f>SUM(H462:H473)</f>
        <v>337.98</v>
      </c>
      <c r="I474" s="136">
        <f>SUM(I462:I473)</f>
        <v>0</v>
      </c>
      <c r="J474" s="143">
        <f>SUM(J462:J473)</f>
        <v>52745</v>
      </c>
      <c r="K474" s="143">
        <f>SUM(K462:K473)</f>
        <v>64855</v>
      </c>
      <c r="L474" s="136">
        <f>SUM(L462:L473)</f>
        <v>117600</v>
      </c>
      <c r="M474" s="1657"/>
      <c r="N474" s="1790"/>
    </row>
    <row r="475" spans="1:14" s="1161" customFormat="1" ht="17" thickBot="1">
      <c r="A475" s="108" t="s">
        <v>54</v>
      </c>
      <c r="B475" s="1457"/>
      <c r="C475" s="1913"/>
      <c r="D475" s="1141"/>
      <c r="E475" s="1142"/>
      <c r="F475" s="1141"/>
      <c r="G475" s="1142"/>
      <c r="H475" s="1142"/>
      <c r="I475" s="161"/>
      <c r="J475" s="161"/>
      <c r="K475" s="161"/>
      <c r="L475" s="162"/>
      <c r="M475" s="1154"/>
      <c r="N475" s="1155"/>
    </row>
    <row r="476" spans="1:14">
      <c r="A476" s="36" t="s">
        <v>29</v>
      </c>
      <c r="B476" s="1767">
        <f>'Chino Hills'!N67</f>
        <v>0</v>
      </c>
      <c r="C476" s="1915"/>
      <c r="D476" s="1444">
        <f t="shared" ref="D476:D481" si="94">F476*325851</f>
        <v>0</v>
      </c>
      <c r="E476" s="1422"/>
      <c r="F476" s="1449">
        <f>0.0425*B476</f>
        <v>0</v>
      </c>
      <c r="G476" s="1450"/>
      <c r="H476" s="957">
        <f>F476*20</f>
        <v>0</v>
      </c>
      <c r="I476" s="131">
        <v>0</v>
      </c>
      <c r="J476" s="131">
        <f>35.66*B476</f>
        <v>0</v>
      </c>
      <c r="K476" s="131">
        <f>0*B476</f>
        <v>0</v>
      </c>
      <c r="L476" s="132">
        <f t="shared" ref="L476:L481" si="95">SUM(I476:K476)</f>
        <v>0</v>
      </c>
      <c r="M476" s="1758">
        <v>0</v>
      </c>
      <c r="N476" s="1759"/>
    </row>
    <row r="477" spans="1:14">
      <c r="A477" s="34" t="s">
        <v>51</v>
      </c>
      <c r="B477" s="1444">
        <f>'Chino Hills'!N68</f>
        <v>0</v>
      </c>
      <c r="C477" s="1422"/>
      <c r="D477" s="1444">
        <f t="shared" si="94"/>
        <v>0</v>
      </c>
      <c r="E477" s="1422"/>
      <c r="F477" s="1449">
        <f>0.125*B477</f>
        <v>0</v>
      </c>
      <c r="G477" s="1450"/>
      <c r="H477" s="957">
        <f>F477*20</f>
        <v>0</v>
      </c>
      <c r="I477" s="131">
        <v>0</v>
      </c>
      <c r="J477" s="131">
        <f>0*B477</f>
        <v>0</v>
      </c>
      <c r="K477" s="131">
        <f>0*B477</f>
        <v>0</v>
      </c>
      <c r="L477" s="132">
        <f t="shared" si="95"/>
        <v>0</v>
      </c>
      <c r="M477" s="1758">
        <v>0</v>
      </c>
      <c r="N477" s="1759"/>
    </row>
    <row r="478" spans="1:14">
      <c r="A478" s="34" t="s">
        <v>15</v>
      </c>
      <c r="B478" s="1444">
        <f>'Chino Hills'!N69</f>
        <v>0</v>
      </c>
      <c r="C478" s="1422"/>
      <c r="D478" s="1444">
        <f t="shared" si="94"/>
        <v>0</v>
      </c>
      <c r="E478" s="1422"/>
      <c r="F478" s="1449">
        <f>0.1534*B478</f>
        <v>0</v>
      </c>
      <c r="G478" s="1450"/>
      <c r="H478" s="957">
        <f>F478*5</f>
        <v>0</v>
      </c>
      <c r="I478" s="131">
        <v>0</v>
      </c>
      <c r="J478" s="131">
        <f>0*B478</f>
        <v>0</v>
      </c>
      <c r="K478" s="131">
        <f>0*B478</f>
        <v>0</v>
      </c>
      <c r="L478" s="132">
        <f t="shared" si="95"/>
        <v>0</v>
      </c>
      <c r="M478" s="1758">
        <v>0</v>
      </c>
      <c r="N478" s="1759"/>
    </row>
    <row r="479" spans="1:14">
      <c r="A479" s="34" t="s">
        <v>30</v>
      </c>
      <c r="B479" s="1444">
        <f>'Chino Hills'!N70</f>
        <v>0</v>
      </c>
      <c r="C479" s="1422"/>
      <c r="D479" s="1444">
        <f t="shared" si="94"/>
        <v>0</v>
      </c>
      <c r="E479" s="1422"/>
      <c r="F479" s="1449">
        <f>0.609*B479</f>
        <v>0</v>
      </c>
      <c r="G479" s="1450"/>
      <c r="H479" s="957">
        <f>F479*10</f>
        <v>0</v>
      </c>
      <c r="I479" s="131">
        <v>0</v>
      </c>
      <c r="J479" s="131">
        <f>0*B479</f>
        <v>0</v>
      </c>
      <c r="K479" s="131">
        <f>0*B479</f>
        <v>0</v>
      </c>
      <c r="L479" s="132">
        <f t="shared" si="95"/>
        <v>0</v>
      </c>
      <c r="M479" s="1758">
        <v>0</v>
      </c>
      <c r="N479" s="1759"/>
    </row>
    <row r="480" spans="1:14">
      <c r="A480" s="34" t="s">
        <v>55</v>
      </c>
      <c r="B480" s="1444">
        <f>'Chino Hills'!N71</f>
        <v>347</v>
      </c>
      <c r="C480" s="1422"/>
      <c r="D480" s="1431">
        <f t="shared" si="94"/>
        <v>112165734.624</v>
      </c>
      <c r="E480" s="1422"/>
      <c r="F480" s="1902">
        <f>0.992*B480</f>
        <v>344.22399999999999</v>
      </c>
      <c r="G480" s="1877"/>
      <c r="H480" s="957">
        <f>F480*10</f>
        <v>3442.24</v>
      </c>
      <c r="I480" s="131">
        <v>0</v>
      </c>
      <c r="J480" s="131">
        <f>0*B480</f>
        <v>0</v>
      </c>
      <c r="K480" s="131">
        <f>4066.48*B480</f>
        <v>1411068.56</v>
      </c>
      <c r="L480" s="132">
        <f t="shared" si="95"/>
        <v>1411068.56</v>
      </c>
      <c r="M480" s="1758">
        <f>L480/(F480*498.5)</f>
        <v>8.2232180412204361</v>
      </c>
      <c r="N480" s="1759"/>
    </row>
    <row r="481" spans="1:14" s="66" customFormat="1" ht="14" thickBot="1">
      <c r="A481" s="47" t="s">
        <v>53</v>
      </c>
      <c r="B481" s="1444">
        <f>'Chino Hills'!N72</f>
        <v>0</v>
      </c>
      <c r="C481" s="1422"/>
      <c r="D481" s="1431">
        <f t="shared" si="94"/>
        <v>0</v>
      </c>
      <c r="E481" s="1422"/>
      <c r="F481" s="1449">
        <f>0.00014*B481</f>
        <v>0</v>
      </c>
      <c r="G481" s="1450"/>
      <c r="H481" s="957">
        <f>F481*10</f>
        <v>0</v>
      </c>
      <c r="I481" s="131">
        <v>0</v>
      </c>
      <c r="J481" s="131">
        <f>0.3*B481</f>
        <v>0</v>
      </c>
      <c r="K481" s="131">
        <f>0.75*B481</f>
        <v>0</v>
      </c>
      <c r="L481" s="132">
        <f t="shared" si="95"/>
        <v>0</v>
      </c>
      <c r="M481" s="1758">
        <v>0</v>
      </c>
      <c r="N481" s="1759"/>
    </row>
    <row r="482" spans="1:14" s="535" customFormat="1" ht="14" thickBot="1">
      <c r="A482" s="53" t="s">
        <v>60</v>
      </c>
      <c r="B482" s="1440">
        <f>SUM(B476:C481)</f>
        <v>347</v>
      </c>
      <c r="C482" s="1621"/>
      <c r="D482" s="1441">
        <f>SUM(D476:E481)</f>
        <v>112165734.624</v>
      </c>
      <c r="E482" s="1609"/>
      <c r="F482" s="1440">
        <f>SUM(F476:G481)</f>
        <v>344.22399999999999</v>
      </c>
      <c r="G482" s="1439"/>
      <c r="H482" s="786">
        <f>SUM(H476:H481)</f>
        <v>3442.24</v>
      </c>
      <c r="I482" s="136">
        <f>SUM(I476:I481)</f>
        <v>0</v>
      </c>
      <c r="J482" s="136">
        <f>SUM(J476:J481)</f>
        <v>0</v>
      </c>
      <c r="K482" s="136">
        <f>SUM(K476:K481)</f>
        <v>1411068.56</v>
      </c>
      <c r="L482" s="136">
        <f>SUM(L476:L481)</f>
        <v>1411068.56</v>
      </c>
      <c r="M482" s="1657"/>
      <c r="N482" s="1790"/>
    </row>
    <row r="483" spans="1:14" s="1202" customFormat="1" ht="17" thickBot="1">
      <c r="A483" s="1163" t="s">
        <v>347</v>
      </c>
      <c r="B483" s="1612">
        <f>SUM(B457+B460+B474+B482)</f>
        <v>1102</v>
      </c>
      <c r="C483" s="1415"/>
      <c r="D483" s="1416">
        <f>SUM(D457+D460+D474+D482)</f>
        <v>123106892.30418</v>
      </c>
      <c r="E483" s="1415"/>
      <c r="F483" s="1612">
        <f>SUM(F457+F460+F474+F482)</f>
        <v>377.80117999999999</v>
      </c>
      <c r="G483" s="1415"/>
      <c r="H483" s="1164">
        <f>SUM(H457+H460+H474+H482)</f>
        <v>3992.4327999999996</v>
      </c>
      <c r="I483" s="1169">
        <f>SUM(I457+I460+I474+I482)</f>
        <v>0</v>
      </c>
      <c r="J483" s="1169" t="s">
        <v>348</v>
      </c>
      <c r="K483" s="1169">
        <f>SUM(K457+K460+K474+K482)</f>
        <v>1518940.46</v>
      </c>
      <c r="L483" s="1169">
        <f>SUM(L457+L460+L474+L482)</f>
        <v>1605642.36</v>
      </c>
      <c r="M483" s="1631"/>
      <c r="N483" s="1640"/>
    </row>
    <row r="484" spans="1:14" s="66" customFormat="1" ht="16">
      <c r="A484" s="60"/>
      <c r="B484" s="61"/>
      <c r="C484" s="61"/>
      <c r="D484" s="61"/>
      <c r="E484" s="61"/>
      <c r="F484" s="61"/>
      <c r="G484" s="61"/>
      <c r="H484" s="62"/>
      <c r="I484" s="62"/>
      <c r="J484" s="62"/>
      <c r="K484" s="62"/>
      <c r="L484" s="62"/>
      <c r="M484" s="64"/>
      <c r="N484" s="65"/>
    </row>
    <row r="485" spans="1:14" s="66" customFormat="1" ht="16">
      <c r="A485" s="9" t="s">
        <v>18</v>
      </c>
      <c r="B485" s="1419" t="s">
        <v>59</v>
      </c>
      <c r="C485" s="1419"/>
      <c r="D485" s="1419"/>
      <c r="E485" s="1419"/>
      <c r="F485" s="61"/>
      <c r="G485" s="61"/>
      <c r="H485" s="62"/>
      <c r="I485" s="62"/>
      <c r="J485" s="62"/>
      <c r="K485" s="62"/>
      <c r="L485" s="62"/>
      <c r="M485" s="64"/>
      <c r="N485" s="65"/>
    </row>
    <row r="486" spans="1:14" s="66" customFormat="1" ht="16">
      <c r="A486" s="57"/>
      <c r="B486" s="1420" t="s">
        <v>19</v>
      </c>
      <c r="C486" s="1420"/>
      <c r="D486" s="1420"/>
      <c r="E486" s="1420"/>
      <c r="F486" s="61"/>
      <c r="G486" s="61"/>
      <c r="H486" s="62"/>
      <c r="I486" s="62"/>
      <c r="J486" s="62"/>
      <c r="K486" s="62"/>
      <c r="L486" s="62"/>
      <c r="M486" s="64"/>
      <c r="N486" s="65"/>
    </row>
    <row r="487" spans="1:14" s="66" customFormat="1" ht="17" thickBot="1">
      <c r="A487" s="985"/>
      <c r="B487" s="820"/>
      <c r="C487" s="820"/>
      <c r="D487" s="820"/>
      <c r="E487" s="820"/>
      <c r="F487" s="61"/>
      <c r="G487" s="61"/>
      <c r="H487" s="62"/>
      <c r="I487" s="62"/>
      <c r="J487" s="62"/>
      <c r="K487" s="62"/>
      <c r="L487" s="62"/>
      <c r="M487" s="64"/>
      <c r="N487" s="65"/>
    </row>
    <row r="488" spans="1:14" s="363" customFormat="1" ht="16">
      <c r="A488" s="98"/>
      <c r="B488" s="99"/>
      <c r="C488" s="99"/>
      <c r="D488" s="99"/>
      <c r="E488" s="99"/>
      <c r="F488" s="100"/>
      <c r="G488" s="100"/>
      <c r="H488" s="100"/>
      <c r="I488" s="1468" t="s">
        <v>0</v>
      </c>
      <c r="J488" s="1468"/>
      <c r="K488" s="1468"/>
      <c r="L488" s="1468"/>
      <c r="M488" s="99"/>
      <c r="N488" s="101"/>
    </row>
    <row r="489" spans="1:14" ht="16">
      <c r="A489" s="97"/>
      <c r="B489" s="1469" t="s">
        <v>1</v>
      </c>
      <c r="C489" s="1469"/>
      <c r="D489" s="1469" t="s">
        <v>2</v>
      </c>
      <c r="E489" s="1469"/>
      <c r="F489" s="1863" t="s">
        <v>3</v>
      </c>
      <c r="G489" s="1863"/>
      <c r="H489" s="827" t="s">
        <v>3</v>
      </c>
      <c r="I489" s="127" t="s">
        <v>195</v>
      </c>
      <c r="J489" s="102"/>
      <c r="K489" s="102"/>
      <c r="L489" s="128"/>
      <c r="M489" s="1469" t="s">
        <v>4</v>
      </c>
      <c r="N489" s="1526"/>
    </row>
    <row r="490" spans="1:14" ht="19" thickBot="1">
      <c r="A490" s="103" t="s">
        <v>5</v>
      </c>
      <c r="B490" s="1473" t="s">
        <v>6</v>
      </c>
      <c r="C490" s="1473"/>
      <c r="D490" s="1473" t="s">
        <v>7</v>
      </c>
      <c r="E490" s="1473"/>
      <c r="F490" s="1864" t="s">
        <v>7</v>
      </c>
      <c r="G490" s="1864"/>
      <c r="H490" s="828" t="s">
        <v>58</v>
      </c>
      <c r="I490" s="797" t="s">
        <v>196</v>
      </c>
      <c r="J490" s="795" t="s">
        <v>8</v>
      </c>
      <c r="K490" s="795" t="s">
        <v>9</v>
      </c>
      <c r="L490" s="401" t="s">
        <v>10</v>
      </c>
      <c r="M490" s="1473" t="s">
        <v>145</v>
      </c>
      <c r="N490" s="1475"/>
    </row>
    <row r="491" spans="1:14" ht="24" thickBot="1">
      <c r="A491" s="88" t="s">
        <v>132</v>
      </c>
      <c r="B491" s="1764"/>
      <c r="C491" s="1477"/>
      <c r="D491" s="1478"/>
      <c r="E491" s="1479"/>
      <c r="F491" s="1878"/>
      <c r="G491" s="1879"/>
      <c r="H491" s="829"/>
      <c r="I491" s="7"/>
      <c r="J491" s="7"/>
      <c r="K491" s="7"/>
      <c r="L491" s="8"/>
      <c r="M491" s="1764"/>
      <c r="N491" s="1765"/>
    </row>
    <row r="492" spans="1:14" s="1161" customFormat="1" ht="17" thickBot="1">
      <c r="A492" s="108" t="s">
        <v>48</v>
      </c>
      <c r="B492" s="1567"/>
      <c r="C492" s="1586"/>
      <c r="D492" s="1567"/>
      <c r="E492" s="1586"/>
      <c r="F492" s="1619"/>
      <c r="G492" s="1620"/>
      <c r="H492" s="1157"/>
      <c r="I492" s="109"/>
      <c r="J492" s="109"/>
      <c r="K492" s="109"/>
      <c r="L492" s="1141"/>
      <c r="M492" s="1617"/>
      <c r="N492" s="1486"/>
    </row>
    <row r="493" spans="1:14">
      <c r="A493" s="32" t="s">
        <v>28</v>
      </c>
      <c r="B493" s="1431">
        <f>'Chino Hills'!N6</f>
        <v>7</v>
      </c>
      <c r="C493" s="1422"/>
      <c r="D493" s="1431">
        <f t="shared" ref="D493:D499" si="96">F493*325851</f>
        <v>86448.270300000018</v>
      </c>
      <c r="E493" s="1422"/>
      <c r="F493" s="1756">
        <f>0.0379*B493</f>
        <v>0.26530000000000004</v>
      </c>
      <c r="G493" s="1757"/>
      <c r="H493" s="941">
        <f>F493*20</f>
        <v>5.3060000000000009</v>
      </c>
      <c r="I493" s="131">
        <v>0</v>
      </c>
      <c r="J493" s="131">
        <f>0*B493</f>
        <v>0</v>
      </c>
      <c r="K493" s="131">
        <f>60*B493</f>
        <v>420</v>
      </c>
      <c r="L493" s="132">
        <f t="shared" ref="L493:L499" si="97">I493+J493+K493</f>
        <v>420</v>
      </c>
      <c r="M493" s="1758">
        <f t="shared" ref="M493:M499" si="98">L493/(F493*427)</f>
        <v>3.7075256591671657</v>
      </c>
      <c r="N493" s="1759"/>
    </row>
    <row r="494" spans="1:14">
      <c r="A494" s="32" t="s">
        <v>29</v>
      </c>
      <c r="B494" s="1431">
        <f>'Chino Hills'!N7</f>
        <v>14</v>
      </c>
      <c r="C494" s="1422"/>
      <c r="D494" s="1431">
        <f t="shared" si="96"/>
        <v>193881.34500000003</v>
      </c>
      <c r="E494" s="1422"/>
      <c r="F494" s="1756">
        <f>0.0425*B494</f>
        <v>0.59500000000000008</v>
      </c>
      <c r="G494" s="1757"/>
      <c r="H494" s="941">
        <f>F494*20</f>
        <v>11.900000000000002</v>
      </c>
      <c r="I494" s="131">
        <v>0</v>
      </c>
      <c r="J494" s="131">
        <f>0*B494</f>
        <v>0</v>
      </c>
      <c r="K494" s="131">
        <f>B494*165</f>
        <v>2310</v>
      </c>
      <c r="L494" s="132">
        <f t="shared" si="97"/>
        <v>2310</v>
      </c>
      <c r="M494" s="1758">
        <f t="shared" si="98"/>
        <v>9.0921614547458312</v>
      </c>
      <c r="N494" s="1759"/>
    </row>
    <row r="495" spans="1:14">
      <c r="A495" s="32" t="s">
        <v>33</v>
      </c>
      <c r="B495" s="1431">
        <f>'Chino Hills'!N8</f>
        <v>240</v>
      </c>
      <c r="C495" s="1422"/>
      <c r="D495" s="1431">
        <f t="shared" si="96"/>
        <v>2158437.0239999997</v>
      </c>
      <c r="E495" s="1422"/>
      <c r="F495" s="1756">
        <f>0.0276*B495</f>
        <v>6.6239999999999997</v>
      </c>
      <c r="G495" s="1757"/>
      <c r="H495" s="941">
        <f>F495*15</f>
        <v>99.36</v>
      </c>
      <c r="I495" s="131">
        <f>0*B495</f>
        <v>0</v>
      </c>
      <c r="J495" s="131">
        <f>0*B495</f>
        <v>0</v>
      </c>
      <c r="K495" s="131">
        <f>B495*110</f>
        <v>26400</v>
      </c>
      <c r="L495" s="132">
        <f t="shared" si="97"/>
        <v>26400</v>
      </c>
      <c r="M495" s="1758">
        <f t="shared" si="98"/>
        <v>9.3337406238332825</v>
      </c>
      <c r="N495" s="1759"/>
    </row>
    <row r="496" spans="1:14">
      <c r="A496" s="32" t="s">
        <v>56</v>
      </c>
      <c r="B496" s="1431">
        <f>'Chino Hills'!N9</f>
        <v>0</v>
      </c>
      <c r="C496" s="1422"/>
      <c r="D496" s="1431">
        <f>F496*325851</f>
        <v>0</v>
      </c>
      <c r="E496" s="1422"/>
      <c r="F496" s="1756">
        <f>0.004*B496</f>
        <v>0</v>
      </c>
      <c r="G496" s="1757"/>
      <c r="H496" s="941">
        <f>F496*5</f>
        <v>0</v>
      </c>
      <c r="I496" s="131">
        <f>0*B496</f>
        <v>0</v>
      </c>
      <c r="J496" s="131">
        <f>0*B496</f>
        <v>0</v>
      </c>
      <c r="K496" s="131">
        <f>B496*4</f>
        <v>0</v>
      </c>
      <c r="L496" s="132">
        <f>I496+J496+K496</f>
        <v>0</v>
      </c>
      <c r="M496" s="1758">
        <v>0</v>
      </c>
      <c r="N496" s="1759"/>
    </row>
    <row r="497" spans="1:14">
      <c r="A497" s="78" t="s">
        <v>30</v>
      </c>
      <c r="B497" s="1431">
        <f>'Chino Hills'!N10</f>
        <v>0</v>
      </c>
      <c r="C497" s="1422"/>
      <c r="D497" s="1431">
        <f t="shared" si="96"/>
        <v>0</v>
      </c>
      <c r="E497" s="1422"/>
      <c r="F497" s="1756">
        <f>0.325*B497</f>
        <v>0</v>
      </c>
      <c r="G497" s="1757"/>
      <c r="H497" s="941">
        <f>F497*10</f>
        <v>0</v>
      </c>
      <c r="I497" s="131">
        <v>0</v>
      </c>
      <c r="J497" s="131">
        <f>160*B497</f>
        <v>0</v>
      </c>
      <c r="K497" s="131">
        <f>B497*80</f>
        <v>0</v>
      </c>
      <c r="L497" s="132">
        <f t="shared" si="97"/>
        <v>0</v>
      </c>
      <c r="M497" s="1758">
        <v>0</v>
      </c>
      <c r="N497" s="1759"/>
    </row>
    <row r="498" spans="1:14">
      <c r="A498" s="33" t="s">
        <v>84</v>
      </c>
      <c r="B498" s="1431">
        <f>'Chino Hills'!N11</f>
        <v>1</v>
      </c>
      <c r="C498" s="1422"/>
      <c r="D498" s="1431">
        <f t="shared" si="96"/>
        <v>25181.765279999996</v>
      </c>
      <c r="E498" s="1422"/>
      <c r="F498" s="1718">
        <f>0.00014*552</f>
        <v>7.7279999999999988E-2</v>
      </c>
      <c r="G498" s="1719"/>
      <c r="H498" s="941">
        <f>F498*10</f>
        <v>0.77279999999999993</v>
      </c>
      <c r="I498" s="131">
        <v>0</v>
      </c>
      <c r="J498" s="131">
        <f>2*552</f>
        <v>1104</v>
      </c>
      <c r="K498" s="131">
        <f>B498*0</f>
        <v>0</v>
      </c>
      <c r="L498" s="132">
        <f t="shared" si="97"/>
        <v>1104</v>
      </c>
      <c r="M498" s="1758">
        <f t="shared" si="98"/>
        <v>33.456005352960858</v>
      </c>
      <c r="N498" s="1759"/>
    </row>
    <row r="499" spans="1:14" ht="14" thickBot="1">
      <c r="A499" s="33" t="s">
        <v>85</v>
      </c>
      <c r="B499" s="1431">
        <f>'Chino Hills'!N12</f>
        <v>7</v>
      </c>
      <c r="C499" s="1422"/>
      <c r="D499" s="1444">
        <f t="shared" si="96"/>
        <v>168334.62659999999</v>
      </c>
      <c r="E499" s="1422"/>
      <c r="F499" s="1756">
        <f>0.00014*3690</f>
        <v>0.51659999999999995</v>
      </c>
      <c r="G499" s="1757"/>
      <c r="H499" s="941">
        <f>F499*10</f>
        <v>5.1659999999999995</v>
      </c>
      <c r="I499" s="131">
        <v>0</v>
      </c>
      <c r="J499" s="131">
        <f>0.3*3690</f>
        <v>1107</v>
      </c>
      <c r="K499" s="131">
        <f>3690*0.3</f>
        <v>1107</v>
      </c>
      <c r="L499" s="132">
        <f t="shared" si="97"/>
        <v>2214</v>
      </c>
      <c r="M499" s="1758">
        <f t="shared" si="98"/>
        <v>10.036801605888257</v>
      </c>
      <c r="N499" s="1759"/>
    </row>
    <row r="500" spans="1:14" s="533" customFormat="1" ht="14" thickBot="1">
      <c r="A500" s="53" t="s">
        <v>60</v>
      </c>
      <c r="B500" s="1438">
        <f>SUM(B493:C499)</f>
        <v>269</v>
      </c>
      <c r="C500" s="1609"/>
      <c r="D500" s="1440">
        <f>SUM(D493:E499)</f>
        <v>2632283.0311799999</v>
      </c>
      <c r="E500" s="1621"/>
      <c r="F500" s="1511">
        <f>SUM(F493:G499)</f>
        <v>8.0781799999999997</v>
      </c>
      <c r="G500" s="1575"/>
      <c r="H500" s="793">
        <f>SUM(H493:H499)</f>
        <v>122.5048</v>
      </c>
      <c r="I500" s="143">
        <f>SUM(I493:I499)</f>
        <v>0</v>
      </c>
      <c r="J500" s="143">
        <f>SUM(J493:J499)</f>
        <v>2211</v>
      </c>
      <c r="K500" s="143">
        <f>SUM(K493:K499)</f>
        <v>30237</v>
      </c>
      <c r="L500" s="152">
        <f>SUM(L493:L499)</f>
        <v>32448</v>
      </c>
      <c r="M500" s="1657"/>
      <c r="N500" s="1622"/>
    </row>
    <row r="501" spans="1:14" s="1161" customFormat="1" ht="17" thickBot="1">
      <c r="A501" s="1246" t="s">
        <v>147</v>
      </c>
      <c r="B501" s="1567"/>
      <c r="C501" s="1586"/>
      <c r="D501" s="1457"/>
      <c r="E501" s="1586"/>
      <c r="F501" s="1587"/>
      <c r="G501" s="1588"/>
      <c r="H501" s="1145"/>
      <c r="I501" s="161"/>
      <c r="J501" s="161"/>
      <c r="K501" s="161"/>
      <c r="L501" s="162"/>
      <c r="M501" s="1617"/>
      <c r="N501" s="1486"/>
    </row>
    <row r="502" spans="1:14" ht="14" thickBot="1">
      <c r="A502" s="76" t="s">
        <v>147</v>
      </c>
      <c r="B502" s="1431">
        <f>'Chino Hills'!N15</f>
        <v>0</v>
      </c>
      <c r="C502" s="1422"/>
      <c r="D502" s="1444">
        <f>F502*325851</f>
        <v>0</v>
      </c>
      <c r="E502" s="1422"/>
      <c r="F502" s="1756">
        <f>0.0379*B502</f>
        <v>0</v>
      </c>
      <c r="G502" s="1757"/>
      <c r="H502" s="941">
        <f>F502*20</f>
        <v>0</v>
      </c>
      <c r="I502" s="131">
        <f>73.34*B502</f>
        <v>0</v>
      </c>
      <c r="J502" s="131">
        <f>35.66*B502</f>
        <v>0</v>
      </c>
      <c r="K502" s="131">
        <f>B502*60</f>
        <v>0</v>
      </c>
      <c r="L502" s="132">
        <f>I502+J502+K502</f>
        <v>0</v>
      </c>
      <c r="M502" s="1758">
        <v>0</v>
      </c>
      <c r="N502" s="1759"/>
    </row>
    <row r="503" spans="1:14" s="533" customFormat="1" ht="14" thickBot="1">
      <c r="A503" s="53" t="s">
        <v>60</v>
      </c>
      <c r="B503" s="1438">
        <f>SUM(B502)</f>
        <v>0</v>
      </c>
      <c r="C503" s="1609"/>
      <c r="D503" s="1441">
        <f>SUM(D502)</f>
        <v>0</v>
      </c>
      <c r="E503" s="1609"/>
      <c r="F503" s="1512">
        <f>SUM(F502)</f>
        <v>0</v>
      </c>
      <c r="G503" s="1575"/>
      <c r="H503" s="793">
        <f>SUM(H502)</f>
        <v>0</v>
      </c>
      <c r="I503" s="136">
        <f>SUM(I502)</f>
        <v>0</v>
      </c>
      <c r="J503" s="136">
        <f>SUM(J502)</f>
        <v>0</v>
      </c>
      <c r="K503" s="136">
        <f>SUM(K502)</f>
        <v>0</v>
      </c>
      <c r="L503" s="136">
        <f>SUM(L502)</f>
        <v>0</v>
      </c>
      <c r="M503" s="1657"/>
      <c r="N503" s="1622"/>
    </row>
    <row r="504" spans="1:14" s="1161" customFormat="1" ht="17" thickBot="1">
      <c r="A504" s="108" t="s">
        <v>50</v>
      </c>
      <c r="B504" s="1567"/>
      <c r="C504" s="1586"/>
      <c r="D504" s="1457"/>
      <c r="E504" s="1586"/>
      <c r="F504" s="1587"/>
      <c r="G504" s="1588"/>
      <c r="H504" s="1145"/>
      <c r="I504" s="161"/>
      <c r="J504" s="161"/>
      <c r="K504" s="161"/>
      <c r="L504" s="162"/>
      <c r="M504" s="1617"/>
      <c r="N504" s="1486"/>
    </row>
    <row r="505" spans="1:14">
      <c r="A505" s="34" t="s">
        <v>26</v>
      </c>
      <c r="B505" s="1431">
        <f>'Chino Hills'!N18</f>
        <v>0</v>
      </c>
      <c r="C505" s="1422"/>
      <c r="D505" s="1444">
        <f t="shared" ref="D505:D513" si="99">F505*325851</f>
        <v>0</v>
      </c>
      <c r="E505" s="1422"/>
      <c r="F505" s="1756">
        <f>0.0379*B505</f>
        <v>0</v>
      </c>
      <c r="G505" s="1757"/>
      <c r="H505" s="941">
        <f>F505*20</f>
        <v>0</v>
      </c>
      <c r="I505" s="131">
        <v>0</v>
      </c>
      <c r="J505" s="131">
        <f>35.66*B505</f>
        <v>0</v>
      </c>
      <c r="K505" s="131">
        <f>135*B505</f>
        <v>0</v>
      </c>
      <c r="L505" s="132">
        <f>SUM(I505:K505)</f>
        <v>0</v>
      </c>
      <c r="M505" s="1758">
        <v>0</v>
      </c>
      <c r="N505" s="1759"/>
    </row>
    <row r="506" spans="1:14">
      <c r="A506" s="34" t="s">
        <v>25</v>
      </c>
      <c r="B506" s="1431">
        <f>'Chino Hills'!N19</f>
        <v>0</v>
      </c>
      <c r="C506" s="1422"/>
      <c r="D506" s="1444">
        <f t="shared" si="99"/>
        <v>0</v>
      </c>
      <c r="E506" s="1422"/>
      <c r="F506" s="1756">
        <f>0.0379*B506</f>
        <v>0</v>
      </c>
      <c r="G506" s="1757"/>
      <c r="H506" s="941">
        <f>F506*20</f>
        <v>0</v>
      </c>
      <c r="I506" s="131">
        <v>0</v>
      </c>
      <c r="J506" s="131">
        <f>0*B506</f>
        <v>0</v>
      </c>
      <c r="K506" s="131">
        <f>135*B506</f>
        <v>0</v>
      </c>
      <c r="L506" s="132">
        <f t="shared" ref="L506:L521" si="100">SUM(I506:K506)</f>
        <v>0</v>
      </c>
      <c r="M506" s="1758">
        <v>0</v>
      </c>
      <c r="N506" s="1759"/>
    </row>
    <row r="507" spans="1:14">
      <c r="A507" s="32" t="s">
        <v>29</v>
      </c>
      <c r="B507" s="1431">
        <f>'Chino Hills'!N20</f>
        <v>0</v>
      </c>
      <c r="C507" s="1422"/>
      <c r="D507" s="1444">
        <f t="shared" si="99"/>
        <v>0</v>
      </c>
      <c r="E507" s="1422"/>
      <c r="F507" s="1756">
        <f>0.0425*B507</f>
        <v>0</v>
      </c>
      <c r="G507" s="1757"/>
      <c r="H507" s="941">
        <f>F507*20</f>
        <v>0</v>
      </c>
      <c r="I507" s="131">
        <v>0</v>
      </c>
      <c r="J507" s="131">
        <f>135*B507</f>
        <v>0</v>
      </c>
      <c r="K507" s="131">
        <f>165*B507</f>
        <v>0</v>
      </c>
      <c r="L507" s="132">
        <f t="shared" si="100"/>
        <v>0</v>
      </c>
      <c r="M507" s="1758">
        <v>0</v>
      </c>
      <c r="N507" s="1759"/>
    </row>
    <row r="508" spans="1:14">
      <c r="A508" s="32" t="s">
        <v>51</v>
      </c>
      <c r="B508" s="1431">
        <f>'Chino Hills'!N21</f>
        <v>14</v>
      </c>
      <c r="C508" s="1422"/>
      <c r="D508" s="1444">
        <f t="shared" si="99"/>
        <v>559746.84779999999</v>
      </c>
      <c r="E508" s="1422"/>
      <c r="F508" s="1756">
        <f>0.1227*B508</f>
        <v>1.7178</v>
      </c>
      <c r="G508" s="1757"/>
      <c r="H508" s="941">
        <f>F508*20</f>
        <v>34.356000000000002</v>
      </c>
      <c r="I508" s="131">
        <v>0</v>
      </c>
      <c r="J508" s="131">
        <f>0*B508</f>
        <v>0</v>
      </c>
      <c r="K508" s="131">
        <f>400*B508</f>
        <v>5600</v>
      </c>
      <c r="L508" s="132">
        <f t="shared" si="100"/>
        <v>5600</v>
      </c>
      <c r="M508" s="1758">
        <f>L508/(F508*427)</f>
        <v>7.6346222484344253</v>
      </c>
      <c r="N508" s="1759"/>
    </row>
    <row r="509" spans="1:14">
      <c r="A509" s="34" t="s">
        <v>20</v>
      </c>
      <c r="B509" s="1431">
        <f>'Chino Hills'!N22</f>
        <v>0</v>
      </c>
      <c r="C509" s="1422"/>
      <c r="D509" s="1444">
        <f t="shared" si="99"/>
        <v>0</v>
      </c>
      <c r="E509" s="1422"/>
      <c r="F509" s="1756">
        <f>0.644*B509</f>
        <v>0</v>
      </c>
      <c r="G509" s="1757"/>
      <c r="H509" s="941">
        <f>F509*5</f>
        <v>0</v>
      </c>
      <c r="I509" s="131">
        <v>0</v>
      </c>
      <c r="J509" s="131">
        <f>175*B509</f>
        <v>0</v>
      </c>
      <c r="K509" s="131">
        <f>625*B509</f>
        <v>0</v>
      </c>
      <c r="L509" s="132">
        <f t="shared" si="100"/>
        <v>0</v>
      </c>
      <c r="M509" s="1758">
        <v>0</v>
      </c>
      <c r="N509" s="1759"/>
    </row>
    <row r="510" spans="1:14">
      <c r="A510" s="34" t="s">
        <v>13</v>
      </c>
      <c r="B510" s="1431">
        <f>'Chino Hills'!N23</f>
        <v>0</v>
      </c>
      <c r="C510" s="1422"/>
      <c r="D510" s="1444">
        <f t="shared" si="99"/>
        <v>0</v>
      </c>
      <c r="E510" s="1422"/>
      <c r="F510" s="1756">
        <f>0.0276*B510</f>
        <v>0</v>
      </c>
      <c r="G510" s="1757"/>
      <c r="H510" s="941">
        <f>F510*15</f>
        <v>0</v>
      </c>
      <c r="I510" s="131">
        <v>0</v>
      </c>
      <c r="J510" s="131">
        <f>290*B510</f>
        <v>0</v>
      </c>
      <c r="K510" s="131">
        <f>130*B510</f>
        <v>0</v>
      </c>
      <c r="L510" s="132">
        <f t="shared" si="100"/>
        <v>0</v>
      </c>
      <c r="M510" s="1758">
        <v>0</v>
      </c>
      <c r="N510" s="1759"/>
    </row>
    <row r="511" spans="1:14">
      <c r="A511" s="35" t="s">
        <v>47</v>
      </c>
      <c r="B511" s="1431">
        <f>'Chino Hills'!N24</f>
        <v>0</v>
      </c>
      <c r="C511" s="1422"/>
      <c r="D511" s="1444">
        <f t="shared" si="99"/>
        <v>0</v>
      </c>
      <c r="E511" s="1422"/>
      <c r="F511" s="1756">
        <f>0.1534*B511</f>
        <v>0</v>
      </c>
      <c r="G511" s="1757"/>
      <c r="H511" s="941">
        <f>F511*5</f>
        <v>0</v>
      </c>
      <c r="I511" s="131">
        <v>0</v>
      </c>
      <c r="J511" s="131">
        <f>0*B511</f>
        <v>0</v>
      </c>
      <c r="K511" s="131">
        <f>150*B511</f>
        <v>0</v>
      </c>
      <c r="L511" s="132">
        <f t="shared" si="100"/>
        <v>0</v>
      </c>
      <c r="M511" s="1758">
        <v>0</v>
      </c>
      <c r="N511" s="1759"/>
    </row>
    <row r="512" spans="1:14">
      <c r="A512" s="76" t="s">
        <v>30</v>
      </c>
      <c r="B512" s="1431">
        <f>'Chino Hills'!N25</f>
        <v>0</v>
      </c>
      <c r="C512" s="1422"/>
      <c r="D512" s="1444">
        <f t="shared" si="99"/>
        <v>0</v>
      </c>
      <c r="E512" s="1422"/>
      <c r="F512" s="1756">
        <f>0.325*B512</f>
        <v>0</v>
      </c>
      <c r="G512" s="1757"/>
      <c r="H512" s="941">
        <f>F512*10</f>
        <v>0</v>
      </c>
      <c r="I512" s="131">
        <v>0</v>
      </c>
      <c r="J512" s="131">
        <f>0*B512</f>
        <v>0</v>
      </c>
      <c r="K512" s="131">
        <f>630*B512</f>
        <v>0</v>
      </c>
      <c r="L512" s="132">
        <f t="shared" si="100"/>
        <v>0</v>
      </c>
      <c r="M512" s="1758">
        <v>0</v>
      </c>
      <c r="N512" s="1759"/>
    </row>
    <row r="513" spans="1:14">
      <c r="A513" s="33" t="s">
        <v>53</v>
      </c>
      <c r="B513" s="1431">
        <f>'Chino Hills'!N26</f>
        <v>0</v>
      </c>
      <c r="C513" s="1422"/>
      <c r="D513" s="1444">
        <f t="shared" si="99"/>
        <v>0</v>
      </c>
      <c r="E513" s="1422"/>
      <c r="F513" s="1756">
        <f>0.00014*B513</f>
        <v>0</v>
      </c>
      <c r="G513" s="1757"/>
      <c r="H513" s="941">
        <f>F513*10</f>
        <v>0</v>
      </c>
      <c r="I513" s="131">
        <v>0</v>
      </c>
      <c r="J513" s="131">
        <f>0.3*B513</f>
        <v>0</v>
      </c>
      <c r="K513" s="131">
        <f>0.3*B513</f>
        <v>0</v>
      </c>
      <c r="L513" s="132">
        <f t="shared" si="100"/>
        <v>0</v>
      </c>
      <c r="M513" s="1758">
        <v>0</v>
      </c>
      <c r="N513" s="1759"/>
    </row>
    <row r="514" spans="1:14" ht="14" thickBot="1">
      <c r="A514" s="33" t="s">
        <v>56</v>
      </c>
      <c r="B514" s="1431">
        <f>'Chino Hills'!N29</f>
        <v>0</v>
      </c>
      <c r="C514" s="1422"/>
      <c r="D514" s="1444">
        <f>F514*325851</f>
        <v>0</v>
      </c>
      <c r="E514" s="1422"/>
      <c r="F514" s="1756">
        <f>0.004*B514</f>
        <v>0</v>
      </c>
      <c r="G514" s="1757"/>
      <c r="H514" s="941">
        <f>F514*5</f>
        <v>0</v>
      </c>
      <c r="I514" s="131">
        <v>0</v>
      </c>
      <c r="J514" s="131">
        <f>0*B514</f>
        <v>0</v>
      </c>
      <c r="K514" s="131">
        <f>4*B514</f>
        <v>0</v>
      </c>
      <c r="L514" s="132">
        <f t="shared" si="100"/>
        <v>0</v>
      </c>
      <c r="M514" s="1758">
        <v>0</v>
      </c>
      <c r="N514" s="1759"/>
    </row>
    <row r="515" spans="1:14" s="533" customFormat="1" ht="14" thickBot="1">
      <c r="A515" s="53" t="s">
        <v>60</v>
      </c>
      <c r="B515" s="1438">
        <f>SUM(B505:C514)</f>
        <v>14</v>
      </c>
      <c r="C515" s="1609"/>
      <c r="D515" s="1440">
        <f>SUM(D505:E514)</f>
        <v>559746.84779999999</v>
      </c>
      <c r="E515" s="1621"/>
      <c r="F515" s="1511">
        <f>SUM(F505:G514)</f>
        <v>1.7178</v>
      </c>
      <c r="G515" s="1575"/>
      <c r="H515" s="793">
        <f>SUM(H505:H514)</f>
        <v>34.356000000000002</v>
      </c>
      <c r="I515" s="136">
        <f>SUM(I505:I514)</f>
        <v>0</v>
      </c>
      <c r="J515" s="136">
        <f>SUM(J505:J514)</f>
        <v>0</v>
      </c>
      <c r="K515" s="136">
        <f>SUM(K505:K514)</f>
        <v>5600</v>
      </c>
      <c r="L515" s="136">
        <f>SUM(L505:L514)</f>
        <v>5600</v>
      </c>
      <c r="M515" s="1657"/>
      <c r="N515" s="1622"/>
    </row>
    <row r="516" spans="1:14" s="1161" customFormat="1" ht="17" thickBot="1">
      <c r="A516" s="108" t="s">
        <v>54</v>
      </c>
      <c r="B516" s="1457"/>
      <c r="C516" s="1913"/>
      <c r="D516" s="1141"/>
      <c r="E516" s="1142"/>
      <c r="F516" s="1144"/>
      <c r="G516" s="1145"/>
      <c r="H516" s="1145"/>
      <c r="I516" s="161"/>
      <c r="J516" s="161"/>
      <c r="K516" s="161"/>
      <c r="L516" s="162"/>
      <c r="M516" s="1154"/>
      <c r="N516" s="1155"/>
    </row>
    <row r="517" spans="1:14">
      <c r="A517" s="36" t="s">
        <v>29</v>
      </c>
      <c r="B517" s="1767">
        <f>'Chino Hills'!N30</f>
        <v>0</v>
      </c>
      <c r="C517" s="1915"/>
      <c r="D517" s="1444">
        <f>F517*325851</f>
        <v>0</v>
      </c>
      <c r="E517" s="1422"/>
      <c r="F517" s="1756">
        <f>0.0425*B517</f>
        <v>0</v>
      </c>
      <c r="G517" s="1757"/>
      <c r="H517" s="941">
        <f>F517*20</f>
        <v>0</v>
      </c>
      <c r="I517" s="131">
        <v>0</v>
      </c>
      <c r="J517" s="131">
        <f>35.66*B517</f>
        <v>0</v>
      </c>
      <c r="K517" s="131">
        <f>630*B517</f>
        <v>0</v>
      </c>
      <c r="L517" s="132">
        <f t="shared" si="100"/>
        <v>0</v>
      </c>
      <c r="M517" s="1758">
        <v>0</v>
      </c>
      <c r="N517" s="1759"/>
    </row>
    <row r="518" spans="1:14">
      <c r="A518" s="34" t="s">
        <v>51</v>
      </c>
      <c r="B518" s="1444">
        <f>'Chino Hills'!N31</f>
        <v>0</v>
      </c>
      <c r="C518" s="1422"/>
      <c r="D518" s="1444">
        <f>F518*325851</f>
        <v>0</v>
      </c>
      <c r="E518" s="1422"/>
      <c r="F518" s="1756">
        <f>0.1227*B518</f>
        <v>0</v>
      </c>
      <c r="G518" s="1757"/>
      <c r="H518" s="941">
        <f>F518*20</f>
        <v>0</v>
      </c>
      <c r="I518" s="131">
        <v>0</v>
      </c>
      <c r="J518" s="131">
        <f>0*B518</f>
        <v>0</v>
      </c>
      <c r="K518" s="131">
        <f>1225*B518</f>
        <v>0</v>
      </c>
      <c r="L518" s="132">
        <f t="shared" si="100"/>
        <v>0</v>
      </c>
      <c r="M518" s="1758">
        <v>0</v>
      </c>
      <c r="N518" s="1759"/>
    </row>
    <row r="519" spans="1:14">
      <c r="A519" s="34" t="s">
        <v>15</v>
      </c>
      <c r="B519" s="1444">
        <f>'Chino Hills'!N32</f>
        <v>45</v>
      </c>
      <c r="C519" s="1422"/>
      <c r="D519" s="1444">
        <f>F519*325851</f>
        <v>2249349.4530000002</v>
      </c>
      <c r="E519" s="1422"/>
      <c r="F519" s="1756">
        <f>0.1534*B519</f>
        <v>6.9030000000000005</v>
      </c>
      <c r="G519" s="1757"/>
      <c r="H519" s="941">
        <f>F519*5</f>
        <v>34.515000000000001</v>
      </c>
      <c r="I519" s="131">
        <v>0</v>
      </c>
      <c r="J519" s="131">
        <f>0*B519</f>
        <v>0</v>
      </c>
      <c r="K519" s="131">
        <f>380*B519</f>
        <v>17100</v>
      </c>
      <c r="L519" s="132">
        <f t="shared" si="100"/>
        <v>17100</v>
      </c>
      <c r="M519" s="1758">
        <f>L519/(F519*427)</f>
        <v>5.8013672906698748</v>
      </c>
      <c r="N519" s="1759"/>
    </row>
    <row r="520" spans="1:14">
      <c r="A520" s="34" t="s">
        <v>30</v>
      </c>
      <c r="B520" s="1444">
        <f>'Chino Hills'!N33</f>
        <v>0</v>
      </c>
      <c r="C520" s="1422"/>
      <c r="D520" s="1431">
        <f>F520*325851</f>
        <v>0</v>
      </c>
      <c r="E520" s="1422"/>
      <c r="F520" s="1756">
        <f>0.466*B520</f>
        <v>0</v>
      </c>
      <c r="G520" s="1757"/>
      <c r="H520" s="941">
        <f>F520*10</f>
        <v>0</v>
      </c>
      <c r="I520" s="131">
        <v>0</v>
      </c>
      <c r="J520" s="131">
        <f>0*B520</f>
        <v>0</v>
      </c>
      <c r="K520" s="131">
        <f>1004*B520</f>
        <v>0</v>
      </c>
      <c r="L520" s="132">
        <f t="shared" si="100"/>
        <v>0</v>
      </c>
      <c r="M520" s="1758">
        <v>0</v>
      </c>
      <c r="N520" s="1759"/>
    </row>
    <row r="521" spans="1:14" ht="14" thickBot="1">
      <c r="A521" s="34" t="s">
        <v>55</v>
      </c>
      <c r="B521" s="1444">
        <f>'Chino Hills'!N34</f>
        <v>0</v>
      </c>
      <c r="C521" s="1422"/>
      <c r="D521" s="1431">
        <f>F521*325851</f>
        <v>0</v>
      </c>
      <c r="E521" s="1422"/>
      <c r="F521" s="1718">
        <f>0.823*B521</f>
        <v>0</v>
      </c>
      <c r="G521" s="1719"/>
      <c r="H521" s="941">
        <f>F521*10</f>
        <v>0</v>
      </c>
      <c r="I521" s="131">
        <v>0</v>
      </c>
      <c r="J521" s="131">
        <f>0*B521</f>
        <v>0</v>
      </c>
      <c r="K521" s="131">
        <f>3124*B521</f>
        <v>0</v>
      </c>
      <c r="L521" s="132">
        <f t="shared" si="100"/>
        <v>0</v>
      </c>
      <c r="M521" s="1758">
        <v>0</v>
      </c>
      <c r="N521" s="1759"/>
    </row>
    <row r="522" spans="1:14" s="533" customFormat="1" ht="14" thickBot="1">
      <c r="A522" s="53" t="s">
        <v>60</v>
      </c>
      <c r="B522" s="1440">
        <f>SUM(B517:C521)</f>
        <v>45</v>
      </c>
      <c r="C522" s="1621"/>
      <c r="D522" s="1441">
        <f>SUM(D517:E521)</f>
        <v>2249349.4530000002</v>
      </c>
      <c r="E522" s="1621"/>
      <c r="F522" s="1511">
        <f>SUM(F517:G521)</f>
        <v>6.9030000000000005</v>
      </c>
      <c r="G522" s="1575"/>
      <c r="H522" s="793">
        <f>SUM(H517:H521)</f>
        <v>34.515000000000001</v>
      </c>
      <c r="I522" s="136">
        <f>SUM(I517:I521)</f>
        <v>0</v>
      </c>
      <c r="J522" s="136">
        <f>SUM(J517:J521)</f>
        <v>0</v>
      </c>
      <c r="K522" s="136">
        <f>SUM(K517:K521)</f>
        <v>17100</v>
      </c>
      <c r="L522" s="136">
        <f>SUM(L517:L521)</f>
        <v>17100</v>
      </c>
      <c r="M522" s="1657"/>
      <c r="N522" s="1622"/>
    </row>
    <row r="523" spans="1:14" s="1168" customFormat="1" ht="17" thickBot="1">
      <c r="A523" s="1163" t="s">
        <v>17</v>
      </c>
      <c r="B523" s="1612">
        <f>SUM(B500+B503+B515+B522)</f>
        <v>328</v>
      </c>
      <c r="C523" s="1415"/>
      <c r="D523" s="1416">
        <f>SUM(D500+D503+D515+D522)</f>
        <v>5441379.3319800003</v>
      </c>
      <c r="E523" s="1415"/>
      <c r="F523" s="1416">
        <f>SUM(F500+F503+F515+F522)</f>
        <v>16.698979999999999</v>
      </c>
      <c r="G523" s="1415"/>
      <c r="H523" s="1164">
        <f>SUM(H500+H503+H515+H522)</f>
        <v>191.37580000000003</v>
      </c>
      <c r="I523" s="1169">
        <f>SUM(I500+I503+I515+I522)</f>
        <v>0</v>
      </c>
      <c r="J523" s="1169">
        <f>SUM(J500+J503+J515+J522)</f>
        <v>2211</v>
      </c>
      <c r="K523" s="1169">
        <f>SUM(K500+K503+K515+K522)</f>
        <v>52937</v>
      </c>
      <c r="L523" s="1169">
        <f>SUM(L500+L503+L515+L522)</f>
        <v>55148</v>
      </c>
      <c r="M523" s="1631"/>
      <c r="N523" s="1640"/>
    </row>
    <row r="524" spans="1:14" ht="16">
      <c r="A524" s="60"/>
      <c r="B524" s="61"/>
      <c r="C524" s="61"/>
      <c r="D524" s="61"/>
      <c r="E524" s="61"/>
      <c r="F524" s="61"/>
      <c r="G524" s="61"/>
      <c r="H524" s="62"/>
      <c r="I524" s="62"/>
      <c r="J524" s="62"/>
      <c r="K524" s="62"/>
      <c r="L524" s="62"/>
      <c r="M524" s="64"/>
      <c r="N524" s="65"/>
    </row>
    <row r="525" spans="1:14" ht="16">
      <c r="A525" s="9" t="s">
        <v>18</v>
      </c>
      <c r="B525" s="1419" t="s">
        <v>59</v>
      </c>
      <c r="C525" s="1419"/>
      <c r="D525" s="1419"/>
      <c r="E525" s="1419"/>
      <c r="F525" s="61"/>
      <c r="G525" s="61"/>
      <c r="H525" s="62"/>
      <c r="I525" s="62"/>
      <c r="J525" s="62"/>
      <c r="K525" s="62"/>
      <c r="L525" s="62"/>
      <c r="M525" s="64"/>
      <c r="N525" s="65"/>
    </row>
    <row r="526" spans="1:14" ht="16">
      <c r="A526" s="57"/>
      <c r="B526" s="1420" t="s">
        <v>19</v>
      </c>
      <c r="C526" s="1420"/>
      <c r="D526" s="1420"/>
      <c r="E526" s="1420"/>
      <c r="F526" s="61"/>
      <c r="G526" s="61"/>
      <c r="H526" s="62"/>
      <c r="I526" s="62"/>
      <c r="J526" s="62"/>
      <c r="K526" s="62"/>
      <c r="L526" s="62"/>
      <c r="M526" s="64"/>
      <c r="N526" s="65"/>
    </row>
    <row r="527" spans="1:14" ht="17" thickBot="1">
      <c r="A527" s="985"/>
      <c r="B527" s="820"/>
      <c r="C527" s="820"/>
      <c r="D527" s="820"/>
      <c r="E527" s="820"/>
      <c r="F527" s="61"/>
      <c r="G527" s="61"/>
      <c r="H527" s="62"/>
      <c r="I527" s="62"/>
      <c r="J527" s="62"/>
      <c r="K527" s="62"/>
      <c r="L527" s="62"/>
      <c r="M527" s="64"/>
      <c r="N527" s="65"/>
    </row>
    <row r="528" spans="1:14" s="363" customFormat="1" ht="16">
      <c r="A528" s="98"/>
      <c r="B528" s="99"/>
      <c r="C528" s="99"/>
      <c r="D528" s="99"/>
      <c r="E528" s="99"/>
      <c r="F528" s="100"/>
      <c r="G528" s="100"/>
      <c r="H528" s="100"/>
      <c r="I528" s="1468" t="s">
        <v>0</v>
      </c>
      <c r="J528" s="1468"/>
      <c r="K528" s="1468"/>
      <c r="L528" s="1468"/>
      <c r="M528" s="99"/>
      <c r="N528" s="101"/>
    </row>
    <row r="529" spans="1:14" ht="16">
      <c r="A529" s="97"/>
      <c r="B529" s="1469" t="s">
        <v>1</v>
      </c>
      <c r="C529" s="1469"/>
      <c r="D529" s="1469" t="s">
        <v>2</v>
      </c>
      <c r="E529" s="1469"/>
      <c r="F529" s="1863" t="s">
        <v>3</v>
      </c>
      <c r="G529" s="1863"/>
      <c r="H529" s="827" t="s">
        <v>3</v>
      </c>
      <c r="I529" s="127" t="s">
        <v>195</v>
      </c>
      <c r="J529" s="102"/>
      <c r="K529" s="102"/>
      <c r="L529" s="128"/>
      <c r="M529" s="1469" t="s">
        <v>4</v>
      </c>
      <c r="N529" s="1526"/>
    </row>
    <row r="530" spans="1:14" ht="19" thickBot="1">
      <c r="A530" s="103" t="s">
        <v>5</v>
      </c>
      <c r="B530" s="1473" t="s">
        <v>6</v>
      </c>
      <c r="C530" s="1473"/>
      <c r="D530" s="1473" t="s">
        <v>7</v>
      </c>
      <c r="E530" s="1473"/>
      <c r="F530" s="1864" t="s">
        <v>7</v>
      </c>
      <c r="G530" s="1864"/>
      <c r="H530" s="828" t="s">
        <v>58</v>
      </c>
      <c r="I530" s="797" t="s">
        <v>196</v>
      </c>
      <c r="J530" s="795" t="s">
        <v>8</v>
      </c>
      <c r="K530" s="795" t="s">
        <v>9</v>
      </c>
      <c r="L530" s="401" t="s">
        <v>10</v>
      </c>
      <c r="M530" s="1473" t="s">
        <v>145</v>
      </c>
      <c r="N530" s="1475"/>
    </row>
    <row r="531" spans="1:14" ht="24" thickBot="1">
      <c r="A531" s="88" t="s">
        <v>133</v>
      </c>
      <c r="B531" s="1922"/>
      <c r="C531" s="1923"/>
      <c r="D531" s="1924"/>
      <c r="E531" s="1925"/>
      <c r="F531" s="1918"/>
      <c r="G531" s="1919"/>
      <c r="H531" s="836"/>
      <c r="I531" s="58"/>
      <c r="J531" s="58"/>
      <c r="K531" s="58"/>
      <c r="L531" s="59"/>
      <c r="M531" s="1920"/>
      <c r="N531" s="1921"/>
    </row>
    <row r="532" spans="1:14" s="1161" customFormat="1" ht="17" thickBot="1">
      <c r="A532" s="108" t="s">
        <v>48</v>
      </c>
      <c r="B532" s="1457"/>
      <c r="C532" s="1586"/>
      <c r="D532" s="1567"/>
      <c r="E532" s="1586"/>
      <c r="F532" s="1619"/>
      <c r="G532" s="1620"/>
      <c r="H532" s="1157"/>
      <c r="I532" s="109"/>
      <c r="J532" s="109"/>
      <c r="K532" s="109"/>
      <c r="L532" s="1141"/>
      <c r="M532" s="1617"/>
      <c r="N532" s="1486"/>
    </row>
    <row r="533" spans="1:14">
      <c r="A533" s="34" t="s">
        <v>28</v>
      </c>
      <c r="B533" s="1444">
        <f>'[1]Chino Hills'!$N$4</f>
        <v>16</v>
      </c>
      <c r="C533" s="1422"/>
      <c r="D533" s="1431">
        <f>F533*325851</f>
        <v>180912.47520000002</v>
      </c>
      <c r="E533" s="1422"/>
      <c r="F533" s="1871">
        <f>0.0347*B533</f>
        <v>0.55520000000000003</v>
      </c>
      <c r="G533" s="1450"/>
      <c r="H533" s="957">
        <f>F533*20</f>
        <v>11.104000000000001</v>
      </c>
      <c r="I533" s="131">
        <v>0</v>
      </c>
      <c r="J533" s="131">
        <v>0</v>
      </c>
      <c r="K533" s="131">
        <f>60*B533</f>
        <v>960</v>
      </c>
      <c r="L533" s="132">
        <f t="shared" ref="L533:L538" si="101">I533+J533+K533</f>
        <v>960</v>
      </c>
      <c r="M533" s="1758">
        <f>L533/(F533*427)</f>
        <v>4.0494300427214869</v>
      </c>
      <c r="N533" s="1759"/>
    </row>
    <row r="534" spans="1:14">
      <c r="A534" s="34" t="s">
        <v>29</v>
      </c>
      <c r="B534" s="1444">
        <f>'[1]Chino Hills'!$N$5</f>
        <v>0</v>
      </c>
      <c r="C534" s="1422"/>
      <c r="D534" s="1431">
        <f t="shared" ref="D534:D551" si="102">F534*325851</f>
        <v>0</v>
      </c>
      <c r="E534" s="1422"/>
      <c r="F534" s="1871">
        <f>0.0425*B534</f>
        <v>0</v>
      </c>
      <c r="G534" s="1450"/>
      <c r="H534" s="957">
        <f>F534*20</f>
        <v>0</v>
      </c>
      <c r="I534" s="131">
        <v>0</v>
      </c>
      <c r="J534" s="131">
        <v>0</v>
      </c>
      <c r="K534" s="131">
        <f>B534*265</f>
        <v>0</v>
      </c>
      <c r="L534" s="132">
        <f t="shared" si="101"/>
        <v>0</v>
      </c>
      <c r="M534" s="1758">
        <v>0</v>
      </c>
      <c r="N534" s="1759"/>
    </row>
    <row r="535" spans="1:14">
      <c r="A535" s="34" t="s">
        <v>33</v>
      </c>
      <c r="B535" s="1444">
        <f>'[1]Chino Hills'!$N$7</f>
        <v>223</v>
      </c>
      <c r="C535" s="1422"/>
      <c r="D535" s="1431">
        <f>F535*325851</f>
        <v>6147439.7958000004</v>
      </c>
      <c r="E535" s="1422"/>
      <c r="F535" s="1871">
        <f>0.0846*B535</f>
        <v>18.8658</v>
      </c>
      <c r="G535" s="1450"/>
      <c r="H535" s="957">
        <f>F535*15</f>
        <v>282.98700000000002</v>
      </c>
      <c r="I535" s="131">
        <v>0</v>
      </c>
      <c r="J535" s="131">
        <v>0</v>
      </c>
      <c r="K535" s="131">
        <f>B535*110</f>
        <v>24530</v>
      </c>
      <c r="L535" s="132">
        <f t="shared" si="101"/>
        <v>24530</v>
      </c>
      <c r="M535" s="1758">
        <f>L535/(F535*427)</f>
        <v>3.0450501325980919</v>
      </c>
      <c r="N535" s="1759"/>
    </row>
    <row r="536" spans="1:14">
      <c r="A536" s="35" t="s">
        <v>24</v>
      </c>
      <c r="B536" s="1444">
        <f>'[1]Chino Hills'!$N$8</f>
        <v>0</v>
      </c>
      <c r="C536" s="1422"/>
      <c r="D536" s="1431">
        <f>F536*325851</f>
        <v>0</v>
      </c>
      <c r="E536" s="1422"/>
      <c r="F536" s="1871">
        <f>0.004*B536</f>
        <v>0</v>
      </c>
      <c r="G536" s="1450"/>
      <c r="H536" s="957">
        <f>F536*5</f>
        <v>0</v>
      </c>
      <c r="I536" s="131">
        <v>0</v>
      </c>
      <c r="J536" s="131">
        <v>0</v>
      </c>
      <c r="K536" s="131">
        <f>B536*4</f>
        <v>0</v>
      </c>
      <c r="L536" s="132">
        <f t="shared" si="101"/>
        <v>0</v>
      </c>
      <c r="M536" s="1758">
        <v>0</v>
      </c>
      <c r="N536" s="1759"/>
    </row>
    <row r="537" spans="1:14">
      <c r="A537" s="33" t="s">
        <v>72</v>
      </c>
      <c r="B537" s="1444">
        <f>'[1]Chino Hills'!$N$10</f>
        <v>4</v>
      </c>
      <c r="C537" s="1422"/>
      <c r="D537" s="1431">
        <f>F537*325851</f>
        <v>847212.6</v>
      </c>
      <c r="E537" s="1422"/>
      <c r="F537" s="1871">
        <f>0.65*B537</f>
        <v>2.6</v>
      </c>
      <c r="G537" s="1450"/>
      <c r="H537" s="957">
        <f>F537*10</f>
        <v>26</v>
      </c>
      <c r="I537" s="131">
        <v>0</v>
      </c>
      <c r="J537" s="131">
        <f>160*B537</f>
        <v>640</v>
      </c>
      <c r="K537" s="131">
        <f>80*B537</f>
        <v>320</v>
      </c>
      <c r="L537" s="132">
        <f t="shared" si="101"/>
        <v>960</v>
      </c>
      <c r="M537" s="1758">
        <f>L537/(F537*427)</f>
        <v>0.86470906143037285</v>
      </c>
      <c r="N537" s="1759"/>
    </row>
    <row r="538" spans="1:14" ht="14" thickBot="1">
      <c r="A538" s="33" t="s">
        <v>73</v>
      </c>
      <c r="B538" s="1444">
        <f>'[1]Chino Hills'!$N$11</f>
        <v>9</v>
      </c>
      <c r="C538" s="1422"/>
      <c r="D538" s="1431">
        <f>F538*325851</f>
        <v>1906228.35</v>
      </c>
      <c r="E538" s="1422"/>
      <c r="F538" s="1449">
        <f>0.65*B538</f>
        <v>5.8500000000000005</v>
      </c>
      <c r="G538" s="1450"/>
      <c r="H538" s="957">
        <f>F538*10</f>
        <v>58.500000000000007</v>
      </c>
      <c r="I538" s="131">
        <v>0</v>
      </c>
      <c r="J538" s="131">
        <v>0</v>
      </c>
      <c r="K538" s="131">
        <f>240*B538</f>
        <v>2160</v>
      </c>
      <c r="L538" s="132">
        <f t="shared" si="101"/>
        <v>2160</v>
      </c>
      <c r="M538" s="1758">
        <f>L538/(F538*427)</f>
        <v>0.86470906143037285</v>
      </c>
      <c r="N538" s="1759"/>
    </row>
    <row r="539" spans="1:14" s="533" customFormat="1" ht="14" thickBot="1">
      <c r="A539" s="53" t="s">
        <v>60</v>
      </c>
      <c r="B539" s="1440">
        <f>SUM(B533:C538)</f>
        <v>252</v>
      </c>
      <c r="C539" s="1609"/>
      <c r="D539" s="1441">
        <f>SUM(D533:E538)</f>
        <v>9081793.2210000008</v>
      </c>
      <c r="E539" s="1609"/>
      <c r="F539" s="1440">
        <f>SUM(F533:G538)</f>
        <v>27.871000000000002</v>
      </c>
      <c r="G539" s="1439"/>
      <c r="H539" s="786">
        <f>SUM(H533:H538)</f>
        <v>378.59100000000001</v>
      </c>
      <c r="I539" s="143">
        <f>SUM(I533:I538)</f>
        <v>0</v>
      </c>
      <c r="J539" s="143">
        <f>SUM(J533:J538)</f>
        <v>640</v>
      </c>
      <c r="K539" s="143">
        <f>SUM(K533:K538)</f>
        <v>27970</v>
      </c>
      <c r="L539" s="152">
        <f>SUM(L533:L538)</f>
        <v>28610</v>
      </c>
      <c r="M539" s="1657"/>
      <c r="N539" s="1622"/>
    </row>
    <row r="540" spans="1:14" s="1161" customFormat="1" ht="17" thickBot="1">
      <c r="A540" s="1246" t="s">
        <v>147</v>
      </c>
      <c r="B540" s="1457"/>
      <c r="C540" s="1586"/>
      <c r="D540" s="1567"/>
      <c r="E540" s="1586"/>
      <c r="F540" s="1457"/>
      <c r="G540" s="1586"/>
      <c r="H540" s="1142"/>
      <c r="I540" s="161"/>
      <c r="J540" s="161"/>
      <c r="K540" s="161"/>
      <c r="L540" s="162"/>
      <c r="M540" s="1617"/>
      <c r="N540" s="1486"/>
    </row>
    <row r="541" spans="1:14" ht="14" thickBot="1">
      <c r="A541" s="34" t="s">
        <v>31</v>
      </c>
      <c r="B541" s="1444">
        <f>'[1]Chino Hills'!$N$6</f>
        <v>0</v>
      </c>
      <c r="C541" s="1422"/>
      <c r="D541" s="1431">
        <f>F541*325851</f>
        <v>0</v>
      </c>
      <c r="E541" s="1422"/>
      <c r="F541" s="1449">
        <f>0.0347*B541</f>
        <v>0</v>
      </c>
      <c r="G541" s="1450"/>
      <c r="H541" s="957">
        <f>F541*20</f>
        <v>0</v>
      </c>
      <c r="I541" s="131">
        <f>73.34*B541</f>
        <v>0</v>
      </c>
      <c r="J541" s="131">
        <f>35.66*B541</f>
        <v>0</v>
      </c>
      <c r="K541" s="131">
        <f>B541*60</f>
        <v>0</v>
      </c>
      <c r="L541" s="132">
        <f>I541+J541+K541</f>
        <v>0</v>
      </c>
      <c r="M541" s="1758">
        <v>0</v>
      </c>
      <c r="N541" s="1759"/>
    </row>
    <row r="542" spans="1:14" s="533" customFormat="1" ht="14" thickBot="1">
      <c r="A542" s="53" t="s">
        <v>60</v>
      </c>
      <c r="B542" s="1440">
        <f>SUM(B541)</f>
        <v>0</v>
      </c>
      <c r="C542" s="1609"/>
      <c r="D542" s="1441">
        <f>SUM(D541)</f>
        <v>0</v>
      </c>
      <c r="E542" s="1609"/>
      <c r="F542" s="1440">
        <f>SUM(F541)</f>
        <v>0</v>
      </c>
      <c r="G542" s="1439"/>
      <c r="H542" s="786">
        <f>SUM(H541)</f>
        <v>0</v>
      </c>
      <c r="I542" s="136">
        <f>SUM(I541)</f>
        <v>0</v>
      </c>
      <c r="J542" s="136">
        <f>SUM(J541)</f>
        <v>0</v>
      </c>
      <c r="K542" s="136">
        <f>SUM(K541)</f>
        <v>0</v>
      </c>
      <c r="L542" s="136">
        <f>SUM(L541)</f>
        <v>0</v>
      </c>
      <c r="M542" s="1657"/>
      <c r="N542" s="1622"/>
    </row>
    <row r="543" spans="1:14" s="1161" customFormat="1" ht="17" thickBot="1">
      <c r="A543" s="108" t="s">
        <v>50</v>
      </c>
      <c r="B543" s="1457"/>
      <c r="C543" s="1586"/>
      <c r="D543" s="1567"/>
      <c r="E543" s="1586"/>
      <c r="F543" s="1457"/>
      <c r="G543" s="1586"/>
      <c r="H543" s="1142"/>
      <c r="I543" s="161"/>
      <c r="J543" s="161"/>
      <c r="K543" s="161"/>
      <c r="L543" s="162"/>
      <c r="M543" s="1617"/>
      <c r="N543" s="1486"/>
    </row>
    <row r="544" spans="1:14">
      <c r="A544" s="34" t="s">
        <v>26</v>
      </c>
      <c r="B544" s="1444">
        <f>'[1]Chino Hills'!$N$13</f>
        <v>0</v>
      </c>
      <c r="C544" s="1422"/>
      <c r="D544" s="1431">
        <f t="shared" si="102"/>
        <v>0</v>
      </c>
      <c r="E544" s="1422"/>
      <c r="F544" s="1916">
        <f>0.0278*B544</f>
        <v>0</v>
      </c>
      <c r="G544" s="1917"/>
      <c r="H544" s="974">
        <f>F544*20</f>
        <v>0</v>
      </c>
      <c r="I544" s="131">
        <v>0</v>
      </c>
      <c r="J544" s="131">
        <f>15*B544</f>
        <v>0</v>
      </c>
      <c r="K544" s="131">
        <f>135*B544</f>
        <v>0</v>
      </c>
      <c r="L544" s="132">
        <f>SUM(I544:K544)</f>
        <v>0</v>
      </c>
      <c r="M544" s="1758">
        <v>0</v>
      </c>
      <c r="N544" s="1759"/>
    </row>
    <row r="545" spans="1:14">
      <c r="A545" s="34" t="s">
        <v>25</v>
      </c>
      <c r="B545" s="1444">
        <f>'[1]Chino Hills'!$N$14</f>
        <v>0</v>
      </c>
      <c r="C545" s="1422"/>
      <c r="D545" s="1431">
        <f t="shared" si="102"/>
        <v>0</v>
      </c>
      <c r="E545" s="1422"/>
      <c r="F545" s="1916">
        <f>0.0347*B545</f>
        <v>0</v>
      </c>
      <c r="G545" s="1917"/>
      <c r="H545" s="974">
        <f>F545*20</f>
        <v>0</v>
      </c>
      <c r="I545" s="131">
        <v>0</v>
      </c>
      <c r="J545" s="131">
        <f>15*B545</f>
        <v>0</v>
      </c>
      <c r="K545" s="131">
        <f>135*B545</f>
        <v>0</v>
      </c>
      <c r="L545" s="132">
        <f t="shared" ref="L545:L551" si="103">SUM(I545:K545)</f>
        <v>0</v>
      </c>
      <c r="M545" s="1758">
        <v>0</v>
      </c>
      <c r="N545" s="1759"/>
    </row>
    <row r="546" spans="1:14">
      <c r="A546" s="34" t="s">
        <v>32</v>
      </c>
      <c r="B546" s="1444">
        <f>'[1]Chino Hills'!$N$15</f>
        <v>0</v>
      </c>
      <c r="C546" s="1422"/>
      <c r="D546" s="1431">
        <f t="shared" si="102"/>
        <v>0</v>
      </c>
      <c r="E546" s="1422"/>
      <c r="F546" s="1916">
        <f>0.0425*B546</f>
        <v>0</v>
      </c>
      <c r="G546" s="1917"/>
      <c r="H546" s="974">
        <f>F546*20</f>
        <v>0</v>
      </c>
      <c r="I546" s="131">
        <v>0</v>
      </c>
      <c r="J546" s="131">
        <f>45*B546</f>
        <v>0</v>
      </c>
      <c r="K546" s="131">
        <f>165*B546</f>
        <v>0</v>
      </c>
      <c r="L546" s="132">
        <f t="shared" si="103"/>
        <v>0</v>
      </c>
      <c r="M546" s="1758">
        <v>0</v>
      </c>
      <c r="N546" s="1759"/>
    </row>
    <row r="547" spans="1:14">
      <c r="A547" s="34" t="s">
        <v>27</v>
      </c>
      <c r="B547" s="1444">
        <f>'[1]Chino Hills'!$N$16</f>
        <v>0</v>
      </c>
      <c r="C547" s="1422"/>
      <c r="D547" s="1431">
        <f t="shared" si="102"/>
        <v>0</v>
      </c>
      <c r="E547" s="1422"/>
      <c r="F547" s="1916">
        <f>0.1225*B547</f>
        <v>0</v>
      </c>
      <c r="G547" s="1917"/>
      <c r="H547" s="974">
        <f>F547*20</f>
        <v>0</v>
      </c>
      <c r="I547" s="131">
        <v>0</v>
      </c>
      <c r="J547" s="131">
        <v>0</v>
      </c>
      <c r="K547" s="131">
        <f>400*B547</f>
        <v>0</v>
      </c>
      <c r="L547" s="132">
        <f t="shared" si="103"/>
        <v>0</v>
      </c>
      <c r="M547" s="1758">
        <v>0</v>
      </c>
      <c r="N547" s="1759"/>
    </row>
    <row r="548" spans="1:14">
      <c r="A548" s="34" t="s">
        <v>20</v>
      </c>
      <c r="B548" s="1444">
        <f>'[1]Chino Hills'!$N$17</f>
        <v>0</v>
      </c>
      <c r="C548" s="1422"/>
      <c r="D548" s="1431">
        <f t="shared" si="102"/>
        <v>0</v>
      </c>
      <c r="E548" s="1422"/>
      <c r="F548" s="1916">
        <f>0.1534*B548</f>
        <v>0</v>
      </c>
      <c r="G548" s="1917"/>
      <c r="H548" s="974">
        <f>F548*5</f>
        <v>0</v>
      </c>
      <c r="I548" s="131">
        <v>0</v>
      </c>
      <c r="J548" s="131">
        <v>0</v>
      </c>
      <c r="K548" s="131">
        <f>625*B548</f>
        <v>0</v>
      </c>
      <c r="L548" s="132">
        <f t="shared" si="103"/>
        <v>0</v>
      </c>
      <c r="M548" s="1758">
        <v>0</v>
      </c>
      <c r="N548" s="1759"/>
    </row>
    <row r="549" spans="1:14">
      <c r="A549" s="34" t="s">
        <v>33</v>
      </c>
      <c r="B549" s="1444">
        <f>'[1]Chino Hills'!$N$18</f>
        <v>0</v>
      </c>
      <c r="C549" s="1422"/>
      <c r="D549" s="1431">
        <f t="shared" si="102"/>
        <v>0</v>
      </c>
      <c r="E549" s="1422"/>
      <c r="F549" s="1916">
        <f>0.1534*B549</f>
        <v>0</v>
      </c>
      <c r="G549" s="1917"/>
      <c r="H549" s="974">
        <f>F549*15</f>
        <v>0</v>
      </c>
      <c r="I549" s="131">
        <v>0</v>
      </c>
      <c r="J549" s="131">
        <f>70*B549</f>
        <v>0</v>
      </c>
      <c r="K549" s="131">
        <f>130*B549</f>
        <v>0</v>
      </c>
      <c r="L549" s="132">
        <f t="shared" si="103"/>
        <v>0</v>
      </c>
      <c r="M549" s="1758">
        <v>0</v>
      </c>
      <c r="N549" s="1759"/>
    </row>
    <row r="550" spans="1:14">
      <c r="A550" s="35" t="s">
        <v>15</v>
      </c>
      <c r="B550" s="1444">
        <f>'[1]Chino Hills'!$N$19</f>
        <v>0</v>
      </c>
      <c r="C550" s="1422"/>
      <c r="D550" s="1431">
        <f t="shared" si="102"/>
        <v>0</v>
      </c>
      <c r="E550" s="1422"/>
      <c r="F550" s="1916">
        <f>0.1534*B550</f>
        <v>0</v>
      </c>
      <c r="G550" s="1917"/>
      <c r="H550" s="974">
        <f>F550*5</f>
        <v>0</v>
      </c>
      <c r="I550" s="131">
        <v>0</v>
      </c>
      <c r="J550" s="131">
        <v>0</v>
      </c>
      <c r="K550" s="131">
        <f>150*B550</f>
        <v>0</v>
      </c>
      <c r="L550" s="132">
        <f t="shared" si="103"/>
        <v>0</v>
      </c>
      <c r="M550" s="1758">
        <v>0</v>
      </c>
      <c r="N550" s="1759"/>
    </row>
    <row r="551" spans="1:14" ht="14" thickBot="1">
      <c r="A551" s="33" t="s">
        <v>89</v>
      </c>
      <c r="B551" s="1444">
        <f>'[1]Chino Hills'!$N$20</f>
        <v>0</v>
      </c>
      <c r="C551" s="1422"/>
      <c r="D551" s="1431">
        <f t="shared" si="102"/>
        <v>0</v>
      </c>
      <c r="E551" s="1422"/>
      <c r="F551" s="1916">
        <f>0.65*B551</f>
        <v>0</v>
      </c>
      <c r="G551" s="1917"/>
      <c r="H551" s="974">
        <f>F551*10</f>
        <v>0</v>
      </c>
      <c r="I551" s="131">
        <v>0</v>
      </c>
      <c r="J551" s="131">
        <v>0</v>
      </c>
      <c r="K551" s="131">
        <f>630*B551</f>
        <v>0</v>
      </c>
      <c r="L551" s="132">
        <f t="shared" si="103"/>
        <v>0</v>
      </c>
      <c r="M551" s="1758">
        <v>0</v>
      </c>
      <c r="N551" s="1759"/>
    </row>
    <row r="552" spans="1:14" s="533" customFormat="1" ht="14" thickBot="1">
      <c r="A552" s="53" t="s">
        <v>60</v>
      </c>
      <c r="B552" s="1607">
        <f>SUM(B542:C551)</f>
        <v>0</v>
      </c>
      <c r="C552" s="1608"/>
      <c r="D552" s="1931">
        <f>SUM(D542:E551)</f>
        <v>0</v>
      </c>
      <c r="E552" s="1608"/>
      <c r="F552" s="1607">
        <f>SUM(F542:G551)</f>
        <v>0</v>
      </c>
      <c r="G552" s="1932"/>
      <c r="H552" s="838">
        <f>SUM(H542:H551)</f>
        <v>0</v>
      </c>
      <c r="I552" s="540">
        <f>SUM(I542:I551)</f>
        <v>0</v>
      </c>
      <c r="J552" s="540">
        <f>SUM(J542:J551)</f>
        <v>0</v>
      </c>
      <c r="K552" s="540">
        <f>SUM(K542:K551)</f>
        <v>0</v>
      </c>
      <c r="L552" s="540">
        <f>SUM(L542:L551)</f>
        <v>0</v>
      </c>
      <c r="M552" s="1610"/>
      <c r="N552" s="1611"/>
    </row>
    <row r="553" spans="1:14" s="1161" customFormat="1" ht="17" thickBot="1">
      <c r="A553" s="1163" t="s">
        <v>17</v>
      </c>
      <c r="B553" s="1663">
        <f>B539+B542+B552</f>
        <v>252</v>
      </c>
      <c r="C553" s="1664"/>
      <c r="D553" s="1665">
        <f>D539+D542+D552</f>
        <v>9081793.2210000008</v>
      </c>
      <c r="E553" s="1664"/>
      <c r="F553" s="1663">
        <f>F539+F542+F552</f>
        <v>27.871000000000002</v>
      </c>
      <c r="G553" s="1664"/>
      <c r="H553" s="1187">
        <f>H539+H542+H552</f>
        <v>378.59100000000001</v>
      </c>
      <c r="I553" s="1188">
        <f>I539+I542+I552</f>
        <v>0</v>
      </c>
      <c r="J553" s="1188">
        <f>J539+J542+J552</f>
        <v>640</v>
      </c>
      <c r="K553" s="1188">
        <f>K539+K542+K552</f>
        <v>27970</v>
      </c>
      <c r="L553" s="1188">
        <f>L539+L542+L552</f>
        <v>28610</v>
      </c>
      <c r="M553" s="1668"/>
      <c r="N553" s="1669"/>
    </row>
    <row r="554" spans="1:14">
      <c r="F554" s="10"/>
      <c r="G554" s="10"/>
      <c r="H554" s="10"/>
    </row>
    <row r="555" spans="1:14" ht="15">
      <c r="A555" s="9" t="s">
        <v>18</v>
      </c>
      <c r="B555" s="1419" t="s">
        <v>59</v>
      </c>
      <c r="C555" s="1489"/>
      <c r="D555" s="1489"/>
      <c r="E555" s="1733"/>
      <c r="F555" s="10"/>
      <c r="G555" s="10"/>
      <c r="H555" s="10"/>
    </row>
    <row r="556" spans="1:14">
      <c r="B556" s="1420" t="s">
        <v>19</v>
      </c>
      <c r="C556" s="1420"/>
      <c r="D556" s="1420"/>
      <c r="E556" s="1420"/>
      <c r="F556" s="10"/>
      <c r="G556" s="10"/>
      <c r="H556" s="10"/>
    </row>
    <row r="557" spans="1:14" ht="14" thickBot="1">
      <c r="A557" s="737"/>
      <c r="B557" s="820"/>
      <c r="C557" s="820"/>
      <c r="D557" s="820"/>
      <c r="E557" s="820"/>
      <c r="F557" s="10"/>
      <c r="G557" s="10"/>
      <c r="H557" s="10"/>
    </row>
    <row r="558" spans="1:14" s="363" customFormat="1" ht="16">
      <c r="A558" s="98"/>
      <c r="B558" s="99"/>
      <c r="C558" s="99"/>
      <c r="D558" s="99"/>
      <c r="E558" s="99"/>
      <c r="F558" s="100"/>
      <c r="G558" s="100"/>
      <c r="H558" s="100"/>
      <c r="I558" s="1468" t="s">
        <v>0</v>
      </c>
      <c r="J558" s="1468"/>
      <c r="K558" s="1468"/>
      <c r="L558" s="1468"/>
      <c r="M558" s="99"/>
      <c r="N558" s="101"/>
    </row>
    <row r="559" spans="1:14" ht="16">
      <c r="A559" s="97"/>
      <c r="B559" s="1469" t="s">
        <v>1</v>
      </c>
      <c r="C559" s="1469"/>
      <c r="D559" s="1469" t="s">
        <v>2</v>
      </c>
      <c r="E559" s="1469"/>
      <c r="F559" s="1863" t="s">
        <v>3</v>
      </c>
      <c r="G559" s="1863"/>
      <c r="H559" s="827" t="s">
        <v>3</v>
      </c>
      <c r="I559" s="127" t="s">
        <v>195</v>
      </c>
      <c r="J559" s="102"/>
      <c r="K559" s="102"/>
      <c r="L559" s="128"/>
      <c r="M559" s="1469" t="s">
        <v>4</v>
      </c>
      <c r="N559" s="1526"/>
    </row>
    <row r="560" spans="1:14" ht="19" thickBot="1">
      <c r="A560" s="103" t="s">
        <v>5</v>
      </c>
      <c r="B560" s="1473" t="s">
        <v>6</v>
      </c>
      <c r="C560" s="1473"/>
      <c r="D560" s="1473" t="s">
        <v>7</v>
      </c>
      <c r="E560" s="1473"/>
      <c r="F560" s="1864" t="s">
        <v>7</v>
      </c>
      <c r="G560" s="1864"/>
      <c r="H560" s="828" t="s">
        <v>58</v>
      </c>
      <c r="I560" s="797" t="s">
        <v>196</v>
      </c>
      <c r="J560" s="795" t="s">
        <v>8</v>
      </c>
      <c r="K560" s="795" t="s">
        <v>9</v>
      </c>
      <c r="L560" s="401" t="s">
        <v>10</v>
      </c>
      <c r="M560" s="1473" t="s">
        <v>145</v>
      </c>
      <c r="N560" s="1475"/>
    </row>
    <row r="561" spans="1:14" ht="24" thickBot="1">
      <c r="A561" s="88" t="s">
        <v>134</v>
      </c>
      <c r="B561" s="1751"/>
      <c r="C561" s="1477"/>
      <c r="D561" s="1478"/>
      <c r="E561" s="1479"/>
      <c r="F561" s="1878"/>
      <c r="G561" s="1879"/>
      <c r="H561" s="829"/>
      <c r="I561" s="7"/>
      <c r="J561" s="7"/>
      <c r="K561" s="7"/>
      <c r="L561" s="8"/>
      <c r="M561" s="1764"/>
      <c r="N561" s="1765"/>
    </row>
    <row r="562" spans="1:14" s="1161" customFormat="1" ht="17" thickBot="1">
      <c r="A562" s="108" t="s">
        <v>74</v>
      </c>
      <c r="B562" s="1457"/>
      <c r="C562" s="1586"/>
      <c r="D562" s="1567"/>
      <c r="E562" s="1586"/>
      <c r="F562" s="1619"/>
      <c r="G562" s="1620"/>
      <c r="H562" s="1157"/>
      <c r="I562" s="109"/>
      <c r="J562" s="109"/>
      <c r="K562" s="109"/>
      <c r="L562" s="1141"/>
      <c r="M562" s="1617"/>
      <c r="N562" s="1486"/>
    </row>
    <row r="563" spans="1:14">
      <c r="A563" s="32" t="s">
        <v>62</v>
      </c>
      <c r="B563" s="1696">
        <v>0</v>
      </c>
      <c r="C563" s="1743"/>
      <c r="D563" s="1431">
        <f>F563*325851</f>
        <v>0</v>
      </c>
      <c r="E563" s="1422"/>
      <c r="F563" s="1871">
        <f>0.0347*B563</f>
        <v>0</v>
      </c>
      <c r="G563" s="1450"/>
      <c r="H563" s="957">
        <f>F563*20</f>
        <v>0</v>
      </c>
      <c r="I563" s="131">
        <v>0</v>
      </c>
      <c r="J563" s="131">
        <v>0</v>
      </c>
      <c r="K563" s="131">
        <v>0</v>
      </c>
      <c r="L563" s="132">
        <f>I563+J563+K563</f>
        <v>0</v>
      </c>
      <c r="M563" s="1758">
        <v>0</v>
      </c>
      <c r="N563" s="1759"/>
    </row>
    <row r="564" spans="1:14">
      <c r="A564" s="32" t="s">
        <v>63</v>
      </c>
      <c r="B564" s="1696">
        <v>0</v>
      </c>
      <c r="C564" s="1743"/>
      <c r="D564" s="1431">
        <f>F564*325851</f>
        <v>0</v>
      </c>
      <c r="E564" s="1422"/>
      <c r="F564" s="1871">
        <f>0.0347*B564</f>
        <v>0</v>
      </c>
      <c r="G564" s="1450"/>
      <c r="H564" s="957">
        <f>F564*20</f>
        <v>0</v>
      </c>
      <c r="I564" s="131">
        <v>0</v>
      </c>
      <c r="J564" s="131">
        <v>0</v>
      </c>
      <c r="K564" s="131">
        <v>0</v>
      </c>
      <c r="L564" s="132">
        <v>0</v>
      </c>
      <c r="M564" s="1758">
        <v>0</v>
      </c>
      <c r="N564" s="1759"/>
    </row>
    <row r="565" spans="1:14">
      <c r="A565" s="32" t="s">
        <v>64</v>
      </c>
      <c r="B565" s="1696">
        <v>65</v>
      </c>
      <c r="C565" s="1743"/>
      <c r="D565" s="1431">
        <f>F565*325851</f>
        <v>734956.93050000002</v>
      </c>
      <c r="E565" s="1422"/>
      <c r="F565" s="1871">
        <f>0.0347*B565</f>
        <v>2.2555000000000001</v>
      </c>
      <c r="G565" s="1450"/>
      <c r="H565" s="957">
        <f>F565*20</f>
        <v>45.11</v>
      </c>
      <c r="I565" s="131">
        <v>0</v>
      </c>
      <c r="J565" s="131">
        <v>130</v>
      </c>
      <c r="K565" s="131">
        <v>7800</v>
      </c>
      <c r="L565" s="132">
        <f>I565+J565+K565</f>
        <v>7930</v>
      </c>
      <c r="M565" s="1758">
        <f>L565/(F565*427)</f>
        <v>8.2338410868670238</v>
      </c>
      <c r="N565" s="1759"/>
    </row>
    <row r="566" spans="1:14" ht="14" thickBot="1">
      <c r="A566" s="34" t="s">
        <v>13</v>
      </c>
      <c r="B566" s="1696">
        <v>214</v>
      </c>
      <c r="C566" s="1743"/>
      <c r="D566" s="1431">
        <f>F566*325851</f>
        <v>1924606.3463999999</v>
      </c>
      <c r="E566" s="1422"/>
      <c r="F566" s="1449">
        <f>0.0276*B566</f>
        <v>5.9063999999999997</v>
      </c>
      <c r="G566" s="1450"/>
      <c r="H566" s="957">
        <f>F566*15</f>
        <v>88.595999999999989</v>
      </c>
      <c r="I566" s="131">
        <v>0</v>
      </c>
      <c r="J566" s="131">
        <v>130</v>
      </c>
      <c r="K566" s="131">
        <v>14300</v>
      </c>
      <c r="L566" s="132">
        <f>I566+J566+K566</f>
        <v>14430</v>
      </c>
      <c r="M566" s="1758">
        <f>L566/(F566*427)</f>
        <v>5.7215750722988217</v>
      </c>
      <c r="N566" s="1759"/>
    </row>
    <row r="567" spans="1:14" s="533" customFormat="1" ht="14" thickBot="1">
      <c r="A567" s="53" t="s">
        <v>60</v>
      </c>
      <c r="B567" s="1440">
        <f>SUM(B563:C566)</f>
        <v>279</v>
      </c>
      <c r="C567" s="1609"/>
      <c r="D567" s="1441">
        <f>SUM(D563:E566)</f>
        <v>2659563.2768999999</v>
      </c>
      <c r="E567" s="1609"/>
      <c r="F567" s="1440">
        <f>SUM(F563:G566)</f>
        <v>8.1618999999999993</v>
      </c>
      <c r="G567" s="1439"/>
      <c r="H567" s="739">
        <f>SUM(H563:H566)</f>
        <v>133.70599999999999</v>
      </c>
      <c r="I567" s="136">
        <f>SUM(I563:I566)</f>
        <v>0</v>
      </c>
      <c r="J567" s="136">
        <f>SUM(J563:J566)</f>
        <v>260</v>
      </c>
      <c r="K567" s="136">
        <f>SUM(K563:K566)</f>
        <v>22100</v>
      </c>
      <c r="L567" s="136">
        <f>SUM(L563:L566)</f>
        <v>22360</v>
      </c>
      <c r="M567" s="1657"/>
      <c r="N567" s="1622"/>
    </row>
    <row r="568" spans="1:14" s="1161" customFormat="1" ht="17" thickBot="1">
      <c r="A568" s="1246" t="s">
        <v>147</v>
      </c>
      <c r="B568" s="1457"/>
      <c r="C568" s="1586"/>
      <c r="D568" s="1567"/>
      <c r="E568" s="1586"/>
      <c r="F568" s="1457"/>
      <c r="G568" s="1586"/>
      <c r="H568" s="1142"/>
      <c r="I568" s="161"/>
      <c r="J568" s="161"/>
      <c r="K568" s="161"/>
      <c r="L568" s="162"/>
      <c r="M568" s="1617"/>
      <c r="N568" s="1486"/>
    </row>
    <row r="569" spans="1:14" ht="14" thickBot="1">
      <c r="A569" s="34" t="s">
        <v>11</v>
      </c>
      <c r="B569" s="1432">
        <v>1175</v>
      </c>
      <c r="C569" s="1433"/>
      <c r="D569" s="1467">
        <f>F569*325851</f>
        <v>13285759.897500001</v>
      </c>
      <c r="E569" s="1433"/>
      <c r="F569" s="1902">
        <f>0.0347*B569</f>
        <v>40.772500000000001</v>
      </c>
      <c r="G569" s="1877"/>
      <c r="H569" s="956">
        <f>F569*20</f>
        <v>815.45</v>
      </c>
      <c r="I569" s="133">
        <v>0</v>
      </c>
      <c r="J569" s="133">
        <v>3604</v>
      </c>
      <c r="K569" s="133">
        <v>6360</v>
      </c>
      <c r="L569" s="134">
        <f>I569+J569+K569</f>
        <v>9964</v>
      </c>
      <c r="M569" s="1748">
        <f>L569/(F569*427)</f>
        <v>0.57231944603797014</v>
      </c>
      <c r="N569" s="1815"/>
    </row>
    <row r="570" spans="1:14" s="533" customFormat="1" ht="14" thickBot="1">
      <c r="A570" s="53" t="s">
        <v>60</v>
      </c>
      <c r="B570" s="1440">
        <f>SUM(B569)</f>
        <v>1175</v>
      </c>
      <c r="C570" s="1609"/>
      <c r="D570" s="1441">
        <f>SUM(D569)</f>
        <v>13285759.897500001</v>
      </c>
      <c r="E570" s="1609"/>
      <c r="F570" s="1440">
        <f>SUM(F569)</f>
        <v>40.772500000000001</v>
      </c>
      <c r="G570" s="1439"/>
      <c r="H570" s="739">
        <f>SUM(H569)</f>
        <v>815.45</v>
      </c>
      <c r="I570" s="136">
        <f>SUM(I569)</f>
        <v>0</v>
      </c>
      <c r="J570" s="136">
        <f>SUM(J569)</f>
        <v>3604</v>
      </c>
      <c r="K570" s="136">
        <f>SUM(K569)</f>
        <v>6360</v>
      </c>
      <c r="L570" s="136">
        <f>SUM(L569)</f>
        <v>9964</v>
      </c>
      <c r="M570" s="1657"/>
      <c r="N570" s="1622"/>
    </row>
    <row r="571" spans="1:14" s="1161" customFormat="1" ht="17" thickBot="1">
      <c r="A571" s="108" t="s">
        <v>50</v>
      </c>
      <c r="B571" s="1457"/>
      <c r="C571" s="1586"/>
      <c r="D571" s="1567"/>
      <c r="E571" s="1586"/>
      <c r="F571" s="1457"/>
      <c r="G571" s="1586"/>
      <c r="H571" s="1142"/>
      <c r="I571" s="161"/>
      <c r="J571" s="161"/>
      <c r="K571" s="161"/>
      <c r="L571" s="162"/>
      <c r="M571" s="1617"/>
      <c r="N571" s="1486"/>
    </row>
    <row r="572" spans="1:14" s="121" customFormat="1">
      <c r="A572" s="33" t="s">
        <v>66</v>
      </c>
      <c r="B572" s="1848">
        <v>0</v>
      </c>
      <c r="C572" s="1930"/>
      <c r="D572" s="1467">
        <f t="shared" ref="D572:D577" si="104">F572*325851</f>
        <v>0</v>
      </c>
      <c r="E572" s="1433"/>
      <c r="F572" s="1902">
        <f>0.0347*B572</f>
        <v>0</v>
      </c>
      <c r="G572" s="1877"/>
      <c r="H572" s="956">
        <f>F572*20</f>
        <v>0</v>
      </c>
      <c r="I572" s="133">
        <v>0</v>
      </c>
      <c r="J572" s="133">
        <v>0</v>
      </c>
      <c r="K572" s="133">
        <v>0</v>
      </c>
      <c r="L572" s="134">
        <v>0</v>
      </c>
      <c r="M572" s="1748">
        <v>0</v>
      </c>
      <c r="N572" s="1815"/>
    </row>
    <row r="573" spans="1:14">
      <c r="A573" s="32" t="s">
        <v>68</v>
      </c>
      <c r="B573" s="1696">
        <v>0</v>
      </c>
      <c r="C573" s="1743"/>
      <c r="D573" s="1431">
        <f t="shared" si="104"/>
        <v>0</v>
      </c>
      <c r="E573" s="1422"/>
      <c r="F573" s="1449">
        <f>0.644*B573</f>
        <v>0</v>
      </c>
      <c r="G573" s="1450"/>
      <c r="H573" s="957">
        <f>F573*5</f>
        <v>0</v>
      </c>
      <c r="I573" s="131">
        <v>0</v>
      </c>
      <c r="J573" s="131">
        <v>0</v>
      </c>
      <c r="K573" s="131">
        <v>0</v>
      </c>
      <c r="L573" s="132">
        <v>0</v>
      </c>
      <c r="M573" s="1758">
        <v>0</v>
      </c>
      <c r="N573" s="1759"/>
    </row>
    <row r="574" spans="1:14">
      <c r="A574" s="34" t="s">
        <v>13</v>
      </c>
      <c r="B574" s="1696">
        <v>0</v>
      </c>
      <c r="C574" s="1743"/>
      <c r="D574" s="1431">
        <f t="shared" si="104"/>
        <v>0</v>
      </c>
      <c r="E574" s="1422"/>
      <c r="F574" s="1449">
        <f>0.0276*B574</f>
        <v>0</v>
      </c>
      <c r="G574" s="1450"/>
      <c r="H574" s="957">
        <f>F574*15</f>
        <v>0</v>
      </c>
      <c r="I574" s="131">
        <v>0</v>
      </c>
      <c r="J574" s="131">
        <v>0</v>
      </c>
      <c r="K574" s="131">
        <v>0</v>
      </c>
      <c r="L574" s="132">
        <f>I574+J574+K574</f>
        <v>0</v>
      </c>
      <c r="M574" s="1758">
        <v>0</v>
      </c>
      <c r="N574" s="1759"/>
    </row>
    <row r="575" spans="1:14">
      <c r="A575" s="35" t="s">
        <v>15</v>
      </c>
      <c r="B575" s="1696">
        <v>0</v>
      </c>
      <c r="C575" s="1743"/>
      <c r="D575" s="1444">
        <f t="shared" si="104"/>
        <v>0</v>
      </c>
      <c r="E575" s="1422"/>
      <c r="F575" s="1871">
        <f>0.1534*B575</f>
        <v>0</v>
      </c>
      <c r="G575" s="1450"/>
      <c r="H575" s="957">
        <f>F575*5</f>
        <v>0</v>
      </c>
      <c r="I575" s="131">
        <v>0</v>
      </c>
      <c r="J575" s="131">
        <v>0</v>
      </c>
      <c r="K575" s="131">
        <v>0</v>
      </c>
      <c r="L575" s="132">
        <f>I575+J575+K575</f>
        <v>0</v>
      </c>
      <c r="M575" s="1758">
        <v>0</v>
      </c>
      <c r="N575" s="1759"/>
    </row>
    <row r="576" spans="1:14">
      <c r="A576" s="35" t="s">
        <v>16</v>
      </c>
      <c r="B576" s="1696">
        <v>0</v>
      </c>
      <c r="C576" s="1743"/>
      <c r="D576" s="1444">
        <f t="shared" si="104"/>
        <v>0</v>
      </c>
      <c r="E576" s="1422"/>
      <c r="F576" s="1871">
        <f>0.004*B576</f>
        <v>0</v>
      </c>
      <c r="G576" s="1450"/>
      <c r="H576" s="957">
        <f>F576*5</f>
        <v>0</v>
      </c>
      <c r="I576" s="131">
        <v>0</v>
      </c>
      <c r="J576" s="131">
        <v>0</v>
      </c>
      <c r="K576" s="131">
        <v>0</v>
      </c>
      <c r="L576" s="132">
        <f>I576+J576+K576</f>
        <v>0</v>
      </c>
      <c r="M576" s="1758">
        <v>0</v>
      </c>
      <c r="N576" s="1759"/>
    </row>
    <row r="577" spans="1:15" ht="14" thickBot="1">
      <c r="A577" s="33" t="s">
        <v>89</v>
      </c>
      <c r="B577" s="1696">
        <v>0</v>
      </c>
      <c r="C577" s="1743"/>
      <c r="D577" s="1444">
        <f t="shared" si="104"/>
        <v>0</v>
      </c>
      <c r="E577" s="1422"/>
      <c r="F577" s="1901">
        <f>0.65*B577</f>
        <v>0</v>
      </c>
      <c r="G577" s="1887"/>
      <c r="H577" s="71">
        <f>F577*10</f>
        <v>0</v>
      </c>
      <c r="I577" s="131">
        <v>0</v>
      </c>
      <c r="J577" s="169">
        <v>0</v>
      </c>
      <c r="K577" s="131">
        <v>0</v>
      </c>
      <c r="L577" s="132">
        <f>I577+J577+K577</f>
        <v>0</v>
      </c>
      <c r="M577" s="1758">
        <v>0</v>
      </c>
      <c r="N577" s="1759"/>
    </row>
    <row r="578" spans="1:15" s="533" customFormat="1" ht="14" thickBot="1">
      <c r="A578" s="53" t="s">
        <v>60</v>
      </c>
      <c r="B578" s="1440">
        <f>SUM(B572:C577)</f>
        <v>0</v>
      </c>
      <c r="C578" s="1609"/>
      <c r="D578" s="1440">
        <f>SUM(D572:E577)</f>
        <v>0</v>
      </c>
      <c r="E578" s="1621"/>
      <c r="F578" s="1441">
        <f>SUM(F572:G577)</f>
        <v>0</v>
      </c>
      <c r="G578" s="1439"/>
      <c r="H578" s="56">
        <f>SUM(H572:H577)</f>
        <v>0</v>
      </c>
      <c r="I578" s="143">
        <f>SUM(I572:I577)</f>
        <v>0</v>
      </c>
      <c r="J578" s="143">
        <f>SUM(J572:J577)</f>
        <v>0</v>
      </c>
      <c r="K578" s="152">
        <f>SUM(K572:K577)</f>
        <v>0</v>
      </c>
      <c r="L578" s="143">
        <f>SUM(L572:L577)</f>
        <v>0</v>
      </c>
      <c r="M578" s="1657"/>
      <c r="N578" s="1622"/>
      <c r="O578" s="746"/>
    </row>
    <row r="579" spans="1:15" s="1161" customFormat="1" ht="17" thickBot="1">
      <c r="A579" s="1183" t="s">
        <v>17</v>
      </c>
      <c r="B579" s="1665">
        <f>B567+B570+B578</f>
        <v>1454</v>
      </c>
      <c r="C579" s="1664"/>
      <c r="D579" s="1612">
        <f>SUM(D578,D567,D570)</f>
        <v>15945323.174400002</v>
      </c>
      <c r="E579" s="1682"/>
      <c r="F579" s="1416">
        <f>SUM(F578,F567,F570)</f>
        <v>48.934399999999997</v>
      </c>
      <c r="G579" s="1415"/>
      <c r="H579" s="1189">
        <f>H567+H570+H578</f>
        <v>949.15600000000006</v>
      </c>
      <c r="I579" s="1188">
        <f>I567+I570+I578</f>
        <v>0</v>
      </c>
      <c r="J579" s="1238">
        <f>J567+J570+J578</f>
        <v>3864</v>
      </c>
      <c r="K579" s="1188">
        <f>K567+K570+K578</f>
        <v>28460</v>
      </c>
      <c r="L579" s="1188">
        <f>L567+L570+L578</f>
        <v>32324</v>
      </c>
      <c r="M579" s="1668"/>
      <c r="N579" s="1669"/>
      <c r="O579" s="1196"/>
    </row>
    <row r="580" spans="1:15">
      <c r="O580" s="5"/>
    </row>
    <row r="581" spans="1:15" ht="19" thickBot="1">
      <c r="A581" s="86"/>
    </row>
    <row r="582" spans="1:15" ht="24" thickBot="1">
      <c r="A582" s="88" t="s">
        <v>135</v>
      </c>
      <c r="B582" s="1751"/>
      <c r="C582" s="1477"/>
      <c r="D582" s="1478"/>
      <c r="E582" s="1479"/>
      <c r="F582" s="1878"/>
      <c r="G582" s="1879"/>
      <c r="H582" s="743"/>
      <c r="I582" s="7"/>
      <c r="J582" s="7"/>
      <c r="K582" s="7"/>
      <c r="L582" s="8"/>
      <c r="M582" s="1764"/>
      <c r="N582" s="1765"/>
    </row>
    <row r="583" spans="1:15" s="1161" customFormat="1" ht="17" thickBot="1">
      <c r="A583" s="108" t="s">
        <v>74</v>
      </c>
      <c r="B583" s="1457"/>
      <c r="C583" s="1586"/>
      <c r="D583" s="1567"/>
      <c r="E583" s="1586"/>
      <c r="F583" s="1619"/>
      <c r="G583" s="1620"/>
      <c r="H583" s="1157"/>
      <c r="I583" s="109"/>
      <c r="J583" s="109"/>
      <c r="K583" s="109"/>
      <c r="L583" s="1141"/>
      <c r="M583" s="1617"/>
      <c r="N583" s="1486"/>
    </row>
    <row r="584" spans="1:15">
      <c r="A584" s="32" t="s">
        <v>62</v>
      </c>
      <c r="B584" s="1696">
        <v>0</v>
      </c>
      <c r="C584" s="1743"/>
      <c r="D584" s="1431">
        <f>F584*325851</f>
        <v>0</v>
      </c>
      <c r="E584" s="1422"/>
      <c r="F584" s="1871">
        <f>0.0347*B584</f>
        <v>0</v>
      </c>
      <c r="G584" s="1450"/>
      <c r="H584" s="957">
        <f>F584*20</f>
        <v>0</v>
      </c>
      <c r="I584" s="131">
        <v>0</v>
      </c>
      <c r="J584" s="131">
        <v>0</v>
      </c>
      <c r="K584" s="131">
        <v>0</v>
      </c>
      <c r="L584" s="132">
        <f>I584+J584+K584</f>
        <v>0</v>
      </c>
      <c r="M584" s="1758">
        <v>0</v>
      </c>
      <c r="N584" s="1759"/>
    </row>
    <row r="585" spans="1:15">
      <c r="A585" s="32" t="s">
        <v>63</v>
      </c>
      <c r="B585" s="1696">
        <v>7</v>
      </c>
      <c r="C585" s="1743"/>
      <c r="D585" s="1431">
        <f>F585*325851</f>
        <v>79149.207900000009</v>
      </c>
      <c r="E585" s="1422"/>
      <c r="F585" s="1871">
        <f>0.0347*B585</f>
        <v>0.2429</v>
      </c>
      <c r="G585" s="1450"/>
      <c r="H585" s="957">
        <f>F585*20</f>
        <v>4.8580000000000005</v>
      </c>
      <c r="I585" s="131">
        <v>0</v>
      </c>
      <c r="J585" s="131">
        <f>B585*11</f>
        <v>77</v>
      </c>
      <c r="K585" s="131">
        <f>B585*60</f>
        <v>420</v>
      </c>
      <c r="L585" s="132">
        <f>I585+J585+K585</f>
        <v>497</v>
      </c>
      <c r="M585" s="1758">
        <f>L585/(F585*427)</f>
        <v>4.7918255505537592</v>
      </c>
      <c r="N585" s="1759"/>
    </row>
    <row r="586" spans="1:15">
      <c r="A586" s="32" t="s">
        <v>64</v>
      </c>
      <c r="B586" s="1696">
        <v>79</v>
      </c>
      <c r="C586" s="1743"/>
      <c r="D586" s="1431">
        <f>F586*325851</f>
        <v>893255.34630000009</v>
      </c>
      <c r="E586" s="1422"/>
      <c r="F586" s="1871">
        <f>0.0347*B586</f>
        <v>2.7413000000000003</v>
      </c>
      <c r="G586" s="1450"/>
      <c r="H586" s="957">
        <f>F586*20</f>
        <v>54.826000000000008</v>
      </c>
      <c r="I586" s="131">
        <v>0</v>
      </c>
      <c r="J586" s="131">
        <f>B586*1</f>
        <v>79</v>
      </c>
      <c r="K586" s="131">
        <f>B586*60</f>
        <v>4740</v>
      </c>
      <c r="L586" s="132">
        <f>I586+J586+K586</f>
        <v>4819</v>
      </c>
      <c r="M586" s="1758">
        <f>L586/(F586*427)</f>
        <v>4.1169205434335119</v>
      </c>
      <c r="N586" s="1759"/>
    </row>
    <row r="587" spans="1:15">
      <c r="A587" s="34" t="s">
        <v>13</v>
      </c>
      <c r="B587" s="1696">
        <v>307</v>
      </c>
      <c r="C587" s="1743"/>
      <c r="D587" s="1431">
        <f>F587*325851</f>
        <v>2761000.6932000001</v>
      </c>
      <c r="E587" s="1422"/>
      <c r="F587" s="1871">
        <f>0.0276*B587</f>
        <v>8.4732000000000003</v>
      </c>
      <c r="G587" s="1450"/>
      <c r="H587" s="957">
        <f>F587*15</f>
        <v>127.098</v>
      </c>
      <c r="I587" s="131">
        <v>0</v>
      </c>
      <c r="J587" s="131">
        <f>B587*1</f>
        <v>307</v>
      </c>
      <c r="K587" s="131">
        <f>B587*110</f>
        <v>33770</v>
      </c>
      <c r="L587" s="132">
        <f>I587+J587+K587</f>
        <v>34077</v>
      </c>
      <c r="M587" s="1758">
        <f>L587/(F587*427)</f>
        <v>9.4185928113226769</v>
      </c>
      <c r="N587" s="1759"/>
    </row>
    <row r="588" spans="1:15" ht="14" thickBot="1">
      <c r="A588" s="35" t="s">
        <v>14</v>
      </c>
      <c r="B588" s="1696">
        <v>6</v>
      </c>
      <c r="C588" s="1743"/>
      <c r="D588" s="1431">
        <f>46.8*B588*365</f>
        <v>102491.99999999999</v>
      </c>
      <c r="E588" s="1422"/>
      <c r="F588" s="1449">
        <f>D588/325900</f>
        <v>0.31448910708806377</v>
      </c>
      <c r="G588" s="1450"/>
      <c r="H588" s="957">
        <f>F588*5</f>
        <v>1.5724455354403188</v>
      </c>
      <c r="I588" s="131">
        <v>0</v>
      </c>
      <c r="J588" s="131">
        <f>B588*53</f>
        <v>318</v>
      </c>
      <c r="K588" s="131">
        <v>0</v>
      </c>
      <c r="L588" s="132">
        <f>I588+J588+K588</f>
        <v>318</v>
      </c>
      <c r="M588" s="1758">
        <f>L588/(F588*427)</f>
        <v>2.3680651010540976</v>
      </c>
      <c r="N588" s="1759"/>
    </row>
    <row r="589" spans="1:15" s="533" customFormat="1" ht="14" thickBot="1">
      <c r="A589" s="53" t="s">
        <v>60</v>
      </c>
      <c r="B589" s="1440">
        <f>SUM(B584:C588)</f>
        <v>399</v>
      </c>
      <c r="C589" s="1609"/>
      <c r="D589" s="1441">
        <f>SUM(D584:E588)</f>
        <v>3835897.2474000002</v>
      </c>
      <c r="E589" s="1609"/>
      <c r="F589" s="1440">
        <f>SUM(F584:G588)</f>
        <v>11.771889107088064</v>
      </c>
      <c r="G589" s="1439"/>
      <c r="H589" s="739">
        <f>SUM(H584:H588)</f>
        <v>188.35444553544033</v>
      </c>
      <c r="I589" s="136">
        <f>SUM(I584:I588)</f>
        <v>0</v>
      </c>
      <c r="J589" s="136">
        <f>SUM(J584:J588)</f>
        <v>781</v>
      </c>
      <c r="K589" s="136">
        <f>SUM(K584:K588)</f>
        <v>38930</v>
      </c>
      <c r="L589" s="136">
        <f>SUM(L584:L588)</f>
        <v>39711</v>
      </c>
      <c r="M589" s="1657"/>
      <c r="N589" s="1622"/>
    </row>
    <row r="590" spans="1:15" s="1161" customFormat="1" ht="17" thickBot="1">
      <c r="A590" s="1246" t="s">
        <v>147</v>
      </c>
      <c r="B590" s="1457"/>
      <c r="C590" s="1586"/>
      <c r="D590" s="1567"/>
      <c r="E590" s="1586"/>
      <c r="F590" s="1457"/>
      <c r="G590" s="1586"/>
      <c r="H590" s="1142"/>
      <c r="I590" s="161"/>
      <c r="J590" s="161"/>
      <c r="K590" s="161"/>
      <c r="L590" s="162"/>
      <c r="M590" s="1617"/>
      <c r="N590" s="1486"/>
    </row>
    <row r="591" spans="1:15" ht="14" thickBot="1">
      <c r="A591" s="34" t="s">
        <v>11</v>
      </c>
      <c r="B591" s="1696">
        <v>530</v>
      </c>
      <c r="C591" s="1743"/>
      <c r="D591" s="1431">
        <f>F591*325851</f>
        <v>5992725.7410000004</v>
      </c>
      <c r="E591" s="1422"/>
      <c r="F591" s="1449">
        <f>0.0347*B591</f>
        <v>18.391000000000002</v>
      </c>
      <c r="G591" s="1450"/>
      <c r="H591" s="957">
        <f>F591*20</f>
        <v>367.82000000000005</v>
      </c>
      <c r="I591" s="131">
        <v>0</v>
      </c>
      <c r="J591" s="131">
        <f>B591*105</f>
        <v>55650</v>
      </c>
      <c r="K591" s="131">
        <f>B591*60</f>
        <v>31800</v>
      </c>
      <c r="L591" s="132">
        <f>I591+J591+K591</f>
        <v>87450</v>
      </c>
      <c r="M591" s="1758">
        <f>L591/(F591*427)</f>
        <v>11.135932617484089</v>
      </c>
      <c r="N591" s="1759"/>
    </row>
    <row r="592" spans="1:15" s="533" customFormat="1" ht="14" thickBot="1">
      <c r="A592" s="53" t="s">
        <v>60</v>
      </c>
      <c r="B592" s="1440">
        <f>SUM(B591)</f>
        <v>530</v>
      </c>
      <c r="C592" s="1609"/>
      <c r="D592" s="1441">
        <f>SUM(D591)</f>
        <v>5992725.7410000004</v>
      </c>
      <c r="E592" s="1609"/>
      <c r="F592" s="1440">
        <f>SUM(F591)</f>
        <v>18.391000000000002</v>
      </c>
      <c r="G592" s="1439"/>
      <c r="H592" s="739">
        <f>SUM(H591)</f>
        <v>367.82000000000005</v>
      </c>
      <c r="I592" s="136">
        <f>SUM(I591)</f>
        <v>0</v>
      </c>
      <c r="J592" s="136">
        <f>SUM(J591)</f>
        <v>55650</v>
      </c>
      <c r="K592" s="136">
        <f>SUM(K591)</f>
        <v>31800</v>
      </c>
      <c r="L592" s="136">
        <f>SUM(L591)</f>
        <v>87450</v>
      </c>
      <c r="M592" s="1657"/>
      <c r="N592" s="1622"/>
    </row>
    <row r="593" spans="1:14" s="1161" customFormat="1" ht="17" thickBot="1">
      <c r="A593" s="108" t="s">
        <v>50</v>
      </c>
      <c r="B593" s="1457"/>
      <c r="C593" s="1586"/>
      <c r="D593" s="1567"/>
      <c r="E593" s="1586"/>
      <c r="F593" s="1457"/>
      <c r="G593" s="1586"/>
      <c r="H593" s="1142"/>
      <c r="I593" s="161"/>
      <c r="J593" s="161"/>
      <c r="K593" s="161"/>
      <c r="L593" s="162"/>
      <c r="M593" s="1617"/>
      <c r="N593" s="1486"/>
    </row>
    <row r="594" spans="1:14">
      <c r="A594" s="32" t="s">
        <v>66</v>
      </c>
      <c r="B594" s="1696">
        <v>0</v>
      </c>
      <c r="C594" s="1743"/>
      <c r="D594" s="1431">
        <f t="shared" ref="D594:D599" si="105">F594*325851</f>
        <v>0</v>
      </c>
      <c r="E594" s="1422"/>
      <c r="F594" s="1449">
        <f>0.0347*B594</f>
        <v>0</v>
      </c>
      <c r="G594" s="1450"/>
      <c r="H594" s="957">
        <f>F594*20</f>
        <v>0</v>
      </c>
      <c r="I594" s="131">
        <v>0</v>
      </c>
      <c r="J594" s="131">
        <v>0</v>
      </c>
      <c r="K594" s="131">
        <v>0</v>
      </c>
      <c r="L594" s="132">
        <v>0</v>
      </c>
      <c r="M594" s="1758">
        <v>0</v>
      </c>
      <c r="N594" s="1759"/>
    </row>
    <row r="595" spans="1:14">
      <c r="A595" s="32" t="s">
        <v>68</v>
      </c>
      <c r="B595" s="1696">
        <v>0</v>
      </c>
      <c r="C595" s="1743"/>
      <c r="D595" s="1431">
        <f t="shared" si="105"/>
        <v>0</v>
      </c>
      <c r="E595" s="1422"/>
      <c r="F595" s="1449">
        <f>0.644*B595</f>
        <v>0</v>
      </c>
      <c r="G595" s="1450"/>
      <c r="H595" s="957">
        <f>F595*5</f>
        <v>0</v>
      </c>
      <c r="I595" s="131">
        <v>0</v>
      </c>
      <c r="J595" s="131">
        <v>0</v>
      </c>
      <c r="K595" s="131">
        <v>0</v>
      </c>
      <c r="L595" s="132">
        <v>0</v>
      </c>
      <c r="M595" s="1758">
        <v>0</v>
      </c>
      <c r="N595" s="1759"/>
    </row>
    <row r="596" spans="1:14">
      <c r="A596" s="34" t="s">
        <v>13</v>
      </c>
      <c r="B596" s="1696">
        <v>0</v>
      </c>
      <c r="C596" s="1743"/>
      <c r="D596" s="1431">
        <f t="shared" si="105"/>
        <v>0</v>
      </c>
      <c r="E596" s="1422"/>
      <c r="F596" s="1449">
        <f>0.0276*B596</f>
        <v>0</v>
      </c>
      <c r="G596" s="1450"/>
      <c r="H596" s="957">
        <f>F596*15</f>
        <v>0</v>
      </c>
      <c r="I596" s="131">
        <v>0</v>
      </c>
      <c r="J596" s="131">
        <v>0</v>
      </c>
      <c r="K596" s="131">
        <v>0</v>
      </c>
      <c r="L596" s="132">
        <f>I596+J596+K596</f>
        <v>0</v>
      </c>
      <c r="M596" s="1758">
        <v>0</v>
      </c>
      <c r="N596" s="1759"/>
    </row>
    <row r="597" spans="1:14">
      <c r="A597" s="35" t="s">
        <v>15</v>
      </c>
      <c r="B597" s="1696">
        <v>0</v>
      </c>
      <c r="C597" s="1743"/>
      <c r="D597" s="1431">
        <f t="shared" si="105"/>
        <v>0</v>
      </c>
      <c r="E597" s="1422"/>
      <c r="F597" s="1449">
        <f>0.1534*B597</f>
        <v>0</v>
      </c>
      <c r="G597" s="1450"/>
      <c r="H597" s="957">
        <f>F597*5</f>
        <v>0</v>
      </c>
      <c r="I597" s="131">
        <v>0</v>
      </c>
      <c r="J597" s="131">
        <v>0</v>
      </c>
      <c r="K597" s="131">
        <v>0</v>
      </c>
      <c r="L597" s="132">
        <f>I597+J597+K597</f>
        <v>0</v>
      </c>
      <c r="M597" s="1758">
        <v>0</v>
      </c>
      <c r="N597" s="1759"/>
    </row>
    <row r="598" spans="1:14">
      <c r="A598" s="35" t="s">
        <v>16</v>
      </c>
      <c r="B598" s="1696">
        <v>0</v>
      </c>
      <c r="C598" s="1743"/>
      <c r="D598" s="1431">
        <f t="shared" si="105"/>
        <v>0</v>
      </c>
      <c r="E598" s="1422"/>
      <c r="F598" s="1449">
        <f>0.004*B598</f>
        <v>0</v>
      </c>
      <c r="G598" s="1450"/>
      <c r="H598" s="957">
        <f>F598*5</f>
        <v>0</v>
      </c>
      <c r="I598" s="131">
        <v>0</v>
      </c>
      <c r="J598" s="131">
        <v>0</v>
      </c>
      <c r="K598" s="131">
        <v>0</v>
      </c>
      <c r="L598" s="132">
        <f>I598+J598+K598</f>
        <v>0</v>
      </c>
      <c r="M598" s="1758">
        <v>0</v>
      </c>
      <c r="N598" s="1759"/>
    </row>
    <row r="599" spans="1:14" ht="14" thickBot="1">
      <c r="A599" s="32" t="s">
        <v>69</v>
      </c>
      <c r="B599" s="1696">
        <v>0</v>
      </c>
      <c r="C599" s="1743"/>
      <c r="D599" s="1431">
        <f t="shared" si="105"/>
        <v>0</v>
      </c>
      <c r="E599" s="1422"/>
      <c r="F599" s="1449">
        <f>3.2*B599</f>
        <v>0</v>
      </c>
      <c r="G599" s="1450"/>
      <c r="H599" s="957">
        <f>F599*5</f>
        <v>0</v>
      </c>
      <c r="I599" s="131">
        <v>0</v>
      </c>
      <c r="J599" s="131">
        <v>0</v>
      </c>
      <c r="K599" s="131">
        <v>0</v>
      </c>
      <c r="L599" s="132">
        <v>0</v>
      </c>
      <c r="M599" s="1758">
        <v>0</v>
      </c>
      <c r="N599" s="1759"/>
    </row>
    <row r="600" spans="1:14" s="533" customFormat="1" ht="14" thickBot="1">
      <c r="A600" s="53" t="s">
        <v>60</v>
      </c>
      <c r="B600" s="1440">
        <f>SUM(B594:C599)</f>
        <v>0</v>
      </c>
      <c r="C600" s="1609"/>
      <c r="D600" s="1441">
        <f>SUM(D593:E599)</f>
        <v>0</v>
      </c>
      <c r="E600" s="1609"/>
      <c r="F600" s="1440">
        <f>SUM(F593:G599)</f>
        <v>0</v>
      </c>
      <c r="G600" s="1440"/>
      <c r="H600" s="740">
        <f>SUM(H594:H599)</f>
        <v>0</v>
      </c>
      <c r="I600" s="378">
        <f>SUM(I594:I599)</f>
        <v>0</v>
      </c>
      <c r="J600" s="378">
        <f>SUM(J594:J599)</f>
        <v>0</v>
      </c>
      <c r="K600" s="143">
        <f>SUM(K594:K599)</f>
        <v>0</v>
      </c>
      <c r="L600" s="152">
        <f>SUM(L594:L599)</f>
        <v>0</v>
      </c>
      <c r="M600" s="1657"/>
      <c r="N600" s="1622"/>
    </row>
    <row r="601" spans="1:14" s="1161" customFormat="1" ht="17" thickBot="1">
      <c r="A601" s="1163" t="s">
        <v>17</v>
      </c>
      <c r="B601" s="1663">
        <f>B600+B589+B592</f>
        <v>929</v>
      </c>
      <c r="C601" s="1684"/>
      <c r="D601" s="1416">
        <f>SUM(D600,D592,D589)</f>
        <v>9828622.9884000011</v>
      </c>
      <c r="E601" s="1682"/>
      <c r="F601" s="1663">
        <f>SUM(F600,F592,F589)</f>
        <v>30.162889107088066</v>
      </c>
      <c r="G601" s="1664"/>
      <c r="H601" s="1187">
        <f>H589+H592+H600</f>
        <v>556.17444553544033</v>
      </c>
      <c r="I601" s="1188">
        <f>I589+I592+I600</f>
        <v>0</v>
      </c>
      <c r="J601" s="1188">
        <f>J589+J592+J600</f>
        <v>56431</v>
      </c>
      <c r="K601" s="1188">
        <f>K589+K592+K600</f>
        <v>70730</v>
      </c>
      <c r="L601" s="1188">
        <f>L589+L592+L600</f>
        <v>127161</v>
      </c>
      <c r="M601" s="1668"/>
      <c r="N601" s="1669"/>
    </row>
    <row r="602" spans="1:14">
      <c r="F602" s="10"/>
      <c r="G602" s="10"/>
      <c r="H602" s="10"/>
    </row>
    <row r="603" spans="1:14" ht="15">
      <c r="A603" s="9" t="s">
        <v>18</v>
      </c>
      <c r="B603" s="1419" t="s">
        <v>59</v>
      </c>
      <c r="C603" s="1489"/>
      <c r="D603" s="1489"/>
      <c r="E603" s="1733"/>
      <c r="F603" s="10"/>
      <c r="G603" s="10"/>
      <c r="H603" s="10"/>
    </row>
    <row r="604" spans="1:14">
      <c r="B604" s="1420" t="s">
        <v>19</v>
      </c>
      <c r="C604" s="1420"/>
      <c r="D604" s="1420"/>
      <c r="E604" s="1420"/>
      <c r="F604" s="10"/>
      <c r="G604" s="10"/>
      <c r="H604" s="10"/>
    </row>
    <row r="605" spans="1:14" ht="14" thickBot="1">
      <c r="B605" s="820"/>
      <c r="C605" s="820"/>
      <c r="D605" s="820"/>
      <c r="E605" s="820"/>
      <c r="F605" s="10"/>
      <c r="G605" s="10"/>
      <c r="H605" s="10"/>
    </row>
    <row r="606" spans="1:14" s="363" customFormat="1" ht="16">
      <c r="A606" s="98"/>
      <c r="B606" s="99"/>
      <c r="C606" s="99"/>
      <c r="D606" s="99"/>
      <c r="E606" s="99"/>
      <c r="F606" s="100"/>
      <c r="G606" s="100"/>
      <c r="H606" s="100"/>
      <c r="I606" s="1468" t="s">
        <v>0</v>
      </c>
      <c r="J606" s="1468"/>
      <c r="K606" s="1468"/>
      <c r="L606" s="1468"/>
      <c r="M606" s="99"/>
      <c r="N606" s="101"/>
    </row>
    <row r="607" spans="1:14" ht="16">
      <c r="A607" s="97"/>
      <c r="B607" s="1469" t="s">
        <v>1</v>
      </c>
      <c r="C607" s="1469"/>
      <c r="D607" s="1469" t="s">
        <v>2</v>
      </c>
      <c r="E607" s="1469"/>
      <c r="F607" s="1863" t="s">
        <v>3</v>
      </c>
      <c r="G607" s="1863"/>
      <c r="H607" s="827" t="s">
        <v>3</v>
      </c>
      <c r="I607" s="127" t="s">
        <v>195</v>
      </c>
      <c r="J607" s="102"/>
      <c r="K607" s="102"/>
      <c r="L607" s="128"/>
      <c r="M607" s="1469" t="s">
        <v>4</v>
      </c>
      <c r="N607" s="1526"/>
    </row>
    <row r="608" spans="1:14" ht="19" thickBot="1">
      <c r="A608" s="103" t="s">
        <v>5</v>
      </c>
      <c r="B608" s="1473" t="s">
        <v>6</v>
      </c>
      <c r="C608" s="1473"/>
      <c r="D608" s="1473" t="s">
        <v>7</v>
      </c>
      <c r="E608" s="1473"/>
      <c r="F608" s="1864" t="s">
        <v>7</v>
      </c>
      <c r="G608" s="1864"/>
      <c r="H608" s="828" t="s">
        <v>58</v>
      </c>
      <c r="I608" s="797" t="s">
        <v>196</v>
      </c>
      <c r="J608" s="795" t="s">
        <v>8</v>
      </c>
      <c r="K608" s="795" t="s">
        <v>9</v>
      </c>
      <c r="L608" s="401" t="s">
        <v>10</v>
      </c>
      <c r="M608" s="1473" t="s">
        <v>145</v>
      </c>
      <c r="N608" s="1475"/>
    </row>
    <row r="609" spans="1:14" ht="24" thickBot="1">
      <c r="A609" s="88" t="s">
        <v>136</v>
      </c>
      <c r="B609" s="1751"/>
      <c r="C609" s="1477"/>
      <c r="D609" s="1478"/>
      <c r="E609" s="1479"/>
      <c r="F609" s="1878"/>
      <c r="G609" s="1879"/>
      <c r="H609" s="829"/>
      <c r="I609" s="7"/>
      <c r="J609" s="7"/>
      <c r="K609" s="7"/>
      <c r="L609" s="8"/>
      <c r="M609" s="1764"/>
      <c r="N609" s="1765"/>
    </row>
    <row r="610" spans="1:14" s="1161" customFormat="1" ht="17" thickBot="1">
      <c r="A610" s="108" t="s">
        <v>74</v>
      </c>
      <c r="B610" s="1457"/>
      <c r="C610" s="1586"/>
      <c r="D610" s="1567"/>
      <c r="E610" s="1586"/>
      <c r="F610" s="1619"/>
      <c r="G610" s="1620"/>
      <c r="H610" s="1157"/>
      <c r="I610" s="109"/>
      <c r="J610" s="109"/>
      <c r="K610" s="109"/>
      <c r="L610" s="1141"/>
      <c r="M610" s="1617"/>
      <c r="N610" s="1486"/>
    </row>
    <row r="611" spans="1:14">
      <c r="A611" s="32" t="s">
        <v>62</v>
      </c>
      <c r="B611" s="1696">
        <v>0</v>
      </c>
      <c r="C611" s="1743"/>
      <c r="D611" s="1431">
        <f>F611*325851</f>
        <v>0</v>
      </c>
      <c r="E611" s="1422"/>
      <c r="F611" s="1871">
        <f>0.0347*B611</f>
        <v>0</v>
      </c>
      <c r="G611" s="1450"/>
      <c r="H611" s="957">
        <f>F611*20</f>
        <v>0</v>
      </c>
      <c r="I611" s="131">
        <v>0</v>
      </c>
      <c r="J611" s="131">
        <v>0</v>
      </c>
      <c r="K611" s="131">
        <v>0</v>
      </c>
      <c r="L611" s="132">
        <f>I611+J611+K611</f>
        <v>0</v>
      </c>
      <c r="M611" s="1788">
        <v>0</v>
      </c>
      <c r="N611" s="1789"/>
    </row>
    <row r="612" spans="1:14">
      <c r="A612" s="32" t="s">
        <v>63</v>
      </c>
      <c r="B612" s="1696">
        <v>3</v>
      </c>
      <c r="C612" s="1743"/>
      <c r="D612" s="1431">
        <f>F612*325851</f>
        <v>33921.089099999997</v>
      </c>
      <c r="E612" s="1422"/>
      <c r="F612" s="1871">
        <f>0.0347*B612</f>
        <v>0.1041</v>
      </c>
      <c r="G612" s="1450"/>
      <c r="H612" s="957">
        <f>F612*20</f>
        <v>2.0819999999999999</v>
      </c>
      <c r="I612" s="131">
        <v>0</v>
      </c>
      <c r="J612" s="131">
        <v>33</v>
      </c>
      <c r="K612" s="131">
        <v>180</v>
      </c>
      <c r="L612" s="132">
        <f>I612+J612+K612</f>
        <v>213</v>
      </c>
      <c r="M612" s="1788">
        <v>5.0999999999999996</v>
      </c>
      <c r="N612" s="1789"/>
    </row>
    <row r="613" spans="1:14">
      <c r="A613" s="32" t="s">
        <v>64</v>
      </c>
      <c r="B613" s="1696">
        <v>189</v>
      </c>
      <c r="C613" s="1743"/>
      <c r="D613" s="1431">
        <f>F613*325851</f>
        <v>2137028.6132999999</v>
      </c>
      <c r="E613" s="1422"/>
      <c r="F613" s="1871">
        <f>0.0347*B613</f>
        <v>6.5583</v>
      </c>
      <c r="G613" s="1450"/>
      <c r="H613" s="957">
        <f>F613*20</f>
        <v>131.166</v>
      </c>
      <c r="I613" s="131">
        <v>0</v>
      </c>
      <c r="J613" s="131">
        <v>189</v>
      </c>
      <c r="K613" s="131">
        <v>11340</v>
      </c>
      <c r="L613" s="132">
        <f>I613+J613+K613</f>
        <v>11529</v>
      </c>
      <c r="M613" s="1788">
        <v>4.5999999999999996</v>
      </c>
      <c r="N613" s="1789"/>
    </row>
    <row r="614" spans="1:14">
      <c r="A614" s="34" t="s">
        <v>13</v>
      </c>
      <c r="B614" s="1696">
        <v>233</v>
      </c>
      <c r="C614" s="1743"/>
      <c r="D614" s="1431">
        <f>F614*325851</f>
        <v>2095482.6107999999</v>
      </c>
      <c r="E614" s="1422"/>
      <c r="F614" s="1871">
        <f>0.0276*B614</f>
        <v>6.4307999999999996</v>
      </c>
      <c r="G614" s="1450"/>
      <c r="H614" s="957">
        <f>F614*15</f>
        <v>96.461999999999989</v>
      </c>
      <c r="I614" s="131">
        <v>0</v>
      </c>
      <c r="J614" s="131">
        <v>233</v>
      </c>
      <c r="K614" s="131">
        <v>25630</v>
      </c>
      <c r="L614" s="132">
        <f>I614+J614+K614</f>
        <v>25863</v>
      </c>
      <c r="M614" s="1788">
        <v>5.7</v>
      </c>
      <c r="N614" s="1789"/>
    </row>
    <row r="615" spans="1:14" ht="14" thickBot="1">
      <c r="A615" s="35" t="s">
        <v>14</v>
      </c>
      <c r="B615" s="1696">
        <v>21</v>
      </c>
      <c r="C615" s="1743"/>
      <c r="D615" s="1431">
        <v>802854</v>
      </c>
      <c r="E615" s="1422"/>
      <c r="F615" s="1449">
        <v>2.46</v>
      </c>
      <c r="G615" s="1450"/>
      <c r="H615" s="957">
        <f>F615*5</f>
        <v>12.3</v>
      </c>
      <c r="I615" s="131">
        <v>0</v>
      </c>
      <c r="J615" s="131">
        <v>1113</v>
      </c>
      <c r="K615" s="131">
        <v>0</v>
      </c>
      <c r="L615" s="132">
        <f>I615+J615+K615</f>
        <v>1113</v>
      </c>
      <c r="M615" s="1788">
        <v>2.4</v>
      </c>
      <c r="N615" s="1789"/>
    </row>
    <row r="616" spans="1:14" s="533" customFormat="1" ht="14" thickBot="1">
      <c r="A616" s="53" t="s">
        <v>60</v>
      </c>
      <c r="B616" s="1440">
        <f>SUM(B611:C615)</f>
        <v>446</v>
      </c>
      <c r="C616" s="1609"/>
      <c r="D616" s="1441">
        <f>SUM(D611:E615)</f>
        <v>5069286.3131999997</v>
      </c>
      <c r="E616" s="1609"/>
      <c r="F616" s="1440">
        <f>SUM(F611:G615)</f>
        <v>15.5532</v>
      </c>
      <c r="G616" s="1439"/>
      <c r="H616" s="619">
        <f>SUM(H611:H615)</f>
        <v>242.01</v>
      </c>
      <c r="I616" s="136">
        <f>SUM(I611:I615)</f>
        <v>0</v>
      </c>
      <c r="J616" s="136">
        <f>SUM(J611:J615)</f>
        <v>1568</v>
      </c>
      <c r="K616" s="136">
        <f>SUM(K611:K615)</f>
        <v>37150</v>
      </c>
      <c r="L616" s="136">
        <f>SUM(L611:L615)</f>
        <v>38718</v>
      </c>
      <c r="M616" s="1657"/>
      <c r="N616" s="1622"/>
    </row>
    <row r="617" spans="1:14" s="1161" customFormat="1" ht="17" thickBot="1">
      <c r="A617" s="1246" t="s">
        <v>147</v>
      </c>
      <c r="B617" s="1457"/>
      <c r="C617" s="1586"/>
      <c r="D617" s="1567"/>
      <c r="E617" s="1586"/>
      <c r="F617" s="1457"/>
      <c r="G617" s="1586"/>
      <c r="H617" s="1142"/>
      <c r="I617" s="161"/>
      <c r="J617" s="161"/>
      <c r="K617" s="161"/>
      <c r="L617" s="162"/>
      <c r="M617" s="1617"/>
      <c r="N617" s="1486"/>
    </row>
    <row r="618" spans="1:14" ht="14" thickBot="1">
      <c r="A618" s="34" t="s">
        <v>11</v>
      </c>
      <c r="B618" s="1696">
        <v>25</v>
      </c>
      <c r="C618" s="1743"/>
      <c r="D618" s="1431">
        <f>F618*325851</f>
        <v>282675.74249999999</v>
      </c>
      <c r="E618" s="1422"/>
      <c r="F618" s="1449">
        <f>0.0347*B618</f>
        <v>0.86750000000000005</v>
      </c>
      <c r="G618" s="1450"/>
      <c r="H618" s="957">
        <f>F618*20</f>
        <v>17.350000000000001</v>
      </c>
      <c r="I618" s="131">
        <v>0</v>
      </c>
      <c r="J618" s="131">
        <v>850</v>
      </c>
      <c r="K618" s="131">
        <v>1500</v>
      </c>
      <c r="L618" s="132">
        <f>I618+J618+K618</f>
        <v>2350</v>
      </c>
      <c r="M618" s="1788">
        <v>4.3</v>
      </c>
      <c r="N618" s="1789"/>
    </row>
    <row r="619" spans="1:14" s="533" customFormat="1" ht="14" thickBot="1">
      <c r="A619" s="53" t="s">
        <v>60</v>
      </c>
      <c r="B619" s="1440">
        <f>SUM(B618)</f>
        <v>25</v>
      </c>
      <c r="C619" s="1439"/>
      <c r="D619" s="1441">
        <f>SUM(D618)</f>
        <v>282675.74249999999</v>
      </c>
      <c r="E619" s="1439"/>
      <c r="F619" s="1440">
        <f>SUM(F618)</f>
        <v>0.86750000000000005</v>
      </c>
      <c r="G619" s="1439"/>
      <c r="H619" s="619">
        <f>SUM(H618)</f>
        <v>17.350000000000001</v>
      </c>
      <c r="I619" s="136">
        <f>SUM(I618)</f>
        <v>0</v>
      </c>
      <c r="J619" s="136">
        <f>SUM(J618)</f>
        <v>850</v>
      </c>
      <c r="K619" s="136">
        <f>SUM(K618)</f>
        <v>1500</v>
      </c>
      <c r="L619" s="136">
        <f>SUM(L618)</f>
        <v>2350</v>
      </c>
      <c r="M619" s="1657"/>
      <c r="N619" s="1790"/>
    </row>
    <row r="620" spans="1:14" s="1161" customFormat="1" ht="17" thickBot="1">
      <c r="A620" s="108" t="s">
        <v>50</v>
      </c>
      <c r="B620" s="1457"/>
      <c r="C620" s="1586"/>
      <c r="D620" s="1567"/>
      <c r="E620" s="1586"/>
      <c r="F620" s="1457"/>
      <c r="G620" s="1586"/>
      <c r="H620" s="1142"/>
      <c r="I620" s="161"/>
      <c r="J620" s="161"/>
      <c r="K620" s="161"/>
      <c r="L620" s="162"/>
      <c r="M620" s="1617"/>
      <c r="N620" s="1486"/>
    </row>
    <row r="621" spans="1:14">
      <c r="A621" s="34" t="s">
        <v>13</v>
      </c>
      <c r="B621" s="1696">
        <v>0</v>
      </c>
      <c r="C621" s="1743"/>
      <c r="D621" s="1431">
        <f>F621*325851</f>
        <v>0</v>
      </c>
      <c r="E621" s="1422"/>
      <c r="F621" s="1449">
        <f>0.0276*B621</f>
        <v>0</v>
      </c>
      <c r="G621" s="1450"/>
      <c r="H621" s="957">
        <f>F621*15</f>
        <v>0</v>
      </c>
      <c r="I621" s="131">
        <v>0</v>
      </c>
      <c r="J621" s="131">
        <v>0</v>
      </c>
      <c r="K621" s="131">
        <v>0</v>
      </c>
      <c r="L621" s="132">
        <f>I621+J621+K621</f>
        <v>0</v>
      </c>
      <c r="M621" s="1788">
        <v>0</v>
      </c>
      <c r="N621" s="1789"/>
    </row>
    <row r="622" spans="1:14">
      <c r="A622" s="35" t="s">
        <v>70</v>
      </c>
      <c r="B622" s="1696">
        <v>19</v>
      </c>
      <c r="C622" s="1743"/>
      <c r="D622" s="1431">
        <f>F622*325851</f>
        <v>949725.32460000005</v>
      </c>
      <c r="E622" s="1422"/>
      <c r="F622" s="1449">
        <f>0.1534*B622</f>
        <v>2.9146000000000001</v>
      </c>
      <c r="G622" s="1450"/>
      <c r="H622" s="957">
        <f>F622*5</f>
        <v>14.573</v>
      </c>
      <c r="I622" s="131">
        <v>0</v>
      </c>
      <c r="J622" s="131">
        <v>1900</v>
      </c>
      <c r="K622" s="131">
        <v>1900</v>
      </c>
      <c r="L622" s="132">
        <f>I622+J622+K622</f>
        <v>3800</v>
      </c>
      <c r="M622" s="1788">
        <v>3.1</v>
      </c>
      <c r="N622" s="1789"/>
    </row>
    <row r="623" spans="1:14">
      <c r="A623" s="35" t="s">
        <v>71</v>
      </c>
      <c r="B623" s="1696">
        <v>0</v>
      </c>
      <c r="C623" s="1743"/>
      <c r="D623" s="1431">
        <f>F623*325851</f>
        <v>0</v>
      </c>
      <c r="E623" s="1422"/>
      <c r="F623" s="1449">
        <f>0.1534*B623</f>
        <v>0</v>
      </c>
      <c r="G623" s="1450"/>
      <c r="H623" s="957">
        <f>F623*5</f>
        <v>0</v>
      </c>
      <c r="I623" s="131">
        <v>0</v>
      </c>
      <c r="J623" s="131">
        <v>0</v>
      </c>
      <c r="K623" s="131">
        <v>0</v>
      </c>
      <c r="L623" s="132">
        <f>I623+J623+K623</f>
        <v>0</v>
      </c>
      <c r="M623" s="1788">
        <v>0</v>
      </c>
      <c r="N623" s="1789"/>
    </row>
    <row r="624" spans="1:14" ht="14" thickBot="1">
      <c r="A624" s="35" t="s">
        <v>16</v>
      </c>
      <c r="B624" s="1696">
        <v>0</v>
      </c>
      <c r="C624" s="1743"/>
      <c r="D624" s="1431">
        <f>F624*325851</f>
        <v>0</v>
      </c>
      <c r="E624" s="1422"/>
      <c r="F624" s="1449">
        <f>0.004*B624</f>
        <v>0</v>
      </c>
      <c r="G624" s="1450"/>
      <c r="H624" s="71">
        <f>F624*5</f>
        <v>0</v>
      </c>
      <c r="I624" s="169">
        <v>0</v>
      </c>
      <c r="J624" s="131">
        <v>0</v>
      </c>
      <c r="K624" s="131">
        <v>0</v>
      </c>
      <c r="L624" s="132">
        <f>I624+J624+K624</f>
        <v>0</v>
      </c>
      <c r="M624" s="1788">
        <v>0</v>
      </c>
      <c r="N624" s="1789"/>
    </row>
    <row r="625" spans="1:18" s="533" customFormat="1" ht="14" thickBot="1">
      <c r="A625" s="53" t="s">
        <v>60</v>
      </c>
      <c r="B625" s="1440">
        <f>SUM(B621:C624)</f>
        <v>19</v>
      </c>
      <c r="C625" s="1609"/>
      <c r="D625" s="1441">
        <f>SUM(D621:E624)</f>
        <v>949725.32460000005</v>
      </c>
      <c r="E625" s="1609"/>
      <c r="F625" s="1440">
        <f>SUM(F621:G624)</f>
        <v>2.9146000000000001</v>
      </c>
      <c r="G625" s="1439"/>
      <c r="H625" s="56">
        <f>SUM(H621:H624)</f>
        <v>14.573</v>
      </c>
      <c r="I625" s="143">
        <f>SUM(I621:I624)</f>
        <v>0</v>
      </c>
      <c r="J625" s="143">
        <f>SUM(J621:J624)</f>
        <v>1900</v>
      </c>
      <c r="K625" s="143">
        <f>SUM(K621:K624)</f>
        <v>1900</v>
      </c>
      <c r="L625" s="152">
        <f>SUM(L621:L624)</f>
        <v>3800</v>
      </c>
      <c r="M625" s="1657"/>
      <c r="N625" s="1622"/>
    </row>
    <row r="626" spans="1:18" s="1161" customFormat="1" ht="17" thickBot="1">
      <c r="A626" s="1183" t="s">
        <v>17</v>
      </c>
      <c r="B626" s="1665">
        <f>B616+B619+B625</f>
        <v>490</v>
      </c>
      <c r="C626" s="1684"/>
      <c r="D626" s="1663">
        <f>SUM(D625,D616,D619)</f>
        <v>6301687.3802999994</v>
      </c>
      <c r="E626" s="1684"/>
      <c r="F626" s="1665">
        <f>SUM(F625,F616,F619)</f>
        <v>19.3353</v>
      </c>
      <c r="G626" s="1664"/>
      <c r="H626" s="1189">
        <f>H616+H619+H625</f>
        <v>273.93299999999999</v>
      </c>
      <c r="I626" s="1188">
        <f>I616+I619+I625</f>
        <v>0</v>
      </c>
      <c r="J626" s="1188">
        <f>J616+J619+J625</f>
        <v>4318</v>
      </c>
      <c r="K626" s="1188">
        <f>K616+K619+K625</f>
        <v>40550</v>
      </c>
      <c r="L626" s="1238">
        <f>L616+L619+L625</f>
        <v>44868</v>
      </c>
      <c r="M626" s="1668"/>
      <c r="N626" s="1669"/>
    </row>
    <row r="628" spans="1:18" ht="17" thickBot="1">
      <c r="A628" s="91"/>
    </row>
    <row r="629" spans="1:18" ht="24" thickBot="1">
      <c r="A629" s="88" t="s">
        <v>137</v>
      </c>
      <c r="B629" s="16"/>
      <c r="C629" s="12"/>
      <c r="D629" s="11"/>
      <c r="E629" s="12"/>
      <c r="F629" s="13"/>
      <c r="G629" s="14"/>
      <c r="H629" s="14"/>
      <c r="I629" s="15"/>
      <c r="J629" s="15"/>
      <c r="K629" s="15"/>
      <c r="L629" s="15"/>
      <c r="M629" s="16"/>
      <c r="N629" s="17"/>
    </row>
    <row r="630" spans="1:18" s="1161" customFormat="1" ht="17" thickBot="1">
      <c r="A630" s="108" t="s">
        <v>74</v>
      </c>
      <c r="B630" s="1457"/>
      <c r="C630" s="1586"/>
      <c r="D630" s="1567"/>
      <c r="E630" s="1586"/>
      <c r="F630" s="1619"/>
      <c r="G630" s="1620"/>
      <c r="H630" s="1157"/>
      <c r="I630" s="109"/>
      <c r="J630" s="109"/>
      <c r="K630" s="109"/>
      <c r="L630" s="1141"/>
      <c r="M630" s="1617"/>
      <c r="N630" s="1486"/>
    </row>
    <row r="631" spans="1:18">
      <c r="A631" s="32" t="s">
        <v>62</v>
      </c>
      <c r="B631" s="1696">
        <v>0</v>
      </c>
      <c r="C631" s="1743"/>
      <c r="D631" s="1431">
        <f>F631*325851</f>
        <v>0</v>
      </c>
      <c r="E631" s="1422"/>
      <c r="F631" s="1871">
        <f>0.0347*B631</f>
        <v>0</v>
      </c>
      <c r="G631" s="1450"/>
      <c r="H631" s="957">
        <f>F631*20</f>
        <v>0</v>
      </c>
      <c r="I631" s="131">
        <v>0</v>
      </c>
      <c r="J631" s="131">
        <v>0</v>
      </c>
      <c r="K631" s="131">
        <v>0</v>
      </c>
      <c r="L631" s="131">
        <f>I631+J631+K631</f>
        <v>0</v>
      </c>
      <c r="M631" s="1788">
        <v>0</v>
      </c>
      <c r="N631" s="1789"/>
    </row>
    <row r="632" spans="1:18">
      <c r="A632" s="32" t="s">
        <v>63</v>
      </c>
      <c r="B632" s="1696">
        <v>48</v>
      </c>
      <c r="C632" s="1743"/>
      <c r="D632" s="1431">
        <f>F632*325851</f>
        <v>542737.42559999996</v>
      </c>
      <c r="E632" s="1422"/>
      <c r="F632" s="1871">
        <f>0.0347*B632</f>
        <v>1.6656</v>
      </c>
      <c r="G632" s="1450"/>
      <c r="H632" s="957">
        <f>F632*20</f>
        <v>33.311999999999998</v>
      </c>
      <c r="I632" s="131">
        <v>0</v>
      </c>
      <c r="J632" s="131">
        <v>528</v>
      </c>
      <c r="K632" s="131">
        <v>2880</v>
      </c>
      <c r="L632" s="131">
        <f>I632+J632+K632</f>
        <v>3408</v>
      </c>
      <c r="M632" s="1788">
        <v>5.4</v>
      </c>
      <c r="N632" s="1789"/>
    </row>
    <row r="633" spans="1:18">
      <c r="A633" s="32" t="s">
        <v>64</v>
      </c>
      <c r="B633" s="1696">
        <v>28</v>
      </c>
      <c r="C633" s="1743"/>
      <c r="D633" s="1431">
        <f>F633*325851</f>
        <v>316596.83160000003</v>
      </c>
      <c r="E633" s="1422"/>
      <c r="F633" s="1871">
        <f>0.0347*B633</f>
        <v>0.97160000000000002</v>
      </c>
      <c r="G633" s="1450"/>
      <c r="H633" s="957">
        <f>F633*20</f>
        <v>19.432000000000002</v>
      </c>
      <c r="I633" s="131">
        <v>0</v>
      </c>
      <c r="J633" s="131">
        <v>28</v>
      </c>
      <c r="K633" s="131">
        <v>1680</v>
      </c>
      <c r="L633" s="131">
        <f>I633+J633+K633</f>
        <v>1708</v>
      </c>
      <c r="M633" s="1788">
        <v>4.5</v>
      </c>
      <c r="N633" s="1789"/>
    </row>
    <row r="634" spans="1:18">
      <c r="A634" s="34" t="s">
        <v>13</v>
      </c>
      <c r="B634" s="1696">
        <v>199</v>
      </c>
      <c r="C634" s="1743"/>
      <c r="D634" s="1431">
        <f>F634*325851</f>
        <v>1789704.0323999999</v>
      </c>
      <c r="E634" s="1422"/>
      <c r="F634" s="1871">
        <f>0.0276*B634</f>
        <v>5.4923999999999999</v>
      </c>
      <c r="G634" s="1450"/>
      <c r="H634" s="957">
        <f>F634*15</f>
        <v>82.385999999999996</v>
      </c>
      <c r="I634" s="131">
        <v>0</v>
      </c>
      <c r="J634" s="131">
        <v>199</v>
      </c>
      <c r="K634" s="131">
        <v>21890</v>
      </c>
      <c r="L634" s="131">
        <f>I634+J634+K634</f>
        <v>22089</v>
      </c>
      <c r="M634" s="1788">
        <v>5.8</v>
      </c>
      <c r="N634" s="1789"/>
    </row>
    <row r="635" spans="1:18" ht="14" thickBot="1">
      <c r="A635" s="34" t="s">
        <v>14</v>
      </c>
      <c r="B635" s="1696">
        <v>27</v>
      </c>
      <c r="C635" s="1743"/>
      <c r="D635" s="1431">
        <v>1246986</v>
      </c>
      <c r="E635" s="1422"/>
      <c r="F635" s="1871">
        <v>3.83</v>
      </c>
      <c r="G635" s="1450"/>
      <c r="H635" s="957">
        <f>F635*5</f>
        <v>19.149999999999999</v>
      </c>
      <c r="I635" s="131">
        <v>0</v>
      </c>
      <c r="J635" s="131">
        <v>1431</v>
      </c>
      <c r="K635" s="131">
        <v>0</v>
      </c>
      <c r="L635" s="131">
        <f>I635+J635+K635</f>
        <v>1431</v>
      </c>
      <c r="M635" s="1788">
        <v>2.4</v>
      </c>
      <c r="N635" s="1789"/>
    </row>
    <row r="636" spans="1:18" s="533" customFormat="1" ht="14" thickBot="1">
      <c r="A636" s="53" t="s">
        <v>60</v>
      </c>
      <c r="B636" s="1452">
        <f>SUM(B631:C635)</f>
        <v>302</v>
      </c>
      <c r="C636" s="1740"/>
      <c r="D636" s="1694">
        <f>SUM(D631:E635)</f>
        <v>3896024.2895999998</v>
      </c>
      <c r="E636" s="1740"/>
      <c r="F636" s="1452">
        <f>SUM(F631:G635)</f>
        <v>11.9596</v>
      </c>
      <c r="G636" s="1453"/>
      <c r="H636" s="625">
        <f>SUM(H631:H635)</f>
        <v>154.28</v>
      </c>
      <c r="I636" s="515">
        <f>SUM(I631:I635)</f>
        <v>0</v>
      </c>
      <c r="J636" s="515">
        <f>SUM(J631:J635)</f>
        <v>2186</v>
      </c>
      <c r="K636" s="515">
        <f>SUM(K631:K635)</f>
        <v>26450</v>
      </c>
      <c r="L636" s="515">
        <f>SUM(L631:L635)</f>
        <v>28636</v>
      </c>
      <c r="M636" s="1772"/>
      <c r="N636" s="1773"/>
    </row>
    <row r="637" spans="1:18" s="1161" customFormat="1" ht="17" thickBot="1">
      <c r="A637" s="1246" t="s">
        <v>147</v>
      </c>
      <c r="B637" s="1456"/>
      <c r="C637" s="1586"/>
      <c r="D637" s="1567"/>
      <c r="E637" s="1586"/>
      <c r="F637" s="1457"/>
      <c r="G637" s="1586"/>
      <c r="H637" s="1142"/>
      <c r="I637" s="161"/>
      <c r="J637" s="161"/>
      <c r="K637" s="161"/>
      <c r="L637" s="162"/>
      <c r="M637" s="1617"/>
      <c r="N637" s="1486"/>
    </row>
    <row r="638" spans="1:18" ht="14" thickBot="1">
      <c r="A638" s="34" t="s">
        <v>11</v>
      </c>
      <c r="B638" s="1696">
        <v>0</v>
      </c>
      <c r="C638" s="1743"/>
      <c r="D638" s="1855">
        <f>F638*325851</f>
        <v>0</v>
      </c>
      <c r="E638" s="1732"/>
      <c r="F638" s="1449">
        <f>0.0347*B638</f>
        <v>0</v>
      </c>
      <c r="G638" s="1450"/>
      <c r="H638" s="957">
        <f>F638*20</f>
        <v>0</v>
      </c>
      <c r="I638" s="131">
        <v>0</v>
      </c>
      <c r="J638" s="131">
        <v>0</v>
      </c>
      <c r="K638" s="131">
        <v>0</v>
      </c>
      <c r="L638" s="131">
        <f>I638+J638+K638</f>
        <v>0</v>
      </c>
      <c r="M638" s="1788">
        <v>0</v>
      </c>
      <c r="N638" s="1789"/>
      <c r="R638" s="3"/>
    </row>
    <row r="639" spans="1:18" s="533" customFormat="1" ht="14" thickBot="1">
      <c r="A639" s="53" t="s">
        <v>60</v>
      </c>
      <c r="B639" s="1438">
        <f>SUM(B638)</f>
        <v>0</v>
      </c>
      <c r="C639" s="1609"/>
      <c r="D639" s="1441">
        <f>SUM(D638)</f>
        <v>0</v>
      </c>
      <c r="E639" s="1609"/>
      <c r="F639" s="1440">
        <f>SUM(F638)</f>
        <v>0</v>
      </c>
      <c r="G639" s="1439"/>
      <c r="H639" s="619">
        <f>SUM(H638)</f>
        <v>0</v>
      </c>
      <c r="I639" s="136">
        <f>SUM(I638)</f>
        <v>0</v>
      </c>
      <c r="J639" s="136">
        <f>SUM(J638)</f>
        <v>0</v>
      </c>
      <c r="K639" s="136">
        <f>SUM(K638)</f>
        <v>0</v>
      </c>
      <c r="L639" s="136">
        <f>SUM(L638)</f>
        <v>0</v>
      </c>
      <c r="M639" s="1657"/>
      <c r="N639" s="1622"/>
    </row>
    <row r="640" spans="1:18" s="1161" customFormat="1" ht="17" thickBot="1">
      <c r="A640" s="108" t="s">
        <v>50</v>
      </c>
      <c r="B640" s="1457"/>
      <c r="C640" s="1586"/>
      <c r="D640" s="1567"/>
      <c r="E640" s="1586"/>
      <c r="F640" s="1457"/>
      <c r="G640" s="1586"/>
      <c r="H640" s="1142"/>
      <c r="I640" s="161"/>
      <c r="J640" s="161"/>
      <c r="K640" s="161"/>
      <c r="L640" s="162"/>
      <c r="M640" s="1617"/>
      <c r="N640" s="1486"/>
    </row>
    <row r="641" spans="1:14">
      <c r="A641" s="34" t="s">
        <v>13</v>
      </c>
      <c r="B641" s="1419">
        <v>0</v>
      </c>
      <c r="C641" s="1786"/>
      <c r="D641" s="1431">
        <f>F641*325851</f>
        <v>0</v>
      </c>
      <c r="E641" s="1422"/>
      <c r="F641" s="1449">
        <f>0.0276*B641</f>
        <v>0</v>
      </c>
      <c r="G641" s="1450"/>
      <c r="H641" s="957">
        <f>F641*15</f>
        <v>0</v>
      </c>
      <c r="I641" s="175">
        <v>0</v>
      </c>
      <c r="J641" s="175">
        <v>0</v>
      </c>
      <c r="K641" s="175">
        <v>0</v>
      </c>
      <c r="L641" s="131">
        <f>I641+J641+K641</f>
        <v>0</v>
      </c>
      <c r="M641" s="1928">
        <v>0</v>
      </c>
      <c r="N641" s="1929"/>
    </row>
    <row r="642" spans="1:14">
      <c r="A642" s="34" t="s">
        <v>15</v>
      </c>
      <c r="B642" s="1696">
        <v>5</v>
      </c>
      <c r="C642" s="1743"/>
      <c r="D642" s="1431">
        <f>F642*325851</f>
        <v>249927.717</v>
      </c>
      <c r="E642" s="1422"/>
      <c r="F642" s="1871">
        <f>0.1534*B642</f>
        <v>0.76700000000000002</v>
      </c>
      <c r="G642" s="1450"/>
      <c r="H642" s="957">
        <f>F642*5</f>
        <v>3.835</v>
      </c>
      <c r="I642" s="131">
        <v>0</v>
      </c>
      <c r="J642" s="131">
        <v>900</v>
      </c>
      <c r="K642" s="131">
        <v>900</v>
      </c>
      <c r="L642" s="131">
        <f>I642+J642+K642</f>
        <v>1800</v>
      </c>
      <c r="M642" s="1788">
        <v>3.1</v>
      </c>
      <c r="N642" s="1789"/>
    </row>
    <row r="643" spans="1:14">
      <c r="A643" s="35" t="s">
        <v>16</v>
      </c>
      <c r="B643" s="1419">
        <v>16</v>
      </c>
      <c r="C643" s="1786"/>
      <c r="D643" s="1431">
        <f>F643*325851</f>
        <v>20854.464</v>
      </c>
      <c r="E643" s="1422"/>
      <c r="F643" s="1449">
        <f>0.004*B643</f>
        <v>6.4000000000000001E-2</v>
      </c>
      <c r="G643" s="1450"/>
      <c r="H643" s="957">
        <f>F643*5</f>
        <v>0.32</v>
      </c>
      <c r="I643" s="175">
        <v>0</v>
      </c>
      <c r="J643" s="175">
        <v>0</v>
      </c>
      <c r="K643" s="175">
        <v>800</v>
      </c>
      <c r="L643" s="131">
        <f>I643+J643+K643</f>
        <v>800</v>
      </c>
      <c r="M643" s="1926">
        <v>0.5</v>
      </c>
      <c r="N643" s="1927"/>
    </row>
    <row r="644" spans="1:14">
      <c r="A644" s="35" t="s">
        <v>69</v>
      </c>
      <c r="B644" s="1696">
        <v>0</v>
      </c>
      <c r="C644" s="1743"/>
      <c r="D644" s="1431">
        <f>F644*325851</f>
        <v>0</v>
      </c>
      <c r="E644" s="1422"/>
      <c r="F644" s="1449">
        <f>3.2*B644</f>
        <v>0</v>
      </c>
      <c r="G644" s="1450"/>
      <c r="H644" s="957">
        <f>F644*5</f>
        <v>0</v>
      </c>
      <c r="I644" s="131">
        <v>0</v>
      </c>
      <c r="J644" s="131">
        <v>0</v>
      </c>
      <c r="K644" s="131">
        <v>0</v>
      </c>
      <c r="L644" s="132">
        <f>I644+J644+K644</f>
        <v>0</v>
      </c>
      <c r="M644" s="1788">
        <v>0</v>
      </c>
      <c r="N644" s="1789"/>
    </row>
    <row r="645" spans="1:14" ht="14" thickBot="1">
      <c r="A645" s="34" t="s">
        <v>21</v>
      </c>
      <c r="B645" s="1696" t="s">
        <v>22</v>
      </c>
      <c r="C645" s="1743"/>
      <c r="D645" s="1431" t="s">
        <v>22</v>
      </c>
      <c r="E645" s="1422"/>
      <c r="F645" s="1444" t="s">
        <v>22</v>
      </c>
      <c r="G645" s="1422"/>
      <c r="H645" s="462" t="s">
        <v>22</v>
      </c>
      <c r="I645" s="131" t="s">
        <v>22</v>
      </c>
      <c r="J645" s="131" t="s">
        <v>22</v>
      </c>
      <c r="K645" s="131" t="s">
        <v>22</v>
      </c>
      <c r="L645" s="131" t="s">
        <v>22</v>
      </c>
      <c r="M645" s="1788" t="s">
        <v>22</v>
      </c>
      <c r="N645" s="1789"/>
    </row>
    <row r="646" spans="1:14" s="533" customFormat="1" ht="14" thickBot="1">
      <c r="A646" s="53" t="s">
        <v>60</v>
      </c>
      <c r="B646" s="1440">
        <f>SUM(B640:C645)</f>
        <v>21</v>
      </c>
      <c r="C646" s="1609"/>
      <c r="D646" s="1441">
        <f>SUM(D641:E645)</f>
        <v>270782.18099999998</v>
      </c>
      <c r="E646" s="1609"/>
      <c r="F646" s="1440">
        <f>SUM(F641:G645)</f>
        <v>0.83099999999999996</v>
      </c>
      <c r="G646" s="1439"/>
      <c r="H646" s="507">
        <f>SUM(H641:H645)</f>
        <v>4.1550000000000002</v>
      </c>
      <c r="I646" s="136">
        <f>SUM(I640:I645)</f>
        <v>0</v>
      </c>
      <c r="J646" s="136">
        <f>SUM(J640:J645)</f>
        <v>900</v>
      </c>
      <c r="K646" s="136">
        <f>SUM(K640:K645)</f>
        <v>1700</v>
      </c>
      <c r="L646" s="136">
        <f>SUM(L640:L645)</f>
        <v>2600</v>
      </c>
      <c r="M646" s="1657"/>
      <c r="N646" s="1622"/>
    </row>
    <row r="647" spans="1:14" s="1161" customFormat="1" ht="17" thickBot="1">
      <c r="A647" s="1183" t="s">
        <v>17</v>
      </c>
      <c r="B647" s="1665">
        <f>SUM(B646,B639,B636)</f>
        <v>323</v>
      </c>
      <c r="C647" s="1664"/>
      <c r="D647" s="1665">
        <f>SUM(D646,D639,D636)</f>
        <v>4166806.4705999997</v>
      </c>
      <c r="E647" s="1664"/>
      <c r="F647" s="1665">
        <f>SUM(F646,F639,F636)</f>
        <v>12.7906</v>
      </c>
      <c r="G647" s="1664"/>
      <c r="H647" s="1187">
        <f>SUM(H636,H639,H646)</f>
        <v>158.435</v>
      </c>
      <c r="I647" s="1188">
        <f>I635+I638+I646</f>
        <v>0</v>
      </c>
      <c r="J647" s="1188">
        <f>SUM(J636,J639,J646)</f>
        <v>3086</v>
      </c>
      <c r="K647" s="1188">
        <f>SUM(K636,K639,K646)</f>
        <v>28150</v>
      </c>
      <c r="L647" s="1188">
        <f>SUM(L636,L639,L646)</f>
        <v>31236</v>
      </c>
      <c r="M647" s="1668"/>
      <c r="N647" s="1669"/>
    </row>
    <row r="648" spans="1:14">
      <c r="F648" s="10"/>
      <c r="G648" s="10"/>
      <c r="H648" s="10"/>
    </row>
    <row r="649" spans="1:14" ht="15">
      <c r="A649" s="9" t="s">
        <v>18</v>
      </c>
      <c r="B649" s="1695" t="s">
        <v>59</v>
      </c>
      <c r="C649" s="1566"/>
      <c r="D649" s="1566"/>
      <c r="E649" s="1821"/>
      <c r="F649" s="10"/>
      <c r="G649" s="10"/>
      <c r="H649" s="10"/>
    </row>
    <row r="650" spans="1:14">
      <c r="B650" s="1420" t="s">
        <v>19</v>
      </c>
      <c r="C650" s="1420"/>
      <c r="D650" s="1420"/>
      <c r="E650" s="1420"/>
      <c r="F650" s="10"/>
      <c r="G650" s="10"/>
      <c r="H650" s="10"/>
    </row>
  </sheetData>
  <mergeCells count="2294">
    <mergeCell ref="B76:C76"/>
    <mergeCell ref="D76:E76"/>
    <mergeCell ref="F76:G76"/>
    <mergeCell ref="M76:N76"/>
    <mergeCell ref="B78:E78"/>
    <mergeCell ref="B79:E79"/>
    <mergeCell ref="B71:C71"/>
    <mergeCell ref="D71:E71"/>
    <mergeCell ref="F71:G71"/>
    <mergeCell ref="M71:N71"/>
    <mergeCell ref="B72:C72"/>
    <mergeCell ref="D72:E72"/>
    <mergeCell ref="F72:G72"/>
    <mergeCell ref="M72:N72"/>
    <mergeCell ref="B73:C73"/>
    <mergeCell ref="D73:E73"/>
    <mergeCell ref="F73:G73"/>
    <mergeCell ref="B74:C74"/>
    <mergeCell ref="D74:E74"/>
    <mergeCell ref="F74:G74"/>
    <mergeCell ref="M74:N74"/>
    <mergeCell ref="B75:C75"/>
    <mergeCell ref="D75:E75"/>
    <mergeCell ref="F75:G75"/>
    <mergeCell ref="M75:N75"/>
    <mergeCell ref="B66:C66"/>
    <mergeCell ref="D66:E66"/>
    <mergeCell ref="F66:G66"/>
    <mergeCell ref="M66:N66"/>
    <mergeCell ref="B67:C67"/>
    <mergeCell ref="D67:E67"/>
    <mergeCell ref="F67:G67"/>
    <mergeCell ref="M67:N67"/>
    <mergeCell ref="B68:C68"/>
    <mergeCell ref="D68:E68"/>
    <mergeCell ref="F68:G68"/>
    <mergeCell ref="M68:N68"/>
    <mergeCell ref="B69:C69"/>
    <mergeCell ref="D69:E69"/>
    <mergeCell ref="F69:G69"/>
    <mergeCell ref="M69:N69"/>
    <mergeCell ref="B70:C70"/>
    <mergeCell ref="D70:E70"/>
    <mergeCell ref="F70:G70"/>
    <mergeCell ref="M70:N70"/>
    <mergeCell ref="B61:C61"/>
    <mergeCell ref="D61:E61"/>
    <mergeCell ref="F61:G61"/>
    <mergeCell ref="M61:N61"/>
    <mergeCell ref="B62:C62"/>
    <mergeCell ref="D62:E62"/>
    <mergeCell ref="F62:G62"/>
    <mergeCell ref="M62:N62"/>
    <mergeCell ref="B63:C63"/>
    <mergeCell ref="D63:E63"/>
    <mergeCell ref="F63:G63"/>
    <mergeCell ref="M63:N63"/>
    <mergeCell ref="B64:C64"/>
    <mergeCell ref="D64:E64"/>
    <mergeCell ref="F64:G64"/>
    <mergeCell ref="M64:N64"/>
    <mergeCell ref="B65:C65"/>
    <mergeCell ref="D65:E65"/>
    <mergeCell ref="F65:G65"/>
    <mergeCell ref="M65:N65"/>
    <mergeCell ref="B56:C56"/>
    <mergeCell ref="D56:E56"/>
    <mergeCell ref="F56:G56"/>
    <mergeCell ref="M56:N56"/>
    <mergeCell ref="B57:C57"/>
    <mergeCell ref="D57:E57"/>
    <mergeCell ref="F57:G57"/>
    <mergeCell ref="M57:N57"/>
    <mergeCell ref="B58:C58"/>
    <mergeCell ref="D58:E58"/>
    <mergeCell ref="F58:G58"/>
    <mergeCell ref="M58:N58"/>
    <mergeCell ref="B59:C59"/>
    <mergeCell ref="D59:E59"/>
    <mergeCell ref="F59:G59"/>
    <mergeCell ref="M59:N59"/>
    <mergeCell ref="B60:C60"/>
    <mergeCell ref="D60:E60"/>
    <mergeCell ref="F60:G60"/>
    <mergeCell ref="B51:C51"/>
    <mergeCell ref="D51:E51"/>
    <mergeCell ref="F51:G51"/>
    <mergeCell ref="M51:N51"/>
    <mergeCell ref="B52:C52"/>
    <mergeCell ref="D52:E52"/>
    <mergeCell ref="F52:G52"/>
    <mergeCell ref="M52:N52"/>
    <mergeCell ref="B53:C53"/>
    <mergeCell ref="D53:E53"/>
    <mergeCell ref="F53:G53"/>
    <mergeCell ref="M53:N53"/>
    <mergeCell ref="B54:C54"/>
    <mergeCell ref="D54:E54"/>
    <mergeCell ref="F54:G54"/>
    <mergeCell ref="B55:C55"/>
    <mergeCell ref="D55:E55"/>
    <mergeCell ref="F55:G55"/>
    <mergeCell ref="M55:N55"/>
    <mergeCell ref="B46:C46"/>
    <mergeCell ref="D46:E46"/>
    <mergeCell ref="F46:G46"/>
    <mergeCell ref="M46:N46"/>
    <mergeCell ref="B47:C47"/>
    <mergeCell ref="D47:E47"/>
    <mergeCell ref="F47:G47"/>
    <mergeCell ref="M47:N47"/>
    <mergeCell ref="B48:C48"/>
    <mergeCell ref="D48:E48"/>
    <mergeCell ref="F48:G48"/>
    <mergeCell ref="M48:N48"/>
    <mergeCell ref="B49:C49"/>
    <mergeCell ref="D49:E49"/>
    <mergeCell ref="F49:G49"/>
    <mergeCell ref="M49:N49"/>
    <mergeCell ref="B50:C50"/>
    <mergeCell ref="D50:E50"/>
    <mergeCell ref="F50:G50"/>
    <mergeCell ref="M50:N50"/>
    <mergeCell ref="I41:L41"/>
    <mergeCell ref="B42:C42"/>
    <mergeCell ref="D42:E42"/>
    <mergeCell ref="F42:G42"/>
    <mergeCell ref="M42:N42"/>
    <mergeCell ref="B43:C43"/>
    <mergeCell ref="D43:E43"/>
    <mergeCell ref="F43:G43"/>
    <mergeCell ref="M43:N43"/>
    <mergeCell ref="B44:C44"/>
    <mergeCell ref="D44:E44"/>
    <mergeCell ref="F44:G44"/>
    <mergeCell ref="M44:N44"/>
    <mergeCell ref="B45:C45"/>
    <mergeCell ref="D45:E45"/>
    <mergeCell ref="F45:G45"/>
    <mergeCell ref="M45:N45"/>
    <mergeCell ref="B328:E328"/>
    <mergeCell ref="B329:E329"/>
    <mergeCell ref="B319:C319"/>
    <mergeCell ref="D319:E319"/>
    <mergeCell ref="F319:G319"/>
    <mergeCell ref="M319:N319"/>
    <mergeCell ref="B320:C320"/>
    <mergeCell ref="D320:E320"/>
    <mergeCell ref="F320:G320"/>
    <mergeCell ref="M320:N320"/>
    <mergeCell ref="B325:C325"/>
    <mergeCell ref="D325:E325"/>
    <mergeCell ref="F325:G325"/>
    <mergeCell ref="M325:N325"/>
    <mergeCell ref="B326:C326"/>
    <mergeCell ref="D326:E326"/>
    <mergeCell ref="F326:G326"/>
    <mergeCell ref="M326:N326"/>
    <mergeCell ref="B324:C324"/>
    <mergeCell ref="D324:E324"/>
    <mergeCell ref="F324:G324"/>
    <mergeCell ref="M324:N324"/>
    <mergeCell ref="B321:C321"/>
    <mergeCell ref="D321:E321"/>
    <mergeCell ref="B323:C323"/>
    <mergeCell ref="D323:E323"/>
    <mergeCell ref="F323:G323"/>
    <mergeCell ref="M323:N323"/>
    <mergeCell ref="B322:C322"/>
    <mergeCell ref="D322:E322"/>
    <mergeCell ref="F322:G322"/>
    <mergeCell ref="M322:N322"/>
    <mergeCell ref="M316:N316"/>
    <mergeCell ref="B317:C317"/>
    <mergeCell ref="D317:E317"/>
    <mergeCell ref="F317:G317"/>
    <mergeCell ref="M317:N317"/>
    <mergeCell ref="B137:C137"/>
    <mergeCell ref="D137:E137"/>
    <mergeCell ref="F137:G137"/>
    <mergeCell ref="M137:N137"/>
    <mergeCell ref="B177:C177"/>
    <mergeCell ref="D177:E177"/>
    <mergeCell ref="F177:G177"/>
    <mergeCell ref="M177:N177"/>
    <mergeCell ref="B314:C314"/>
    <mergeCell ref="D314:E314"/>
    <mergeCell ref="F314:G314"/>
    <mergeCell ref="M314:N314"/>
    <mergeCell ref="B315:C315"/>
    <mergeCell ref="D315:E315"/>
    <mergeCell ref="F315:G315"/>
    <mergeCell ref="M315:N315"/>
    <mergeCell ref="B312:C312"/>
    <mergeCell ref="D312:E312"/>
    <mergeCell ref="F312:G312"/>
    <mergeCell ref="M312:N312"/>
    <mergeCell ref="B313:C313"/>
    <mergeCell ref="D313:E313"/>
    <mergeCell ref="F313:G313"/>
    <mergeCell ref="M313:N313"/>
    <mergeCell ref="B296:C296"/>
    <mergeCell ref="D296:E296"/>
    <mergeCell ref="F296:G296"/>
    <mergeCell ref="F321:G321"/>
    <mergeCell ref="M321:N321"/>
    <mergeCell ref="B318:C318"/>
    <mergeCell ref="D318:E318"/>
    <mergeCell ref="F318:G318"/>
    <mergeCell ref="M318:N318"/>
    <mergeCell ref="B310:C310"/>
    <mergeCell ref="D310:E310"/>
    <mergeCell ref="F310:G310"/>
    <mergeCell ref="M310:N310"/>
    <mergeCell ref="B311:C311"/>
    <mergeCell ref="D311:E311"/>
    <mergeCell ref="F311:G311"/>
    <mergeCell ref="M311:N311"/>
    <mergeCell ref="D298:E298"/>
    <mergeCell ref="F298:G298"/>
    <mergeCell ref="M298:N298"/>
    <mergeCell ref="B300:C300"/>
    <mergeCell ref="D300:E300"/>
    <mergeCell ref="F300:G300"/>
    <mergeCell ref="M300:N300"/>
    <mergeCell ref="B308:C308"/>
    <mergeCell ref="D308:E308"/>
    <mergeCell ref="F308:G308"/>
    <mergeCell ref="M308:N308"/>
    <mergeCell ref="B309:C309"/>
    <mergeCell ref="D309:E309"/>
    <mergeCell ref="F309:G309"/>
    <mergeCell ref="M309:N309"/>
    <mergeCell ref="B316:C316"/>
    <mergeCell ref="D316:E316"/>
    <mergeCell ref="F316:G316"/>
    <mergeCell ref="M296:N296"/>
    <mergeCell ref="B297:C297"/>
    <mergeCell ref="D297:E297"/>
    <mergeCell ref="F297:G297"/>
    <mergeCell ref="F307:G307"/>
    <mergeCell ref="M307:N307"/>
    <mergeCell ref="B304:C304"/>
    <mergeCell ref="D304:E304"/>
    <mergeCell ref="F304:G304"/>
    <mergeCell ref="M304:N304"/>
    <mergeCell ref="B305:C305"/>
    <mergeCell ref="D305:E305"/>
    <mergeCell ref="F305:G305"/>
    <mergeCell ref="M305:N305"/>
    <mergeCell ref="B306:C306"/>
    <mergeCell ref="D306:E306"/>
    <mergeCell ref="F306:G306"/>
    <mergeCell ref="M306:N306"/>
    <mergeCell ref="B307:C307"/>
    <mergeCell ref="D307:E307"/>
    <mergeCell ref="B299:C299"/>
    <mergeCell ref="D299:E299"/>
    <mergeCell ref="F299:G299"/>
    <mergeCell ref="M299:N299"/>
    <mergeCell ref="B302:C302"/>
    <mergeCell ref="D302:E302"/>
    <mergeCell ref="F302:G302"/>
    <mergeCell ref="M302:N302"/>
    <mergeCell ref="I289:L289"/>
    <mergeCell ref="B290:C290"/>
    <mergeCell ref="D290:E290"/>
    <mergeCell ref="F290:G290"/>
    <mergeCell ref="M290:N290"/>
    <mergeCell ref="B291:C291"/>
    <mergeCell ref="D291:E291"/>
    <mergeCell ref="F291:G291"/>
    <mergeCell ref="M291:N291"/>
    <mergeCell ref="B301:C301"/>
    <mergeCell ref="D301:E301"/>
    <mergeCell ref="F301:G301"/>
    <mergeCell ref="M301:N301"/>
    <mergeCell ref="B303:C303"/>
    <mergeCell ref="D303:E303"/>
    <mergeCell ref="F303:G303"/>
    <mergeCell ref="M303:N303"/>
    <mergeCell ref="B298:C298"/>
    <mergeCell ref="B294:C294"/>
    <mergeCell ref="D294:E294"/>
    <mergeCell ref="F294:G294"/>
    <mergeCell ref="M294:N294"/>
    <mergeCell ref="B295:C295"/>
    <mergeCell ref="D295:E295"/>
    <mergeCell ref="F295:G295"/>
    <mergeCell ref="M295:N295"/>
    <mergeCell ref="B292:C292"/>
    <mergeCell ref="D292:E292"/>
    <mergeCell ref="F292:G292"/>
    <mergeCell ref="M292:N292"/>
    <mergeCell ref="B293:C293"/>
    <mergeCell ref="D293:E293"/>
    <mergeCell ref="F293:G293"/>
    <mergeCell ref="M293:N293"/>
    <mergeCell ref="M297:N297"/>
    <mergeCell ref="B360:C360"/>
    <mergeCell ref="D360:E360"/>
    <mergeCell ref="F360:G360"/>
    <mergeCell ref="M360:N360"/>
    <mergeCell ref="B397:C397"/>
    <mergeCell ref="D397:E397"/>
    <mergeCell ref="F397:G397"/>
    <mergeCell ref="M397:N397"/>
    <mergeCell ref="F393:G393"/>
    <mergeCell ref="M393:N393"/>
    <mergeCell ref="B399:E399"/>
    <mergeCell ref="B400:E400"/>
    <mergeCell ref="B378:C378"/>
    <mergeCell ref="M378:N378"/>
    <mergeCell ref="B396:C396"/>
    <mergeCell ref="D396:E396"/>
    <mergeCell ref="F396:G396"/>
    <mergeCell ref="M396:N396"/>
    <mergeCell ref="B393:C393"/>
    <mergeCell ref="D393:E393"/>
    <mergeCell ref="B394:C394"/>
    <mergeCell ref="D394:E394"/>
    <mergeCell ref="F394:G394"/>
    <mergeCell ref="M394:N394"/>
    <mergeCell ref="B391:C391"/>
    <mergeCell ref="D391:E391"/>
    <mergeCell ref="F391:G391"/>
    <mergeCell ref="M391:N391"/>
    <mergeCell ref="B392:C392"/>
    <mergeCell ref="D392:E392"/>
    <mergeCell ref="F392:G392"/>
    <mergeCell ref="M392:N392"/>
    <mergeCell ref="M380:N380"/>
    <mergeCell ref="D378:E378"/>
    <mergeCell ref="F378:G378"/>
    <mergeCell ref="B379:C379"/>
    <mergeCell ref="D379:E379"/>
    <mergeCell ref="F379:G379"/>
    <mergeCell ref="M379:N379"/>
    <mergeCell ref="B389:C389"/>
    <mergeCell ref="D389:E389"/>
    <mergeCell ref="F389:G389"/>
    <mergeCell ref="M389:N389"/>
    <mergeCell ref="B390:C390"/>
    <mergeCell ref="D390:E390"/>
    <mergeCell ref="F390:G390"/>
    <mergeCell ref="M390:N390"/>
    <mergeCell ref="B387:C387"/>
    <mergeCell ref="D387:E387"/>
    <mergeCell ref="F387:G387"/>
    <mergeCell ref="M387:N387"/>
    <mergeCell ref="B388:C388"/>
    <mergeCell ref="D388:E388"/>
    <mergeCell ref="F388:G388"/>
    <mergeCell ref="M388:N388"/>
    <mergeCell ref="B385:C385"/>
    <mergeCell ref="D385:E385"/>
    <mergeCell ref="F385:G385"/>
    <mergeCell ref="M385:N385"/>
    <mergeCell ref="B386:C386"/>
    <mergeCell ref="D386:E386"/>
    <mergeCell ref="F386:G386"/>
    <mergeCell ref="M386:N386"/>
    <mergeCell ref="M373:N373"/>
    <mergeCell ref="B371:C371"/>
    <mergeCell ref="D371:E371"/>
    <mergeCell ref="F371:G371"/>
    <mergeCell ref="M371:N371"/>
    <mergeCell ref="B372:C372"/>
    <mergeCell ref="D372:E372"/>
    <mergeCell ref="F372:G372"/>
    <mergeCell ref="M372:N372"/>
    <mergeCell ref="B383:C383"/>
    <mergeCell ref="D383:E383"/>
    <mergeCell ref="F383:G383"/>
    <mergeCell ref="M383:N383"/>
    <mergeCell ref="B384:C384"/>
    <mergeCell ref="D384:E384"/>
    <mergeCell ref="F384:G384"/>
    <mergeCell ref="M384:N384"/>
    <mergeCell ref="B381:C381"/>
    <mergeCell ref="D381:E381"/>
    <mergeCell ref="F381:G381"/>
    <mergeCell ref="M381:N381"/>
    <mergeCell ref="B382:C382"/>
    <mergeCell ref="D382:E382"/>
    <mergeCell ref="F382:G382"/>
    <mergeCell ref="M382:N382"/>
    <mergeCell ref="B377:C377"/>
    <mergeCell ref="D377:E377"/>
    <mergeCell ref="F377:G377"/>
    <mergeCell ref="M377:N377"/>
    <mergeCell ref="B380:C380"/>
    <mergeCell ref="D380:E380"/>
    <mergeCell ref="F380:G380"/>
    <mergeCell ref="B472:C472"/>
    <mergeCell ref="D472:E472"/>
    <mergeCell ref="F472:G472"/>
    <mergeCell ref="M472:N472"/>
    <mergeCell ref="B481:C481"/>
    <mergeCell ref="D481:E481"/>
    <mergeCell ref="F481:G481"/>
    <mergeCell ref="M481:N481"/>
    <mergeCell ref="D476:E476"/>
    <mergeCell ref="F476:G476"/>
    <mergeCell ref="I445:L445"/>
    <mergeCell ref="B446:C446"/>
    <mergeCell ref="D446:E446"/>
    <mergeCell ref="F446:G446"/>
    <mergeCell ref="M446:N446"/>
    <mergeCell ref="B447:C447"/>
    <mergeCell ref="D447:E447"/>
    <mergeCell ref="F447:G447"/>
    <mergeCell ref="M447:N447"/>
    <mergeCell ref="M453:N453"/>
    <mergeCell ref="B450:C450"/>
    <mergeCell ref="D450:E450"/>
    <mergeCell ref="F450:G450"/>
    <mergeCell ref="M450:N450"/>
    <mergeCell ref="B458:C458"/>
    <mergeCell ref="D458:E458"/>
    <mergeCell ref="F458:G458"/>
    <mergeCell ref="M458:N458"/>
    <mergeCell ref="B459:C459"/>
    <mergeCell ref="D459:E459"/>
    <mergeCell ref="F530:G530"/>
    <mergeCell ref="M530:N530"/>
    <mergeCell ref="F533:G533"/>
    <mergeCell ref="F536:G536"/>
    <mergeCell ref="B525:E525"/>
    <mergeCell ref="B526:E526"/>
    <mergeCell ref="B520:C520"/>
    <mergeCell ref="D520:E520"/>
    <mergeCell ref="M578:N578"/>
    <mergeCell ref="F572:G572"/>
    <mergeCell ref="M572:N572"/>
    <mergeCell ref="B575:C575"/>
    <mergeCell ref="D575:E575"/>
    <mergeCell ref="F573:G573"/>
    <mergeCell ref="D573:E573"/>
    <mergeCell ref="B573:C573"/>
    <mergeCell ref="B572:C572"/>
    <mergeCell ref="D572:E572"/>
    <mergeCell ref="B543:C543"/>
    <mergeCell ref="D543:E543"/>
    <mergeCell ref="F543:G543"/>
    <mergeCell ref="M543:N543"/>
    <mergeCell ref="B542:C542"/>
    <mergeCell ref="D542:E542"/>
    <mergeCell ref="F542:G542"/>
    <mergeCell ref="M542:N542"/>
    <mergeCell ref="B552:C552"/>
    <mergeCell ref="D552:E552"/>
    <mergeCell ref="F552:G552"/>
    <mergeCell ref="M552:N552"/>
    <mergeCell ref="D547:E547"/>
    <mergeCell ref="F547:G547"/>
    <mergeCell ref="B511:C511"/>
    <mergeCell ref="D511:E511"/>
    <mergeCell ref="B513:C513"/>
    <mergeCell ref="D513:E513"/>
    <mergeCell ref="F513:G513"/>
    <mergeCell ref="M513:N513"/>
    <mergeCell ref="B512:C512"/>
    <mergeCell ref="D512:E512"/>
    <mergeCell ref="F512:G512"/>
    <mergeCell ref="M512:N512"/>
    <mergeCell ref="F517:G517"/>
    <mergeCell ref="M517:N517"/>
    <mergeCell ref="B518:C518"/>
    <mergeCell ref="D518:E518"/>
    <mergeCell ref="F518:G518"/>
    <mergeCell ref="M518:N518"/>
    <mergeCell ref="D539:E539"/>
    <mergeCell ref="F539:G539"/>
    <mergeCell ref="M539:N539"/>
    <mergeCell ref="I528:L528"/>
    <mergeCell ref="B529:C529"/>
    <mergeCell ref="D529:E529"/>
    <mergeCell ref="F529:G529"/>
    <mergeCell ref="M529:N529"/>
    <mergeCell ref="B530:C530"/>
    <mergeCell ref="D530:E530"/>
    <mergeCell ref="B537:C537"/>
    <mergeCell ref="D537:E537"/>
    <mergeCell ref="F537:G537"/>
    <mergeCell ref="M537:N537"/>
    <mergeCell ref="B538:C538"/>
    <mergeCell ref="D538:E538"/>
    <mergeCell ref="D521:E521"/>
    <mergeCell ref="F521:G521"/>
    <mergeCell ref="M521:N521"/>
    <mergeCell ref="B523:C523"/>
    <mergeCell ref="D523:E523"/>
    <mergeCell ref="F523:G523"/>
    <mergeCell ref="M523:N523"/>
    <mergeCell ref="B522:C522"/>
    <mergeCell ref="D522:E522"/>
    <mergeCell ref="F522:G522"/>
    <mergeCell ref="M522:N522"/>
    <mergeCell ref="F520:G520"/>
    <mergeCell ref="M520:N520"/>
    <mergeCell ref="B517:C517"/>
    <mergeCell ref="B515:C515"/>
    <mergeCell ref="D515:E515"/>
    <mergeCell ref="F515:G515"/>
    <mergeCell ref="M515:N515"/>
    <mergeCell ref="B516:C516"/>
    <mergeCell ref="D517:E517"/>
    <mergeCell ref="D502:E502"/>
    <mergeCell ref="F502:G502"/>
    <mergeCell ref="F500:G500"/>
    <mergeCell ref="F507:G507"/>
    <mergeCell ref="B505:C505"/>
    <mergeCell ref="D505:E505"/>
    <mergeCell ref="M496:N496"/>
    <mergeCell ref="M497:N497"/>
    <mergeCell ref="B503:C503"/>
    <mergeCell ref="B502:C502"/>
    <mergeCell ref="M501:N501"/>
    <mergeCell ref="B500:C500"/>
    <mergeCell ref="D500:E500"/>
    <mergeCell ref="M502:N502"/>
    <mergeCell ref="D503:E503"/>
    <mergeCell ref="F503:G503"/>
    <mergeCell ref="M503:N503"/>
    <mergeCell ref="B507:C507"/>
    <mergeCell ref="D507:E507"/>
    <mergeCell ref="B504:C504"/>
    <mergeCell ref="D504:E504"/>
    <mergeCell ref="F504:G504"/>
    <mergeCell ref="M504:N504"/>
    <mergeCell ref="D501:E501"/>
    <mergeCell ref="F501:G501"/>
    <mergeCell ref="M500:N500"/>
    <mergeCell ref="M498:N498"/>
    <mergeCell ref="B497:C497"/>
    <mergeCell ref="D497:E497"/>
    <mergeCell ref="F497:G497"/>
    <mergeCell ref="M593:N593"/>
    <mergeCell ref="B567:C567"/>
    <mergeCell ref="M571:N571"/>
    <mergeCell ref="B578:C578"/>
    <mergeCell ref="D578:E578"/>
    <mergeCell ref="F578:G578"/>
    <mergeCell ref="B590:C590"/>
    <mergeCell ref="B568:C568"/>
    <mergeCell ref="F511:G511"/>
    <mergeCell ref="M511:N511"/>
    <mergeCell ref="F592:G592"/>
    <mergeCell ref="M592:N592"/>
    <mergeCell ref="B519:C519"/>
    <mergeCell ref="D519:E519"/>
    <mergeCell ref="F519:G519"/>
    <mergeCell ref="M519:N519"/>
    <mergeCell ref="F568:G568"/>
    <mergeCell ref="M568:N568"/>
    <mergeCell ref="B547:C547"/>
    <mergeCell ref="M548:N548"/>
    <mergeCell ref="M553:N553"/>
    <mergeCell ref="B545:C545"/>
    <mergeCell ref="D545:E545"/>
    <mergeCell ref="F545:G545"/>
    <mergeCell ref="M545:N545"/>
    <mergeCell ref="B551:C551"/>
    <mergeCell ref="D551:E551"/>
    <mergeCell ref="B548:C548"/>
    <mergeCell ref="B514:C514"/>
    <mergeCell ref="D514:E514"/>
    <mergeCell ref="F514:G514"/>
    <mergeCell ref="M514:N514"/>
    <mergeCell ref="B650:E650"/>
    <mergeCell ref="B555:E555"/>
    <mergeCell ref="B556:E556"/>
    <mergeCell ref="B603:E603"/>
    <mergeCell ref="B604:E604"/>
    <mergeCell ref="D594:E594"/>
    <mergeCell ref="B589:C589"/>
    <mergeCell ref="D589:E589"/>
    <mergeCell ref="F546:G546"/>
    <mergeCell ref="M546:N546"/>
    <mergeCell ref="D490:E490"/>
    <mergeCell ref="F490:G490"/>
    <mergeCell ref="M490:N490"/>
    <mergeCell ref="D536:E536"/>
    <mergeCell ref="F534:G534"/>
    <mergeCell ref="M534:N534"/>
    <mergeCell ref="D495:E495"/>
    <mergeCell ref="F495:G495"/>
    <mergeCell ref="M590:N590"/>
    <mergeCell ref="D492:E492"/>
    <mergeCell ref="F492:G492"/>
    <mergeCell ref="M492:N492"/>
    <mergeCell ref="D493:E493"/>
    <mergeCell ref="F493:G493"/>
    <mergeCell ref="M493:N493"/>
    <mergeCell ref="D494:E494"/>
    <mergeCell ref="F494:G494"/>
    <mergeCell ref="M494:N494"/>
    <mergeCell ref="M495:N495"/>
    <mergeCell ref="D498:E498"/>
    <mergeCell ref="F498:G498"/>
    <mergeCell ref="B649:E649"/>
    <mergeCell ref="I488:L488"/>
    <mergeCell ref="B489:C489"/>
    <mergeCell ref="D489:E489"/>
    <mergeCell ref="F489:G489"/>
    <mergeCell ref="B494:C494"/>
    <mergeCell ref="B495:C495"/>
    <mergeCell ref="M544:N544"/>
    <mergeCell ref="M489:N489"/>
    <mergeCell ref="B490:C490"/>
    <mergeCell ref="B535:C535"/>
    <mergeCell ref="D535:E535"/>
    <mergeCell ref="F535:G535"/>
    <mergeCell ref="B536:C536"/>
    <mergeCell ref="B544:C544"/>
    <mergeCell ref="B492:C492"/>
    <mergeCell ref="B493:C493"/>
    <mergeCell ref="B498:C498"/>
    <mergeCell ref="B499:C499"/>
    <mergeCell ref="D499:E499"/>
    <mergeCell ref="F499:G499"/>
    <mergeCell ref="M499:N499"/>
    <mergeCell ref="B501:C501"/>
    <mergeCell ref="F538:G538"/>
    <mergeCell ref="B491:C491"/>
    <mergeCell ref="D491:E491"/>
    <mergeCell ref="F491:G491"/>
    <mergeCell ref="M491:N491"/>
    <mergeCell ref="F506:G506"/>
    <mergeCell ref="M506:N506"/>
    <mergeCell ref="B496:C496"/>
    <mergeCell ref="D496:E496"/>
    <mergeCell ref="F496:G496"/>
    <mergeCell ref="F551:G551"/>
    <mergeCell ref="B546:C546"/>
    <mergeCell ref="D546:E546"/>
    <mergeCell ref="M594:N594"/>
    <mergeCell ref="M599:N599"/>
    <mergeCell ref="B599:C599"/>
    <mergeCell ref="D599:E599"/>
    <mergeCell ref="F599:G599"/>
    <mergeCell ref="B594:C594"/>
    <mergeCell ref="F594:G594"/>
    <mergeCell ref="F596:G596"/>
    <mergeCell ref="M596:N596"/>
    <mergeCell ref="B595:C595"/>
    <mergeCell ref="M575:N575"/>
    <mergeCell ref="M566:N566"/>
    <mergeCell ref="M574:N574"/>
    <mergeCell ref="B574:C574"/>
    <mergeCell ref="D574:E574"/>
    <mergeCell ref="F574:G574"/>
    <mergeCell ref="M573:N573"/>
    <mergeCell ref="D567:E567"/>
    <mergeCell ref="F567:G567"/>
    <mergeCell ref="M567:N567"/>
    <mergeCell ref="D568:E568"/>
    <mergeCell ref="B570:C570"/>
    <mergeCell ref="D570:E570"/>
    <mergeCell ref="D561:E561"/>
    <mergeCell ref="M551:N551"/>
    <mergeCell ref="F549:G549"/>
    <mergeCell ref="M549:N549"/>
    <mergeCell ref="D548:E548"/>
    <mergeCell ref="F548:G548"/>
    <mergeCell ref="M561:N561"/>
    <mergeCell ref="F570:G570"/>
    <mergeCell ref="M570:N570"/>
    <mergeCell ref="B569:C569"/>
    <mergeCell ref="D569:E569"/>
    <mergeCell ref="F569:G569"/>
    <mergeCell ref="M569:N569"/>
    <mergeCell ref="M565:N565"/>
    <mergeCell ref="M564:N564"/>
    <mergeCell ref="B563:C563"/>
    <mergeCell ref="D563:E563"/>
    <mergeCell ref="F563:G563"/>
    <mergeCell ref="B565:C565"/>
    <mergeCell ref="D565:E565"/>
    <mergeCell ref="B553:C553"/>
    <mergeCell ref="D553:E553"/>
    <mergeCell ref="M562:N562"/>
    <mergeCell ref="M563:N563"/>
    <mergeCell ref="B566:C566"/>
    <mergeCell ref="D566:E566"/>
    <mergeCell ref="F566:G566"/>
    <mergeCell ref="M559:N559"/>
    <mergeCell ref="F560:G560"/>
    <mergeCell ref="M560:N560"/>
    <mergeCell ref="I558:L558"/>
    <mergeCell ref="F553:G553"/>
    <mergeCell ref="M589:N589"/>
    <mergeCell ref="D590:E590"/>
    <mergeCell ref="F590:G590"/>
    <mergeCell ref="D587:E587"/>
    <mergeCell ref="M582:N582"/>
    <mergeCell ref="B586:C586"/>
    <mergeCell ref="D586:E586"/>
    <mergeCell ref="M586:N586"/>
    <mergeCell ref="M585:N585"/>
    <mergeCell ref="M584:N584"/>
    <mergeCell ref="F584:G584"/>
    <mergeCell ref="F587:G587"/>
    <mergeCell ref="M587:N587"/>
    <mergeCell ref="B585:C585"/>
    <mergeCell ref="D585:E585"/>
    <mergeCell ref="F585:G585"/>
    <mergeCell ref="B583:C583"/>
    <mergeCell ref="D583:E583"/>
    <mergeCell ref="M607:N607"/>
    <mergeCell ref="B608:C608"/>
    <mergeCell ref="D608:E608"/>
    <mergeCell ref="F608:G608"/>
    <mergeCell ref="M608:N608"/>
    <mergeCell ref="B615:C615"/>
    <mergeCell ref="F611:G611"/>
    <mergeCell ref="F614:G614"/>
    <mergeCell ref="M614:N614"/>
    <mergeCell ref="D615:E615"/>
    <mergeCell ref="I606:L606"/>
    <mergeCell ref="B607:C607"/>
    <mergeCell ref="D607:E607"/>
    <mergeCell ref="F607:G607"/>
    <mergeCell ref="M583:N583"/>
    <mergeCell ref="M591:N591"/>
    <mergeCell ref="M601:N601"/>
    <mergeCell ref="B598:C598"/>
    <mergeCell ref="D598:E598"/>
    <mergeCell ref="F598:G598"/>
    <mergeCell ref="M598:N598"/>
    <mergeCell ref="B601:C601"/>
    <mergeCell ref="D601:E601"/>
    <mergeCell ref="B600:C600"/>
    <mergeCell ref="M600:N600"/>
    <mergeCell ref="F586:G586"/>
    <mergeCell ref="M595:N595"/>
    <mergeCell ref="B597:C597"/>
    <mergeCell ref="D597:E597"/>
    <mergeCell ref="F597:G597"/>
    <mergeCell ref="M597:N597"/>
    <mergeCell ref="B596:C596"/>
    <mergeCell ref="M609:N609"/>
    <mergeCell ref="M618:N618"/>
    <mergeCell ref="M611:N611"/>
    <mergeCell ref="M610:N610"/>
    <mergeCell ref="D614:E614"/>
    <mergeCell ref="B613:C613"/>
    <mergeCell ref="D613:E613"/>
    <mergeCell ref="B612:C612"/>
    <mergeCell ref="B618:C618"/>
    <mergeCell ref="B611:C611"/>
    <mergeCell ref="M623:N623"/>
    <mergeCell ref="D623:E623"/>
    <mergeCell ref="D625:E625"/>
    <mergeCell ref="F610:G610"/>
    <mergeCell ref="D611:E611"/>
    <mergeCell ref="M621:N621"/>
    <mergeCell ref="B610:C610"/>
    <mergeCell ref="D610:E610"/>
    <mergeCell ref="M612:N612"/>
    <mergeCell ref="B619:C619"/>
    <mergeCell ref="B614:C614"/>
    <mergeCell ref="D612:E612"/>
    <mergeCell ref="F612:G612"/>
    <mergeCell ref="M613:N613"/>
    <mergeCell ref="F613:G613"/>
    <mergeCell ref="D616:E616"/>
    <mergeCell ref="F617:G617"/>
    <mergeCell ref="D618:E618"/>
    <mergeCell ref="F615:G615"/>
    <mergeCell ref="B623:C623"/>
    <mergeCell ref="B616:C616"/>
    <mergeCell ref="F618:G618"/>
    <mergeCell ref="B642:C642"/>
    <mergeCell ref="D642:E642"/>
    <mergeCell ref="F642:G642"/>
    <mergeCell ref="B637:C637"/>
    <mergeCell ref="D637:E637"/>
    <mergeCell ref="M615:N615"/>
    <mergeCell ref="M617:N617"/>
    <mergeCell ref="F620:G620"/>
    <mergeCell ref="M620:N620"/>
    <mergeCell ref="F616:G616"/>
    <mergeCell ref="M616:N616"/>
    <mergeCell ref="B625:C625"/>
    <mergeCell ref="B620:C620"/>
    <mergeCell ref="B621:C621"/>
    <mergeCell ref="B617:C617"/>
    <mergeCell ref="D617:E617"/>
    <mergeCell ref="M638:N638"/>
    <mergeCell ref="F638:G638"/>
    <mergeCell ref="D619:E619"/>
    <mergeCell ref="F619:G619"/>
    <mergeCell ref="D620:E620"/>
    <mergeCell ref="D621:E621"/>
    <mergeCell ref="F636:G636"/>
    <mergeCell ref="M632:N632"/>
    <mergeCell ref="M624:N624"/>
    <mergeCell ref="D633:E633"/>
    <mergeCell ref="F633:G633"/>
    <mergeCell ref="B632:C632"/>
    <mergeCell ref="M631:N631"/>
    <mergeCell ref="M642:N642"/>
    <mergeCell ref="M640:N640"/>
    <mergeCell ref="B638:C638"/>
    <mergeCell ref="B647:C647"/>
    <mergeCell ref="D647:E647"/>
    <mergeCell ref="F647:G647"/>
    <mergeCell ref="M647:N647"/>
    <mergeCell ref="B645:C645"/>
    <mergeCell ref="M645:N645"/>
    <mergeCell ref="F646:G646"/>
    <mergeCell ref="M646:N646"/>
    <mergeCell ref="D636:E636"/>
    <mergeCell ref="M619:N619"/>
    <mergeCell ref="F623:G623"/>
    <mergeCell ref="F625:G625"/>
    <mergeCell ref="M625:N625"/>
    <mergeCell ref="F621:G621"/>
    <mergeCell ref="B622:C622"/>
    <mergeCell ref="D622:E622"/>
    <mergeCell ref="F622:G622"/>
    <mergeCell ref="M622:N622"/>
    <mergeCell ref="B624:C624"/>
    <mergeCell ref="B636:C636"/>
    <mergeCell ref="F635:G635"/>
    <mergeCell ref="D634:E634"/>
    <mergeCell ref="F634:G634"/>
    <mergeCell ref="D632:E632"/>
    <mergeCell ref="F632:G632"/>
    <mergeCell ref="M635:N635"/>
    <mergeCell ref="D630:E630"/>
    <mergeCell ref="F630:G630"/>
    <mergeCell ref="M630:N630"/>
    <mergeCell ref="D626:E626"/>
    <mergeCell ref="F626:G626"/>
    <mergeCell ref="B634:C634"/>
    <mergeCell ref="B646:C646"/>
    <mergeCell ref="D646:E646"/>
    <mergeCell ref="B643:C643"/>
    <mergeCell ref="D643:E643"/>
    <mergeCell ref="B630:C630"/>
    <mergeCell ref="F643:G643"/>
    <mergeCell ref="M643:N643"/>
    <mergeCell ref="D645:E645"/>
    <mergeCell ref="D644:E644"/>
    <mergeCell ref="B644:C644"/>
    <mergeCell ref="B641:C641"/>
    <mergeCell ref="D641:E641"/>
    <mergeCell ref="F641:G641"/>
    <mergeCell ref="M641:N641"/>
    <mergeCell ref="F644:G644"/>
    <mergeCell ref="M644:N644"/>
    <mergeCell ref="B639:C639"/>
    <mergeCell ref="D639:E639"/>
    <mergeCell ref="F639:G639"/>
    <mergeCell ref="B631:C631"/>
    <mergeCell ref="D631:E631"/>
    <mergeCell ref="F631:G631"/>
    <mergeCell ref="M639:N639"/>
    <mergeCell ref="F637:G637"/>
    <mergeCell ref="M637:N637"/>
    <mergeCell ref="B633:C633"/>
    <mergeCell ref="B640:C640"/>
    <mergeCell ref="D640:E640"/>
    <mergeCell ref="B635:C635"/>
    <mergeCell ref="D635:E635"/>
    <mergeCell ref="F645:G645"/>
    <mergeCell ref="F640:G640"/>
    <mergeCell ref="D638:E638"/>
    <mergeCell ref="B559:C559"/>
    <mergeCell ref="D559:E559"/>
    <mergeCell ref="F559:G559"/>
    <mergeCell ref="B609:C609"/>
    <mergeCell ref="D609:E609"/>
    <mergeCell ref="B582:C582"/>
    <mergeCell ref="D582:E582"/>
    <mergeCell ref="F582:G582"/>
    <mergeCell ref="D564:E564"/>
    <mergeCell ref="F564:G564"/>
    <mergeCell ref="F575:G575"/>
    <mergeCell ref="B592:C592"/>
    <mergeCell ref="D592:E592"/>
    <mergeCell ref="F609:G609"/>
    <mergeCell ref="D595:E595"/>
    <mergeCell ref="F595:G595"/>
    <mergeCell ref="B579:C579"/>
    <mergeCell ref="D579:E579"/>
    <mergeCell ref="F579:G579"/>
    <mergeCell ref="B576:C576"/>
    <mergeCell ref="D576:E576"/>
    <mergeCell ref="F561:G561"/>
    <mergeCell ref="M626:N626"/>
    <mergeCell ref="M633:N633"/>
    <mergeCell ref="M634:N634"/>
    <mergeCell ref="M636:N636"/>
    <mergeCell ref="B531:C531"/>
    <mergeCell ref="D531:E531"/>
    <mergeCell ref="D562:E562"/>
    <mergeCell ref="F562:G562"/>
    <mergeCell ref="B593:C593"/>
    <mergeCell ref="D593:E593"/>
    <mergeCell ref="F593:G593"/>
    <mergeCell ref="B509:C509"/>
    <mergeCell ref="D509:E509"/>
    <mergeCell ref="B508:C508"/>
    <mergeCell ref="D508:E508"/>
    <mergeCell ref="F508:G508"/>
    <mergeCell ref="B521:C521"/>
    <mergeCell ref="B626:C626"/>
    <mergeCell ref="D624:E624"/>
    <mergeCell ref="F624:G624"/>
    <mergeCell ref="F583:G583"/>
    <mergeCell ref="B584:C584"/>
    <mergeCell ref="D584:E584"/>
    <mergeCell ref="D596:E596"/>
    <mergeCell ref="B591:C591"/>
    <mergeCell ref="D591:E591"/>
    <mergeCell ref="F591:G591"/>
    <mergeCell ref="B587:C587"/>
    <mergeCell ref="F565:G565"/>
    <mergeCell ref="B577:C577"/>
    <mergeCell ref="D577:E577"/>
    <mergeCell ref="F577:G577"/>
    <mergeCell ref="M508:N508"/>
    <mergeCell ref="M507:N507"/>
    <mergeCell ref="B510:C510"/>
    <mergeCell ref="D510:E510"/>
    <mergeCell ref="F510:G510"/>
    <mergeCell ref="M510:N510"/>
    <mergeCell ref="F509:G509"/>
    <mergeCell ref="M509:N509"/>
    <mergeCell ref="F505:G505"/>
    <mergeCell ref="M505:N505"/>
    <mergeCell ref="B506:C506"/>
    <mergeCell ref="D506:E506"/>
    <mergeCell ref="F601:G601"/>
    <mergeCell ref="B562:C562"/>
    <mergeCell ref="B561:C561"/>
    <mergeCell ref="F571:G571"/>
    <mergeCell ref="B564:C564"/>
    <mergeCell ref="D588:E588"/>
    <mergeCell ref="F588:G588"/>
    <mergeCell ref="B588:C588"/>
    <mergeCell ref="F589:G589"/>
    <mergeCell ref="F576:G576"/>
    <mergeCell ref="B560:C560"/>
    <mergeCell ref="D560:E560"/>
    <mergeCell ref="D600:E600"/>
    <mergeCell ref="F600:G600"/>
    <mergeCell ref="B571:C571"/>
    <mergeCell ref="D571:E571"/>
    <mergeCell ref="M588:N588"/>
    <mergeCell ref="M579:N579"/>
    <mergeCell ref="M576:N576"/>
    <mergeCell ref="M577:N577"/>
    <mergeCell ref="M536:N536"/>
    <mergeCell ref="M541:N541"/>
    <mergeCell ref="M538:N538"/>
    <mergeCell ref="B539:C539"/>
    <mergeCell ref="M550:N550"/>
    <mergeCell ref="B540:C540"/>
    <mergeCell ref="D540:E540"/>
    <mergeCell ref="F540:G540"/>
    <mergeCell ref="M540:N540"/>
    <mergeCell ref="B549:C549"/>
    <mergeCell ref="B541:C541"/>
    <mergeCell ref="D541:E541"/>
    <mergeCell ref="D550:E550"/>
    <mergeCell ref="F550:G550"/>
    <mergeCell ref="F531:G531"/>
    <mergeCell ref="D549:E549"/>
    <mergeCell ref="D544:E544"/>
    <mergeCell ref="F544:G544"/>
    <mergeCell ref="D532:E532"/>
    <mergeCell ref="F532:G532"/>
    <mergeCell ref="B532:C532"/>
    <mergeCell ref="F541:G541"/>
    <mergeCell ref="M547:N547"/>
    <mergeCell ref="M531:N531"/>
    <mergeCell ref="M532:N532"/>
    <mergeCell ref="M533:N533"/>
    <mergeCell ref="M535:N535"/>
    <mergeCell ref="B534:C534"/>
    <mergeCell ref="D534:E534"/>
    <mergeCell ref="B533:C533"/>
    <mergeCell ref="D533:E533"/>
    <mergeCell ref="B550:C550"/>
    <mergeCell ref="B451:C451"/>
    <mergeCell ref="D451:E451"/>
    <mergeCell ref="F451:G451"/>
    <mergeCell ref="M451:N451"/>
    <mergeCell ref="B448:C448"/>
    <mergeCell ref="D448:E448"/>
    <mergeCell ref="F448:G448"/>
    <mergeCell ref="M448:N448"/>
    <mergeCell ref="B449:C449"/>
    <mergeCell ref="D449:E449"/>
    <mergeCell ref="F449:G449"/>
    <mergeCell ref="M449:N449"/>
    <mergeCell ref="B454:C454"/>
    <mergeCell ref="D454:E454"/>
    <mergeCell ref="F454:G454"/>
    <mergeCell ref="M454:N454"/>
    <mergeCell ref="B455:C455"/>
    <mergeCell ref="D455:E455"/>
    <mergeCell ref="F455:G455"/>
    <mergeCell ref="M455:N455"/>
    <mergeCell ref="B452:C452"/>
    <mergeCell ref="D452:E452"/>
    <mergeCell ref="F452:G452"/>
    <mergeCell ref="M452:N452"/>
    <mergeCell ref="B453:C453"/>
    <mergeCell ref="D453:E453"/>
    <mergeCell ref="F453:G453"/>
    <mergeCell ref="F459:G459"/>
    <mergeCell ref="M459:N459"/>
    <mergeCell ref="B456:C456"/>
    <mergeCell ref="D456:E456"/>
    <mergeCell ref="F456:G456"/>
    <mergeCell ref="M456:N456"/>
    <mergeCell ref="B457:C457"/>
    <mergeCell ref="D457:E457"/>
    <mergeCell ref="F457:G457"/>
    <mergeCell ref="M457:N457"/>
    <mergeCell ref="B462:C462"/>
    <mergeCell ref="D462:E462"/>
    <mergeCell ref="F462:G462"/>
    <mergeCell ref="M462:N462"/>
    <mergeCell ref="B463:C463"/>
    <mergeCell ref="D463:E463"/>
    <mergeCell ref="F463:G463"/>
    <mergeCell ref="M463:N463"/>
    <mergeCell ref="B460:C460"/>
    <mergeCell ref="D460:E460"/>
    <mergeCell ref="F460:G460"/>
    <mergeCell ref="M460:N460"/>
    <mergeCell ref="B461:C461"/>
    <mergeCell ref="D461:E461"/>
    <mergeCell ref="F461:G461"/>
    <mergeCell ref="M461:N461"/>
    <mergeCell ref="D466:E466"/>
    <mergeCell ref="F466:G466"/>
    <mergeCell ref="M466:N466"/>
    <mergeCell ref="B467:C467"/>
    <mergeCell ref="D467:E467"/>
    <mergeCell ref="F467:G467"/>
    <mergeCell ref="M467:N467"/>
    <mergeCell ref="M471:N471"/>
    <mergeCell ref="B464:C464"/>
    <mergeCell ref="D464:E464"/>
    <mergeCell ref="F464:G464"/>
    <mergeCell ref="M464:N464"/>
    <mergeCell ref="B465:C465"/>
    <mergeCell ref="D465:E465"/>
    <mergeCell ref="F465:G465"/>
    <mergeCell ref="M465:N465"/>
    <mergeCell ref="B466:C466"/>
    <mergeCell ref="B473:C473"/>
    <mergeCell ref="D473:E473"/>
    <mergeCell ref="M469:N469"/>
    <mergeCell ref="B470:C470"/>
    <mergeCell ref="D470:E470"/>
    <mergeCell ref="F470:G470"/>
    <mergeCell ref="M470:N470"/>
    <mergeCell ref="B471:C471"/>
    <mergeCell ref="D471:E471"/>
    <mergeCell ref="F471:G471"/>
    <mergeCell ref="B468:C468"/>
    <mergeCell ref="D468:E468"/>
    <mergeCell ref="F468:G468"/>
    <mergeCell ref="M468:N468"/>
    <mergeCell ref="B469:C469"/>
    <mergeCell ref="D469:E469"/>
    <mergeCell ref="F469:G469"/>
    <mergeCell ref="F473:G473"/>
    <mergeCell ref="M473:N473"/>
    <mergeCell ref="B474:C474"/>
    <mergeCell ref="D474:E474"/>
    <mergeCell ref="F474:G474"/>
    <mergeCell ref="M474:N474"/>
    <mergeCell ref="B475:C475"/>
    <mergeCell ref="B476:C476"/>
    <mergeCell ref="M476:N476"/>
    <mergeCell ref="B479:C479"/>
    <mergeCell ref="D479:E479"/>
    <mergeCell ref="F479:G479"/>
    <mergeCell ref="M479:N479"/>
    <mergeCell ref="B480:C480"/>
    <mergeCell ref="D480:E480"/>
    <mergeCell ref="F480:G480"/>
    <mergeCell ref="M480:N480"/>
    <mergeCell ref="F483:G483"/>
    <mergeCell ref="M483:N483"/>
    <mergeCell ref="B477:C477"/>
    <mergeCell ref="D477:E477"/>
    <mergeCell ref="F477:G477"/>
    <mergeCell ref="M477:N477"/>
    <mergeCell ref="B478:C478"/>
    <mergeCell ref="D478:E478"/>
    <mergeCell ref="F478:G478"/>
    <mergeCell ref="M478:N478"/>
    <mergeCell ref="B485:E485"/>
    <mergeCell ref="B486:E486"/>
    <mergeCell ref="B482:C482"/>
    <mergeCell ref="D482:E482"/>
    <mergeCell ref="F482:G482"/>
    <mergeCell ref="M482:N482"/>
    <mergeCell ref="B483:C483"/>
    <mergeCell ref="D483:E483"/>
    <mergeCell ref="I402:L402"/>
    <mergeCell ref="B403:C403"/>
    <mergeCell ref="D403:E403"/>
    <mergeCell ref="F403:G403"/>
    <mergeCell ref="M403:N403"/>
    <mergeCell ref="B404:C404"/>
    <mergeCell ref="D404:E404"/>
    <mergeCell ref="F404:G404"/>
    <mergeCell ref="M404:N404"/>
    <mergeCell ref="B405:C405"/>
    <mergeCell ref="D405:E405"/>
    <mergeCell ref="F405:G405"/>
    <mergeCell ref="M405:N405"/>
    <mergeCell ref="B406:C406"/>
    <mergeCell ref="D406:E406"/>
    <mergeCell ref="F406:G406"/>
    <mergeCell ref="M406:N406"/>
    <mergeCell ref="B407:C407"/>
    <mergeCell ref="D407:E407"/>
    <mergeCell ref="F407:G407"/>
    <mergeCell ref="M407:N407"/>
    <mergeCell ref="B408:C408"/>
    <mergeCell ref="D408:E408"/>
    <mergeCell ref="F408:G408"/>
    <mergeCell ref="M408:N408"/>
    <mergeCell ref="B409:C409"/>
    <mergeCell ref="D409:E409"/>
    <mergeCell ref="F409:G409"/>
    <mergeCell ref="M409:N409"/>
    <mergeCell ref="B410:C410"/>
    <mergeCell ref="D410:E410"/>
    <mergeCell ref="F410:G410"/>
    <mergeCell ref="M410:N410"/>
    <mergeCell ref="B411:C411"/>
    <mergeCell ref="D411:E411"/>
    <mergeCell ref="F411:G411"/>
    <mergeCell ref="M411:N411"/>
    <mergeCell ref="B412:C412"/>
    <mergeCell ref="D412:E412"/>
    <mergeCell ref="F412:G412"/>
    <mergeCell ref="M412:N412"/>
    <mergeCell ref="B413:C413"/>
    <mergeCell ref="D413:E413"/>
    <mergeCell ref="F413:G413"/>
    <mergeCell ref="M413:N413"/>
    <mergeCell ref="B414:C414"/>
    <mergeCell ref="D414:E414"/>
    <mergeCell ref="F414:G414"/>
    <mergeCell ref="M414:N414"/>
    <mergeCell ref="B415:C415"/>
    <mergeCell ref="D415:E415"/>
    <mergeCell ref="F415:G415"/>
    <mergeCell ref="M415:N415"/>
    <mergeCell ref="B416:C416"/>
    <mergeCell ref="D416:E416"/>
    <mergeCell ref="F416:G416"/>
    <mergeCell ref="M416:N416"/>
    <mergeCell ref="B417:C417"/>
    <mergeCell ref="D417:E417"/>
    <mergeCell ref="F417:G417"/>
    <mergeCell ref="M417:N417"/>
    <mergeCell ref="B418:C418"/>
    <mergeCell ref="D418:E418"/>
    <mergeCell ref="F418:G418"/>
    <mergeCell ref="M418:N418"/>
    <mergeCell ref="B419:C419"/>
    <mergeCell ref="D419:E419"/>
    <mergeCell ref="F419:G419"/>
    <mergeCell ref="M419:N419"/>
    <mergeCell ref="B420:C420"/>
    <mergeCell ref="D420:E420"/>
    <mergeCell ref="F420:G420"/>
    <mergeCell ref="M420:N420"/>
    <mergeCell ref="B421:C421"/>
    <mergeCell ref="D421:E421"/>
    <mergeCell ref="F421:G421"/>
    <mergeCell ref="M421:N421"/>
    <mergeCell ref="B422:C422"/>
    <mergeCell ref="D422:E422"/>
    <mergeCell ref="F422:G422"/>
    <mergeCell ref="M422:N422"/>
    <mergeCell ref="B423:C423"/>
    <mergeCell ref="D423:E423"/>
    <mergeCell ref="F423:G423"/>
    <mergeCell ref="M423:N423"/>
    <mergeCell ref="B424:C424"/>
    <mergeCell ref="D424:E424"/>
    <mergeCell ref="F424:G424"/>
    <mergeCell ref="M424:N424"/>
    <mergeCell ref="B425:C425"/>
    <mergeCell ref="D425:E425"/>
    <mergeCell ref="F425:G425"/>
    <mergeCell ref="M425:N425"/>
    <mergeCell ref="B426:C426"/>
    <mergeCell ref="D426:E426"/>
    <mergeCell ref="F426:G426"/>
    <mergeCell ref="M426:N426"/>
    <mergeCell ref="B427:C427"/>
    <mergeCell ref="D427:E427"/>
    <mergeCell ref="F427:G427"/>
    <mergeCell ref="M427:N427"/>
    <mergeCell ref="B428:C428"/>
    <mergeCell ref="D428:E428"/>
    <mergeCell ref="F428:G428"/>
    <mergeCell ref="M428:N428"/>
    <mergeCell ref="B429:C429"/>
    <mergeCell ref="D429:E429"/>
    <mergeCell ref="F429:G429"/>
    <mergeCell ref="M429:N429"/>
    <mergeCell ref="B430:C430"/>
    <mergeCell ref="D430:E430"/>
    <mergeCell ref="F430:G430"/>
    <mergeCell ref="M430:N430"/>
    <mergeCell ref="B431:C431"/>
    <mergeCell ref="D431:E431"/>
    <mergeCell ref="F431:G431"/>
    <mergeCell ref="M431:N431"/>
    <mergeCell ref="B432:C432"/>
    <mergeCell ref="B433:C433"/>
    <mergeCell ref="D433:E433"/>
    <mergeCell ref="F433:G433"/>
    <mergeCell ref="M433:N433"/>
    <mergeCell ref="B434:C434"/>
    <mergeCell ref="D434:E434"/>
    <mergeCell ref="F434:G434"/>
    <mergeCell ref="M434:N434"/>
    <mergeCell ref="B435:C435"/>
    <mergeCell ref="D435:E435"/>
    <mergeCell ref="F435:G435"/>
    <mergeCell ref="M435:N435"/>
    <mergeCell ref="B436:C436"/>
    <mergeCell ref="D436:E436"/>
    <mergeCell ref="F436:G436"/>
    <mergeCell ref="M436:N436"/>
    <mergeCell ref="B437:C437"/>
    <mergeCell ref="D437:E437"/>
    <mergeCell ref="F437:G437"/>
    <mergeCell ref="M437:N437"/>
    <mergeCell ref="B438:C438"/>
    <mergeCell ref="D438:E438"/>
    <mergeCell ref="F438:G438"/>
    <mergeCell ref="M438:N438"/>
    <mergeCell ref="B439:C439"/>
    <mergeCell ref="D439:E439"/>
    <mergeCell ref="F439:G439"/>
    <mergeCell ref="M439:N439"/>
    <mergeCell ref="B440:C440"/>
    <mergeCell ref="D440:E440"/>
    <mergeCell ref="F440:G440"/>
    <mergeCell ref="M440:N440"/>
    <mergeCell ref="B442:E442"/>
    <mergeCell ref="B443:E443"/>
    <mergeCell ref="I331:L331"/>
    <mergeCell ref="B332:C332"/>
    <mergeCell ref="D332:E332"/>
    <mergeCell ref="F332:G332"/>
    <mergeCell ref="M332:N332"/>
    <mergeCell ref="B333:C333"/>
    <mergeCell ref="D333:E333"/>
    <mergeCell ref="F333:G333"/>
    <mergeCell ref="M333:N333"/>
    <mergeCell ref="B334:C334"/>
    <mergeCell ref="D334:E334"/>
    <mergeCell ref="F334:G334"/>
    <mergeCell ref="M334:N334"/>
    <mergeCell ref="B335:C335"/>
    <mergeCell ref="D335:E335"/>
    <mergeCell ref="F335:G335"/>
    <mergeCell ref="M335:N335"/>
    <mergeCell ref="B336:C336"/>
    <mergeCell ref="D336:E336"/>
    <mergeCell ref="F336:G336"/>
    <mergeCell ref="M336:N336"/>
    <mergeCell ref="B337:C337"/>
    <mergeCell ref="D337:E337"/>
    <mergeCell ref="F337:G337"/>
    <mergeCell ref="M337:N337"/>
    <mergeCell ref="B338:C338"/>
    <mergeCell ref="D338:E338"/>
    <mergeCell ref="F338:G338"/>
    <mergeCell ref="M338:N338"/>
    <mergeCell ref="B339:C339"/>
    <mergeCell ref="D339:E339"/>
    <mergeCell ref="F339:G339"/>
    <mergeCell ref="M339:N339"/>
    <mergeCell ref="B340:C340"/>
    <mergeCell ref="D340:E340"/>
    <mergeCell ref="F340:G340"/>
    <mergeCell ref="M340:N340"/>
    <mergeCell ref="B341:C341"/>
    <mergeCell ref="D341:E341"/>
    <mergeCell ref="F341:G341"/>
    <mergeCell ref="M341:N341"/>
    <mergeCell ref="B343:C343"/>
    <mergeCell ref="D343:E343"/>
    <mergeCell ref="F343:G343"/>
    <mergeCell ref="M343:N343"/>
    <mergeCell ref="B344:C344"/>
    <mergeCell ref="D344:E344"/>
    <mergeCell ref="F344:G344"/>
    <mergeCell ref="M344:N344"/>
    <mergeCell ref="B346:C346"/>
    <mergeCell ref="D346:E346"/>
    <mergeCell ref="F346:G346"/>
    <mergeCell ref="M346:N346"/>
    <mergeCell ref="B347:C347"/>
    <mergeCell ref="D347:E347"/>
    <mergeCell ref="F347:G347"/>
    <mergeCell ref="M347:N347"/>
    <mergeCell ref="B342:C342"/>
    <mergeCell ref="D342:E342"/>
    <mergeCell ref="F342:G342"/>
    <mergeCell ref="M342:N342"/>
    <mergeCell ref="B345:C345"/>
    <mergeCell ref="D345:E345"/>
    <mergeCell ref="F345:G345"/>
    <mergeCell ref="M345:N345"/>
    <mergeCell ref="M357:N357"/>
    <mergeCell ref="B363:C363"/>
    <mergeCell ref="D363:E363"/>
    <mergeCell ref="F363:G363"/>
    <mergeCell ref="M363:N363"/>
    <mergeCell ref="B356:C356"/>
    <mergeCell ref="D356:E356"/>
    <mergeCell ref="F361:G361"/>
    <mergeCell ref="M361:N361"/>
    <mergeCell ref="I368:L368"/>
    <mergeCell ref="B369:C369"/>
    <mergeCell ref="D369:E369"/>
    <mergeCell ref="F348:G348"/>
    <mergeCell ref="M348:N348"/>
    <mergeCell ref="B349:C349"/>
    <mergeCell ref="D349:E349"/>
    <mergeCell ref="F349:G349"/>
    <mergeCell ref="M349:N349"/>
    <mergeCell ref="B350:C350"/>
    <mergeCell ref="D350:E350"/>
    <mergeCell ref="F350:G350"/>
    <mergeCell ref="M350:N350"/>
    <mergeCell ref="B351:C351"/>
    <mergeCell ref="D351:E351"/>
    <mergeCell ref="F351:G351"/>
    <mergeCell ref="M351:N351"/>
    <mergeCell ref="B352:C352"/>
    <mergeCell ref="D352:E352"/>
    <mergeCell ref="F352:G352"/>
    <mergeCell ref="M352:N352"/>
    <mergeCell ref="B348:C348"/>
    <mergeCell ref="D348:E348"/>
    <mergeCell ref="B395:C395"/>
    <mergeCell ref="D395:E395"/>
    <mergeCell ref="F395:G395"/>
    <mergeCell ref="M395:N395"/>
    <mergeCell ref="B359:C359"/>
    <mergeCell ref="D359:E359"/>
    <mergeCell ref="F359:G359"/>
    <mergeCell ref="M359:N359"/>
    <mergeCell ref="B361:C361"/>
    <mergeCell ref="D361:E361"/>
    <mergeCell ref="B365:E365"/>
    <mergeCell ref="B366:E366"/>
    <mergeCell ref="B373:C373"/>
    <mergeCell ref="D373:E373"/>
    <mergeCell ref="F373:G373"/>
    <mergeCell ref="B353:C353"/>
    <mergeCell ref="D353:E353"/>
    <mergeCell ref="F353:G353"/>
    <mergeCell ref="M353:N353"/>
    <mergeCell ref="B354:C354"/>
    <mergeCell ref="D354:E354"/>
    <mergeCell ref="F354:G354"/>
    <mergeCell ref="M354:N354"/>
    <mergeCell ref="B355:C355"/>
    <mergeCell ref="D355:E355"/>
    <mergeCell ref="F355:G355"/>
    <mergeCell ref="M355:N355"/>
    <mergeCell ref="F356:G356"/>
    <mergeCell ref="M356:N356"/>
    <mergeCell ref="B357:C357"/>
    <mergeCell ref="D357:E357"/>
    <mergeCell ref="F357:G357"/>
    <mergeCell ref="B358:C358"/>
    <mergeCell ref="D358:E358"/>
    <mergeCell ref="F358:G358"/>
    <mergeCell ref="M358:N358"/>
    <mergeCell ref="B362:C362"/>
    <mergeCell ref="D362:E362"/>
    <mergeCell ref="F362:G362"/>
    <mergeCell ref="M362:N362"/>
    <mergeCell ref="B376:C376"/>
    <mergeCell ref="D376:E376"/>
    <mergeCell ref="F376:G376"/>
    <mergeCell ref="M376:N376"/>
    <mergeCell ref="B374:C374"/>
    <mergeCell ref="D374:E374"/>
    <mergeCell ref="F374:G374"/>
    <mergeCell ref="M374:N374"/>
    <mergeCell ref="B375:C375"/>
    <mergeCell ref="D375:E375"/>
    <mergeCell ref="F375:G375"/>
    <mergeCell ref="M375:N375"/>
    <mergeCell ref="F369:G369"/>
    <mergeCell ref="M369:N369"/>
    <mergeCell ref="B370:C370"/>
    <mergeCell ref="D370:E370"/>
    <mergeCell ref="F370:G370"/>
    <mergeCell ref="M370:N370"/>
    <mergeCell ref="I245:L245"/>
    <mergeCell ref="B246:C246"/>
    <mergeCell ref="D246:E246"/>
    <mergeCell ref="F246:G246"/>
    <mergeCell ref="M246:N246"/>
    <mergeCell ref="B247:C247"/>
    <mergeCell ref="D247:E247"/>
    <mergeCell ref="F247:G247"/>
    <mergeCell ref="M247:N247"/>
    <mergeCell ref="B248:C248"/>
    <mergeCell ref="D248:E248"/>
    <mergeCell ref="F248:G248"/>
    <mergeCell ref="M248:N248"/>
    <mergeCell ref="B249:C249"/>
    <mergeCell ref="D249:E249"/>
    <mergeCell ref="F249:G249"/>
    <mergeCell ref="M249:N249"/>
    <mergeCell ref="B250:C250"/>
    <mergeCell ref="D250:E250"/>
    <mergeCell ref="F250:G250"/>
    <mergeCell ref="M250:N250"/>
    <mergeCell ref="B251:C251"/>
    <mergeCell ref="D251:E251"/>
    <mergeCell ref="F251:G251"/>
    <mergeCell ref="M251:N251"/>
    <mergeCell ref="B252:C252"/>
    <mergeCell ref="D252:E252"/>
    <mergeCell ref="F252:G252"/>
    <mergeCell ref="M252:N252"/>
    <mergeCell ref="B253:C253"/>
    <mergeCell ref="D253:E253"/>
    <mergeCell ref="F253:G253"/>
    <mergeCell ref="M253:N253"/>
    <mergeCell ref="B254:C254"/>
    <mergeCell ref="D254:E254"/>
    <mergeCell ref="F254:G254"/>
    <mergeCell ref="M254:N254"/>
    <mergeCell ref="B256:C256"/>
    <mergeCell ref="D256:E256"/>
    <mergeCell ref="F256:G256"/>
    <mergeCell ref="M256:N256"/>
    <mergeCell ref="B257:C257"/>
    <mergeCell ref="D257:E257"/>
    <mergeCell ref="F257:G257"/>
    <mergeCell ref="M257:N257"/>
    <mergeCell ref="B258:C258"/>
    <mergeCell ref="D258:E258"/>
    <mergeCell ref="F258:G258"/>
    <mergeCell ref="M258:N258"/>
    <mergeCell ref="B259:C259"/>
    <mergeCell ref="D259:E259"/>
    <mergeCell ref="F259:G259"/>
    <mergeCell ref="M259:N259"/>
    <mergeCell ref="B260:C260"/>
    <mergeCell ref="D260:E260"/>
    <mergeCell ref="F260:G260"/>
    <mergeCell ref="M260:N260"/>
    <mergeCell ref="B261:C261"/>
    <mergeCell ref="D261:E261"/>
    <mergeCell ref="F261:G261"/>
    <mergeCell ref="M261:N261"/>
    <mergeCell ref="B262:C262"/>
    <mergeCell ref="D262:E262"/>
    <mergeCell ref="F262:G262"/>
    <mergeCell ref="M262:N262"/>
    <mergeCell ref="B263:C263"/>
    <mergeCell ref="D263:E263"/>
    <mergeCell ref="F263:G263"/>
    <mergeCell ref="M263:N263"/>
    <mergeCell ref="B264:C264"/>
    <mergeCell ref="D264:E264"/>
    <mergeCell ref="F264:G264"/>
    <mergeCell ref="M264:N264"/>
    <mergeCell ref="B265:C265"/>
    <mergeCell ref="D265:E265"/>
    <mergeCell ref="F265:G265"/>
    <mergeCell ref="M265:N265"/>
    <mergeCell ref="B266:C266"/>
    <mergeCell ref="D266:E266"/>
    <mergeCell ref="F266:G266"/>
    <mergeCell ref="M266:N266"/>
    <mergeCell ref="B267:C267"/>
    <mergeCell ref="D267:E267"/>
    <mergeCell ref="F267:G267"/>
    <mergeCell ref="M267:N267"/>
    <mergeCell ref="B268:C268"/>
    <mergeCell ref="D268:E268"/>
    <mergeCell ref="F268:G268"/>
    <mergeCell ref="M268:N268"/>
    <mergeCell ref="B269:C269"/>
    <mergeCell ref="D269:E269"/>
    <mergeCell ref="F269:G269"/>
    <mergeCell ref="M269:N269"/>
    <mergeCell ref="B270:C270"/>
    <mergeCell ref="D270:E270"/>
    <mergeCell ref="F270:G270"/>
    <mergeCell ref="M270:N270"/>
    <mergeCell ref="F278:G278"/>
    <mergeCell ref="M278:N278"/>
    <mergeCell ref="B280:C280"/>
    <mergeCell ref="D280:E280"/>
    <mergeCell ref="F280:G280"/>
    <mergeCell ref="M280:N280"/>
    <mergeCell ref="B281:C281"/>
    <mergeCell ref="D281:E281"/>
    <mergeCell ref="F281:G281"/>
    <mergeCell ref="M281:N281"/>
    <mergeCell ref="B271:C271"/>
    <mergeCell ref="D271:E271"/>
    <mergeCell ref="F271:G271"/>
    <mergeCell ref="M271:N271"/>
    <mergeCell ref="B272:C272"/>
    <mergeCell ref="D272:E272"/>
    <mergeCell ref="F272:G272"/>
    <mergeCell ref="M272:N272"/>
    <mergeCell ref="B273:C273"/>
    <mergeCell ref="D273:E273"/>
    <mergeCell ref="F273:G273"/>
    <mergeCell ref="M273:N273"/>
    <mergeCell ref="B274:C274"/>
    <mergeCell ref="D274:E274"/>
    <mergeCell ref="F274:G274"/>
    <mergeCell ref="M274:N274"/>
    <mergeCell ref="B275:C275"/>
    <mergeCell ref="D275:E275"/>
    <mergeCell ref="F275:G275"/>
    <mergeCell ref="M275:N275"/>
    <mergeCell ref="B282:C282"/>
    <mergeCell ref="D282:E282"/>
    <mergeCell ref="F282:G282"/>
    <mergeCell ref="M282:N282"/>
    <mergeCell ref="B283:C283"/>
    <mergeCell ref="D283:E283"/>
    <mergeCell ref="F283:G283"/>
    <mergeCell ref="M283:N283"/>
    <mergeCell ref="B284:C284"/>
    <mergeCell ref="D284:E284"/>
    <mergeCell ref="F284:G284"/>
    <mergeCell ref="M284:N284"/>
    <mergeCell ref="B286:E286"/>
    <mergeCell ref="B287:E287"/>
    <mergeCell ref="B255:C255"/>
    <mergeCell ref="D255:E255"/>
    <mergeCell ref="F255:G255"/>
    <mergeCell ref="M255:N255"/>
    <mergeCell ref="B279:C279"/>
    <mergeCell ref="D279:E279"/>
    <mergeCell ref="F279:G279"/>
    <mergeCell ref="M279:N279"/>
    <mergeCell ref="B276:C276"/>
    <mergeCell ref="D276:E276"/>
    <mergeCell ref="F276:G276"/>
    <mergeCell ref="M276:N276"/>
    <mergeCell ref="B277:C277"/>
    <mergeCell ref="D277:E277"/>
    <mergeCell ref="F277:G277"/>
    <mergeCell ref="M277:N277"/>
    <mergeCell ref="B278:C278"/>
    <mergeCell ref="D278:E278"/>
    <mergeCell ref="I200:L200"/>
    <mergeCell ref="B201:C201"/>
    <mergeCell ref="D201:E201"/>
    <mergeCell ref="F201:G201"/>
    <mergeCell ref="M201:N201"/>
    <mergeCell ref="B202:C202"/>
    <mergeCell ref="D202:E202"/>
    <mergeCell ref="F202:G202"/>
    <mergeCell ref="M202:N202"/>
    <mergeCell ref="B203:C203"/>
    <mergeCell ref="D203:E203"/>
    <mergeCell ref="F203:G203"/>
    <mergeCell ref="M203:N203"/>
    <mergeCell ref="B204:C204"/>
    <mergeCell ref="D204:E204"/>
    <mergeCell ref="F204:G204"/>
    <mergeCell ref="M204:N204"/>
    <mergeCell ref="B205:C205"/>
    <mergeCell ref="D205:E205"/>
    <mergeCell ref="F205:G205"/>
    <mergeCell ref="M205:N205"/>
    <mergeCell ref="B206:C206"/>
    <mergeCell ref="D206:E206"/>
    <mergeCell ref="F206:G206"/>
    <mergeCell ref="M206:N206"/>
    <mergeCell ref="B207:C207"/>
    <mergeCell ref="D207:E207"/>
    <mergeCell ref="F207:G207"/>
    <mergeCell ref="M207:N207"/>
    <mergeCell ref="B208:C208"/>
    <mergeCell ref="D208:E208"/>
    <mergeCell ref="F208:G208"/>
    <mergeCell ref="M208:N208"/>
    <mergeCell ref="B209:C209"/>
    <mergeCell ref="D209:E209"/>
    <mergeCell ref="F209:G209"/>
    <mergeCell ref="M209:N209"/>
    <mergeCell ref="B210:C210"/>
    <mergeCell ref="D210:E210"/>
    <mergeCell ref="F210:G210"/>
    <mergeCell ref="M210:N210"/>
    <mergeCell ref="B211:C211"/>
    <mergeCell ref="D211:E211"/>
    <mergeCell ref="F211:G211"/>
    <mergeCell ref="M211:N211"/>
    <mergeCell ref="B212:C212"/>
    <mergeCell ref="D212:E212"/>
    <mergeCell ref="F212:G212"/>
    <mergeCell ref="M212:N212"/>
    <mergeCell ref="B213:C213"/>
    <mergeCell ref="D213:E213"/>
    <mergeCell ref="F213:G213"/>
    <mergeCell ref="M213:N213"/>
    <mergeCell ref="B214:C214"/>
    <mergeCell ref="D214:E214"/>
    <mergeCell ref="F214:G214"/>
    <mergeCell ref="M214:N214"/>
    <mergeCell ref="B215:C215"/>
    <mergeCell ref="D215:E215"/>
    <mergeCell ref="F215:G215"/>
    <mergeCell ref="M215:N215"/>
    <mergeCell ref="B216:C216"/>
    <mergeCell ref="D216:E216"/>
    <mergeCell ref="F216:G216"/>
    <mergeCell ref="M216:N216"/>
    <mergeCell ref="B217:C217"/>
    <mergeCell ref="D217:E217"/>
    <mergeCell ref="F217:G217"/>
    <mergeCell ref="M217:N217"/>
    <mergeCell ref="B218:C218"/>
    <mergeCell ref="D218:E218"/>
    <mergeCell ref="F218:G218"/>
    <mergeCell ref="M218:N218"/>
    <mergeCell ref="B219:C219"/>
    <mergeCell ref="D219:E219"/>
    <mergeCell ref="F219:G219"/>
    <mergeCell ref="M219:N219"/>
    <mergeCell ref="B220:C220"/>
    <mergeCell ref="D220:E220"/>
    <mergeCell ref="F220:G220"/>
    <mergeCell ref="M220:N220"/>
    <mergeCell ref="B221:C221"/>
    <mergeCell ref="D221:E221"/>
    <mergeCell ref="F221:G221"/>
    <mergeCell ref="M221:N221"/>
    <mergeCell ref="B222:C222"/>
    <mergeCell ref="D222:E222"/>
    <mergeCell ref="F222:G222"/>
    <mergeCell ref="M222:N222"/>
    <mergeCell ref="B223:C223"/>
    <mergeCell ref="D223:E223"/>
    <mergeCell ref="F223:G223"/>
    <mergeCell ref="M223:N223"/>
    <mergeCell ref="B224:C224"/>
    <mergeCell ref="D224:E224"/>
    <mergeCell ref="F224:G224"/>
    <mergeCell ref="M224:N224"/>
    <mergeCell ref="B225:C225"/>
    <mergeCell ref="D225:E225"/>
    <mergeCell ref="F225:G225"/>
    <mergeCell ref="M225:N225"/>
    <mergeCell ref="B226:C226"/>
    <mergeCell ref="D226:E226"/>
    <mergeCell ref="F226:G226"/>
    <mergeCell ref="M226:N226"/>
    <mergeCell ref="B227:C227"/>
    <mergeCell ref="D227:E227"/>
    <mergeCell ref="F227:G227"/>
    <mergeCell ref="M227:N227"/>
    <mergeCell ref="B228:C228"/>
    <mergeCell ref="D228:E228"/>
    <mergeCell ref="F228:G228"/>
    <mergeCell ref="M228:N228"/>
    <mergeCell ref="B229:C229"/>
    <mergeCell ref="D229:E229"/>
    <mergeCell ref="F229:G229"/>
    <mergeCell ref="M229:N229"/>
    <mergeCell ref="B230:C230"/>
    <mergeCell ref="D230:E230"/>
    <mergeCell ref="F230:G230"/>
    <mergeCell ref="M230:N230"/>
    <mergeCell ref="B231:C231"/>
    <mergeCell ref="D231:E231"/>
    <mergeCell ref="F231:G231"/>
    <mergeCell ref="M231:N231"/>
    <mergeCell ref="B232:C232"/>
    <mergeCell ref="D232:E232"/>
    <mergeCell ref="F232:G232"/>
    <mergeCell ref="M232:N232"/>
    <mergeCell ref="B233:C233"/>
    <mergeCell ref="D233:E233"/>
    <mergeCell ref="F233:G233"/>
    <mergeCell ref="M233:N233"/>
    <mergeCell ref="B234:C234"/>
    <mergeCell ref="D234:E234"/>
    <mergeCell ref="F234:G234"/>
    <mergeCell ref="M234:N234"/>
    <mergeCell ref="B242:E242"/>
    <mergeCell ref="B243:E243"/>
    <mergeCell ref="B236:C236"/>
    <mergeCell ref="D236:E236"/>
    <mergeCell ref="F236:G236"/>
    <mergeCell ref="M236:N236"/>
    <mergeCell ref="B237:C237"/>
    <mergeCell ref="D237:E237"/>
    <mergeCell ref="F237:G237"/>
    <mergeCell ref="M237:N237"/>
    <mergeCell ref="B238:C238"/>
    <mergeCell ref="D238:E238"/>
    <mergeCell ref="F238:G238"/>
    <mergeCell ref="M238:N238"/>
    <mergeCell ref="B239:C239"/>
    <mergeCell ref="D239:E239"/>
    <mergeCell ref="F239:G239"/>
    <mergeCell ref="M239:N239"/>
    <mergeCell ref="B240:C240"/>
    <mergeCell ref="D240:E240"/>
    <mergeCell ref="F240:G240"/>
    <mergeCell ref="M240:N240"/>
    <mergeCell ref="I161:L161"/>
    <mergeCell ref="B162:C162"/>
    <mergeCell ref="D162:E162"/>
    <mergeCell ref="F162:G162"/>
    <mergeCell ref="M162:N162"/>
    <mergeCell ref="B163:C163"/>
    <mergeCell ref="D163:E163"/>
    <mergeCell ref="F163:G163"/>
    <mergeCell ref="M163:N163"/>
    <mergeCell ref="B164:C164"/>
    <mergeCell ref="D164:E164"/>
    <mergeCell ref="F164:G164"/>
    <mergeCell ref="M164:N164"/>
    <mergeCell ref="B165:C165"/>
    <mergeCell ref="D165:E165"/>
    <mergeCell ref="F165:G165"/>
    <mergeCell ref="M165:N165"/>
    <mergeCell ref="F172:G172"/>
    <mergeCell ref="M172:N172"/>
    <mergeCell ref="B166:C166"/>
    <mergeCell ref="D166:E166"/>
    <mergeCell ref="F166:G166"/>
    <mergeCell ref="M166:N166"/>
    <mergeCell ref="B167:C167"/>
    <mergeCell ref="D167:E167"/>
    <mergeCell ref="F167:G167"/>
    <mergeCell ref="M167:N167"/>
    <mergeCell ref="B168:C168"/>
    <mergeCell ref="D168:E168"/>
    <mergeCell ref="F168:G168"/>
    <mergeCell ref="M168:N168"/>
    <mergeCell ref="B169:C169"/>
    <mergeCell ref="D169:E169"/>
    <mergeCell ref="F169:G169"/>
    <mergeCell ref="M169:N169"/>
    <mergeCell ref="B170:C170"/>
    <mergeCell ref="D170:E170"/>
    <mergeCell ref="F170:G170"/>
    <mergeCell ref="M170:N170"/>
    <mergeCell ref="B183:C183"/>
    <mergeCell ref="D183:E183"/>
    <mergeCell ref="F183:G183"/>
    <mergeCell ref="M183:N183"/>
    <mergeCell ref="B184:C184"/>
    <mergeCell ref="D184:E184"/>
    <mergeCell ref="F184:G184"/>
    <mergeCell ref="M184:N184"/>
    <mergeCell ref="B185:C185"/>
    <mergeCell ref="D185:E185"/>
    <mergeCell ref="B171:C171"/>
    <mergeCell ref="D171:E171"/>
    <mergeCell ref="F171:G171"/>
    <mergeCell ref="M171:N171"/>
    <mergeCell ref="B173:C173"/>
    <mergeCell ref="D173:E173"/>
    <mergeCell ref="F173:G173"/>
    <mergeCell ref="M173:N173"/>
    <mergeCell ref="B174:C174"/>
    <mergeCell ref="D174:E174"/>
    <mergeCell ref="F174:G174"/>
    <mergeCell ref="M174:N174"/>
    <mergeCell ref="B175:C175"/>
    <mergeCell ref="D175:E175"/>
    <mergeCell ref="F175:G175"/>
    <mergeCell ref="M175:N175"/>
    <mergeCell ref="B176:C176"/>
    <mergeCell ref="D176:E176"/>
    <mergeCell ref="F176:G176"/>
    <mergeCell ref="M176:N176"/>
    <mergeCell ref="B172:C172"/>
    <mergeCell ref="D172:E172"/>
    <mergeCell ref="F190:G190"/>
    <mergeCell ref="F191:G191"/>
    <mergeCell ref="B194:C194"/>
    <mergeCell ref="D194:E194"/>
    <mergeCell ref="F194:G194"/>
    <mergeCell ref="M194:N194"/>
    <mergeCell ref="B190:C190"/>
    <mergeCell ref="D190:E190"/>
    <mergeCell ref="B191:C191"/>
    <mergeCell ref="D191:E191"/>
    <mergeCell ref="M191:N191"/>
    <mergeCell ref="M190:N190"/>
    <mergeCell ref="B178:C178"/>
    <mergeCell ref="D178:E178"/>
    <mergeCell ref="F178:G178"/>
    <mergeCell ref="M178:N178"/>
    <mergeCell ref="B179:C179"/>
    <mergeCell ref="D179:E179"/>
    <mergeCell ref="F179:G179"/>
    <mergeCell ref="M179:N179"/>
    <mergeCell ref="B180:C180"/>
    <mergeCell ref="D180:E180"/>
    <mergeCell ref="F180:G180"/>
    <mergeCell ref="M180:N180"/>
    <mergeCell ref="B181:C181"/>
    <mergeCell ref="D181:E181"/>
    <mergeCell ref="F181:G181"/>
    <mergeCell ref="M181:N181"/>
    <mergeCell ref="B182:C182"/>
    <mergeCell ref="D182:E182"/>
    <mergeCell ref="F182:G182"/>
    <mergeCell ref="M182:N182"/>
    <mergeCell ref="F185:G185"/>
    <mergeCell ref="M185:N185"/>
    <mergeCell ref="B186:C186"/>
    <mergeCell ref="D186:E186"/>
    <mergeCell ref="F186:G186"/>
    <mergeCell ref="M186:N186"/>
    <mergeCell ref="B187:C187"/>
    <mergeCell ref="D187:E187"/>
    <mergeCell ref="F187:G187"/>
    <mergeCell ref="M187:N187"/>
    <mergeCell ref="B195:C195"/>
    <mergeCell ref="D195:E195"/>
    <mergeCell ref="F195:G195"/>
    <mergeCell ref="M195:N195"/>
    <mergeCell ref="B197:E197"/>
    <mergeCell ref="B198:E198"/>
    <mergeCell ref="B188:C188"/>
    <mergeCell ref="D188:E188"/>
    <mergeCell ref="F188:G188"/>
    <mergeCell ref="M188:N188"/>
    <mergeCell ref="B189:C189"/>
    <mergeCell ref="D189:E189"/>
    <mergeCell ref="F189:G189"/>
    <mergeCell ref="M189:N189"/>
    <mergeCell ref="B192:C192"/>
    <mergeCell ref="D192:E192"/>
    <mergeCell ref="F192:G192"/>
    <mergeCell ref="M192:N192"/>
    <mergeCell ref="B193:C193"/>
    <mergeCell ref="D193:E193"/>
    <mergeCell ref="F193:G193"/>
    <mergeCell ref="M193:N193"/>
    <mergeCell ref="I121:L121"/>
    <mergeCell ref="B122:C122"/>
    <mergeCell ref="D122:E122"/>
    <mergeCell ref="F122:G122"/>
    <mergeCell ref="M122:N122"/>
    <mergeCell ref="B123:C123"/>
    <mergeCell ref="D123:E123"/>
    <mergeCell ref="F123:G123"/>
    <mergeCell ref="M123:N123"/>
    <mergeCell ref="B124:C124"/>
    <mergeCell ref="D124:E124"/>
    <mergeCell ref="F124:G124"/>
    <mergeCell ref="M124:N124"/>
    <mergeCell ref="B125:C125"/>
    <mergeCell ref="D125:E125"/>
    <mergeCell ref="F125:G125"/>
    <mergeCell ref="M125:N125"/>
    <mergeCell ref="B136:C136"/>
    <mergeCell ref="D136:E136"/>
    <mergeCell ref="F136:G136"/>
    <mergeCell ref="M136:N136"/>
    <mergeCell ref="B126:C126"/>
    <mergeCell ref="D126:E126"/>
    <mergeCell ref="F126:G126"/>
    <mergeCell ref="M126:N126"/>
    <mergeCell ref="B127:C127"/>
    <mergeCell ref="D127:E127"/>
    <mergeCell ref="F127:G127"/>
    <mergeCell ref="M127:N127"/>
    <mergeCell ref="B128:C128"/>
    <mergeCell ref="D128:E128"/>
    <mergeCell ref="F128:G128"/>
    <mergeCell ref="M128:N128"/>
    <mergeCell ref="B129:C129"/>
    <mergeCell ref="D129:E129"/>
    <mergeCell ref="F129:G129"/>
    <mergeCell ref="M129:N129"/>
    <mergeCell ref="B130:C130"/>
    <mergeCell ref="D130:E130"/>
    <mergeCell ref="F130:G130"/>
    <mergeCell ref="M130:N130"/>
    <mergeCell ref="B132:C132"/>
    <mergeCell ref="D132:E132"/>
    <mergeCell ref="F132:G132"/>
    <mergeCell ref="M132:N132"/>
    <mergeCell ref="B138:C138"/>
    <mergeCell ref="D138:E138"/>
    <mergeCell ref="F138:G138"/>
    <mergeCell ref="M138:N138"/>
    <mergeCell ref="B139:C139"/>
    <mergeCell ref="D139:E139"/>
    <mergeCell ref="F139:G139"/>
    <mergeCell ref="M139:N139"/>
    <mergeCell ref="B140:C140"/>
    <mergeCell ref="D140:E140"/>
    <mergeCell ref="F140:G140"/>
    <mergeCell ref="M140:N140"/>
    <mergeCell ref="B141:C141"/>
    <mergeCell ref="D141:E141"/>
    <mergeCell ref="F141:G141"/>
    <mergeCell ref="M141:N141"/>
    <mergeCell ref="B131:C131"/>
    <mergeCell ref="D131:E131"/>
    <mergeCell ref="F131:G131"/>
    <mergeCell ref="M131:N131"/>
    <mergeCell ref="B133:C133"/>
    <mergeCell ref="D133:E133"/>
    <mergeCell ref="F133:G133"/>
    <mergeCell ref="M133:N133"/>
    <mergeCell ref="B134:C134"/>
    <mergeCell ref="D134:E134"/>
    <mergeCell ref="F134:G134"/>
    <mergeCell ref="M134:N134"/>
    <mergeCell ref="B135:C135"/>
    <mergeCell ref="D135:E135"/>
    <mergeCell ref="F135:G135"/>
    <mergeCell ref="M135:N135"/>
    <mergeCell ref="B142:C142"/>
    <mergeCell ref="D142:E142"/>
    <mergeCell ref="F142:G142"/>
    <mergeCell ref="M142:N142"/>
    <mergeCell ref="B143:C143"/>
    <mergeCell ref="D143:E143"/>
    <mergeCell ref="F143:G143"/>
    <mergeCell ref="M143:N143"/>
    <mergeCell ref="B144:C144"/>
    <mergeCell ref="D144:E144"/>
    <mergeCell ref="F144:G144"/>
    <mergeCell ref="M144:N144"/>
    <mergeCell ref="B145:C145"/>
    <mergeCell ref="D145:E145"/>
    <mergeCell ref="F145:G145"/>
    <mergeCell ref="M145:N145"/>
    <mergeCell ref="B146:C146"/>
    <mergeCell ref="D146:E146"/>
    <mergeCell ref="F146:G146"/>
    <mergeCell ref="M146:N146"/>
    <mergeCell ref="B147:C147"/>
    <mergeCell ref="D147:E147"/>
    <mergeCell ref="F147:G147"/>
    <mergeCell ref="M147:N147"/>
    <mergeCell ref="B148:C148"/>
    <mergeCell ref="D148:E148"/>
    <mergeCell ref="F148:G148"/>
    <mergeCell ref="M148:N148"/>
    <mergeCell ref="B149:C149"/>
    <mergeCell ref="D149:E149"/>
    <mergeCell ref="F149:G149"/>
    <mergeCell ref="M149:N149"/>
    <mergeCell ref="B150:C150"/>
    <mergeCell ref="D150:E150"/>
    <mergeCell ref="F150:G150"/>
    <mergeCell ref="M150:N150"/>
    <mergeCell ref="B151:C151"/>
    <mergeCell ref="D151:E151"/>
    <mergeCell ref="F151:G151"/>
    <mergeCell ref="M151:N151"/>
    <mergeCell ref="B158:E158"/>
    <mergeCell ref="B159:E159"/>
    <mergeCell ref="B152:C152"/>
    <mergeCell ref="D152:E152"/>
    <mergeCell ref="F152:G152"/>
    <mergeCell ref="M152:N152"/>
    <mergeCell ref="B153:C153"/>
    <mergeCell ref="D153:E153"/>
    <mergeCell ref="F153:G153"/>
    <mergeCell ref="M153:N153"/>
    <mergeCell ref="B154:C154"/>
    <mergeCell ref="D154:E154"/>
    <mergeCell ref="F154:G154"/>
    <mergeCell ref="M154:N154"/>
    <mergeCell ref="B155:C155"/>
    <mergeCell ref="D155:E155"/>
    <mergeCell ref="F155:G155"/>
    <mergeCell ref="M155:N155"/>
    <mergeCell ref="B156:C156"/>
    <mergeCell ref="D156:E156"/>
    <mergeCell ref="F156:G156"/>
    <mergeCell ref="M156:N156"/>
    <mergeCell ref="I81:L81"/>
    <mergeCell ref="B82:C82"/>
    <mergeCell ref="D82:E82"/>
    <mergeCell ref="F82:G82"/>
    <mergeCell ref="M82:N82"/>
    <mergeCell ref="B83:C83"/>
    <mergeCell ref="D83:E83"/>
    <mergeCell ref="F83:G83"/>
    <mergeCell ref="M83:N83"/>
    <mergeCell ref="B84:C84"/>
    <mergeCell ref="D84:E84"/>
    <mergeCell ref="F84:G84"/>
    <mergeCell ref="M84:N84"/>
    <mergeCell ref="B85:C85"/>
    <mergeCell ref="D85:E85"/>
    <mergeCell ref="F85:G85"/>
    <mergeCell ref="M85:N85"/>
    <mergeCell ref="B86:C86"/>
    <mergeCell ref="D86:E86"/>
    <mergeCell ref="F86:G86"/>
    <mergeCell ref="M86:N86"/>
    <mergeCell ref="B87:C87"/>
    <mergeCell ref="D87:E87"/>
    <mergeCell ref="F87:G87"/>
    <mergeCell ref="M87:N87"/>
    <mergeCell ref="B88:C88"/>
    <mergeCell ref="D88:E88"/>
    <mergeCell ref="F88:G88"/>
    <mergeCell ref="M88:N88"/>
    <mergeCell ref="B89:C89"/>
    <mergeCell ref="D89:E89"/>
    <mergeCell ref="F89:G89"/>
    <mergeCell ref="M89:N89"/>
    <mergeCell ref="B90:C90"/>
    <mergeCell ref="D90:E90"/>
    <mergeCell ref="F90:G90"/>
    <mergeCell ref="M90:N90"/>
    <mergeCell ref="B91:C91"/>
    <mergeCell ref="D91:E91"/>
    <mergeCell ref="F91:G91"/>
    <mergeCell ref="M91:N91"/>
    <mergeCell ref="B92:C92"/>
    <mergeCell ref="D92:E92"/>
    <mergeCell ref="F92:G92"/>
    <mergeCell ref="M92:N92"/>
    <mergeCell ref="B93:C93"/>
    <mergeCell ref="D93:E93"/>
    <mergeCell ref="F93:G93"/>
    <mergeCell ref="M93:N93"/>
    <mergeCell ref="B94:C94"/>
    <mergeCell ref="D94:E94"/>
    <mergeCell ref="F94:G94"/>
    <mergeCell ref="B95:C95"/>
    <mergeCell ref="D95:E95"/>
    <mergeCell ref="F95:G95"/>
    <mergeCell ref="M95:N95"/>
    <mergeCell ref="B96:C96"/>
    <mergeCell ref="D96:E96"/>
    <mergeCell ref="F96:G96"/>
    <mergeCell ref="M96:N96"/>
    <mergeCell ref="B97:C97"/>
    <mergeCell ref="D97:E97"/>
    <mergeCell ref="F97:G97"/>
    <mergeCell ref="M97:N97"/>
    <mergeCell ref="B98:C98"/>
    <mergeCell ref="D98:E98"/>
    <mergeCell ref="F98:G98"/>
    <mergeCell ref="M98:N98"/>
    <mergeCell ref="B99:C99"/>
    <mergeCell ref="D99:E99"/>
    <mergeCell ref="F99:G99"/>
    <mergeCell ref="M99:N99"/>
    <mergeCell ref="B100:C100"/>
    <mergeCell ref="D100:E100"/>
    <mergeCell ref="F100:G100"/>
    <mergeCell ref="B101:C101"/>
    <mergeCell ref="D101:E101"/>
    <mergeCell ref="F101:G101"/>
    <mergeCell ref="M101:N101"/>
    <mergeCell ref="B102:C102"/>
    <mergeCell ref="D102:E102"/>
    <mergeCell ref="F102:G102"/>
    <mergeCell ref="M102:N102"/>
    <mergeCell ref="B103:C103"/>
    <mergeCell ref="D103:E103"/>
    <mergeCell ref="F103:G103"/>
    <mergeCell ref="M103:N103"/>
    <mergeCell ref="B104:C104"/>
    <mergeCell ref="D104:E104"/>
    <mergeCell ref="F104:G104"/>
    <mergeCell ref="M104:N104"/>
    <mergeCell ref="B105:C105"/>
    <mergeCell ref="D105:E105"/>
    <mergeCell ref="F105:G105"/>
    <mergeCell ref="M105:N105"/>
    <mergeCell ref="B106:C106"/>
    <mergeCell ref="D106:E106"/>
    <mergeCell ref="F106:G106"/>
    <mergeCell ref="M106:N106"/>
    <mergeCell ref="B107:C107"/>
    <mergeCell ref="D107:E107"/>
    <mergeCell ref="F107:G107"/>
    <mergeCell ref="M107:N107"/>
    <mergeCell ref="B108:C108"/>
    <mergeCell ref="D108:E108"/>
    <mergeCell ref="F108:G108"/>
    <mergeCell ref="M108:N108"/>
    <mergeCell ref="B109:C109"/>
    <mergeCell ref="D109:E109"/>
    <mergeCell ref="F109:G109"/>
    <mergeCell ref="M109:N109"/>
    <mergeCell ref="B110:C110"/>
    <mergeCell ref="D110:E110"/>
    <mergeCell ref="F110:G110"/>
    <mergeCell ref="M110:N110"/>
    <mergeCell ref="B116:C116"/>
    <mergeCell ref="D116:E116"/>
    <mergeCell ref="F116:G116"/>
    <mergeCell ref="M116:N116"/>
    <mergeCell ref="B118:E118"/>
    <mergeCell ref="B119:E119"/>
    <mergeCell ref="B111:C111"/>
    <mergeCell ref="D111:E111"/>
    <mergeCell ref="F111:G111"/>
    <mergeCell ref="M111:N111"/>
    <mergeCell ref="B112:C112"/>
    <mergeCell ref="D112:E112"/>
    <mergeCell ref="F112:G112"/>
    <mergeCell ref="M112:N112"/>
    <mergeCell ref="B113:C113"/>
    <mergeCell ref="D113:E113"/>
    <mergeCell ref="F113:G113"/>
    <mergeCell ref="B114:C114"/>
    <mergeCell ref="D114:E114"/>
    <mergeCell ref="F114:G114"/>
    <mergeCell ref="M114:N114"/>
    <mergeCell ref="B115:C115"/>
    <mergeCell ref="D115:E115"/>
    <mergeCell ref="F115:G115"/>
    <mergeCell ref="M115:N115"/>
    <mergeCell ref="I1:L1"/>
    <mergeCell ref="B2:C2"/>
    <mergeCell ref="D2:E2"/>
    <mergeCell ref="F2:G2"/>
    <mergeCell ref="M2:N2"/>
    <mergeCell ref="B3:C3"/>
    <mergeCell ref="D3:E3"/>
    <mergeCell ref="F3:G3"/>
    <mergeCell ref="M3:N3"/>
    <mergeCell ref="B4:C4"/>
    <mergeCell ref="D4:E4"/>
    <mergeCell ref="F4:G4"/>
    <mergeCell ref="M4:N4"/>
    <mergeCell ref="B5:C5"/>
    <mergeCell ref="D5:E5"/>
    <mergeCell ref="F5:G5"/>
    <mergeCell ref="M5:N5"/>
    <mergeCell ref="B6:C6"/>
    <mergeCell ref="D6:E6"/>
    <mergeCell ref="F6:G6"/>
    <mergeCell ref="M6:N6"/>
    <mergeCell ref="B7:C7"/>
    <mergeCell ref="D7:E7"/>
    <mergeCell ref="F7:G7"/>
    <mergeCell ref="M7:N7"/>
    <mergeCell ref="B8:C8"/>
    <mergeCell ref="D8:E8"/>
    <mergeCell ref="F8:G8"/>
    <mergeCell ref="M8:N8"/>
    <mergeCell ref="B9:C9"/>
    <mergeCell ref="D9:E9"/>
    <mergeCell ref="F9:G9"/>
    <mergeCell ref="M9:N9"/>
    <mergeCell ref="B10:C10"/>
    <mergeCell ref="D10:E10"/>
    <mergeCell ref="F10:G10"/>
    <mergeCell ref="M10:N10"/>
    <mergeCell ref="B11:C11"/>
    <mergeCell ref="D11:E11"/>
    <mergeCell ref="F11:G11"/>
    <mergeCell ref="M11:N11"/>
    <mergeCell ref="B12:C12"/>
    <mergeCell ref="D12:E12"/>
    <mergeCell ref="F12:G12"/>
    <mergeCell ref="M12:N12"/>
    <mergeCell ref="B13:C13"/>
    <mergeCell ref="D13:E13"/>
    <mergeCell ref="F13:G13"/>
    <mergeCell ref="M13:N13"/>
    <mergeCell ref="B14:C14"/>
    <mergeCell ref="D14:E14"/>
    <mergeCell ref="F14:G14"/>
    <mergeCell ref="B15:C15"/>
    <mergeCell ref="D15:E15"/>
    <mergeCell ref="F15:G15"/>
    <mergeCell ref="M15:N15"/>
    <mergeCell ref="B16:C16"/>
    <mergeCell ref="D16:E16"/>
    <mergeCell ref="F16:G16"/>
    <mergeCell ref="M16:N16"/>
    <mergeCell ref="B17:C17"/>
    <mergeCell ref="D17:E17"/>
    <mergeCell ref="F17:G17"/>
    <mergeCell ref="M17:N17"/>
    <mergeCell ref="B18:C18"/>
    <mergeCell ref="D18:E18"/>
    <mergeCell ref="F18:G18"/>
    <mergeCell ref="M18:N18"/>
    <mergeCell ref="B20:C20"/>
    <mergeCell ref="D20:E20"/>
    <mergeCell ref="F20:G20"/>
    <mergeCell ref="M20:N20"/>
    <mergeCell ref="B21:C21"/>
    <mergeCell ref="D21:E21"/>
    <mergeCell ref="F21:G21"/>
    <mergeCell ref="B19:C19"/>
    <mergeCell ref="D19:E19"/>
    <mergeCell ref="F19:G19"/>
    <mergeCell ref="M19:N19"/>
    <mergeCell ref="B22:C22"/>
    <mergeCell ref="D22:E22"/>
    <mergeCell ref="F22:G22"/>
    <mergeCell ref="M22:N22"/>
    <mergeCell ref="B23:C23"/>
    <mergeCell ref="D23:E23"/>
    <mergeCell ref="F23:G23"/>
    <mergeCell ref="M23:N23"/>
    <mergeCell ref="B24:C24"/>
    <mergeCell ref="D24:E24"/>
    <mergeCell ref="F24:G24"/>
    <mergeCell ref="M24:N24"/>
    <mergeCell ref="B25:C25"/>
    <mergeCell ref="D25:E25"/>
    <mergeCell ref="F25:G25"/>
    <mergeCell ref="M25:N25"/>
    <mergeCell ref="B26:C26"/>
    <mergeCell ref="D26:E26"/>
    <mergeCell ref="F26:G26"/>
    <mergeCell ref="M26:N26"/>
    <mergeCell ref="B27:C27"/>
    <mergeCell ref="D27:E27"/>
    <mergeCell ref="F27:G27"/>
    <mergeCell ref="M27:N27"/>
    <mergeCell ref="B28:C28"/>
    <mergeCell ref="D28:E28"/>
    <mergeCell ref="F28:G28"/>
    <mergeCell ref="M28:N28"/>
    <mergeCell ref="B29:C29"/>
    <mergeCell ref="D29:E29"/>
    <mergeCell ref="F29:G29"/>
    <mergeCell ref="M29:N29"/>
    <mergeCell ref="B30:C30"/>
    <mergeCell ref="D30:E30"/>
    <mergeCell ref="F30:G30"/>
    <mergeCell ref="M30:N30"/>
    <mergeCell ref="B31:C31"/>
    <mergeCell ref="D31:E31"/>
    <mergeCell ref="F31:G31"/>
    <mergeCell ref="M31:N31"/>
    <mergeCell ref="B37:C37"/>
    <mergeCell ref="D37:E37"/>
    <mergeCell ref="F37:G37"/>
    <mergeCell ref="M37:N37"/>
    <mergeCell ref="B39:E39"/>
    <mergeCell ref="B40:E40"/>
    <mergeCell ref="B32:C32"/>
    <mergeCell ref="D32:E32"/>
    <mergeCell ref="F32:G32"/>
    <mergeCell ref="M32:N32"/>
    <mergeCell ref="B33:C33"/>
    <mergeCell ref="D33:E33"/>
    <mergeCell ref="F33:G33"/>
    <mergeCell ref="M33:N33"/>
    <mergeCell ref="B34:C34"/>
    <mergeCell ref="D34:E34"/>
    <mergeCell ref="F34:G34"/>
    <mergeCell ref="B35:C35"/>
    <mergeCell ref="D35:E35"/>
    <mergeCell ref="F35:G35"/>
    <mergeCell ref="M35:N35"/>
    <mergeCell ref="B36:C36"/>
    <mergeCell ref="D36:E36"/>
    <mergeCell ref="F36:G36"/>
    <mergeCell ref="M36:N36"/>
  </mergeCells>
  <phoneticPr fontId="2" type="noConversion"/>
  <printOptions horizontalCentered="1"/>
  <pageMargins left="0.25" right="0.25" top="1.5" bottom="0" header="0.6" footer="0"/>
  <pageSetup scale="45" fitToHeight="0" orientation="landscape" r:id="rId1"/>
  <headerFooter alignWithMargins="0">
    <oddHeader xml:space="preserve">&amp;C&amp;"Arial,Bold"&amp;22City of Chino Hills
IEUA Regional Conservation Programs Annual Report&amp;"Arial,Regular"
</oddHeader>
  </headerFooter>
  <rowBreaks count="14" manualBreakCount="14">
    <brk id="79" max="16383" man="1"/>
    <brk id="119" max="13" man="1"/>
    <brk id="159" max="13" man="1"/>
    <brk id="198" max="13" man="1"/>
    <brk id="243" max="13" man="1"/>
    <brk id="287" max="13" man="1"/>
    <brk id="329" max="13" man="1"/>
    <brk id="366" max="13" man="1"/>
    <brk id="400" max="13" man="1"/>
    <brk id="443" max="13" man="1"/>
    <brk id="486" max="13" man="1"/>
    <brk id="526" max="13" man="1"/>
    <brk id="556" max="13" man="1"/>
    <brk id="604" max="1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tabColor rgb="FFFFC000"/>
  </sheetPr>
  <dimension ref="A3:N457"/>
  <sheetViews>
    <sheetView zoomScaleNormal="100" zoomScaleSheetLayoutView="90" workbookViewId="0">
      <selection activeCell="J440" sqref="J440:M440"/>
    </sheetView>
  </sheetViews>
  <sheetFormatPr baseColWidth="10" defaultColWidth="8.83203125" defaultRowHeight="13"/>
  <cols>
    <col min="1" max="1" width="48.5" bestFit="1" customWidth="1"/>
    <col min="4" max="4" width="10" bestFit="1" customWidth="1"/>
    <col min="6" max="6" width="11.1640625" customWidth="1"/>
    <col min="7" max="7" width="9.5" bestFit="1" customWidth="1"/>
    <col min="9" max="10" width="10.1640625" bestFit="1" customWidth="1"/>
    <col min="11" max="11" width="11.1640625" bestFit="1" customWidth="1"/>
  </cols>
  <sheetData>
    <row r="3" spans="1:14" ht="14" thickBot="1">
      <c r="B3" s="43" t="s">
        <v>35</v>
      </c>
      <c r="C3" s="43" t="s">
        <v>36</v>
      </c>
      <c r="D3" s="43" t="s">
        <v>37</v>
      </c>
      <c r="E3" s="43" t="s">
        <v>38</v>
      </c>
      <c r="F3" s="43" t="s">
        <v>39</v>
      </c>
      <c r="G3" s="43" t="s">
        <v>40</v>
      </c>
      <c r="H3" s="43" t="s">
        <v>41</v>
      </c>
      <c r="I3" s="43" t="s">
        <v>42</v>
      </c>
      <c r="J3" s="43" t="s">
        <v>43</v>
      </c>
      <c r="K3" s="43" t="s">
        <v>44</v>
      </c>
      <c r="L3" s="43" t="s">
        <v>45</v>
      </c>
      <c r="M3" s="43" t="s">
        <v>46</v>
      </c>
      <c r="N3" s="43" t="s">
        <v>10</v>
      </c>
    </row>
    <row r="4" spans="1:14" ht="17" thickBot="1">
      <c r="A4" s="31" t="s">
        <v>34</v>
      </c>
      <c r="B4" s="24"/>
      <c r="C4" s="24"/>
      <c r="D4" s="22"/>
      <c r="E4" s="22"/>
      <c r="F4" s="25"/>
      <c r="G4" s="25"/>
      <c r="H4" s="22"/>
      <c r="I4" s="22"/>
      <c r="J4" s="22"/>
      <c r="K4" s="22"/>
      <c r="L4" s="24"/>
      <c r="M4" s="24"/>
      <c r="N4" s="26"/>
    </row>
    <row r="5" spans="1:14" ht="14" thickBot="1">
      <c r="A5" s="38" t="s">
        <v>48</v>
      </c>
      <c r="B5" s="39"/>
      <c r="C5" s="39"/>
      <c r="D5" s="39"/>
      <c r="E5" s="39"/>
      <c r="F5" s="39"/>
      <c r="G5" s="39"/>
      <c r="H5" s="39"/>
      <c r="I5" s="39"/>
      <c r="J5" s="39"/>
      <c r="K5" s="39"/>
      <c r="L5" s="39"/>
      <c r="M5" s="39"/>
      <c r="N5" s="40"/>
    </row>
    <row r="6" spans="1:14">
      <c r="A6" s="32" t="s">
        <v>28</v>
      </c>
      <c r="B6" s="1092">
        <v>0</v>
      </c>
      <c r="C6" s="1092">
        <v>0</v>
      </c>
      <c r="D6" s="1092">
        <v>0</v>
      </c>
      <c r="E6" s="1092">
        <v>1</v>
      </c>
      <c r="F6" s="1092">
        <v>0</v>
      </c>
      <c r="G6" s="1092">
        <v>0</v>
      </c>
      <c r="H6" s="1092">
        <v>0</v>
      </c>
      <c r="I6" s="1092">
        <v>2</v>
      </c>
      <c r="J6" s="1092">
        <v>0</v>
      </c>
      <c r="K6" s="1092">
        <v>3</v>
      </c>
      <c r="L6" s="1092">
        <v>0</v>
      </c>
      <c r="M6" s="1092">
        <v>0</v>
      </c>
      <c r="N6" s="27">
        <f t="shared" ref="N6:N26" si="0">SUM(B6:M6)</f>
        <v>6</v>
      </c>
    </row>
    <row r="7" spans="1:14">
      <c r="A7" s="32" t="s">
        <v>29</v>
      </c>
      <c r="B7" s="1092">
        <v>0</v>
      </c>
      <c r="C7" s="1092">
        <v>0</v>
      </c>
      <c r="D7" s="1092">
        <v>0</v>
      </c>
      <c r="E7" s="1092">
        <v>1</v>
      </c>
      <c r="F7" s="1092">
        <v>0</v>
      </c>
      <c r="G7" s="1092">
        <v>0</v>
      </c>
      <c r="H7" s="1092">
        <v>0</v>
      </c>
      <c r="I7" s="1092">
        <v>0</v>
      </c>
      <c r="J7" s="1092">
        <v>1</v>
      </c>
      <c r="K7" s="1092">
        <v>3</v>
      </c>
      <c r="L7" s="1092">
        <v>0</v>
      </c>
      <c r="M7" s="1092">
        <v>0</v>
      </c>
      <c r="N7" s="27">
        <f t="shared" si="0"/>
        <v>5</v>
      </c>
    </row>
    <row r="8" spans="1:14">
      <c r="A8" s="32" t="s">
        <v>33</v>
      </c>
      <c r="B8" s="1092">
        <v>0</v>
      </c>
      <c r="C8" s="1092">
        <v>0</v>
      </c>
      <c r="D8" s="1092">
        <v>8</v>
      </c>
      <c r="E8" s="1092">
        <v>4</v>
      </c>
      <c r="F8" s="1092">
        <v>14</v>
      </c>
      <c r="G8" s="1092">
        <v>9</v>
      </c>
      <c r="H8" s="1092">
        <v>20</v>
      </c>
      <c r="I8" s="1092">
        <v>7</v>
      </c>
      <c r="J8" s="1092">
        <v>6</v>
      </c>
      <c r="K8" s="1092">
        <v>12</v>
      </c>
      <c r="L8" s="1092">
        <v>6</v>
      </c>
      <c r="M8" s="1092">
        <v>10</v>
      </c>
      <c r="N8" s="27">
        <f t="shared" si="0"/>
        <v>96</v>
      </c>
    </row>
    <row r="9" spans="1:14">
      <c r="A9" s="32" t="s">
        <v>56</v>
      </c>
      <c r="B9" s="1092">
        <v>0</v>
      </c>
      <c r="C9" s="1092">
        <v>0</v>
      </c>
      <c r="D9" s="1092">
        <v>16</v>
      </c>
      <c r="E9" s="1092">
        <v>0</v>
      </c>
      <c r="F9" s="1092">
        <v>0</v>
      </c>
      <c r="G9" s="1092">
        <v>15</v>
      </c>
      <c r="H9" s="1092">
        <v>100</v>
      </c>
      <c r="I9" s="1092">
        <v>93</v>
      </c>
      <c r="J9" s="1092">
        <v>0</v>
      </c>
      <c r="K9" s="1092">
        <v>0</v>
      </c>
      <c r="L9" s="1092">
        <v>0</v>
      </c>
      <c r="M9" s="1092">
        <v>38</v>
      </c>
      <c r="N9" s="27">
        <f t="shared" si="0"/>
        <v>262</v>
      </c>
    </row>
    <row r="10" spans="1:14">
      <c r="A10" s="32" t="s">
        <v>52</v>
      </c>
      <c r="B10" s="1092">
        <v>0</v>
      </c>
      <c r="C10" s="1092">
        <v>0</v>
      </c>
      <c r="D10" s="1092">
        <v>0</v>
      </c>
      <c r="E10" s="1092">
        <v>0</v>
      </c>
      <c r="F10" s="1092">
        <v>0</v>
      </c>
      <c r="G10" s="1092">
        <v>0</v>
      </c>
      <c r="H10" s="1092">
        <v>0</v>
      </c>
      <c r="I10" s="1092">
        <v>1</v>
      </c>
      <c r="J10" s="1092">
        <v>0</v>
      </c>
      <c r="K10" s="1092">
        <v>1</v>
      </c>
      <c r="L10" s="1092">
        <v>0</v>
      </c>
      <c r="M10" s="1092">
        <v>1</v>
      </c>
      <c r="N10" s="27">
        <f>SUM(B10:M10)</f>
        <v>3</v>
      </c>
    </row>
    <row r="11" spans="1:14">
      <c r="A11" s="33" t="s">
        <v>86</v>
      </c>
      <c r="B11" s="1092">
        <v>0</v>
      </c>
      <c r="C11" s="1092">
        <v>0</v>
      </c>
      <c r="D11" s="1092">
        <v>0</v>
      </c>
      <c r="E11" s="1092">
        <v>0</v>
      </c>
      <c r="F11" s="1092">
        <v>0</v>
      </c>
      <c r="G11" s="1092">
        <v>0</v>
      </c>
      <c r="H11" s="1092">
        <v>0</v>
      </c>
      <c r="I11" s="1092">
        <v>0</v>
      </c>
      <c r="J11" s="1092">
        <v>0</v>
      </c>
      <c r="K11" s="1092">
        <v>0</v>
      </c>
      <c r="L11" s="1092">
        <v>0</v>
      </c>
      <c r="M11" s="1092">
        <v>1</v>
      </c>
      <c r="N11" s="27">
        <f>SUM(B11:M11)</f>
        <v>1</v>
      </c>
    </row>
    <row r="12" spans="1:14" ht="14" thickBot="1">
      <c r="A12" s="33" t="s">
        <v>87</v>
      </c>
      <c r="B12" s="1092">
        <v>0</v>
      </c>
      <c r="C12" s="1092">
        <v>0</v>
      </c>
      <c r="D12" s="1092">
        <v>0</v>
      </c>
      <c r="E12" s="1092">
        <v>0</v>
      </c>
      <c r="F12" s="1092">
        <v>0</v>
      </c>
      <c r="G12" s="1092">
        <v>0</v>
      </c>
      <c r="H12" s="1092">
        <v>1</v>
      </c>
      <c r="I12" s="1092">
        <v>0</v>
      </c>
      <c r="J12" s="1092">
        <v>0</v>
      </c>
      <c r="K12" s="1092">
        <v>2</v>
      </c>
      <c r="L12" s="1092">
        <v>0</v>
      </c>
      <c r="M12" s="1092">
        <v>1</v>
      </c>
      <c r="N12" s="27">
        <f>SUM(B12:M12)</f>
        <v>4</v>
      </c>
    </row>
    <row r="13" spans="1:14" ht="14" thickBot="1">
      <c r="A13" s="53" t="s">
        <v>60</v>
      </c>
      <c r="B13" s="55">
        <f>SUM(B6:B12)</f>
        <v>0</v>
      </c>
      <c r="C13" s="55">
        <f>SUM(C6:C12)</f>
        <v>0</v>
      </c>
      <c r="D13" s="55">
        <f t="shared" ref="D13:M13" si="1">SUM(D6:D12)</f>
        <v>24</v>
      </c>
      <c r="E13" s="55">
        <f t="shared" si="1"/>
        <v>6</v>
      </c>
      <c r="F13" s="55">
        <f t="shared" si="1"/>
        <v>14</v>
      </c>
      <c r="G13" s="55">
        <f t="shared" si="1"/>
        <v>24</v>
      </c>
      <c r="H13" s="55">
        <f t="shared" si="1"/>
        <v>121</v>
      </c>
      <c r="I13" s="55">
        <f t="shared" si="1"/>
        <v>103</v>
      </c>
      <c r="J13" s="55">
        <f t="shared" si="1"/>
        <v>7</v>
      </c>
      <c r="K13" s="55">
        <f t="shared" si="1"/>
        <v>21</v>
      </c>
      <c r="L13" s="55">
        <f t="shared" si="1"/>
        <v>6</v>
      </c>
      <c r="M13" s="55">
        <f t="shared" si="1"/>
        <v>51</v>
      </c>
      <c r="N13" s="54">
        <f>SUM(N6:N12)</f>
        <v>377</v>
      </c>
    </row>
    <row r="14" spans="1:14" ht="14" thickBot="1">
      <c r="A14" s="38" t="s">
        <v>49</v>
      </c>
      <c r="B14" s="39"/>
      <c r="C14" s="39"/>
      <c r="D14" s="39"/>
      <c r="E14" s="39"/>
      <c r="F14" s="39"/>
      <c r="G14" s="39"/>
      <c r="H14" s="39"/>
      <c r="I14" s="39"/>
      <c r="J14" s="39"/>
      <c r="K14" s="39"/>
      <c r="L14" s="39"/>
      <c r="M14" s="39"/>
      <c r="N14" s="40"/>
    </row>
    <row r="15" spans="1:14" ht="14" thickBot="1">
      <c r="A15" s="33" t="s">
        <v>49</v>
      </c>
      <c r="B15" s="1092">
        <v>0</v>
      </c>
      <c r="C15" s="1092">
        <v>0</v>
      </c>
      <c r="D15" s="1092">
        <v>0</v>
      </c>
      <c r="E15" s="1092">
        <v>0</v>
      </c>
      <c r="F15" s="1092">
        <v>18</v>
      </c>
      <c r="G15" s="1092">
        <v>0</v>
      </c>
      <c r="H15" s="1092">
        <v>29</v>
      </c>
      <c r="I15" s="1092">
        <v>17</v>
      </c>
      <c r="J15" s="1092">
        <v>44</v>
      </c>
      <c r="K15" s="1092">
        <v>12</v>
      </c>
      <c r="L15" s="1092">
        <v>0</v>
      </c>
      <c r="M15" s="1092">
        <v>2</v>
      </c>
      <c r="N15" s="27">
        <f>SUM(B15:M15)</f>
        <v>122</v>
      </c>
    </row>
    <row r="16" spans="1:14" ht="14" thickBot="1">
      <c r="A16" s="53" t="s">
        <v>60</v>
      </c>
      <c r="B16" s="55">
        <f>SUM(B15)</f>
        <v>0</v>
      </c>
      <c r="C16" s="55">
        <f t="shared" ref="C16:N16" si="2">SUM(C15)</f>
        <v>0</v>
      </c>
      <c r="D16" s="55">
        <f t="shared" si="2"/>
        <v>0</v>
      </c>
      <c r="E16" s="55">
        <f t="shared" si="2"/>
        <v>0</v>
      </c>
      <c r="F16" s="55">
        <f t="shared" si="2"/>
        <v>18</v>
      </c>
      <c r="G16" s="55">
        <f t="shared" si="2"/>
        <v>0</v>
      </c>
      <c r="H16" s="55">
        <f t="shared" si="2"/>
        <v>29</v>
      </c>
      <c r="I16" s="55">
        <f t="shared" si="2"/>
        <v>17</v>
      </c>
      <c r="J16" s="55">
        <f t="shared" si="2"/>
        <v>44</v>
      </c>
      <c r="K16" s="55">
        <f t="shared" si="2"/>
        <v>12</v>
      </c>
      <c r="L16" s="55">
        <f t="shared" si="2"/>
        <v>0</v>
      </c>
      <c r="M16" s="55">
        <f t="shared" si="2"/>
        <v>2</v>
      </c>
      <c r="N16" s="54">
        <f t="shared" si="2"/>
        <v>122</v>
      </c>
    </row>
    <row r="17" spans="1:14" ht="14" thickBot="1">
      <c r="A17" s="38" t="s">
        <v>50</v>
      </c>
      <c r="B17" s="39"/>
      <c r="C17" s="39"/>
      <c r="D17" s="39"/>
      <c r="E17" s="39"/>
      <c r="F17" s="39"/>
      <c r="G17" s="39"/>
      <c r="H17" s="39"/>
      <c r="I17" s="39"/>
      <c r="J17" s="39"/>
      <c r="K17" s="39"/>
      <c r="L17" s="39"/>
      <c r="M17" s="39"/>
      <c r="N17" s="40"/>
    </row>
    <row r="18" spans="1:14">
      <c r="A18" s="34" t="s">
        <v>26</v>
      </c>
      <c r="B18" s="1092">
        <v>0</v>
      </c>
      <c r="C18" s="1092">
        <v>0</v>
      </c>
      <c r="D18" s="1092">
        <v>0</v>
      </c>
      <c r="E18" s="1092">
        <v>0</v>
      </c>
      <c r="F18" s="1092">
        <v>0</v>
      </c>
      <c r="G18" s="1092">
        <v>0</v>
      </c>
      <c r="H18" s="1092">
        <v>0</v>
      </c>
      <c r="I18" s="1092">
        <v>0</v>
      </c>
      <c r="J18" s="1092">
        <v>0</v>
      </c>
      <c r="K18" s="1092">
        <v>0</v>
      </c>
      <c r="L18" s="1092">
        <v>0</v>
      </c>
      <c r="M18" s="1092">
        <v>0</v>
      </c>
      <c r="N18" s="27">
        <f t="shared" si="0"/>
        <v>0</v>
      </c>
    </row>
    <row r="19" spans="1:14">
      <c r="A19" s="34" t="s">
        <v>25</v>
      </c>
      <c r="B19" s="1092">
        <v>0</v>
      </c>
      <c r="C19" s="1092">
        <v>0</v>
      </c>
      <c r="D19" s="1092">
        <v>0</v>
      </c>
      <c r="E19" s="1092">
        <v>0</v>
      </c>
      <c r="F19" s="1092">
        <v>0</v>
      </c>
      <c r="G19" s="1092">
        <v>0</v>
      </c>
      <c r="H19" s="1092">
        <v>0</v>
      </c>
      <c r="I19" s="1092">
        <v>0</v>
      </c>
      <c r="J19" s="1092">
        <v>0</v>
      </c>
      <c r="K19" s="1092">
        <v>0</v>
      </c>
      <c r="L19" s="1092">
        <v>0</v>
      </c>
      <c r="M19" s="1092">
        <v>0</v>
      </c>
      <c r="N19" s="27">
        <f t="shared" si="0"/>
        <v>0</v>
      </c>
    </row>
    <row r="20" spans="1:14">
      <c r="A20" s="32" t="s">
        <v>29</v>
      </c>
      <c r="B20" s="1092">
        <v>0</v>
      </c>
      <c r="C20" s="1092">
        <v>0</v>
      </c>
      <c r="D20" s="1092">
        <v>0</v>
      </c>
      <c r="E20" s="1092">
        <v>0</v>
      </c>
      <c r="F20" s="1092">
        <v>0</v>
      </c>
      <c r="G20" s="1092">
        <v>0</v>
      </c>
      <c r="H20" s="1092">
        <v>0</v>
      </c>
      <c r="I20" s="1092">
        <v>146</v>
      </c>
      <c r="J20" s="1092">
        <v>0</v>
      </c>
      <c r="K20" s="1092">
        <v>0</v>
      </c>
      <c r="L20" s="1092">
        <v>0</v>
      </c>
      <c r="M20" s="1092">
        <v>0</v>
      </c>
      <c r="N20" s="27">
        <f t="shared" si="0"/>
        <v>146</v>
      </c>
    </row>
    <row r="21" spans="1:14">
      <c r="A21" s="32" t="s">
        <v>51</v>
      </c>
      <c r="B21" s="1092">
        <v>0</v>
      </c>
      <c r="C21" s="1092">
        <v>0</v>
      </c>
      <c r="D21" s="1092">
        <v>0</v>
      </c>
      <c r="E21" s="1092">
        <v>22</v>
      </c>
      <c r="F21" s="1092">
        <v>0</v>
      </c>
      <c r="G21" s="1092">
        <v>0</v>
      </c>
      <c r="H21" s="1092">
        <v>0</v>
      </c>
      <c r="I21" s="1092">
        <v>0</v>
      </c>
      <c r="J21" s="1092">
        <v>2</v>
      </c>
      <c r="K21" s="1092">
        <v>0</v>
      </c>
      <c r="L21" s="1092">
        <v>0</v>
      </c>
      <c r="M21" s="1092">
        <v>0</v>
      </c>
      <c r="N21" s="27">
        <f t="shared" si="0"/>
        <v>24</v>
      </c>
    </row>
    <row r="22" spans="1:14">
      <c r="A22" s="34" t="s">
        <v>20</v>
      </c>
      <c r="B22" s="1092">
        <v>0</v>
      </c>
      <c r="C22" s="1092">
        <v>0</v>
      </c>
      <c r="D22" s="1092">
        <v>0</v>
      </c>
      <c r="E22" s="1092">
        <v>0</v>
      </c>
      <c r="F22" s="1092">
        <v>0</v>
      </c>
      <c r="G22" s="1092">
        <v>0</v>
      </c>
      <c r="H22" s="1092">
        <v>0</v>
      </c>
      <c r="I22" s="1092">
        <v>1</v>
      </c>
      <c r="J22" s="1092">
        <v>0</v>
      </c>
      <c r="K22" s="1092">
        <v>0</v>
      </c>
      <c r="L22" s="1092">
        <v>0</v>
      </c>
      <c r="M22" s="1092">
        <v>0</v>
      </c>
      <c r="N22" s="27">
        <f t="shared" si="0"/>
        <v>1</v>
      </c>
    </row>
    <row r="23" spans="1:14">
      <c r="A23" s="34" t="s">
        <v>204</v>
      </c>
      <c r="B23" s="1092">
        <v>0</v>
      </c>
      <c r="C23" s="1092">
        <v>0</v>
      </c>
      <c r="D23" s="1092">
        <v>0</v>
      </c>
      <c r="E23" s="1092">
        <v>0</v>
      </c>
      <c r="F23" s="1092">
        <v>0</v>
      </c>
      <c r="G23" s="1092">
        <v>0</v>
      </c>
      <c r="H23" s="1092">
        <v>0</v>
      </c>
      <c r="I23" s="1092">
        <v>0</v>
      </c>
      <c r="J23" s="1092">
        <v>0</v>
      </c>
      <c r="K23" s="1092">
        <v>0</v>
      </c>
      <c r="L23" s="1092">
        <v>0</v>
      </c>
      <c r="M23" s="1092">
        <v>0</v>
      </c>
      <c r="N23" s="27">
        <f t="shared" si="0"/>
        <v>0</v>
      </c>
    </row>
    <row r="24" spans="1:14">
      <c r="A24" s="35" t="s">
        <v>47</v>
      </c>
      <c r="B24" s="1092">
        <v>0</v>
      </c>
      <c r="C24" s="1092">
        <v>0</v>
      </c>
      <c r="D24" s="1092">
        <v>0</v>
      </c>
      <c r="E24" s="1092">
        <v>0</v>
      </c>
      <c r="F24" s="1092">
        <v>0</v>
      </c>
      <c r="G24" s="1092">
        <v>0</v>
      </c>
      <c r="H24" s="1092">
        <v>0</v>
      </c>
      <c r="I24" s="1092">
        <v>0</v>
      </c>
      <c r="J24" s="1092">
        <v>0</v>
      </c>
      <c r="K24" s="1092">
        <v>0</v>
      </c>
      <c r="L24" s="1092">
        <v>0</v>
      </c>
      <c r="M24" s="1092">
        <v>0</v>
      </c>
      <c r="N24" s="27">
        <f t="shared" si="0"/>
        <v>0</v>
      </c>
    </row>
    <row r="25" spans="1:14">
      <c r="A25" s="33" t="s">
        <v>52</v>
      </c>
      <c r="B25" s="1092">
        <v>0</v>
      </c>
      <c r="C25" s="1092">
        <v>0</v>
      </c>
      <c r="D25" s="1092">
        <v>0</v>
      </c>
      <c r="E25" s="1092">
        <v>0</v>
      </c>
      <c r="F25" s="1092">
        <v>0</v>
      </c>
      <c r="G25" s="1092">
        <v>0</v>
      </c>
      <c r="H25" s="1092">
        <v>0</v>
      </c>
      <c r="I25" s="1092">
        <v>0</v>
      </c>
      <c r="J25" s="1092">
        <v>0</v>
      </c>
      <c r="K25" s="1092">
        <v>0</v>
      </c>
      <c r="L25" s="1092">
        <v>0</v>
      </c>
      <c r="M25" s="1092">
        <v>0</v>
      </c>
      <c r="N25" s="27">
        <f t="shared" si="0"/>
        <v>0</v>
      </c>
    </row>
    <row r="26" spans="1:14">
      <c r="A26" s="33" t="s">
        <v>88</v>
      </c>
      <c r="B26" s="1092">
        <v>0</v>
      </c>
      <c r="C26" s="1092">
        <v>0</v>
      </c>
      <c r="D26" s="1092">
        <v>0</v>
      </c>
      <c r="E26" s="1092">
        <v>0</v>
      </c>
      <c r="F26" s="1092">
        <v>0</v>
      </c>
      <c r="G26" s="1092">
        <v>0</v>
      </c>
      <c r="H26" s="1092">
        <v>1</v>
      </c>
      <c r="I26" s="1092">
        <v>0</v>
      </c>
      <c r="J26" s="1092">
        <v>0</v>
      </c>
      <c r="K26" s="1092">
        <v>0</v>
      </c>
      <c r="L26" s="1092">
        <v>0</v>
      </c>
      <c r="M26" s="1092">
        <v>0</v>
      </c>
      <c r="N26" s="27">
        <f t="shared" si="0"/>
        <v>1</v>
      </c>
    </row>
    <row r="27" spans="1:14" ht="14" thickBot="1">
      <c r="A27" s="32" t="s">
        <v>56</v>
      </c>
      <c r="B27" s="1092">
        <v>0</v>
      </c>
      <c r="C27" s="1092">
        <v>0</v>
      </c>
      <c r="D27" s="1092">
        <v>0</v>
      </c>
      <c r="E27" s="1092">
        <v>0</v>
      </c>
      <c r="F27" s="1092">
        <v>0</v>
      </c>
      <c r="G27" s="1092">
        <v>0</v>
      </c>
      <c r="H27" s="1092">
        <v>0</v>
      </c>
      <c r="I27" s="1092">
        <v>65</v>
      </c>
      <c r="J27" s="1092">
        <v>0</v>
      </c>
      <c r="K27" s="1092">
        <v>0</v>
      </c>
      <c r="L27" s="1092">
        <v>0</v>
      </c>
      <c r="M27" s="1092">
        <v>0</v>
      </c>
      <c r="N27" s="27">
        <f>SUM(B27:M27)</f>
        <v>65</v>
      </c>
    </row>
    <row r="28" spans="1:14" ht="14" thickBot="1">
      <c r="A28" s="53" t="s">
        <v>60</v>
      </c>
      <c r="B28" s="320">
        <f>SUM(B18:B27)</f>
        <v>0</v>
      </c>
      <c r="C28" s="320">
        <f t="shared" ref="C28:N28" si="3">SUM(C18:C27)</f>
        <v>0</v>
      </c>
      <c r="D28" s="320">
        <f t="shared" si="3"/>
        <v>0</v>
      </c>
      <c r="E28" s="320">
        <f t="shared" si="3"/>
        <v>22</v>
      </c>
      <c r="F28" s="320">
        <f t="shared" si="3"/>
        <v>0</v>
      </c>
      <c r="G28" s="320">
        <f t="shared" si="3"/>
        <v>0</v>
      </c>
      <c r="H28" s="320">
        <f t="shared" si="3"/>
        <v>1</v>
      </c>
      <c r="I28" s="320">
        <f t="shared" si="3"/>
        <v>212</v>
      </c>
      <c r="J28" s="320">
        <f t="shared" si="3"/>
        <v>2</v>
      </c>
      <c r="K28" s="320">
        <f t="shared" si="3"/>
        <v>0</v>
      </c>
      <c r="L28" s="320">
        <f t="shared" si="3"/>
        <v>0</v>
      </c>
      <c r="M28" s="320">
        <f t="shared" si="3"/>
        <v>0</v>
      </c>
      <c r="N28" s="54">
        <f t="shared" si="3"/>
        <v>237</v>
      </c>
    </row>
    <row r="29" spans="1:14" ht="14" thickBot="1">
      <c r="A29" s="38" t="s">
        <v>54</v>
      </c>
      <c r="B29" s="41"/>
      <c r="C29" s="41"/>
      <c r="D29" s="41"/>
      <c r="E29" s="41"/>
      <c r="F29" s="41"/>
      <c r="G29" s="41"/>
      <c r="H29" s="41"/>
      <c r="I29" s="41"/>
      <c r="J29" s="41"/>
      <c r="K29" s="41"/>
      <c r="L29" s="41"/>
      <c r="M29" s="41"/>
      <c r="N29" s="42"/>
    </row>
    <row r="30" spans="1:14">
      <c r="A30" s="36" t="s">
        <v>29</v>
      </c>
      <c r="B30" s="1093">
        <v>0</v>
      </c>
      <c r="C30" s="1093">
        <v>0</v>
      </c>
      <c r="D30" s="1093">
        <v>0</v>
      </c>
      <c r="E30" s="1093">
        <v>0</v>
      </c>
      <c r="F30" s="1093">
        <v>0</v>
      </c>
      <c r="G30" s="1093">
        <v>0</v>
      </c>
      <c r="H30" s="1093">
        <v>0</v>
      </c>
      <c r="I30" s="1093">
        <v>0</v>
      </c>
      <c r="J30" s="1093">
        <v>0</v>
      </c>
      <c r="K30" s="1093">
        <v>0</v>
      </c>
      <c r="L30" s="1093">
        <v>0</v>
      </c>
      <c r="M30" s="1093">
        <v>0</v>
      </c>
      <c r="N30" s="28">
        <f>SUM(B30:M30)</f>
        <v>0</v>
      </c>
    </row>
    <row r="31" spans="1:14">
      <c r="A31" s="34" t="s">
        <v>51</v>
      </c>
      <c r="B31" s="1092">
        <v>0</v>
      </c>
      <c r="C31" s="1092">
        <v>0</v>
      </c>
      <c r="D31" s="1092">
        <v>0</v>
      </c>
      <c r="E31" s="1092">
        <v>0</v>
      </c>
      <c r="F31" s="1092">
        <v>0</v>
      </c>
      <c r="G31" s="1092">
        <v>0</v>
      </c>
      <c r="H31" s="1092">
        <v>0</v>
      </c>
      <c r="I31" s="1092">
        <v>0</v>
      </c>
      <c r="J31" s="1092">
        <v>0</v>
      </c>
      <c r="K31" s="1092">
        <v>0</v>
      </c>
      <c r="L31" s="1092">
        <v>0</v>
      </c>
      <c r="M31" s="1092">
        <v>0</v>
      </c>
      <c r="N31" s="29">
        <f>SUM(B31:M31)</f>
        <v>0</v>
      </c>
    </row>
    <row r="32" spans="1:14">
      <c r="A32" s="34" t="s">
        <v>15</v>
      </c>
      <c r="B32" s="1092">
        <v>0</v>
      </c>
      <c r="C32" s="1092">
        <v>0</v>
      </c>
      <c r="D32" s="1092">
        <v>0</v>
      </c>
      <c r="E32" s="1092">
        <v>0</v>
      </c>
      <c r="F32" s="1092">
        <v>0</v>
      </c>
      <c r="G32" s="1092">
        <v>0</v>
      </c>
      <c r="H32" s="1092">
        <v>0</v>
      </c>
      <c r="I32" s="1092">
        <v>0</v>
      </c>
      <c r="J32" s="1092">
        <v>0</v>
      </c>
      <c r="K32" s="1092">
        <v>0</v>
      </c>
      <c r="L32" s="1094">
        <v>4</v>
      </c>
      <c r="M32" s="1092">
        <v>0</v>
      </c>
      <c r="N32" s="29">
        <f>SUM(B32:M32)</f>
        <v>4</v>
      </c>
    </row>
    <row r="33" spans="1:14">
      <c r="A33" s="34" t="s">
        <v>30</v>
      </c>
      <c r="B33" s="1092">
        <v>0</v>
      </c>
      <c r="C33" s="1092">
        <v>0</v>
      </c>
      <c r="D33" s="1092">
        <v>0</v>
      </c>
      <c r="E33" s="1092">
        <v>0</v>
      </c>
      <c r="F33" s="1092">
        <v>0</v>
      </c>
      <c r="G33" s="1092">
        <v>0</v>
      </c>
      <c r="H33" s="1092">
        <v>0</v>
      </c>
      <c r="I33" s="1092">
        <v>0</v>
      </c>
      <c r="J33" s="1092">
        <v>0</v>
      </c>
      <c r="K33" s="1092">
        <v>0</v>
      </c>
      <c r="L33" s="1092">
        <v>0</v>
      </c>
      <c r="M33" s="1092">
        <v>0</v>
      </c>
      <c r="N33" s="29">
        <f>SUM(B33:M33)</f>
        <v>0</v>
      </c>
    </row>
    <row r="34" spans="1:14" ht="14" thickBot="1">
      <c r="A34" s="37" t="s">
        <v>55</v>
      </c>
      <c r="B34" s="1097">
        <v>0</v>
      </c>
      <c r="C34" s="1097">
        <v>0</v>
      </c>
      <c r="D34" s="1097">
        <v>0</v>
      </c>
      <c r="E34" s="1097">
        <v>0</v>
      </c>
      <c r="F34" s="1097">
        <v>0</v>
      </c>
      <c r="G34" s="1097">
        <v>0</v>
      </c>
      <c r="H34" s="1097">
        <v>0</v>
      </c>
      <c r="I34" s="1097">
        <v>0</v>
      </c>
      <c r="J34" s="1097">
        <v>0</v>
      </c>
      <c r="K34" s="1097">
        <v>0</v>
      </c>
      <c r="L34" s="1097">
        <v>0</v>
      </c>
      <c r="M34" s="1097">
        <v>0</v>
      </c>
      <c r="N34" s="30">
        <f>SUM(B34:M34)</f>
        <v>0</v>
      </c>
    </row>
    <row r="35" spans="1:14" ht="14" thickBot="1">
      <c r="A35" s="53" t="s">
        <v>60</v>
      </c>
      <c r="B35" s="55">
        <f>SUM(B30:B34)</f>
        <v>0</v>
      </c>
      <c r="C35" s="55">
        <f t="shared" ref="C35:N35" si="4">SUM(C30:C34)</f>
        <v>0</v>
      </c>
      <c r="D35" s="55">
        <f t="shared" si="4"/>
        <v>0</v>
      </c>
      <c r="E35" s="55">
        <f t="shared" si="4"/>
        <v>0</v>
      </c>
      <c r="F35" s="55">
        <f t="shared" si="4"/>
        <v>0</v>
      </c>
      <c r="G35" s="55">
        <f t="shared" si="4"/>
        <v>0</v>
      </c>
      <c r="H35" s="55">
        <f t="shared" si="4"/>
        <v>0</v>
      </c>
      <c r="I35" s="55">
        <f t="shared" si="4"/>
        <v>0</v>
      </c>
      <c r="J35" s="55">
        <f t="shared" si="4"/>
        <v>0</v>
      </c>
      <c r="K35" s="55">
        <f t="shared" si="4"/>
        <v>0</v>
      </c>
      <c r="L35" s="55">
        <f t="shared" si="4"/>
        <v>4</v>
      </c>
      <c r="M35" s="55">
        <f t="shared" si="4"/>
        <v>0</v>
      </c>
      <c r="N35" s="55">
        <f t="shared" si="4"/>
        <v>4</v>
      </c>
    </row>
    <row r="38" spans="1:14" ht="14" thickBot="1">
      <c r="B38" s="43" t="s">
        <v>35</v>
      </c>
      <c r="C38" s="43" t="s">
        <v>36</v>
      </c>
      <c r="D38" s="43" t="s">
        <v>37</v>
      </c>
      <c r="E38" s="43" t="s">
        <v>38</v>
      </c>
      <c r="F38" s="43" t="s">
        <v>39</v>
      </c>
      <c r="G38" s="43" t="s">
        <v>40</v>
      </c>
      <c r="H38" s="43" t="s">
        <v>41</v>
      </c>
      <c r="I38" s="43" t="s">
        <v>42</v>
      </c>
      <c r="J38" s="43" t="s">
        <v>43</v>
      </c>
      <c r="K38" s="43" t="s">
        <v>44</v>
      </c>
      <c r="L38" s="43" t="s">
        <v>45</v>
      </c>
      <c r="M38" s="43" t="s">
        <v>46</v>
      </c>
      <c r="N38" s="43" t="s">
        <v>10</v>
      </c>
    </row>
    <row r="39" spans="1:14" ht="17" thickBot="1">
      <c r="A39" s="31" t="s">
        <v>99</v>
      </c>
      <c r="B39" s="24"/>
      <c r="C39" s="24"/>
      <c r="D39" s="22"/>
      <c r="E39" s="22"/>
      <c r="F39" s="25"/>
      <c r="G39" s="25"/>
      <c r="H39" s="22"/>
      <c r="I39" s="22"/>
      <c r="J39" s="22"/>
      <c r="K39" s="22"/>
      <c r="L39" s="24"/>
      <c r="M39" s="24"/>
      <c r="N39" s="26"/>
    </row>
    <row r="40" spans="1:14" ht="14" thickBot="1">
      <c r="A40" s="38" t="s">
        <v>48</v>
      </c>
      <c r="B40" s="39"/>
      <c r="C40" s="39"/>
      <c r="D40" s="39"/>
      <c r="E40" s="39"/>
      <c r="F40" s="39"/>
      <c r="G40" s="39"/>
      <c r="H40" s="39"/>
      <c r="I40" s="39"/>
      <c r="J40" s="39"/>
      <c r="K40" s="39"/>
      <c r="L40" s="39"/>
      <c r="M40" s="39"/>
      <c r="N40" s="40"/>
    </row>
    <row r="41" spans="1:14">
      <c r="A41" s="32" t="s">
        <v>28</v>
      </c>
      <c r="B41" s="1099">
        <v>0</v>
      </c>
      <c r="C41" s="1100">
        <v>0</v>
      </c>
      <c r="D41" s="1100">
        <v>0</v>
      </c>
      <c r="E41" s="1100">
        <v>0</v>
      </c>
      <c r="F41" s="1100">
        <v>0</v>
      </c>
      <c r="G41" s="1100">
        <v>0</v>
      </c>
      <c r="H41" s="1100">
        <v>0</v>
      </c>
      <c r="I41" s="1100">
        <v>0</v>
      </c>
      <c r="J41" s="1100">
        <v>0</v>
      </c>
      <c r="K41" s="1100">
        <v>0</v>
      </c>
      <c r="L41" s="1100">
        <v>0</v>
      </c>
      <c r="M41" s="1108">
        <v>0</v>
      </c>
      <c r="N41" s="27">
        <f>SUM(B41:M41)</f>
        <v>0</v>
      </c>
    </row>
    <row r="42" spans="1:14">
      <c r="A42" s="32" t="s">
        <v>29</v>
      </c>
      <c r="B42" s="1102">
        <v>0</v>
      </c>
      <c r="C42" s="1092">
        <v>0</v>
      </c>
      <c r="D42" s="1092">
        <v>1</v>
      </c>
      <c r="E42" s="1092">
        <v>2</v>
      </c>
      <c r="F42" s="1092">
        <v>6</v>
      </c>
      <c r="G42" s="1092">
        <v>121</v>
      </c>
      <c r="H42" s="1092">
        <v>10</v>
      </c>
      <c r="I42" s="1092">
        <v>71</v>
      </c>
      <c r="J42" s="1092">
        <v>32</v>
      </c>
      <c r="K42" s="1092">
        <v>5</v>
      </c>
      <c r="L42" s="1092">
        <v>19</v>
      </c>
      <c r="M42" s="1103">
        <v>29</v>
      </c>
      <c r="N42" s="27">
        <f>SUM(B42:M42)</f>
        <v>296</v>
      </c>
    </row>
    <row r="43" spans="1:14">
      <c r="A43" s="32" t="s">
        <v>33</v>
      </c>
      <c r="B43" s="1092">
        <v>0</v>
      </c>
      <c r="C43" s="1092">
        <v>0</v>
      </c>
      <c r="D43" s="1092">
        <v>9</v>
      </c>
      <c r="E43" s="1092">
        <v>10</v>
      </c>
      <c r="F43" s="1092">
        <v>7</v>
      </c>
      <c r="G43" s="1092">
        <v>11</v>
      </c>
      <c r="H43" s="1092">
        <v>1</v>
      </c>
      <c r="I43" s="1092">
        <v>2</v>
      </c>
      <c r="J43" s="1092">
        <v>7</v>
      </c>
      <c r="K43" s="1092">
        <v>6</v>
      </c>
      <c r="L43" s="1092">
        <v>9</v>
      </c>
      <c r="M43" s="1092">
        <v>6</v>
      </c>
      <c r="N43" s="27">
        <f>SUM(B43:M43)</f>
        <v>68</v>
      </c>
    </row>
    <row r="44" spans="1:14">
      <c r="A44" s="32" t="s">
        <v>56</v>
      </c>
      <c r="B44" s="1092">
        <v>0</v>
      </c>
      <c r="C44" s="1092">
        <v>0</v>
      </c>
      <c r="D44" s="1092">
        <v>27</v>
      </c>
      <c r="E44" s="1092">
        <v>86</v>
      </c>
      <c r="F44" s="1092">
        <v>30</v>
      </c>
      <c r="G44" s="1092">
        <v>0</v>
      </c>
      <c r="H44" s="1092">
        <v>0</v>
      </c>
      <c r="I44" s="1092">
        <v>0</v>
      </c>
      <c r="J44" s="1092">
        <v>0</v>
      </c>
      <c r="K44" s="1092">
        <v>24</v>
      </c>
      <c r="L44" s="1092">
        <v>4</v>
      </c>
      <c r="M44" s="1092">
        <v>0</v>
      </c>
      <c r="N44" s="27">
        <f>SUM(B44:M44)</f>
        <v>171</v>
      </c>
    </row>
    <row r="45" spans="1:14">
      <c r="A45" s="32" t="s">
        <v>52</v>
      </c>
      <c r="B45" s="1092">
        <v>0</v>
      </c>
      <c r="C45" s="1092">
        <v>1</v>
      </c>
      <c r="D45" s="1092">
        <v>0</v>
      </c>
      <c r="E45" s="1092">
        <v>0</v>
      </c>
      <c r="F45" s="1092">
        <v>0</v>
      </c>
      <c r="G45" s="1092">
        <v>1</v>
      </c>
      <c r="H45" s="1092">
        <v>0</v>
      </c>
      <c r="I45" s="1092">
        <v>0</v>
      </c>
      <c r="J45" s="1092">
        <v>0</v>
      </c>
      <c r="K45" s="1092">
        <v>0</v>
      </c>
      <c r="L45" s="1092">
        <v>0</v>
      </c>
      <c r="M45" s="1092">
        <v>0</v>
      </c>
      <c r="N45" s="27">
        <f>SUM(B45:M45)</f>
        <v>2</v>
      </c>
    </row>
    <row r="46" spans="1:14">
      <c r="A46" s="76" t="s">
        <v>138</v>
      </c>
      <c r="B46" s="1092">
        <v>0</v>
      </c>
      <c r="C46" s="1092">
        <v>0</v>
      </c>
      <c r="D46" s="1092">
        <v>0</v>
      </c>
      <c r="E46" s="1092">
        <v>0</v>
      </c>
      <c r="F46" s="1092">
        <v>0</v>
      </c>
      <c r="G46" s="1092">
        <v>0</v>
      </c>
      <c r="H46" s="1092">
        <v>0</v>
      </c>
      <c r="I46" s="1092">
        <v>0</v>
      </c>
      <c r="J46" s="1092">
        <v>0</v>
      </c>
      <c r="K46" s="1092">
        <v>0</v>
      </c>
      <c r="L46" s="1092">
        <v>0</v>
      </c>
      <c r="M46" s="1092">
        <v>0</v>
      </c>
      <c r="N46" s="27">
        <v>10</v>
      </c>
    </row>
    <row r="47" spans="1:14" ht="14" thickBot="1">
      <c r="A47" s="76" t="s">
        <v>139</v>
      </c>
      <c r="B47" s="1092">
        <v>0</v>
      </c>
      <c r="C47" s="1092">
        <v>0</v>
      </c>
      <c r="D47" s="1092">
        <v>0</v>
      </c>
      <c r="E47" s="1092">
        <v>0</v>
      </c>
      <c r="F47" s="1092">
        <v>0</v>
      </c>
      <c r="G47" s="1092">
        <v>0</v>
      </c>
      <c r="H47" s="1092">
        <v>0</v>
      </c>
      <c r="I47" s="1092">
        <v>0</v>
      </c>
      <c r="J47" s="1092">
        <v>0</v>
      </c>
      <c r="K47" s="1092">
        <v>0</v>
      </c>
      <c r="L47" s="1092">
        <v>0</v>
      </c>
      <c r="M47" s="1092">
        <v>0</v>
      </c>
      <c r="N47" s="27">
        <v>3</v>
      </c>
    </row>
    <row r="48" spans="1:14" ht="14" thickBot="1">
      <c r="A48" s="53" t="s">
        <v>60</v>
      </c>
      <c r="B48" s="55">
        <f>SUM(B41:B47)</f>
        <v>0</v>
      </c>
      <c r="C48" s="55">
        <f>SUM(C41:C47)</f>
        <v>1</v>
      </c>
      <c r="D48" s="55">
        <f t="shared" ref="D48:N48" si="5">SUM(D41:D47)</f>
        <v>37</v>
      </c>
      <c r="E48" s="55">
        <f t="shared" si="5"/>
        <v>98</v>
      </c>
      <c r="F48" s="55">
        <f t="shared" si="5"/>
        <v>43</v>
      </c>
      <c r="G48" s="55">
        <f t="shared" si="5"/>
        <v>133</v>
      </c>
      <c r="H48" s="55">
        <f t="shared" si="5"/>
        <v>11</v>
      </c>
      <c r="I48" s="55">
        <f t="shared" si="5"/>
        <v>73</v>
      </c>
      <c r="J48" s="55">
        <f t="shared" si="5"/>
        <v>39</v>
      </c>
      <c r="K48" s="55">
        <f t="shared" si="5"/>
        <v>35</v>
      </c>
      <c r="L48" s="55">
        <f t="shared" si="5"/>
        <v>32</v>
      </c>
      <c r="M48" s="55">
        <f t="shared" si="5"/>
        <v>35</v>
      </c>
      <c r="N48" s="54">
        <f t="shared" si="5"/>
        <v>550</v>
      </c>
    </row>
    <row r="49" spans="1:14" ht="14" thickBot="1">
      <c r="A49" s="38" t="s">
        <v>49</v>
      </c>
      <c r="B49" s="39"/>
      <c r="C49" s="39"/>
      <c r="D49" s="39"/>
      <c r="E49" s="39"/>
      <c r="F49" s="39"/>
      <c r="G49" s="39"/>
      <c r="H49" s="39"/>
      <c r="I49" s="39"/>
      <c r="J49" s="39"/>
      <c r="K49" s="39"/>
      <c r="L49" s="39"/>
      <c r="M49" s="39"/>
      <c r="N49" s="40"/>
    </row>
    <row r="50" spans="1:14" ht="14" thickBot="1">
      <c r="A50" s="33" t="s">
        <v>49</v>
      </c>
      <c r="B50" s="1092">
        <v>0</v>
      </c>
      <c r="C50" s="1092">
        <v>7</v>
      </c>
      <c r="D50" s="1092">
        <v>34</v>
      </c>
      <c r="E50" s="1092">
        <v>29</v>
      </c>
      <c r="F50" s="1092">
        <v>8</v>
      </c>
      <c r="G50" s="1092">
        <v>44</v>
      </c>
      <c r="H50" s="1092">
        <v>0</v>
      </c>
      <c r="I50" s="1092">
        <v>0</v>
      </c>
      <c r="J50" s="1092">
        <v>0</v>
      </c>
      <c r="K50" s="1092">
        <v>0</v>
      </c>
      <c r="L50" s="1092">
        <v>0</v>
      </c>
      <c r="M50" s="1092">
        <v>0</v>
      </c>
      <c r="N50" s="27">
        <f>SUM(B50:M50)</f>
        <v>122</v>
      </c>
    </row>
    <row r="51" spans="1:14" ht="14" thickBot="1">
      <c r="A51" s="53" t="s">
        <v>60</v>
      </c>
      <c r="B51" s="55">
        <f>SUM(B50)</f>
        <v>0</v>
      </c>
      <c r="C51" s="55">
        <f t="shared" ref="C51:N51" si="6">SUM(C50)</f>
        <v>7</v>
      </c>
      <c r="D51" s="55">
        <f t="shared" si="6"/>
        <v>34</v>
      </c>
      <c r="E51" s="55">
        <f t="shared" si="6"/>
        <v>29</v>
      </c>
      <c r="F51" s="55">
        <f t="shared" si="6"/>
        <v>8</v>
      </c>
      <c r="G51" s="55">
        <f t="shared" si="6"/>
        <v>44</v>
      </c>
      <c r="H51" s="55">
        <f t="shared" si="6"/>
        <v>0</v>
      </c>
      <c r="I51" s="55">
        <f t="shared" si="6"/>
        <v>0</v>
      </c>
      <c r="J51" s="55">
        <f t="shared" si="6"/>
        <v>0</v>
      </c>
      <c r="K51" s="55">
        <f t="shared" si="6"/>
        <v>0</v>
      </c>
      <c r="L51" s="55">
        <f t="shared" si="6"/>
        <v>0</v>
      </c>
      <c r="M51" s="55">
        <f t="shared" si="6"/>
        <v>0</v>
      </c>
      <c r="N51" s="54">
        <f t="shared" si="6"/>
        <v>122</v>
      </c>
    </row>
    <row r="52" spans="1:14" ht="14" thickBot="1">
      <c r="A52" s="38" t="s">
        <v>50</v>
      </c>
      <c r="B52" s="39"/>
      <c r="C52" s="39"/>
      <c r="D52" s="39"/>
      <c r="E52" s="39"/>
      <c r="F52" s="39"/>
      <c r="G52" s="39"/>
      <c r="H52" s="39"/>
      <c r="I52" s="39"/>
      <c r="J52" s="39"/>
      <c r="K52" s="39"/>
      <c r="L52" s="39"/>
      <c r="M52" s="39"/>
      <c r="N52" s="40"/>
    </row>
    <row r="53" spans="1:14">
      <c r="A53" s="34" t="s">
        <v>26</v>
      </c>
      <c r="B53" s="1092">
        <v>0</v>
      </c>
      <c r="C53" s="1092">
        <v>0</v>
      </c>
      <c r="D53" s="1092">
        <v>0</v>
      </c>
      <c r="E53" s="1092">
        <v>0</v>
      </c>
      <c r="F53" s="1092">
        <v>0</v>
      </c>
      <c r="G53" s="1092">
        <v>0</v>
      </c>
      <c r="H53" s="1092">
        <v>0</v>
      </c>
      <c r="I53" s="1092">
        <v>0</v>
      </c>
      <c r="J53" s="1092">
        <v>0</v>
      </c>
      <c r="K53" s="1092">
        <v>0</v>
      </c>
      <c r="L53" s="1092">
        <v>0</v>
      </c>
      <c r="M53" s="1092">
        <v>0</v>
      </c>
      <c r="N53" s="27">
        <f t="shared" ref="N53:N61" si="7">SUM(B53:M53)</f>
        <v>0</v>
      </c>
    </row>
    <row r="54" spans="1:14">
      <c r="A54" s="34" t="s">
        <v>25</v>
      </c>
      <c r="B54" s="1092">
        <v>0</v>
      </c>
      <c r="C54" s="1092">
        <v>0</v>
      </c>
      <c r="D54" s="1092">
        <v>0</v>
      </c>
      <c r="E54" s="1092">
        <v>0</v>
      </c>
      <c r="F54" s="1092">
        <v>0</v>
      </c>
      <c r="G54" s="1092">
        <v>0</v>
      </c>
      <c r="H54" s="1092">
        <v>0</v>
      </c>
      <c r="I54" s="1092">
        <v>0</v>
      </c>
      <c r="J54" s="1092">
        <v>0</v>
      </c>
      <c r="K54" s="1092">
        <v>0</v>
      </c>
      <c r="L54" s="1092">
        <v>0</v>
      </c>
      <c r="M54" s="1092">
        <v>0</v>
      </c>
      <c r="N54" s="27">
        <f t="shared" si="7"/>
        <v>0</v>
      </c>
    </row>
    <row r="55" spans="1:14">
      <c r="A55" s="32" t="s">
        <v>29</v>
      </c>
      <c r="B55" s="1092">
        <v>0</v>
      </c>
      <c r="C55" s="1092">
        <v>0</v>
      </c>
      <c r="D55" s="1092">
        <v>0</v>
      </c>
      <c r="E55" s="1092">
        <v>0</v>
      </c>
      <c r="F55" s="1092">
        <v>0</v>
      </c>
      <c r="G55" s="1092">
        <v>0</v>
      </c>
      <c r="H55" s="1092">
        <v>39</v>
      </c>
      <c r="I55" s="1092">
        <v>0</v>
      </c>
      <c r="J55" s="1092">
        <v>6</v>
      </c>
      <c r="K55" s="1092">
        <v>0</v>
      </c>
      <c r="L55" s="1092">
        <v>0</v>
      </c>
      <c r="M55" s="1092">
        <v>0</v>
      </c>
      <c r="N55" s="27">
        <f t="shared" si="7"/>
        <v>45</v>
      </c>
    </row>
    <row r="56" spans="1:14">
      <c r="A56" s="32" t="s">
        <v>51</v>
      </c>
      <c r="B56" s="1092">
        <v>0</v>
      </c>
      <c r="C56" s="1092">
        <v>2</v>
      </c>
      <c r="D56" s="1092">
        <v>0</v>
      </c>
      <c r="E56" s="1092">
        <v>0</v>
      </c>
      <c r="F56" s="1092">
        <v>0</v>
      </c>
      <c r="G56" s="1092">
        <v>0</v>
      </c>
      <c r="H56" s="1092">
        <v>0</v>
      </c>
      <c r="I56" s="1092">
        <v>0</v>
      </c>
      <c r="J56" s="1092">
        <v>14</v>
      </c>
      <c r="K56" s="1092">
        <v>0</v>
      </c>
      <c r="L56" s="1092">
        <v>0</v>
      </c>
      <c r="M56" s="1092">
        <v>0</v>
      </c>
      <c r="N56" s="27">
        <f t="shared" si="7"/>
        <v>16</v>
      </c>
    </row>
    <row r="57" spans="1:14">
      <c r="A57" s="34" t="s">
        <v>20</v>
      </c>
      <c r="B57" s="1092">
        <v>0</v>
      </c>
      <c r="C57" s="1092">
        <v>0</v>
      </c>
      <c r="D57" s="1092">
        <v>0</v>
      </c>
      <c r="E57" s="1092">
        <v>0</v>
      </c>
      <c r="F57" s="1092">
        <v>0</v>
      </c>
      <c r="G57" s="1092">
        <v>0</v>
      </c>
      <c r="H57" s="1092">
        <v>0</v>
      </c>
      <c r="I57" s="1092">
        <v>0</v>
      </c>
      <c r="J57" s="1092">
        <v>0</v>
      </c>
      <c r="K57" s="1092">
        <v>0</v>
      </c>
      <c r="L57" s="1092">
        <v>0</v>
      </c>
      <c r="M57" s="1092">
        <v>0</v>
      </c>
      <c r="N57" s="27">
        <f t="shared" si="7"/>
        <v>0</v>
      </c>
    </row>
    <row r="58" spans="1:14">
      <c r="A58" s="34" t="s">
        <v>13</v>
      </c>
      <c r="B58" s="1092">
        <v>0</v>
      </c>
      <c r="C58" s="1092">
        <v>0</v>
      </c>
      <c r="D58" s="1092">
        <v>0</v>
      </c>
      <c r="E58" s="1092">
        <v>0</v>
      </c>
      <c r="F58" s="1092">
        <v>0</v>
      </c>
      <c r="G58" s="1092">
        <v>0</v>
      </c>
      <c r="H58" s="1092">
        <v>0</v>
      </c>
      <c r="I58" s="1092">
        <v>0</v>
      </c>
      <c r="J58" s="1092">
        <v>0</v>
      </c>
      <c r="K58" s="1092">
        <v>0</v>
      </c>
      <c r="L58" s="1092">
        <v>0</v>
      </c>
      <c r="M58" s="1092">
        <v>0</v>
      </c>
      <c r="N58" s="27">
        <f t="shared" si="7"/>
        <v>0</v>
      </c>
    </row>
    <row r="59" spans="1:14">
      <c r="A59" s="35" t="s">
        <v>47</v>
      </c>
      <c r="B59" s="1092">
        <v>0</v>
      </c>
      <c r="C59" s="1092">
        <v>0</v>
      </c>
      <c r="D59" s="1092">
        <v>0</v>
      </c>
      <c r="E59" s="1092">
        <v>0</v>
      </c>
      <c r="F59" s="1092">
        <v>0</v>
      </c>
      <c r="G59" s="1092">
        <v>0</v>
      </c>
      <c r="H59" s="1092">
        <v>0</v>
      </c>
      <c r="I59" s="1092">
        <v>0</v>
      </c>
      <c r="J59" s="1092">
        <v>0</v>
      </c>
      <c r="K59" s="1092">
        <v>0</v>
      </c>
      <c r="L59" s="1092">
        <v>0</v>
      </c>
      <c r="M59" s="1092">
        <v>0</v>
      </c>
      <c r="N59" s="27">
        <f t="shared" si="7"/>
        <v>0</v>
      </c>
    </row>
    <row r="60" spans="1:14">
      <c r="A60" s="33" t="s">
        <v>52</v>
      </c>
      <c r="B60" s="1092">
        <v>0</v>
      </c>
      <c r="C60" s="1092">
        <v>0</v>
      </c>
      <c r="D60" s="1092">
        <v>0</v>
      </c>
      <c r="E60" s="1092">
        <v>0</v>
      </c>
      <c r="F60" s="1092">
        <v>0</v>
      </c>
      <c r="G60" s="1092">
        <v>0</v>
      </c>
      <c r="H60" s="1092">
        <v>0</v>
      </c>
      <c r="I60" s="1092">
        <v>0</v>
      </c>
      <c r="J60" s="1092">
        <v>0</v>
      </c>
      <c r="K60" s="1092">
        <v>0</v>
      </c>
      <c r="L60" s="1092">
        <v>0</v>
      </c>
      <c r="M60" s="1092">
        <v>0</v>
      </c>
      <c r="N60" s="27">
        <f t="shared" si="7"/>
        <v>0</v>
      </c>
    </row>
    <row r="61" spans="1:14">
      <c r="A61" s="33" t="s">
        <v>117</v>
      </c>
      <c r="B61" s="1092">
        <v>0</v>
      </c>
      <c r="C61" s="1092">
        <v>1</v>
      </c>
      <c r="D61" s="1092">
        <v>0</v>
      </c>
      <c r="E61" s="1092">
        <v>0</v>
      </c>
      <c r="F61" s="1092">
        <v>0</v>
      </c>
      <c r="G61" s="1092">
        <v>0</v>
      </c>
      <c r="H61" s="1092">
        <v>0</v>
      </c>
      <c r="I61" s="1092">
        <v>1</v>
      </c>
      <c r="J61" s="1092">
        <v>0</v>
      </c>
      <c r="K61" s="1092">
        <v>0</v>
      </c>
      <c r="L61" s="1092">
        <v>0</v>
      </c>
      <c r="M61" s="1092">
        <v>0</v>
      </c>
      <c r="N61" s="27">
        <f t="shared" si="7"/>
        <v>2</v>
      </c>
    </row>
    <row r="62" spans="1:14">
      <c r="A62" s="32" t="s">
        <v>56</v>
      </c>
      <c r="B62" s="1092">
        <v>0</v>
      </c>
      <c r="C62" s="1092">
        <v>0</v>
      </c>
      <c r="D62" s="1092">
        <v>0</v>
      </c>
      <c r="E62" s="1092">
        <v>0</v>
      </c>
      <c r="F62" s="1092">
        <v>0</v>
      </c>
      <c r="G62" s="1092">
        <v>0</v>
      </c>
      <c r="H62" s="1092">
        <v>0</v>
      </c>
      <c r="I62" s="1092">
        <v>0</v>
      </c>
      <c r="J62" s="1092">
        <v>0</v>
      </c>
      <c r="K62" s="1092">
        <v>0</v>
      </c>
      <c r="L62" s="1092">
        <v>0</v>
      </c>
      <c r="M62" s="1092">
        <v>0</v>
      </c>
      <c r="N62" s="27">
        <f>SUM(B62:M62)</f>
        <v>0</v>
      </c>
    </row>
    <row r="63" spans="1:14">
      <c r="A63" s="78" t="s">
        <v>122</v>
      </c>
      <c r="B63" s="1092">
        <v>0</v>
      </c>
      <c r="C63" s="1092">
        <v>0</v>
      </c>
      <c r="D63" s="1092">
        <v>0</v>
      </c>
      <c r="E63" s="1092">
        <v>0</v>
      </c>
      <c r="F63" s="1092">
        <v>0</v>
      </c>
      <c r="G63" s="1092">
        <v>0</v>
      </c>
      <c r="H63" s="1092">
        <v>0</v>
      </c>
      <c r="I63" s="1092">
        <v>0</v>
      </c>
      <c r="J63" s="1092">
        <v>0</v>
      </c>
      <c r="K63" s="1092">
        <v>0</v>
      </c>
      <c r="L63" s="1092">
        <v>0</v>
      </c>
      <c r="M63" s="1092">
        <v>0</v>
      </c>
      <c r="N63" s="27">
        <f>SUM(B63:M63)</f>
        <v>0</v>
      </c>
    </row>
    <row r="64" spans="1:14" ht="14" thickBot="1">
      <c r="A64" s="32" t="s">
        <v>102</v>
      </c>
      <c r="B64" s="1092">
        <v>0</v>
      </c>
      <c r="C64" s="1092">
        <v>0</v>
      </c>
      <c r="D64" s="1092">
        <v>2</v>
      </c>
      <c r="E64" s="1092">
        <v>1</v>
      </c>
      <c r="F64" s="1092">
        <v>0</v>
      </c>
      <c r="G64" s="1092">
        <v>0</v>
      </c>
      <c r="H64" s="1092">
        <v>0</v>
      </c>
      <c r="I64" s="1092">
        <v>0</v>
      </c>
      <c r="J64" s="1092">
        <v>0</v>
      </c>
      <c r="K64" s="1092">
        <v>0</v>
      </c>
      <c r="L64" s="1092">
        <v>0</v>
      </c>
      <c r="M64" s="1092">
        <v>0</v>
      </c>
      <c r="N64" s="27">
        <f>SUM(B64:M64)</f>
        <v>3</v>
      </c>
    </row>
    <row r="65" spans="1:14" ht="14" thickBot="1">
      <c r="A65" s="53" t="s">
        <v>60</v>
      </c>
      <c r="B65" s="55">
        <f>SUM(B53:B64)</f>
        <v>0</v>
      </c>
      <c r="C65" s="55">
        <f t="shared" ref="C65:N65" si="8">SUM(C53:C64)</f>
        <v>3</v>
      </c>
      <c r="D65" s="55">
        <f t="shared" si="8"/>
        <v>2</v>
      </c>
      <c r="E65" s="55">
        <f t="shared" si="8"/>
        <v>1</v>
      </c>
      <c r="F65" s="55">
        <f t="shared" si="8"/>
        <v>0</v>
      </c>
      <c r="G65" s="55">
        <f t="shared" si="8"/>
        <v>0</v>
      </c>
      <c r="H65" s="55">
        <f t="shared" si="8"/>
        <v>39</v>
      </c>
      <c r="I65" s="55">
        <f t="shared" si="8"/>
        <v>1</v>
      </c>
      <c r="J65" s="55">
        <f t="shared" si="8"/>
        <v>20</v>
      </c>
      <c r="K65" s="55">
        <f t="shared" si="8"/>
        <v>0</v>
      </c>
      <c r="L65" s="55">
        <f t="shared" si="8"/>
        <v>0</v>
      </c>
      <c r="M65" s="55">
        <f t="shared" si="8"/>
        <v>0</v>
      </c>
      <c r="N65" s="54">
        <f t="shared" si="8"/>
        <v>66</v>
      </c>
    </row>
    <row r="66" spans="1:14" ht="14" thickBot="1">
      <c r="A66" s="38" t="s">
        <v>54</v>
      </c>
      <c r="B66" s="277"/>
      <c r="C66" s="277"/>
      <c r="D66" s="277"/>
      <c r="E66" s="277"/>
      <c r="F66" s="277"/>
      <c r="G66" s="277"/>
      <c r="H66" s="277"/>
      <c r="I66" s="277"/>
      <c r="J66" s="277"/>
      <c r="K66" s="277"/>
      <c r="L66" s="277"/>
      <c r="M66" s="277"/>
      <c r="N66" s="42"/>
    </row>
    <row r="67" spans="1:14">
      <c r="A67" s="36" t="s">
        <v>29</v>
      </c>
      <c r="B67" s="1093">
        <v>4</v>
      </c>
      <c r="C67" s="1093">
        <v>0</v>
      </c>
      <c r="D67" s="1093">
        <v>0</v>
      </c>
      <c r="E67" s="1093">
        <v>0</v>
      </c>
      <c r="F67" s="1093">
        <v>0</v>
      </c>
      <c r="G67" s="1093">
        <v>0</v>
      </c>
      <c r="H67" s="1093">
        <v>0</v>
      </c>
      <c r="I67" s="1093">
        <v>0</v>
      </c>
      <c r="J67" s="1093">
        <v>0</v>
      </c>
      <c r="K67" s="1093">
        <v>0</v>
      </c>
      <c r="L67" s="1093">
        <v>0</v>
      </c>
      <c r="M67" s="1093">
        <v>0</v>
      </c>
      <c r="N67" s="28">
        <f t="shared" ref="N67:N72" si="9">SUM(B67:M67)</f>
        <v>4</v>
      </c>
    </row>
    <row r="68" spans="1:14">
      <c r="A68" s="34" t="s">
        <v>51</v>
      </c>
      <c r="B68" s="1092">
        <v>2</v>
      </c>
      <c r="C68" s="1092">
        <v>0</v>
      </c>
      <c r="D68" s="1092">
        <v>0</v>
      </c>
      <c r="E68" s="1092">
        <v>0</v>
      </c>
      <c r="F68" s="1092">
        <v>0</v>
      </c>
      <c r="G68" s="1092">
        <v>0</v>
      </c>
      <c r="H68" s="1092">
        <v>0</v>
      </c>
      <c r="I68" s="1092">
        <v>0</v>
      </c>
      <c r="J68" s="1092">
        <v>0</v>
      </c>
      <c r="K68" s="1092">
        <v>0</v>
      </c>
      <c r="L68" s="1092">
        <v>0</v>
      </c>
      <c r="M68" s="1092">
        <v>0</v>
      </c>
      <c r="N68" s="29">
        <f t="shared" si="9"/>
        <v>2</v>
      </c>
    </row>
    <row r="69" spans="1:14">
      <c r="A69" s="34" t="s">
        <v>15</v>
      </c>
      <c r="B69" s="1092">
        <v>4</v>
      </c>
      <c r="C69" s="1092">
        <v>0</v>
      </c>
      <c r="D69" s="1092">
        <v>0</v>
      </c>
      <c r="E69" s="1092">
        <v>0</v>
      </c>
      <c r="F69" s="1092">
        <v>0</v>
      </c>
      <c r="G69" s="1092">
        <v>0</v>
      </c>
      <c r="H69" s="1092">
        <v>0</v>
      </c>
      <c r="I69" s="1092">
        <v>0</v>
      </c>
      <c r="J69" s="1092">
        <v>0</v>
      </c>
      <c r="K69" s="1092">
        <v>0</v>
      </c>
      <c r="L69" s="1094">
        <v>0</v>
      </c>
      <c r="M69" s="1092">
        <v>0</v>
      </c>
      <c r="N69" s="29">
        <f t="shared" si="9"/>
        <v>4</v>
      </c>
    </row>
    <row r="70" spans="1:14">
      <c r="A70" s="34" t="s">
        <v>30</v>
      </c>
      <c r="B70" s="1092">
        <v>0</v>
      </c>
      <c r="C70" s="1092">
        <v>0</v>
      </c>
      <c r="D70" s="1092">
        <v>0</v>
      </c>
      <c r="E70" s="1092">
        <v>0</v>
      </c>
      <c r="F70" s="1092">
        <v>0</v>
      </c>
      <c r="G70" s="1092">
        <v>0</v>
      </c>
      <c r="H70" s="1092">
        <v>0</v>
      </c>
      <c r="I70" s="1092">
        <v>0</v>
      </c>
      <c r="J70" s="1092">
        <v>0</v>
      </c>
      <c r="K70" s="1092">
        <v>0</v>
      </c>
      <c r="L70" s="1092">
        <v>0</v>
      </c>
      <c r="M70" s="1092">
        <v>0</v>
      </c>
      <c r="N70" s="29">
        <f t="shared" si="9"/>
        <v>0</v>
      </c>
    </row>
    <row r="71" spans="1:14">
      <c r="A71" s="34" t="s">
        <v>55</v>
      </c>
      <c r="B71" s="1094">
        <v>0</v>
      </c>
      <c r="C71" s="1094">
        <v>0</v>
      </c>
      <c r="D71" s="1094">
        <v>4</v>
      </c>
      <c r="E71" s="1094">
        <v>0</v>
      </c>
      <c r="F71" s="1094">
        <v>0</v>
      </c>
      <c r="G71" s="1094">
        <v>0</v>
      </c>
      <c r="H71" s="1094">
        <v>0</v>
      </c>
      <c r="I71" s="1094">
        <v>0</v>
      </c>
      <c r="J71" s="1094">
        <v>0</v>
      </c>
      <c r="K71" s="1094">
        <v>0</v>
      </c>
      <c r="L71" s="1094">
        <v>0</v>
      </c>
      <c r="M71" s="1094">
        <v>0</v>
      </c>
      <c r="N71" s="29">
        <f t="shared" si="9"/>
        <v>4</v>
      </c>
    </row>
    <row r="72" spans="1:14" s="3" customFormat="1" ht="14" thickBot="1">
      <c r="A72" s="33" t="s">
        <v>88</v>
      </c>
      <c r="B72" s="1092">
        <v>0</v>
      </c>
      <c r="C72" s="1092">
        <v>0</v>
      </c>
      <c r="D72" s="1092">
        <v>0</v>
      </c>
      <c r="E72" s="1092">
        <v>0</v>
      </c>
      <c r="F72" s="1092">
        <v>0</v>
      </c>
      <c r="G72" s="1092">
        <v>0</v>
      </c>
      <c r="H72" s="1092">
        <v>0</v>
      </c>
      <c r="I72" s="1092">
        <v>0</v>
      </c>
      <c r="J72" s="1092">
        <v>0</v>
      </c>
      <c r="K72" s="1092">
        <v>0</v>
      </c>
      <c r="L72" s="1092">
        <v>0</v>
      </c>
      <c r="M72" s="1092">
        <v>0</v>
      </c>
      <c r="N72" s="27">
        <f t="shared" si="9"/>
        <v>0</v>
      </c>
    </row>
    <row r="73" spans="1:14" ht="14" thickBot="1">
      <c r="A73" s="53" t="s">
        <v>60</v>
      </c>
      <c r="B73" s="55">
        <f>SUM(B67:B72)</f>
        <v>10</v>
      </c>
      <c r="C73" s="55">
        <f t="shared" ref="C73:N73" si="10">SUM(C67:C72)</f>
        <v>0</v>
      </c>
      <c r="D73" s="55">
        <f t="shared" si="10"/>
        <v>4</v>
      </c>
      <c r="E73" s="55">
        <f t="shared" si="10"/>
        <v>0</v>
      </c>
      <c r="F73" s="55">
        <f t="shared" si="10"/>
        <v>0</v>
      </c>
      <c r="G73" s="55">
        <f t="shared" si="10"/>
        <v>0</v>
      </c>
      <c r="H73" s="55">
        <f t="shared" si="10"/>
        <v>0</v>
      </c>
      <c r="I73" s="55">
        <f t="shared" si="10"/>
        <v>0</v>
      </c>
      <c r="J73" s="55">
        <f t="shared" si="10"/>
        <v>0</v>
      </c>
      <c r="K73" s="55">
        <f t="shared" si="10"/>
        <v>0</v>
      </c>
      <c r="L73" s="55">
        <f t="shared" si="10"/>
        <v>0</v>
      </c>
      <c r="M73" s="55">
        <f t="shared" si="10"/>
        <v>0</v>
      </c>
      <c r="N73" s="302">
        <f t="shared" si="10"/>
        <v>14</v>
      </c>
    </row>
    <row r="76" spans="1:14" ht="14" thickBot="1">
      <c r="B76" s="43" t="s">
        <v>35</v>
      </c>
      <c r="C76" s="43" t="s">
        <v>36</v>
      </c>
      <c r="D76" s="43" t="s">
        <v>37</v>
      </c>
      <c r="E76" s="43" t="s">
        <v>38</v>
      </c>
      <c r="F76" s="43" t="s">
        <v>39</v>
      </c>
      <c r="G76" s="43" t="s">
        <v>40</v>
      </c>
      <c r="H76" s="43" t="s">
        <v>41</v>
      </c>
      <c r="I76" s="43" t="s">
        <v>42</v>
      </c>
      <c r="J76" s="43" t="s">
        <v>43</v>
      </c>
      <c r="K76" s="43" t="s">
        <v>44</v>
      </c>
      <c r="L76" s="43" t="s">
        <v>45</v>
      </c>
      <c r="M76" s="43" t="s">
        <v>46</v>
      </c>
      <c r="N76" s="43" t="s">
        <v>10</v>
      </c>
    </row>
    <row r="77" spans="1:14" ht="17" thickBot="1">
      <c r="A77" s="31" t="s">
        <v>143</v>
      </c>
      <c r="B77" s="24"/>
      <c r="C77" s="24"/>
      <c r="D77" s="22"/>
      <c r="E77" s="22"/>
      <c r="F77" s="25"/>
      <c r="G77" s="25"/>
      <c r="H77" s="22"/>
      <c r="I77" s="22"/>
      <c r="J77" s="22"/>
      <c r="K77" s="22"/>
      <c r="L77" s="24"/>
      <c r="M77" s="24"/>
      <c r="N77" s="26"/>
    </row>
    <row r="78" spans="1:14" ht="14" thickBot="1">
      <c r="A78" s="38" t="s">
        <v>48</v>
      </c>
      <c r="B78" s="39"/>
      <c r="C78" s="39"/>
      <c r="D78" s="39"/>
      <c r="E78" s="39"/>
      <c r="F78" s="39"/>
      <c r="G78" s="39"/>
      <c r="H78" s="39"/>
      <c r="I78" s="39"/>
      <c r="J78" s="39"/>
      <c r="K78" s="39"/>
      <c r="L78" s="39"/>
      <c r="M78" s="39"/>
      <c r="N78" s="40"/>
    </row>
    <row r="79" spans="1:14">
      <c r="A79" s="32" t="s">
        <v>28</v>
      </c>
      <c r="B79" s="1092">
        <v>0</v>
      </c>
      <c r="C79" s="1092">
        <v>0</v>
      </c>
      <c r="D79" s="1092">
        <v>0</v>
      </c>
      <c r="E79" s="1092">
        <v>0</v>
      </c>
      <c r="F79" s="1092">
        <v>0</v>
      </c>
      <c r="G79" s="1092">
        <v>0</v>
      </c>
      <c r="H79" s="1092">
        <v>0</v>
      </c>
      <c r="I79" s="1092">
        <v>0</v>
      </c>
      <c r="J79" s="1092">
        <v>0</v>
      </c>
      <c r="K79" s="1092">
        <v>0</v>
      </c>
      <c r="L79" s="1092">
        <v>0</v>
      </c>
      <c r="M79" s="1092">
        <v>0</v>
      </c>
      <c r="N79" s="27">
        <f>SUM(B79:M79)</f>
        <v>0</v>
      </c>
    </row>
    <row r="80" spans="1:14">
      <c r="A80" s="32" t="s">
        <v>29</v>
      </c>
      <c r="B80" s="1092">
        <v>12</v>
      </c>
      <c r="C80" s="1092">
        <v>0</v>
      </c>
      <c r="D80" s="1092">
        <v>0</v>
      </c>
      <c r="E80" s="1092">
        <v>0</v>
      </c>
      <c r="F80" s="1092">
        <v>0</v>
      </c>
      <c r="G80" s="1092">
        <v>5</v>
      </c>
      <c r="H80" s="1092">
        <v>4</v>
      </c>
      <c r="I80" s="1092">
        <v>0</v>
      </c>
      <c r="J80" s="1092">
        <v>4</v>
      </c>
      <c r="K80" s="1092">
        <v>3</v>
      </c>
      <c r="L80" s="1092">
        <v>5</v>
      </c>
      <c r="M80" s="1092">
        <v>2</v>
      </c>
      <c r="N80" s="27">
        <f t="shared" ref="N80:N86" si="11">SUM(B80:M80)</f>
        <v>35</v>
      </c>
    </row>
    <row r="81" spans="1:14">
      <c r="A81" s="32" t="s">
        <v>33</v>
      </c>
      <c r="B81" s="1092">
        <v>2</v>
      </c>
      <c r="C81" s="1092">
        <v>0</v>
      </c>
      <c r="D81" s="1092">
        <v>2</v>
      </c>
      <c r="E81" s="1092">
        <v>1</v>
      </c>
      <c r="F81" s="1092">
        <v>0</v>
      </c>
      <c r="G81" s="1092">
        <v>3</v>
      </c>
      <c r="H81" s="1092">
        <v>0</v>
      </c>
      <c r="I81" s="1092">
        <v>1</v>
      </c>
      <c r="J81" s="1092">
        <v>5</v>
      </c>
      <c r="K81" s="1092">
        <v>1</v>
      </c>
      <c r="L81" s="1092">
        <v>1</v>
      </c>
      <c r="M81" s="1092">
        <v>6</v>
      </c>
      <c r="N81" s="27">
        <f t="shared" si="11"/>
        <v>22</v>
      </c>
    </row>
    <row r="82" spans="1:14">
      <c r="A82" s="32" t="s">
        <v>56</v>
      </c>
      <c r="B82" s="1092">
        <v>0</v>
      </c>
      <c r="C82" s="1092">
        <v>0</v>
      </c>
      <c r="D82" s="1092">
        <v>0</v>
      </c>
      <c r="E82" s="1092">
        <v>0</v>
      </c>
      <c r="F82" s="1092">
        <v>0</v>
      </c>
      <c r="G82" s="1092">
        <v>0</v>
      </c>
      <c r="H82" s="1092">
        <v>0</v>
      </c>
      <c r="I82" s="1092">
        <v>0</v>
      </c>
      <c r="J82" s="1092">
        <v>0</v>
      </c>
      <c r="K82" s="1092">
        <v>0</v>
      </c>
      <c r="L82" s="1092">
        <v>0</v>
      </c>
      <c r="M82" s="1092">
        <v>0</v>
      </c>
      <c r="N82" s="27">
        <f t="shared" si="11"/>
        <v>0</v>
      </c>
    </row>
    <row r="83" spans="1:14">
      <c r="A83" s="32" t="s">
        <v>52</v>
      </c>
      <c r="B83" s="1092">
        <v>0</v>
      </c>
      <c r="C83" s="1092">
        <v>0</v>
      </c>
      <c r="D83" s="1092">
        <v>0</v>
      </c>
      <c r="E83" s="1092">
        <v>0</v>
      </c>
      <c r="F83" s="1092">
        <v>0</v>
      </c>
      <c r="G83" s="1092">
        <v>0</v>
      </c>
      <c r="H83" s="1092">
        <v>0</v>
      </c>
      <c r="I83" s="1092">
        <v>0</v>
      </c>
      <c r="J83" s="1092">
        <v>0</v>
      </c>
      <c r="K83" s="1092">
        <v>0</v>
      </c>
      <c r="L83" s="1092">
        <v>0</v>
      </c>
      <c r="M83" s="1092">
        <v>0</v>
      </c>
      <c r="N83" s="27">
        <f t="shared" si="11"/>
        <v>0</v>
      </c>
    </row>
    <row r="84" spans="1:14">
      <c r="A84" s="76" t="s">
        <v>148</v>
      </c>
      <c r="B84" s="1092">
        <v>0</v>
      </c>
      <c r="C84" s="1092">
        <v>0</v>
      </c>
      <c r="D84" s="1092">
        <v>0</v>
      </c>
      <c r="E84" s="1092">
        <v>0</v>
      </c>
      <c r="F84" s="1092">
        <v>0</v>
      </c>
      <c r="G84" s="1092">
        <v>0</v>
      </c>
      <c r="H84" s="1092">
        <v>0</v>
      </c>
      <c r="I84" s="1092">
        <v>0</v>
      </c>
      <c r="J84" s="1092">
        <v>0</v>
      </c>
      <c r="K84" s="1092">
        <v>0</v>
      </c>
      <c r="L84" s="1092">
        <v>0</v>
      </c>
      <c r="M84" s="1092">
        <v>0</v>
      </c>
      <c r="N84" s="27">
        <f t="shared" si="11"/>
        <v>0</v>
      </c>
    </row>
    <row r="85" spans="1:14" ht="14" thickBot="1">
      <c r="A85" s="76" t="s">
        <v>150</v>
      </c>
      <c r="B85" s="1092">
        <v>0</v>
      </c>
      <c r="C85" s="1092">
        <v>0</v>
      </c>
      <c r="D85" s="1092">
        <v>0</v>
      </c>
      <c r="E85" s="1092">
        <v>0</v>
      </c>
      <c r="F85" s="1092">
        <v>0</v>
      </c>
      <c r="G85" s="1092">
        <v>0</v>
      </c>
      <c r="H85" s="1092">
        <v>0</v>
      </c>
      <c r="I85" s="1092">
        <v>0</v>
      </c>
      <c r="J85" s="1092">
        <v>0</v>
      </c>
      <c r="K85" s="1092">
        <v>0</v>
      </c>
      <c r="L85" s="1092">
        <v>0</v>
      </c>
      <c r="M85" s="1092">
        <v>0</v>
      </c>
      <c r="N85" s="27">
        <f t="shared" si="11"/>
        <v>0</v>
      </c>
    </row>
    <row r="86" spans="1:14" ht="14" thickBot="1">
      <c r="A86" s="53" t="s">
        <v>60</v>
      </c>
      <c r="B86" s="55">
        <f>SUM(B79:B85)</f>
        <v>14</v>
      </c>
      <c r="C86" s="55">
        <f>SUM(C79:C85)</f>
        <v>0</v>
      </c>
      <c r="D86" s="55">
        <f t="shared" ref="D86:M86" si="12">SUM(D79:D85)</f>
        <v>2</v>
      </c>
      <c r="E86" s="55">
        <f t="shared" si="12"/>
        <v>1</v>
      </c>
      <c r="F86" s="55">
        <f t="shared" si="12"/>
        <v>0</v>
      </c>
      <c r="G86" s="55">
        <f t="shared" si="12"/>
        <v>8</v>
      </c>
      <c r="H86" s="55">
        <f t="shared" si="12"/>
        <v>4</v>
      </c>
      <c r="I86" s="55">
        <f t="shared" si="12"/>
        <v>1</v>
      </c>
      <c r="J86" s="55">
        <f t="shared" si="12"/>
        <v>9</v>
      </c>
      <c r="K86" s="55">
        <f t="shared" si="12"/>
        <v>4</v>
      </c>
      <c r="L86" s="55">
        <f t="shared" si="12"/>
        <v>6</v>
      </c>
      <c r="M86" s="55">
        <f t="shared" si="12"/>
        <v>8</v>
      </c>
      <c r="N86" s="27">
        <f t="shared" si="11"/>
        <v>57</v>
      </c>
    </row>
    <row r="87" spans="1:14" ht="14" thickBot="1">
      <c r="A87" s="38" t="s">
        <v>49</v>
      </c>
      <c r="B87" s="39"/>
      <c r="C87" s="39"/>
      <c r="D87" s="39"/>
      <c r="E87" s="39"/>
      <c r="F87" s="39"/>
      <c r="G87" s="39"/>
      <c r="H87" s="39"/>
      <c r="I87" s="39"/>
      <c r="J87" s="39"/>
      <c r="K87" s="39"/>
      <c r="L87" s="39"/>
      <c r="M87" s="39"/>
      <c r="N87" s="40"/>
    </row>
    <row r="88" spans="1:14" ht="14" thickBot="1">
      <c r="A88" s="33" t="s">
        <v>49</v>
      </c>
      <c r="B88" s="1092">
        <v>0</v>
      </c>
      <c r="C88" s="1092">
        <v>0</v>
      </c>
      <c r="D88" s="1092">
        <v>0</v>
      </c>
      <c r="E88" s="1092">
        <v>0</v>
      </c>
      <c r="F88" s="1092">
        <v>0</v>
      </c>
      <c r="G88" s="1092">
        <v>0</v>
      </c>
      <c r="H88" s="1092">
        <v>0</v>
      </c>
      <c r="I88" s="1092">
        <v>0</v>
      </c>
      <c r="J88" s="1092">
        <v>0</v>
      </c>
      <c r="K88" s="1092">
        <v>95</v>
      </c>
      <c r="L88" s="1092">
        <v>45</v>
      </c>
      <c r="M88" s="1092">
        <v>71</v>
      </c>
      <c r="N88" s="27">
        <f>SUM(B88:M88)</f>
        <v>211</v>
      </c>
    </row>
    <row r="89" spans="1:14" ht="14" thickBot="1">
      <c r="A89" s="53" t="s">
        <v>60</v>
      </c>
      <c r="B89" s="55">
        <f>SUM(B88)</f>
        <v>0</v>
      </c>
      <c r="C89" s="55">
        <f t="shared" ref="C89:N89" si="13">SUM(C88)</f>
        <v>0</v>
      </c>
      <c r="D89" s="55">
        <f t="shared" si="13"/>
        <v>0</v>
      </c>
      <c r="E89" s="55">
        <f t="shared" si="13"/>
        <v>0</v>
      </c>
      <c r="F89" s="55">
        <f t="shared" si="13"/>
        <v>0</v>
      </c>
      <c r="G89" s="55">
        <f t="shared" si="13"/>
        <v>0</v>
      </c>
      <c r="H89" s="55">
        <f t="shared" si="13"/>
        <v>0</v>
      </c>
      <c r="I89" s="55">
        <f t="shared" si="13"/>
        <v>0</v>
      </c>
      <c r="J89" s="55">
        <f t="shared" si="13"/>
        <v>0</v>
      </c>
      <c r="K89" s="55">
        <f t="shared" si="13"/>
        <v>95</v>
      </c>
      <c r="L89" s="55">
        <f t="shared" si="13"/>
        <v>45</v>
      </c>
      <c r="M89" s="55">
        <f t="shared" si="13"/>
        <v>71</v>
      </c>
      <c r="N89" s="54">
        <f t="shared" si="13"/>
        <v>211</v>
      </c>
    </row>
    <row r="90" spans="1:14" ht="14" thickBot="1">
      <c r="A90" s="38" t="s">
        <v>50</v>
      </c>
      <c r="B90" s="39"/>
      <c r="C90" s="39"/>
      <c r="D90" s="39"/>
      <c r="E90" s="39"/>
      <c r="F90" s="39"/>
      <c r="G90" s="39"/>
      <c r="H90" s="39"/>
      <c r="I90" s="39"/>
      <c r="J90" s="39"/>
      <c r="K90" s="39"/>
      <c r="L90" s="39"/>
      <c r="M90" s="39"/>
      <c r="N90" s="40"/>
    </row>
    <row r="91" spans="1:14">
      <c r="A91" s="34" t="s">
        <v>26</v>
      </c>
      <c r="B91" s="1092">
        <v>0</v>
      </c>
      <c r="C91" s="1092">
        <v>0</v>
      </c>
      <c r="D91" s="1092">
        <v>0</v>
      </c>
      <c r="E91" s="1092">
        <v>0</v>
      </c>
      <c r="F91" s="1092">
        <v>0</v>
      </c>
      <c r="G91" s="1092">
        <v>0</v>
      </c>
      <c r="H91" s="1092">
        <v>0</v>
      </c>
      <c r="I91" s="1092">
        <v>0</v>
      </c>
      <c r="J91" s="1092">
        <v>0</v>
      </c>
      <c r="K91" s="1092">
        <v>0</v>
      </c>
      <c r="L91" s="1092">
        <v>0</v>
      </c>
      <c r="M91" s="1092">
        <v>0</v>
      </c>
      <c r="N91" s="27">
        <f t="shared" ref="N91:N99" si="14">SUM(B91:M91)</f>
        <v>0</v>
      </c>
    </row>
    <row r="92" spans="1:14">
      <c r="A92" s="34" t="s">
        <v>25</v>
      </c>
      <c r="B92" s="1092">
        <v>0</v>
      </c>
      <c r="C92" s="1092">
        <v>0</v>
      </c>
      <c r="D92" s="1092">
        <v>0</v>
      </c>
      <c r="E92" s="1092">
        <v>0</v>
      </c>
      <c r="F92" s="1092">
        <v>0</v>
      </c>
      <c r="G92" s="1092">
        <v>0</v>
      </c>
      <c r="H92" s="1092">
        <v>0</v>
      </c>
      <c r="I92" s="1092">
        <v>0</v>
      </c>
      <c r="J92" s="1092">
        <v>0</v>
      </c>
      <c r="K92" s="1092">
        <v>0</v>
      </c>
      <c r="L92" s="1092">
        <v>0</v>
      </c>
      <c r="M92" s="1092">
        <v>0</v>
      </c>
      <c r="N92" s="27">
        <f t="shared" si="14"/>
        <v>0</v>
      </c>
    </row>
    <row r="93" spans="1:14">
      <c r="A93" s="32" t="s">
        <v>29</v>
      </c>
      <c r="B93" s="1092">
        <v>0</v>
      </c>
      <c r="C93" s="1092">
        <v>0</v>
      </c>
      <c r="D93" s="1092">
        <v>0</v>
      </c>
      <c r="E93" s="1092">
        <v>0</v>
      </c>
      <c r="F93" s="1092">
        <v>0</v>
      </c>
      <c r="G93" s="1092">
        <v>0</v>
      </c>
      <c r="H93" s="1092">
        <v>0</v>
      </c>
      <c r="I93" s="1092">
        <v>0</v>
      </c>
      <c r="J93" s="1092">
        <v>0</v>
      </c>
      <c r="K93" s="1092">
        <v>0</v>
      </c>
      <c r="L93" s="1092">
        <v>0</v>
      </c>
      <c r="M93" s="1092">
        <v>0</v>
      </c>
      <c r="N93" s="27">
        <f t="shared" si="14"/>
        <v>0</v>
      </c>
    </row>
    <row r="94" spans="1:14">
      <c r="A94" s="32" t="s">
        <v>51</v>
      </c>
      <c r="B94" s="1092">
        <v>0</v>
      </c>
      <c r="C94" s="1092">
        <v>0</v>
      </c>
      <c r="D94" s="1092">
        <v>0</v>
      </c>
      <c r="E94" s="1092">
        <v>0</v>
      </c>
      <c r="F94" s="1092">
        <v>0</v>
      </c>
      <c r="G94" s="1092">
        <v>0</v>
      </c>
      <c r="H94" s="1092">
        <v>0</v>
      </c>
      <c r="I94" s="1092">
        <v>0</v>
      </c>
      <c r="J94" s="1092">
        <v>0</v>
      </c>
      <c r="K94" s="1092">
        <v>0</v>
      </c>
      <c r="L94" s="1092">
        <v>0</v>
      </c>
      <c r="M94" s="1092">
        <v>0</v>
      </c>
      <c r="N94" s="27">
        <f t="shared" si="14"/>
        <v>0</v>
      </c>
    </row>
    <row r="95" spans="1:14">
      <c r="A95" s="34" t="s">
        <v>20</v>
      </c>
      <c r="B95" s="1092">
        <v>0</v>
      </c>
      <c r="C95" s="1092">
        <v>0</v>
      </c>
      <c r="D95" s="1092">
        <v>0</v>
      </c>
      <c r="E95" s="1092">
        <v>0</v>
      </c>
      <c r="F95" s="1092">
        <v>0</v>
      </c>
      <c r="G95" s="1092">
        <v>0</v>
      </c>
      <c r="H95" s="1092">
        <v>0</v>
      </c>
      <c r="I95" s="1092">
        <v>0</v>
      </c>
      <c r="J95" s="1092">
        <v>0</v>
      </c>
      <c r="K95" s="1092">
        <v>0</v>
      </c>
      <c r="L95" s="1092">
        <v>0</v>
      </c>
      <c r="M95" s="1092">
        <v>0</v>
      </c>
      <c r="N95" s="27">
        <f t="shared" si="14"/>
        <v>0</v>
      </c>
    </row>
    <row r="96" spans="1:14">
      <c r="A96" s="34" t="s">
        <v>13</v>
      </c>
      <c r="B96" s="1092">
        <v>0</v>
      </c>
      <c r="C96" s="1092">
        <v>0</v>
      </c>
      <c r="D96" s="1092">
        <v>0</v>
      </c>
      <c r="E96" s="1092">
        <v>0</v>
      </c>
      <c r="F96" s="1092">
        <v>0</v>
      </c>
      <c r="G96" s="1092">
        <v>0</v>
      </c>
      <c r="H96" s="1092">
        <v>0</v>
      </c>
      <c r="I96" s="1092">
        <v>0</v>
      </c>
      <c r="J96" s="1092">
        <v>0</v>
      </c>
      <c r="K96" s="1092">
        <v>0</v>
      </c>
      <c r="L96" s="1092">
        <v>0</v>
      </c>
      <c r="M96" s="1092">
        <v>0</v>
      </c>
      <c r="N96" s="27">
        <f t="shared" si="14"/>
        <v>0</v>
      </c>
    </row>
    <row r="97" spans="1:14">
      <c r="A97" s="35" t="s">
        <v>47</v>
      </c>
      <c r="B97" s="1092">
        <v>0</v>
      </c>
      <c r="C97" s="1092">
        <v>0</v>
      </c>
      <c r="D97" s="1092">
        <v>0</v>
      </c>
      <c r="E97" s="1092">
        <v>0</v>
      </c>
      <c r="F97" s="1092">
        <v>0</v>
      </c>
      <c r="G97" s="1092">
        <v>0</v>
      </c>
      <c r="H97" s="1092">
        <v>0</v>
      </c>
      <c r="I97" s="1092">
        <v>0</v>
      </c>
      <c r="J97" s="1092">
        <v>0</v>
      </c>
      <c r="K97" s="1092">
        <v>0</v>
      </c>
      <c r="L97" s="1092">
        <v>0</v>
      </c>
      <c r="M97" s="1092">
        <v>0</v>
      </c>
      <c r="N97" s="27">
        <f t="shared" si="14"/>
        <v>0</v>
      </c>
    </row>
    <row r="98" spans="1:14">
      <c r="A98" s="76" t="s">
        <v>30</v>
      </c>
      <c r="B98" s="1092">
        <v>0</v>
      </c>
      <c r="C98" s="1092">
        <v>0</v>
      </c>
      <c r="D98" s="1092">
        <v>0</v>
      </c>
      <c r="E98" s="1092">
        <v>0</v>
      </c>
      <c r="F98" s="1092">
        <v>0</v>
      </c>
      <c r="G98" s="1092">
        <v>0</v>
      </c>
      <c r="H98" s="1092">
        <v>0</v>
      </c>
      <c r="I98" s="1092">
        <v>0</v>
      </c>
      <c r="J98" s="1092">
        <v>0</v>
      </c>
      <c r="K98" s="1092">
        <v>0</v>
      </c>
      <c r="L98" s="1092">
        <v>0</v>
      </c>
      <c r="M98" s="1092">
        <v>4</v>
      </c>
      <c r="N98" s="27">
        <f t="shared" si="14"/>
        <v>4</v>
      </c>
    </row>
    <row r="99" spans="1:14">
      <c r="A99" s="76" t="s">
        <v>150</v>
      </c>
      <c r="B99" s="1092">
        <v>0</v>
      </c>
      <c r="C99" s="1092">
        <v>0</v>
      </c>
      <c r="D99" s="1092">
        <v>0</v>
      </c>
      <c r="E99" s="1092">
        <v>0</v>
      </c>
      <c r="F99" s="1092">
        <v>0</v>
      </c>
      <c r="G99" s="1092">
        <v>0</v>
      </c>
      <c r="H99" s="1092">
        <v>0</v>
      </c>
      <c r="I99" s="1092">
        <v>0</v>
      </c>
      <c r="J99" s="1092">
        <v>0</v>
      </c>
      <c r="K99" s="1092">
        <v>0</v>
      </c>
      <c r="L99" s="1092">
        <v>0</v>
      </c>
      <c r="M99" s="1092">
        <v>0</v>
      </c>
      <c r="N99" s="27">
        <f t="shared" si="14"/>
        <v>0</v>
      </c>
    </row>
    <row r="100" spans="1:14">
      <c r="A100" s="32" t="s">
        <v>56</v>
      </c>
      <c r="B100" s="1092">
        <v>0</v>
      </c>
      <c r="C100" s="1092">
        <v>0</v>
      </c>
      <c r="D100" s="1092">
        <v>0</v>
      </c>
      <c r="E100" s="1092">
        <v>0</v>
      </c>
      <c r="F100" s="1092">
        <v>0</v>
      </c>
      <c r="G100" s="1092">
        <v>0</v>
      </c>
      <c r="H100" s="1092">
        <v>0</v>
      </c>
      <c r="I100" s="1092">
        <v>0</v>
      </c>
      <c r="J100" s="1092">
        <v>0</v>
      </c>
      <c r="K100" s="1092">
        <v>220</v>
      </c>
      <c r="L100" s="1092">
        <v>0</v>
      </c>
      <c r="M100" s="1092">
        <v>0</v>
      </c>
      <c r="N100" s="27">
        <f>SUM(B100:M100)</f>
        <v>220</v>
      </c>
    </row>
    <row r="101" spans="1:14">
      <c r="A101" s="78" t="s">
        <v>122</v>
      </c>
      <c r="B101" s="1092">
        <v>0</v>
      </c>
      <c r="C101" s="1092">
        <v>0</v>
      </c>
      <c r="D101" s="1092">
        <v>0</v>
      </c>
      <c r="E101" s="1092">
        <v>0</v>
      </c>
      <c r="F101" s="1092">
        <v>0</v>
      </c>
      <c r="G101" s="1092">
        <v>0</v>
      </c>
      <c r="H101" s="1092">
        <v>0</v>
      </c>
      <c r="I101" s="1092">
        <v>0</v>
      </c>
      <c r="J101" s="1092">
        <v>0</v>
      </c>
      <c r="K101" s="1092">
        <v>0</v>
      </c>
      <c r="L101" s="1092">
        <v>0</v>
      </c>
      <c r="M101" s="1092">
        <v>0</v>
      </c>
      <c r="N101" s="27">
        <f>SUM(B101:M101)</f>
        <v>0</v>
      </c>
    </row>
    <row r="102" spans="1:14" ht="14" thickBot="1">
      <c r="A102" s="32" t="s">
        <v>102</v>
      </c>
      <c r="B102" s="1092">
        <v>0</v>
      </c>
      <c r="C102" s="1092">
        <v>0</v>
      </c>
      <c r="D102" s="1092">
        <v>0</v>
      </c>
      <c r="E102" s="1092">
        <v>0</v>
      </c>
      <c r="F102" s="1092">
        <v>0</v>
      </c>
      <c r="G102" s="1092">
        <v>0</v>
      </c>
      <c r="H102" s="1092">
        <v>0</v>
      </c>
      <c r="I102" s="1092">
        <v>0</v>
      </c>
      <c r="J102" s="1092">
        <v>0</v>
      </c>
      <c r="K102" s="1092">
        <v>0</v>
      </c>
      <c r="L102" s="1092">
        <v>0</v>
      </c>
      <c r="M102" s="1092">
        <v>0</v>
      </c>
      <c r="N102" s="27">
        <f>SUM(B102:M102)</f>
        <v>0</v>
      </c>
    </row>
    <row r="103" spans="1:14" ht="14" thickBot="1">
      <c r="A103" s="53" t="s">
        <v>60</v>
      </c>
      <c r="B103" s="55">
        <f>SUM(B91:B102)</f>
        <v>0</v>
      </c>
      <c r="C103" s="55">
        <f t="shared" ref="C103:N103" si="15">SUM(C91:C102)</f>
        <v>0</v>
      </c>
      <c r="D103" s="55">
        <f t="shared" si="15"/>
        <v>0</v>
      </c>
      <c r="E103" s="55">
        <f t="shared" si="15"/>
        <v>0</v>
      </c>
      <c r="F103" s="55">
        <f t="shared" si="15"/>
        <v>0</v>
      </c>
      <c r="G103" s="55">
        <f t="shared" si="15"/>
        <v>0</v>
      </c>
      <c r="H103" s="55">
        <f t="shared" si="15"/>
        <v>0</v>
      </c>
      <c r="I103" s="55">
        <f t="shared" si="15"/>
        <v>0</v>
      </c>
      <c r="J103" s="55">
        <f t="shared" si="15"/>
        <v>0</v>
      </c>
      <c r="K103" s="55">
        <f t="shared" si="15"/>
        <v>220</v>
      </c>
      <c r="L103" s="55">
        <f t="shared" si="15"/>
        <v>0</v>
      </c>
      <c r="M103" s="55">
        <f t="shared" si="15"/>
        <v>4</v>
      </c>
      <c r="N103" s="54">
        <f t="shared" si="15"/>
        <v>224</v>
      </c>
    </row>
    <row r="104" spans="1:14" ht="14" thickBot="1">
      <c r="A104" s="38" t="s">
        <v>54</v>
      </c>
      <c r="B104" s="41"/>
      <c r="C104" s="41"/>
      <c r="D104" s="41"/>
      <c r="E104" s="41"/>
      <c r="F104" s="41"/>
      <c r="G104" s="41"/>
      <c r="H104" s="41"/>
      <c r="I104" s="41"/>
      <c r="J104" s="41"/>
      <c r="K104" s="41"/>
      <c r="L104" s="41"/>
      <c r="M104" s="41"/>
      <c r="N104" s="42"/>
    </row>
    <row r="105" spans="1:14">
      <c r="A105" s="36" t="s">
        <v>29</v>
      </c>
      <c r="B105" s="1093">
        <v>0</v>
      </c>
      <c r="C105" s="1093">
        <v>0</v>
      </c>
      <c r="D105" s="1093">
        <v>0</v>
      </c>
      <c r="E105" s="1093">
        <v>0</v>
      </c>
      <c r="F105" s="1093">
        <v>0</v>
      </c>
      <c r="G105" s="1093">
        <v>0</v>
      </c>
      <c r="H105" s="1093">
        <v>0</v>
      </c>
      <c r="I105" s="1093">
        <v>0</v>
      </c>
      <c r="J105" s="1093">
        <v>0</v>
      </c>
      <c r="K105" s="1093">
        <v>0</v>
      </c>
      <c r="L105" s="1093">
        <v>0</v>
      </c>
      <c r="M105" s="1093">
        <v>0</v>
      </c>
      <c r="N105" s="28">
        <f t="shared" ref="N105:N110" si="16">SUM(B105:M105)</f>
        <v>0</v>
      </c>
    </row>
    <row r="106" spans="1:14">
      <c r="A106" s="34" t="s">
        <v>51</v>
      </c>
      <c r="B106" s="1092">
        <v>0</v>
      </c>
      <c r="C106" s="1092">
        <v>0</v>
      </c>
      <c r="D106" s="1092">
        <v>0</v>
      </c>
      <c r="E106" s="1092">
        <v>0</v>
      </c>
      <c r="F106" s="1092">
        <v>0</v>
      </c>
      <c r="G106" s="1092">
        <v>0</v>
      </c>
      <c r="H106" s="1092">
        <v>0</v>
      </c>
      <c r="I106" s="1092">
        <v>0</v>
      </c>
      <c r="J106" s="1092">
        <v>0</v>
      </c>
      <c r="K106" s="1092">
        <v>0</v>
      </c>
      <c r="L106" s="1092">
        <v>0</v>
      </c>
      <c r="M106" s="1092">
        <v>0</v>
      </c>
      <c r="N106" s="29">
        <f t="shared" si="16"/>
        <v>0</v>
      </c>
    </row>
    <row r="107" spans="1:14">
      <c r="A107" s="34" t="s">
        <v>15</v>
      </c>
      <c r="B107" s="1092">
        <v>0</v>
      </c>
      <c r="C107" s="1092">
        <v>0</v>
      </c>
      <c r="D107" s="1092">
        <v>0</v>
      </c>
      <c r="E107" s="1092">
        <v>0</v>
      </c>
      <c r="F107" s="1092">
        <v>0</v>
      </c>
      <c r="G107" s="1092">
        <v>0</v>
      </c>
      <c r="H107" s="1092">
        <v>0</v>
      </c>
      <c r="I107" s="1092">
        <v>0</v>
      </c>
      <c r="J107" s="1092">
        <v>0</v>
      </c>
      <c r="K107" s="1092">
        <v>0</v>
      </c>
      <c r="L107" s="1094">
        <v>0</v>
      </c>
      <c r="M107" s="1092">
        <v>0</v>
      </c>
      <c r="N107" s="29">
        <f t="shared" si="16"/>
        <v>0</v>
      </c>
    </row>
    <row r="108" spans="1:14">
      <c r="A108" s="34" t="s">
        <v>30</v>
      </c>
      <c r="B108" s="1092">
        <v>0</v>
      </c>
      <c r="C108" s="1092">
        <v>0</v>
      </c>
      <c r="D108" s="1092">
        <v>0</v>
      </c>
      <c r="E108" s="1092">
        <v>0</v>
      </c>
      <c r="F108" s="1092">
        <v>0</v>
      </c>
      <c r="G108" s="1092">
        <v>0</v>
      </c>
      <c r="H108" s="1092">
        <v>0</v>
      </c>
      <c r="I108" s="1092">
        <v>0</v>
      </c>
      <c r="J108" s="1092">
        <v>0</v>
      </c>
      <c r="K108" s="1092">
        <v>0</v>
      </c>
      <c r="L108" s="1092">
        <v>0</v>
      </c>
      <c r="M108" s="1092">
        <v>0</v>
      </c>
      <c r="N108" s="29">
        <f t="shared" si="16"/>
        <v>0</v>
      </c>
    </row>
    <row r="109" spans="1:14">
      <c r="A109" s="32" t="s">
        <v>55</v>
      </c>
      <c r="B109" s="1094">
        <v>0</v>
      </c>
      <c r="C109" s="1094">
        <v>0</v>
      </c>
      <c r="D109" s="1095">
        <v>0</v>
      </c>
      <c r="E109" s="1094">
        <v>0</v>
      </c>
      <c r="F109" s="1094">
        <v>0</v>
      </c>
      <c r="G109" s="1094">
        <v>0</v>
      </c>
      <c r="H109" s="1094">
        <v>0</v>
      </c>
      <c r="I109" s="1094">
        <v>0</v>
      </c>
      <c r="J109" s="1094">
        <v>0</v>
      </c>
      <c r="K109" s="1094">
        <v>0</v>
      </c>
      <c r="L109" s="1094">
        <v>0</v>
      </c>
      <c r="M109" s="1094">
        <v>0</v>
      </c>
      <c r="N109" s="29">
        <f t="shared" si="16"/>
        <v>0</v>
      </c>
    </row>
    <row r="110" spans="1:14" ht="14" thickBot="1">
      <c r="A110" s="104" t="s">
        <v>150</v>
      </c>
      <c r="B110" s="1096">
        <v>0</v>
      </c>
      <c r="C110" s="1097">
        <v>0</v>
      </c>
      <c r="D110" s="1097">
        <v>0</v>
      </c>
      <c r="E110" s="1097">
        <v>0</v>
      </c>
      <c r="F110" s="1097">
        <v>0</v>
      </c>
      <c r="G110" s="1097">
        <v>0</v>
      </c>
      <c r="H110" s="1097">
        <v>0</v>
      </c>
      <c r="I110" s="1097">
        <v>0</v>
      </c>
      <c r="J110" s="1097">
        <v>0</v>
      </c>
      <c r="K110" s="1097">
        <v>0</v>
      </c>
      <c r="L110" s="1097">
        <v>0</v>
      </c>
      <c r="M110" s="1098">
        <v>0</v>
      </c>
      <c r="N110" s="29">
        <f t="shared" si="16"/>
        <v>0</v>
      </c>
    </row>
    <row r="111" spans="1:14" ht="14" thickBot="1">
      <c r="A111" s="53" t="s">
        <v>60</v>
      </c>
      <c r="B111" s="55">
        <f>SUM(B105:B110)</f>
        <v>0</v>
      </c>
      <c r="C111" s="55">
        <f>SUM(C105:C110)</f>
        <v>0</v>
      </c>
      <c r="D111" s="55">
        <f>SUM(D105:D110)</f>
        <v>0</v>
      </c>
      <c r="E111" s="55">
        <f t="shared" ref="E111:M111" si="17">SUM(E105:E110)</f>
        <v>0</v>
      </c>
      <c r="F111" s="55">
        <f t="shared" si="17"/>
        <v>0</v>
      </c>
      <c r="G111" s="55">
        <f t="shared" si="17"/>
        <v>0</v>
      </c>
      <c r="H111" s="55">
        <f t="shared" si="17"/>
        <v>0</v>
      </c>
      <c r="I111" s="55">
        <f t="shared" si="17"/>
        <v>0</v>
      </c>
      <c r="J111" s="55">
        <f t="shared" si="17"/>
        <v>0</v>
      </c>
      <c r="K111" s="55">
        <f t="shared" si="17"/>
        <v>0</v>
      </c>
      <c r="L111" s="55">
        <f t="shared" si="17"/>
        <v>0</v>
      </c>
      <c r="M111" s="55">
        <f t="shared" si="17"/>
        <v>0</v>
      </c>
      <c r="N111" s="54">
        <f>SUM(N105:N110)</f>
        <v>0</v>
      </c>
    </row>
    <row r="114" spans="1:14" ht="14" thickBot="1">
      <c r="B114" s="43" t="s">
        <v>35</v>
      </c>
      <c r="C114" s="43" t="s">
        <v>36</v>
      </c>
      <c r="D114" s="43" t="s">
        <v>37</v>
      </c>
      <c r="E114" s="43" t="s">
        <v>38</v>
      </c>
      <c r="F114" s="43" t="s">
        <v>39</v>
      </c>
      <c r="G114" s="43" t="s">
        <v>40</v>
      </c>
      <c r="H114" s="43" t="s">
        <v>41</v>
      </c>
      <c r="I114" s="43" t="s">
        <v>42</v>
      </c>
      <c r="J114" s="43" t="s">
        <v>43</v>
      </c>
      <c r="K114" s="43" t="s">
        <v>44</v>
      </c>
      <c r="L114" s="43" t="s">
        <v>45</v>
      </c>
      <c r="M114" s="43" t="s">
        <v>46</v>
      </c>
      <c r="N114" s="43" t="s">
        <v>10</v>
      </c>
    </row>
    <row r="115" spans="1:14" ht="17" thickBot="1">
      <c r="A115" s="31" t="s">
        <v>162</v>
      </c>
      <c r="B115" s="24"/>
      <c r="C115" s="24"/>
      <c r="D115" s="22"/>
      <c r="E115" s="22"/>
      <c r="F115" s="25"/>
      <c r="G115" s="25"/>
      <c r="H115" s="22"/>
      <c r="I115" s="22"/>
      <c r="J115" s="22"/>
      <c r="K115" s="22"/>
      <c r="L115" s="24"/>
      <c r="M115" s="24"/>
      <c r="N115" s="26"/>
    </row>
    <row r="116" spans="1:14" ht="14" thickBot="1">
      <c r="A116" s="38" t="s">
        <v>48</v>
      </c>
      <c r="B116" s="39"/>
      <c r="C116" s="39"/>
      <c r="D116" s="39"/>
      <c r="E116" s="39"/>
      <c r="F116" s="39"/>
      <c r="G116" s="39"/>
      <c r="H116" s="39"/>
      <c r="I116" s="39"/>
      <c r="J116" s="39"/>
      <c r="K116" s="39"/>
      <c r="L116" s="39"/>
      <c r="M116" s="39"/>
      <c r="N116" s="40"/>
    </row>
    <row r="117" spans="1:14">
      <c r="A117" s="32" t="s">
        <v>29</v>
      </c>
      <c r="B117" s="1092">
        <v>1</v>
      </c>
      <c r="C117" s="1092">
        <v>1</v>
      </c>
      <c r="D117" s="1092">
        <v>0</v>
      </c>
      <c r="E117" s="1092">
        <v>0</v>
      </c>
      <c r="F117" s="1092">
        <v>0</v>
      </c>
      <c r="G117" s="1092">
        <v>0</v>
      </c>
      <c r="H117" s="1092">
        <v>0</v>
      </c>
      <c r="I117" s="1092">
        <v>0</v>
      </c>
      <c r="J117" s="1092">
        <v>0</v>
      </c>
      <c r="K117" s="1092">
        <v>0</v>
      </c>
      <c r="L117" s="1092">
        <v>0</v>
      </c>
      <c r="M117" s="1092">
        <v>0</v>
      </c>
      <c r="N117" s="27">
        <f t="shared" ref="N117:N123" si="18">SUM(B117:M117)</f>
        <v>2</v>
      </c>
    </row>
    <row r="118" spans="1:14">
      <c r="A118" s="32" t="s">
        <v>33</v>
      </c>
      <c r="B118" s="1092">
        <v>2</v>
      </c>
      <c r="C118" s="1092">
        <v>5</v>
      </c>
      <c r="D118" s="1092">
        <v>10</v>
      </c>
      <c r="E118" s="1092">
        <v>4</v>
      </c>
      <c r="F118" s="1092">
        <v>12</v>
      </c>
      <c r="G118" s="1092">
        <v>6</v>
      </c>
      <c r="H118" s="1092">
        <v>13</v>
      </c>
      <c r="I118" s="1092">
        <v>0</v>
      </c>
      <c r="J118" s="1092">
        <v>23</v>
      </c>
      <c r="K118" s="1092">
        <v>2</v>
      </c>
      <c r="L118" s="1092">
        <v>13</v>
      </c>
      <c r="M118" s="1092">
        <v>4</v>
      </c>
      <c r="N118" s="27">
        <f t="shared" si="18"/>
        <v>94</v>
      </c>
    </row>
    <row r="119" spans="1:14">
      <c r="A119" s="32" t="s">
        <v>56</v>
      </c>
      <c r="B119" s="1092">
        <v>0</v>
      </c>
      <c r="C119" s="1092">
        <v>150</v>
      </c>
      <c r="D119" s="1092">
        <v>0</v>
      </c>
      <c r="E119" s="1092">
        <v>0</v>
      </c>
      <c r="F119" s="1092">
        <v>0</v>
      </c>
      <c r="G119" s="1092">
        <v>0</v>
      </c>
      <c r="H119" s="1092">
        <v>0</v>
      </c>
      <c r="I119" s="1092">
        <v>0</v>
      </c>
      <c r="J119" s="1092">
        <v>0</v>
      </c>
      <c r="K119" s="1092">
        <v>0</v>
      </c>
      <c r="L119" s="1092">
        <v>0</v>
      </c>
      <c r="M119" s="1092">
        <v>0</v>
      </c>
      <c r="N119" s="27">
        <f t="shared" si="18"/>
        <v>150</v>
      </c>
    </row>
    <row r="120" spans="1:14">
      <c r="A120" s="78" t="s">
        <v>30</v>
      </c>
      <c r="B120" s="1092">
        <v>0</v>
      </c>
      <c r="C120" s="1092">
        <v>3</v>
      </c>
      <c r="D120" s="1092">
        <v>0</v>
      </c>
      <c r="E120" s="1092">
        <v>0</v>
      </c>
      <c r="F120" s="1092">
        <v>0</v>
      </c>
      <c r="G120" s="1092">
        <v>0</v>
      </c>
      <c r="H120" s="1092">
        <v>0</v>
      </c>
      <c r="I120" s="1092">
        <v>0</v>
      </c>
      <c r="J120" s="1092">
        <v>1</v>
      </c>
      <c r="K120" s="1092">
        <v>0</v>
      </c>
      <c r="L120" s="1092">
        <v>0</v>
      </c>
      <c r="M120" s="1092">
        <v>0</v>
      </c>
      <c r="N120" s="27">
        <f t="shared" si="18"/>
        <v>4</v>
      </c>
    </row>
    <row r="121" spans="1:14">
      <c r="A121" s="76" t="s">
        <v>150</v>
      </c>
      <c r="B121" s="1092">
        <v>0</v>
      </c>
      <c r="C121" s="1092">
        <v>0</v>
      </c>
      <c r="D121" s="1092">
        <v>0</v>
      </c>
      <c r="E121" s="1092">
        <v>0</v>
      </c>
      <c r="F121" s="1092">
        <v>0</v>
      </c>
      <c r="G121" s="1092">
        <v>0</v>
      </c>
      <c r="H121" s="1092">
        <v>0</v>
      </c>
      <c r="I121" s="1092">
        <v>0</v>
      </c>
      <c r="J121" s="1092">
        <v>0</v>
      </c>
      <c r="K121" s="1092">
        <v>0</v>
      </c>
      <c r="L121" s="1092">
        <v>0</v>
      </c>
      <c r="M121" s="1092">
        <v>0</v>
      </c>
      <c r="N121" s="27">
        <f t="shared" si="18"/>
        <v>0</v>
      </c>
    </row>
    <row r="122" spans="1:14">
      <c r="A122" s="76" t="s">
        <v>165</v>
      </c>
      <c r="B122" s="1092">
        <v>0</v>
      </c>
      <c r="C122" s="1092">
        <v>0</v>
      </c>
      <c r="D122" s="1092">
        <v>0</v>
      </c>
      <c r="E122" s="1092">
        <v>0</v>
      </c>
      <c r="F122" s="1092">
        <v>0</v>
      </c>
      <c r="G122" s="1092">
        <v>0</v>
      </c>
      <c r="H122" s="1092">
        <v>0</v>
      </c>
      <c r="I122" s="1092">
        <v>0</v>
      </c>
      <c r="J122" s="1092">
        <v>0</v>
      </c>
      <c r="K122" s="1092">
        <v>91</v>
      </c>
      <c r="L122" s="1092">
        <v>0</v>
      </c>
      <c r="M122" s="1092">
        <v>0</v>
      </c>
      <c r="N122" s="27">
        <f t="shared" si="18"/>
        <v>91</v>
      </c>
    </row>
    <row r="123" spans="1:14" ht="14" thickBot="1">
      <c r="A123" s="76" t="s">
        <v>166</v>
      </c>
      <c r="B123" s="1092">
        <v>0</v>
      </c>
      <c r="C123" s="1092">
        <v>0</v>
      </c>
      <c r="D123" s="1092">
        <v>0</v>
      </c>
      <c r="E123" s="1092">
        <v>0</v>
      </c>
      <c r="F123" s="1092">
        <v>0</v>
      </c>
      <c r="G123" s="1092">
        <v>0</v>
      </c>
      <c r="H123" s="1092">
        <v>0</v>
      </c>
      <c r="I123" s="1092">
        <v>0</v>
      </c>
      <c r="J123" s="1092">
        <v>0</v>
      </c>
      <c r="K123" s="1092">
        <v>10</v>
      </c>
      <c r="L123" s="1092">
        <v>0</v>
      </c>
      <c r="M123" s="1092">
        <v>0</v>
      </c>
      <c r="N123" s="27">
        <f t="shared" si="18"/>
        <v>10</v>
      </c>
    </row>
    <row r="124" spans="1:14" ht="14" thickBot="1">
      <c r="A124" s="53" t="s">
        <v>60</v>
      </c>
      <c r="B124" s="55">
        <f>SUM(B117:B123)</f>
        <v>3</v>
      </c>
      <c r="C124" s="55">
        <f t="shared" ref="C124:M124" si="19">SUM(C117:C123)</f>
        <v>159</v>
      </c>
      <c r="D124" s="55">
        <f t="shared" si="19"/>
        <v>10</v>
      </c>
      <c r="E124" s="55">
        <f t="shared" si="19"/>
        <v>4</v>
      </c>
      <c r="F124" s="55">
        <f t="shared" si="19"/>
        <v>12</v>
      </c>
      <c r="G124" s="55">
        <f t="shared" si="19"/>
        <v>6</v>
      </c>
      <c r="H124" s="55">
        <f t="shared" si="19"/>
        <v>13</v>
      </c>
      <c r="I124" s="55">
        <f t="shared" si="19"/>
        <v>0</v>
      </c>
      <c r="J124" s="55">
        <f t="shared" si="19"/>
        <v>24</v>
      </c>
      <c r="K124" s="55">
        <f t="shared" si="19"/>
        <v>103</v>
      </c>
      <c r="L124" s="55">
        <f t="shared" si="19"/>
        <v>13</v>
      </c>
      <c r="M124" s="55">
        <f t="shared" si="19"/>
        <v>4</v>
      </c>
      <c r="N124" s="54">
        <f>SUM(N117:N123)</f>
        <v>351</v>
      </c>
    </row>
    <row r="125" spans="1:14" ht="14" thickBot="1">
      <c r="A125" s="38" t="s">
        <v>49</v>
      </c>
      <c r="B125" s="39"/>
      <c r="C125" s="39"/>
      <c r="D125" s="39"/>
      <c r="E125" s="39"/>
      <c r="F125" s="39"/>
      <c r="G125" s="39"/>
      <c r="H125" s="39"/>
      <c r="I125" s="39"/>
      <c r="J125" s="39"/>
      <c r="K125" s="39"/>
      <c r="L125" s="39"/>
      <c r="M125" s="39"/>
      <c r="N125" s="40"/>
    </row>
    <row r="126" spans="1:14" ht="14" thickBot="1">
      <c r="A126" s="33" t="s">
        <v>49</v>
      </c>
      <c r="B126" s="44"/>
      <c r="C126" s="44"/>
      <c r="D126" s="44"/>
      <c r="E126" s="44"/>
      <c r="F126" s="44">
        <v>3</v>
      </c>
      <c r="G126" s="44">
        <v>3</v>
      </c>
      <c r="H126" s="44">
        <v>5</v>
      </c>
      <c r="I126" s="44"/>
      <c r="J126" s="44"/>
      <c r="K126" s="44"/>
      <c r="L126" s="44"/>
      <c r="M126" s="44"/>
      <c r="N126" s="27">
        <f>SUM(B126:M126)</f>
        <v>11</v>
      </c>
    </row>
    <row r="127" spans="1:14" ht="14" thickBot="1">
      <c r="A127" s="53" t="s">
        <v>60</v>
      </c>
      <c r="B127" s="55">
        <f>SUM(B126)</f>
        <v>0</v>
      </c>
      <c r="C127" s="55">
        <f t="shared" ref="C127:M127" si="20">SUM(C126)</f>
        <v>0</v>
      </c>
      <c r="D127" s="55">
        <f t="shared" si="20"/>
        <v>0</v>
      </c>
      <c r="E127" s="55">
        <f t="shared" si="20"/>
        <v>0</v>
      </c>
      <c r="F127" s="55">
        <f t="shared" si="20"/>
        <v>3</v>
      </c>
      <c r="G127" s="55">
        <f t="shared" si="20"/>
        <v>3</v>
      </c>
      <c r="H127" s="55">
        <f>SUM(H126)</f>
        <v>5</v>
      </c>
      <c r="I127" s="55">
        <f t="shared" si="20"/>
        <v>0</v>
      </c>
      <c r="J127" s="55">
        <f t="shared" si="20"/>
        <v>0</v>
      </c>
      <c r="K127" s="55">
        <f t="shared" si="20"/>
        <v>0</v>
      </c>
      <c r="L127" s="55">
        <f t="shared" si="20"/>
        <v>0</v>
      </c>
      <c r="M127" s="55">
        <f t="shared" si="20"/>
        <v>0</v>
      </c>
      <c r="N127" s="54">
        <f>SUM(N126)</f>
        <v>11</v>
      </c>
    </row>
    <row r="128" spans="1:14" ht="14" thickBot="1">
      <c r="A128" s="38" t="s">
        <v>50</v>
      </c>
      <c r="B128" s="39"/>
      <c r="C128" s="39"/>
      <c r="D128" s="39"/>
      <c r="E128" s="39"/>
      <c r="F128" s="39"/>
      <c r="G128" s="39"/>
      <c r="H128" s="39"/>
      <c r="I128" s="39"/>
      <c r="J128" s="39"/>
      <c r="K128" s="39"/>
      <c r="L128" s="39"/>
      <c r="M128" s="39"/>
      <c r="N128" s="40"/>
    </row>
    <row r="129" spans="1:14">
      <c r="A129" s="32" t="s">
        <v>29</v>
      </c>
      <c r="B129" s="1092">
        <v>0</v>
      </c>
      <c r="C129" s="1092">
        <v>0</v>
      </c>
      <c r="D129" s="1092">
        <v>0</v>
      </c>
      <c r="E129" s="1092">
        <v>0</v>
      </c>
      <c r="F129" s="1092">
        <v>0</v>
      </c>
      <c r="G129" s="1092">
        <v>0</v>
      </c>
      <c r="H129" s="1092">
        <v>0</v>
      </c>
      <c r="I129" s="1092">
        <v>0</v>
      </c>
      <c r="J129" s="1092">
        <v>0</v>
      </c>
      <c r="K129" s="1092">
        <v>0</v>
      </c>
      <c r="L129" s="1092">
        <v>1</v>
      </c>
      <c r="M129" s="1092">
        <v>0</v>
      </c>
      <c r="N129" s="27">
        <f t="shared" ref="N129:N135" si="21">SUM(B129:M129)</f>
        <v>1</v>
      </c>
    </row>
    <row r="130" spans="1:14">
      <c r="A130" s="32" t="s">
        <v>51</v>
      </c>
      <c r="B130" s="1092">
        <v>0</v>
      </c>
      <c r="C130" s="1092">
        <v>0</v>
      </c>
      <c r="D130" s="1092">
        <v>0</v>
      </c>
      <c r="E130" s="1092">
        <v>1</v>
      </c>
      <c r="F130" s="1092">
        <v>2</v>
      </c>
      <c r="G130" s="1092">
        <v>11</v>
      </c>
      <c r="H130" s="1092">
        <v>0</v>
      </c>
      <c r="I130" s="1092">
        <v>0</v>
      </c>
      <c r="J130" s="1092">
        <v>0</v>
      </c>
      <c r="K130" s="1092">
        <v>0</v>
      </c>
      <c r="L130" s="1092">
        <v>0</v>
      </c>
      <c r="M130" s="1092">
        <v>0</v>
      </c>
      <c r="N130" s="27">
        <f t="shared" si="21"/>
        <v>14</v>
      </c>
    </row>
    <row r="131" spans="1:14">
      <c r="A131" s="34" t="s">
        <v>20</v>
      </c>
      <c r="B131" s="1092">
        <v>0</v>
      </c>
      <c r="C131" s="1092">
        <v>0</v>
      </c>
      <c r="D131" s="1092">
        <v>0</v>
      </c>
      <c r="E131" s="1092">
        <v>0</v>
      </c>
      <c r="F131" s="1092">
        <v>0</v>
      </c>
      <c r="G131" s="1092">
        <v>0</v>
      </c>
      <c r="H131" s="1092">
        <v>0</v>
      </c>
      <c r="I131" s="1092">
        <v>0</v>
      </c>
      <c r="J131" s="1092">
        <v>0</v>
      </c>
      <c r="K131" s="1092">
        <v>0</v>
      </c>
      <c r="L131" s="1092">
        <v>0</v>
      </c>
      <c r="M131" s="1092">
        <v>0</v>
      </c>
      <c r="N131" s="27">
        <f t="shared" si="21"/>
        <v>0</v>
      </c>
    </row>
    <row r="132" spans="1:14">
      <c r="A132" s="34" t="s">
        <v>13</v>
      </c>
      <c r="B132" s="1092">
        <v>0</v>
      </c>
      <c r="C132" s="1092">
        <v>0</v>
      </c>
      <c r="D132" s="1092">
        <v>0</v>
      </c>
      <c r="E132" s="1092">
        <v>0</v>
      </c>
      <c r="F132" s="1092">
        <v>0</v>
      </c>
      <c r="G132" s="1092">
        <v>0</v>
      </c>
      <c r="H132" s="1092">
        <v>0</v>
      </c>
      <c r="I132" s="1092">
        <v>0</v>
      </c>
      <c r="J132" s="1092">
        <v>0</v>
      </c>
      <c r="K132" s="1092">
        <v>0</v>
      </c>
      <c r="L132" s="1092">
        <v>0</v>
      </c>
      <c r="M132" s="1092">
        <v>0</v>
      </c>
      <c r="N132" s="27">
        <f t="shared" si="21"/>
        <v>0</v>
      </c>
    </row>
    <row r="133" spans="1:14">
      <c r="A133" s="35" t="s">
        <v>47</v>
      </c>
      <c r="B133" s="1092">
        <v>0</v>
      </c>
      <c r="C133" s="1092">
        <v>0</v>
      </c>
      <c r="D133" s="1092">
        <v>0</v>
      </c>
      <c r="E133" s="1092">
        <v>0</v>
      </c>
      <c r="F133" s="1092">
        <v>0</v>
      </c>
      <c r="G133" s="1092">
        <v>0</v>
      </c>
      <c r="H133" s="1092">
        <v>0</v>
      </c>
      <c r="I133" s="1092">
        <v>0</v>
      </c>
      <c r="J133" s="1092">
        <v>0</v>
      </c>
      <c r="K133" s="1092">
        <v>0</v>
      </c>
      <c r="L133" s="1092">
        <v>0</v>
      </c>
      <c r="M133" s="1092">
        <v>0</v>
      </c>
      <c r="N133" s="27">
        <f t="shared" si="21"/>
        <v>0</v>
      </c>
    </row>
    <row r="134" spans="1:14">
      <c r="A134" s="76" t="s">
        <v>30</v>
      </c>
      <c r="B134" s="1092">
        <v>0</v>
      </c>
      <c r="C134" s="1092">
        <v>0</v>
      </c>
      <c r="D134" s="1092">
        <v>0</v>
      </c>
      <c r="E134" s="1092">
        <v>0</v>
      </c>
      <c r="F134" s="1092">
        <v>0</v>
      </c>
      <c r="G134" s="1092">
        <v>0</v>
      </c>
      <c r="H134" s="1092">
        <v>0</v>
      </c>
      <c r="I134" s="1092">
        <v>0</v>
      </c>
      <c r="J134" s="1092">
        <v>0</v>
      </c>
      <c r="K134" s="1092">
        <v>0</v>
      </c>
      <c r="L134" s="1092">
        <v>0</v>
      </c>
      <c r="M134" s="1092">
        <v>0</v>
      </c>
      <c r="N134" s="27">
        <f t="shared" si="21"/>
        <v>0</v>
      </c>
    </row>
    <row r="135" spans="1:14">
      <c r="A135" s="76" t="s">
        <v>150</v>
      </c>
      <c r="B135" s="1092">
        <v>0</v>
      </c>
      <c r="C135" s="1092">
        <v>0</v>
      </c>
      <c r="D135" s="1092">
        <v>0</v>
      </c>
      <c r="E135" s="1092">
        <v>0</v>
      </c>
      <c r="F135" s="1092">
        <v>0</v>
      </c>
      <c r="G135" s="1092">
        <v>0</v>
      </c>
      <c r="H135" s="1092">
        <v>0</v>
      </c>
      <c r="I135" s="1092">
        <v>0</v>
      </c>
      <c r="J135" s="1092">
        <v>0</v>
      </c>
      <c r="K135" s="1092">
        <v>0</v>
      </c>
      <c r="L135" s="1092">
        <v>0</v>
      </c>
      <c r="M135" s="1092">
        <v>0</v>
      </c>
      <c r="N135" s="27">
        <f t="shared" si="21"/>
        <v>0</v>
      </c>
    </row>
    <row r="136" spans="1:14">
      <c r="A136" s="32" t="s">
        <v>56</v>
      </c>
      <c r="B136" s="1092">
        <v>0</v>
      </c>
      <c r="C136" s="1092">
        <v>0</v>
      </c>
      <c r="D136" s="1092">
        <v>0</v>
      </c>
      <c r="E136" s="1092">
        <v>0</v>
      </c>
      <c r="F136" s="1092">
        <v>0</v>
      </c>
      <c r="G136" s="1092">
        <v>0</v>
      </c>
      <c r="H136" s="1092">
        <v>0</v>
      </c>
      <c r="I136" s="1092">
        <v>0</v>
      </c>
      <c r="J136" s="1092">
        <v>0</v>
      </c>
      <c r="K136" s="1092">
        <v>0</v>
      </c>
      <c r="L136" s="1092">
        <v>0</v>
      </c>
      <c r="M136" s="1092">
        <v>0</v>
      </c>
      <c r="N136" s="27">
        <f>SUM(B136:M136)</f>
        <v>0</v>
      </c>
    </row>
    <row r="137" spans="1:14">
      <c r="A137" s="78" t="s">
        <v>122</v>
      </c>
      <c r="B137" s="1092">
        <v>0</v>
      </c>
      <c r="C137" s="1092">
        <v>0</v>
      </c>
      <c r="D137" s="1092">
        <v>0</v>
      </c>
      <c r="E137" s="1092">
        <v>0</v>
      </c>
      <c r="F137" s="1092">
        <v>0</v>
      </c>
      <c r="G137" s="1092">
        <v>0</v>
      </c>
      <c r="H137" s="1092">
        <v>0</v>
      </c>
      <c r="I137" s="1092">
        <v>0</v>
      </c>
      <c r="J137" s="1092">
        <v>0</v>
      </c>
      <c r="K137" s="1092">
        <v>0</v>
      </c>
      <c r="L137" s="1092">
        <v>0</v>
      </c>
      <c r="M137" s="1092">
        <v>0</v>
      </c>
      <c r="N137" s="27">
        <f>SUM(B137:M137)</f>
        <v>0</v>
      </c>
    </row>
    <row r="138" spans="1:14">
      <c r="A138" s="32" t="s">
        <v>102</v>
      </c>
      <c r="B138" s="1092">
        <v>0</v>
      </c>
      <c r="C138" s="1092">
        <v>0</v>
      </c>
      <c r="D138" s="1092">
        <v>0</v>
      </c>
      <c r="E138" s="1092">
        <v>0</v>
      </c>
      <c r="F138" s="1092">
        <v>0</v>
      </c>
      <c r="G138" s="1092">
        <v>0</v>
      </c>
      <c r="H138" s="1092">
        <v>0</v>
      </c>
      <c r="I138" s="1092">
        <v>0</v>
      </c>
      <c r="J138" s="1092">
        <v>0</v>
      </c>
      <c r="K138" s="1092">
        <v>0</v>
      </c>
      <c r="L138" s="1092">
        <v>0</v>
      </c>
      <c r="M138" s="1092">
        <v>0</v>
      </c>
      <c r="N138" s="27">
        <f>SUM(B138:M138)</f>
        <v>0</v>
      </c>
    </row>
    <row r="139" spans="1:14" ht="14" thickBot="1">
      <c r="A139" s="78" t="s">
        <v>167</v>
      </c>
      <c r="B139" s="1092">
        <v>0</v>
      </c>
      <c r="C139" s="1092">
        <v>0</v>
      </c>
      <c r="D139" s="1092">
        <v>0</v>
      </c>
      <c r="E139" s="1092">
        <v>0</v>
      </c>
      <c r="F139" s="1092">
        <v>0</v>
      </c>
      <c r="G139" s="1092">
        <v>0</v>
      </c>
      <c r="H139" s="1092">
        <v>0</v>
      </c>
      <c r="I139" s="1092">
        <v>0</v>
      </c>
      <c r="J139" s="1092">
        <v>0</v>
      </c>
      <c r="K139" s="1092">
        <v>0</v>
      </c>
      <c r="L139" s="1092">
        <v>0</v>
      </c>
      <c r="M139" s="1092">
        <v>0</v>
      </c>
      <c r="N139" s="27">
        <f>SUM(B139:M139)</f>
        <v>0</v>
      </c>
    </row>
    <row r="140" spans="1:14" ht="14" thickBot="1">
      <c r="A140" s="53" t="s">
        <v>60</v>
      </c>
      <c r="B140" s="55">
        <f t="shared" ref="B140:K140" si="22">SUM(B129:B139)</f>
        <v>0</v>
      </c>
      <c r="C140" s="55">
        <f t="shared" si="22"/>
        <v>0</v>
      </c>
      <c r="D140" s="55">
        <f t="shared" si="22"/>
        <v>0</v>
      </c>
      <c r="E140" s="55">
        <f t="shared" si="22"/>
        <v>1</v>
      </c>
      <c r="F140" s="55">
        <f t="shared" si="22"/>
        <v>2</v>
      </c>
      <c r="G140" s="55">
        <f t="shared" si="22"/>
        <v>11</v>
      </c>
      <c r="H140" s="55">
        <f t="shared" si="22"/>
        <v>0</v>
      </c>
      <c r="I140" s="55">
        <f t="shared" si="22"/>
        <v>0</v>
      </c>
      <c r="J140" s="55">
        <f t="shared" si="22"/>
        <v>0</v>
      </c>
      <c r="K140" s="55">
        <f t="shared" si="22"/>
        <v>0</v>
      </c>
      <c r="L140" s="55">
        <f>SUM(L129:L139)</f>
        <v>1</v>
      </c>
      <c r="M140" s="55">
        <f>SUM(M129:M139)</f>
        <v>0</v>
      </c>
      <c r="N140" s="54">
        <f>SUM(N129:N138)</f>
        <v>15</v>
      </c>
    </row>
    <row r="143" spans="1:14" ht="14" thickBot="1">
      <c r="B143" s="43" t="s">
        <v>35</v>
      </c>
      <c r="C143" s="43" t="s">
        <v>36</v>
      </c>
      <c r="D143" s="43" t="s">
        <v>37</v>
      </c>
      <c r="E143" s="43" t="s">
        <v>38</v>
      </c>
      <c r="F143" s="43" t="s">
        <v>39</v>
      </c>
      <c r="G143" s="43" t="s">
        <v>40</v>
      </c>
      <c r="H143" s="43" t="s">
        <v>41</v>
      </c>
      <c r="I143" s="43" t="s">
        <v>42</v>
      </c>
      <c r="J143" s="43" t="s">
        <v>43</v>
      </c>
      <c r="K143" s="43" t="s">
        <v>44</v>
      </c>
      <c r="L143" s="43" t="s">
        <v>45</v>
      </c>
      <c r="M143" s="43" t="s">
        <v>46</v>
      </c>
      <c r="N143" s="43" t="s">
        <v>10</v>
      </c>
    </row>
    <row r="144" spans="1:14" ht="17" thickBot="1">
      <c r="A144" s="31" t="s">
        <v>178</v>
      </c>
      <c r="B144" s="24"/>
      <c r="C144" s="24"/>
      <c r="D144" s="22"/>
      <c r="E144" s="22"/>
      <c r="F144" s="25"/>
      <c r="G144" s="25"/>
      <c r="H144" s="22"/>
      <c r="I144" s="22"/>
      <c r="J144" s="22"/>
      <c r="K144" s="22"/>
      <c r="L144" s="24"/>
      <c r="M144" s="24"/>
      <c r="N144" s="26"/>
    </row>
    <row r="145" spans="1:14" ht="14" thickBot="1">
      <c r="A145" s="38" t="s">
        <v>48</v>
      </c>
      <c r="B145" s="39"/>
      <c r="C145" s="39"/>
      <c r="D145" s="39"/>
      <c r="E145" s="39"/>
      <c r="F145" s="39"/>
      <c r="G145" s="39"/>
      <c r="H145" s="39"/>
      <c r="I145" s="39"/>
      <c r="J145" s="39"/>
      <c r="K145" s="39"/>
      <c r="L145" s="39"/>
      <c r="M145" s="39"/>
      <c r="N145" s="40"/>
    </row>
    <row r="146" spans="1:14" hidden="1">
      <c r="A146" s="32" t="s">
        <v>29</v>
      </c>
      <c r="B146" s="44"/>
      <c r="C146" s="44"/>
      <c r="D146" s="44"/>
      <c r="E146" s="44"/>
      <c r="F146" s="44"/>
      <c r="G146" s="44"/>
      <c r="H146" s="44"/>
      <c r="I146" s="44"/>
      <c r="J146" s="44"/>
      <c r="K146" s="44"/>
      <c r="L146" s="44"/>
      <c r="M146" s="44"/>
      <c r="N146" s="27">
        <f t="shared" ref="N146:N152" si="23">SUM(B146:M146)</f>
        <v>0</v>
      </c>
    </row>
    <row r="147" spans="1:14">
      <c r="A147" s="32" t="s">
        <v>33</v>
      </c>
      <c r="B147" s="1092">
        <v>6</v>
      </c>
      <c r="C147" s="1092">
        <v>3</v>
      </c>
      <c r="D147" s="1092">
        <v>3</v>
      </c>
      <c r="E147" s="1092">
        <v>8</v>
      </c>
      <c r="F147" s="1092"/>
      <c r="G147" s="1092">
        <v>9</v>
      </c>
      <c r="H147" s="1092">
        <v>6</v>
      </c>
      <c r="I147" s="1092">
        <v>4</v>
      </c>
      <c r="J147" s="1092">
        <v>6</v>
      </c>
      <c r="K147" s="1092">
        <v>3</v>
      </c>
      <c r="L147" s="1092">
        <v>3</v>
      </c>
      <c r="M147" s="1092">
        <v>3</v>
      </c>
      <c r="N147" s="27">
        <f t="shared" si="23"/>
        <v>54</v>
      </c>
    </row>
    <row r="148" spans="1:14">
      <c r="A148" s="32" t="s">
        <v>56</v>
      </c>
      <c r="B148" s="1092">
        <v>0</v>
      </c>
      <c r="C148" s="1092">
        <v>0</v>
      </c>
      <c r="D148" s="1092">
        <v>0</v>
      </c>
      <c r="E148" s="1092">
        <v>0</v>
      </c>
      <c r="F148" s="1092">
        <v>0</v>
      </c>
      <c r="G148" s="1092">
        <v>0</v>
      </c>
      <c r="H148" s="1092">
        <v>0</v>
      </c>
      <c r="I148" s="1092">
        <v>0</v>
      </c>
      <c r="J148" s="1092">
        <v>0</v>
      </c>
      <c r="K148" s="1092">
        <v>0</v>
      </c>
      <c r="L148" s="1092">
        <v>40</v>
      </c>
      <c r="M148" s="1092">
        <v>0</v>
      </c>
      <c r="N148" s="27">
        <f t="shared" si="23"/>
        <v>40</v>
      </c>
    </row>
    <row r="149" spans="1:14">
      <c r="A149" s="78" t="s">
        <v>30</v>
      </c>
      <c r="B149" s="1092">
        <v>0</v>
      </c>
      <c r="C149" s="1092">
        <v>0</v>
      </c>
      <c r="D149" s="1092">
        <v>0</v>
      </c>
      <c r="E149" s="1092">
        <v>0</v>
      </c>
      <c r="F149" s="1092">
        <v>0</v>
      </c>
      <c r="G149" s="1092">
        <v>0</v>
      </c>
      <c r="H149" s="1092">
        <v>0</v>
      </c>
      <c r="I149" s="1092">
        <v>0</v>
      </c>
      <c r="J149" s="1092">
        <v>0</v>
      </c>
      <c r="K149" s="1092">
        <v>0</v>
      </c>
      <c r="L149" s="1092">
        <v>1</v>
      </c>
      <c r="M149" s="1092">
        <v>0</v>
      </c>
      <c r="N149" s="27">
        <f t="shared" si="23"/>
        <v>1</v>
      </c>
    </row>
    <row r="150" spans="1:14" hidden="1">
      <c r="A150" s="76" t="s">
        <v>182</v>
      </c>
      <c r="B150" s="1092"/>
      <c r="C150" s="1092"/>
      <c r="D150" s="1092"/>
      <c r="E150" s="1092"/>
      <c r="F150" s="1092"/>
      <c r="G150" s="1092"/>
      <c r="H150" s="1092"/>
      <c r="I150" s="1092"/>
      <c r="J150" s="1092"/>
      <c r="K150" s="1092"/>
      <c r="L150" s="1092"/>
      <c r="M150" s="1092"/>
      <c r="N150" s="27">
        <f t="shared" si="23"/>
        <v>0</v>
      </c>
    </row>
    <row r="151" spans="1:14">
      <c r="A151" s="76" t="s">
        <v>165</v>
      </c>
      <c r="B151" s="1092">
        <v>0</v>
      </c>
      <c r="C151" s="1092">
        <v>0</v>
      </c>
      <c r="D151" s="1092">
        <v>0</v>
      </c>
      <c r="E151" s="1092">
        <v>0</v>
      </c>
      <c r="F151" s="1092">
        <v>0</v>
      </c>
      <c r="G151" s="1092">
        <v>0</v>
      </c>
      <c r="H151" s="1092">
        <v>0</v>
      </c>
      <c r="I151" s="1092">
        <v>0</v>
      </c>
      <c r="J151" s="1092">
        <v>0</v>
      </c>
      <c r="K151" s="1092">
        <v>0</v>
      </c>
      <c r="L151" s="1092">
        <v>0</v>
      </c>
      <c r="M151" s="1092">
        <v>2197</v>
      </c>
      <c r="N151" s="27">
        <v>2197</v>
      </c>
    </row>
    <row r="152" spans="1:14" ht="14" thickBot="1">
      <c r="A152" s="76" t="s">
        <v>166</v>
      </c>
      <c r="B152" s="1092">
        <v>0</v>
      </c>
      <c r="C152" s="1092">
        <v>0</v>
      </c>
      <c r="D152" s="1092">
        <v>0</v>
      </c>
      <c r="E152" s="1092">
        <v>0</v>
      </c>
      <c r="F152" s="1092">
        <v>0</v>
      </c>
      <c r="G152" s="1092">
        <v>0</v>
      </c>
      <c r="H152" s="1092">
        <v>0</v>
      </c>
      <c r="I152" s="1092">
        <v>0</v>
      </c>
      <c r="J152" s="1092">
        <v>0</v>
      </c>
      <c r="K152" s="1092">
        <v>0</v>
      </c>
      <c r="L152" s="1092">
        <v>0</v>
      </c>
      <c r="M152" s="1092">
        <v>0</v>
      </c>
      <c r="N152" s="27">
        <f t="shared" si="23"/>
        <v>0</v>
      </c>
    </row>
    <row r="153" spans="1:14" ht="14" thickBot="1">
      <c r="A153" s="53" t="s">
        <v>60</v>
      </c>
      <c r="B153" s="55">
        <f>SUM(B146:B152)</f>
        <v>6</v>
      </c>
      <c r="C153" s="55">
        <f t="shared" ref="C153:N153" si="24">SUM(C146:C152)</f>
        <v>3</v>
      </c>
      <c r="D153" s="55">
        <f t="shared" si="24"/>
        <v>3</v>
      </c>
      <c r="E153" s="55">
        <f t="shared" si="24"/>
        <v>8</v>
      </c>
      <c r="F153" s="55">
        <f t="shared" si="24"/>
        <v>0</v>
      </c>
      <c r="G153" s="55">
        <f t="shared" si="24"/>
        <v>9</v>
      </c>
      <c r="H153" s="55">
        <f t="shared" si="24"/>
        <v>6</v>
      </c>
      <c r="I153" s="55">
        <f t="shared" si="24"/>
        <v>4</v>
      </c>
      <c r="J153" s="55">
        <f t="shared" si="24"/>
        <v>6</v>
      </c>
      <c r="K153" s="55">
        <f t="shared" si="24"/>
        <v>3</v>
      </c>
      <c r="L153" s="55">
        <f t="shared" si="24"/>
        <v>44</v>
      </c>
      <c r="M153" s="55">
        <f>SUM(M146:M152)</f>
        <v>2200</v>
      </c>
      <c r="N153" s="54">
        <f t="shared" si="24"/>
        <v>2292</v>
      </c>
    </row>
    <row r="154" spans="1:14" ht="14" thickBot="1">
      <c r="A154" s="38" t="s">
        <v>49</v>
      </c>
      <c r="B154" s="39"/>
      <c r="C154" s="39"/>
      <c r="D154" s="39"/>
      <c r="E154" s="39"/>
      <c r="F154" s="39"/>
      <c r="G154" s="39"/>
      <c r="H154" s="39"/>
      <c r="I154" s="39"/>
      <c r="J154" s="39"/>
      <c r="K154" s="39"/>
      <c r="L154" s="39"/>
      <c r="M154" s="39"/>
      <c r="N154" s="40"/>
    </row>
    <row r="155" spans="1:14">
      <c r="A155" s="76" t="s">
        <v>147</v>
      </c>
      <c r="B155" s="1092">
        <v>0</v>
      </c>
      <c r="C155" s="1092">
        <v>0</v>
      </c>
      <c r="D155" s="1092">
        <v>0</v>
      </c>
      <c r="E155" s="1092">
        <v>0</v>
      </c>
      <c r="F155" s="1092">
        <v>0</v>
      </c>
      <c r="G155" s="1092">
        <v>0</v>
      </c>
      <c r="H155" s="1092">
        <v>0</v>
      </c>
      <c r="I155" s="1092">
        <v>0</v>
      </c>
      <c r="J155" s="1092">
        <v>0</v>
      </c>
      <c r="K155" s="1092">
        <v>0</v>
      </c>
      <c r="L155" s="1092">
        <v>0</v>
      </c>
      <c r="M155" s="1092">
        <v>9</v>
      </c>
      <c r="N155" s="27">
        <v>9</v>
      </c>
    </row>
    <row r="156" spans="1:14" ht="14" thickBot="1">
      <c r="A156" s="76" t="s">
        <v>179</v>
      </c>
      <c r="B156" s="1092">
        <v>0</v>
      </c>
      <c r="C156" s="1092">
        <v>0</v>
      </c>
      <c r="D156" s="1092">
        <v>0</v>
      </c>
      <c r="E156" s="1092">
        <v>0</v>
      </c>
      <c r="F156" s="1092">
        <v>0</v>
      </c>
      <c r="G156" s="1092">
        <v>0</v>
      </c>
      <c r="H156" s="1092">
        <v>0</v>
      </c>
      <c r="I156" s="1092">
        <v>0</v>
      </c>
      <c r="J156" s="1092">
        <v>0</v>
      </c>
      <c r="K156" s="1092">
        <v>0</v>
      </c>
      <c r="L156" s="1092">
        <v>0</v>
      </c>
      <c r="M156" s="1092">
        <v>143</v>
      </c>
      <c r="N156" s="27">
        <v>143</v>
      </c>
    </row>
    <row r="157" spans="1:14" ht="14" thickBot="1">
      <c r="A157" s="53" t="s">
        <v>60</v>
      </c>
      <c r="B157" s="55">
        <f t="shared" ref="B157:L157" si="25">SUM(B155:B156)</f>
        <v>0</v>
      </c>
      <c r="C157" s="55">
        <f t="shared" si="25"/>
        <v>0</v>
      </c>
      <c r="D157" s="55">
        <f t="shared" si="25"/>
        <v>0</v>
      </c>
      <c r="E157" s="55">
        <f t="shared" si="25"/>
        <v>0</v>
      </c>
      <c r="F157" s="55">
        <f t="shared" si="25"/>
        <v>0</v>
      </c>
      <c r="G157" s="55">
        <f t="shared" si="25"/>
        <v>0</v>
      </c>
      <c r="H157" s="55">
        <f t="shared" si="25"/>
        <v>0</v>
      </c>
      <c r="I157" s="55">
        <f t="shared" si="25"/>
        <v>0</v>
      </c>
      <c r="J157" s="55">
        <f t="shared" si="25"/>
        <v>0</v>
      </c>
      <c r="K157" s="55">
        <f t="shared" si="25"/>
        <v>0</v>
      </c>
      <c r="L157" s="55">
        <f t="shared" si="25"/>
        <v>0</v>
      </c>
      <c r="M157" s="55">
        <f>SUM(M155:M156)</f>
        <v>152</v>
      </c>
      <c r="N157" s="54">
        <f>SUM(N155:N156)</f>
        <v>152</v>
      </c>
    </row>
    <row r="158" spans="1:14" ht="14" thickBot="1">
      <c r="A158" s="38" t="s">
        <v>50</v>
      </c>
      <c r="B158" s="39"/>
      <c r="C158" s="39"/>
      <c r="D158" s="39"/>
      <c r="E158" s="39"/>
      <c r="F158" s="39"/>
      <c r="G158" s="39"/>
      <c r="H158" s="39"/>
      <c r="I158" s="39"/>
      <c r="J158" s="39"/>
      <c r="K158" s="39"/>
      <c r="L158" s="39"/>
      <c r="M158" s="39"/>
      <c r="N158" s="40"/>
    </row>
    <row r="159" spans="1:14">
      <c r="A159" s="32" t="s">
        <v>29</v>
      </c>
      <c r="B159" s="1092">
        <v>0</v>
      </c>
      <c r="C159" s="1092">
        <v>0</v>
      </c>
      <c r="D159" s="1092">
        <v>0</v>
      </c>
      <c r="E159" s="1092">
        <v>0</v>
      </c>
      <c r="F159" s="1092">
        <v>0</v>
      </c>
      <c r="G159" s="1092">
        <v>0</v>
      </c>
      <c r="H159" s="1092">
        <v>0</v>
      </c>
      <c r="I159" s="1092">
        <v>0</v>
      </c>
      <c r="J159" s="1092">
        <v>0</v>
      </c>
      <c r="K159" s="1092">
        <v>0</v>
      </c>
      <c r="L159" s="1092">
        <v>0</v>
      </c>
      <c r="M159" s="1092">
        <v>0</v>
      </c>
      <c r="N159" s="27">
        <f t="shared" ref="N159:N165" si="26">SUM(B159:M159)</f>
        <v>0</v>
      </c>
    </row>
    <row r="160" spans="1:14">
      <c r="A160" s="32" t="s">
        <v>51</v>
      </c>
      <c r="B160" s="1092">
        <v>0</v>
      </c>
      <c r="C160" s="1092">
        <v>0</v>
      </c>
      <c r="D160" s="1092">
        <v>0</v>
      </c>
      <c r="E160" s="1092">
        <v>0</v>
      </c>
      <c r="F160" s="1092">
        <v>0</v>
      </c>
      <c r="G160" s="1092">
        <v>5</v>
      </c>
      <c r="H160" s="1092">
        <v>0</v>
      </c>
      <c r="I160" s="1092">
        <v>0</v>
      </c>
      <c r="J160" s="1092">
        <v>0</v>
      </c>
      <c r="K160" s="1092">
        <v>0</v>
      </c>
      <c r="L160" s="1092">
        <v>0</v>
      </c>
      <c r="M160" s="1092">
        <v>0</v>
      </c>
      <c r="N160" s="27">
        <f t="shared" si="26"/>
        <v>5</v>
      </c>
    </row>
    <row r="161" spans="1:14">
      <c r="A161" s="34" t="s">
        <v>20</v>
      </c>
      <c r="B161" s="1092">
        <v>0</v>
      </c>
      <c r="C161" s="1092">
        <v>0</v>
      </c>
      <c r="D161" s="1092">
        <v>0</v>
      </c>
      <c r="E161" s="1092">
        <v>0</v>
      </c>
      <c r="F161" s="1092">
        <v>0</v>
      </c>
      <c r="G161" s="1092">
        <v>0</v>
      </c>
      <c r="H161" s="1092">
        <v>0</v>
      </c>
      <c r="I161" s="1092">
        <v>0</v>
      </c>
      <c r="J161" s="1092">
        <v>0</v>
      </c>
      <c r="K161" s="1092">
        <v>0</v>
      </c>
      <c r="L161" s="1092">
        <v>0</v>
      </c>
      <c r="M161" s="1092">
        <v>0</v>
      </c>
      <c r="N161" s="27">
        <f t="shared" si="26"/>
        <v>0</v>
      </c>
    </row>
    <row r="162" spans="1:14">
      <c r="A162" s="34" t="s">
        <v>13</v>
      </c>
      <c r="B162" s="1092">
        <v>0</v>
      </c>
      <c r="C162" s="1092">
        <v>0</v>
      </c>
      <c r="D162" s="1092">
        <v>0</v>
      </c>
      <c r="E162" s="1092">
        <v>0</v>
      </c>
      <c r="F162" s="1092">
        <v>0</v>
      </c>
      <c r="G162" s="1092">
        <v>0</v>
      </c>
      <c r="H162" s="1092">
        <v>0</v>
      </c>
      <c r="I162" s="1092">
        <v>0</v>
      </c>
      <c r="J162" s="1092">
        <v>0</v>
      </c>
      <c r="K162" s="1092">
        <v>0</v>
      </c>
      <c r="L162" s="1092">
        <v>0</v>
      </c>
      <c r="M162" s="1092">
        <v>0</v>
      </c>
      <c r="N162" s="27">
        <f t="shared" si="26"/>
        <v>0</v>
      </c>
    </row>
    <row r="163" spans="1:14" hidden="1">
      <c r="A163" s="35" t="s">
        <v>47</v>
      </c>
      <c r="B163" s="1092">
        <v>0</v>
      </c>
      <c r="C163" s="1092">
        <v>0</v>
      </c>
      <c r="D163" s="1092">
        <v>0</v>
      </c>
      <c r="E163" s="1092">
        <v>0</v>
      </c>
      <c r="F163" s="1092">
        <v>0</v>
      </c>
      <c r="G163" s="1092"/>
      <c r="H163" s="1092"/>
      <c r="I163" s="1092">
        <v>0</v>
      </c>
      <c r="J163" s="1092">
        <v>0</v>
      </c>
      <c r="K163" s="1092">
        <v>0</v>
      </c>
      <c r="L163" s="1092">
        <v>0</v>
      </c>
      <c r="M163" s="1092">
        <v>0</v>
      </c>
      <c r="N163" s="27">
        <f t="shared" si="26"/>
        <v>0</v>
      </c>
    </row>
    <row r="164" spans="1:14">
      <c r="A164" s="76" t="s">
        <v>30</v>
      </c>
      <c r="B164" s="1092">
        <v>0</v>
      </c>
      <c r="C164" s="1092">
        <v>0</v>
      </c>
      <c r="D164" s="1092">
        <v>0</v>
      </c>
      <c r="E164" s="1092">
        <v>0</v>
      </c>
      <c r="F164" s="1092">
        <v>0</v>
      </c>
      <c r="G164" s="1092">
        <v>4</v>
      </c>
      <c r="H164" s="1092">
        <v>13</v>
      </c>
      <c r="I164" s="1092">
        <v>0</v>
      </c>
      <c r="J164" s="1092">
        <v>0</v>
      </c>
      <c r="K164" s="1092">
        <v>0</v>
      </c>
      <c r="L164" s="1092">
        <v>0</v>
      </c>
      <c r="M164" s="1092">
        <v>0</v>
      </c>
      <c r="N164" s="27">
        <f t="shared" si="26"/>
        <v>17</v>
      </c>
    </row>
    <row r="165" spans="1:14" hidden="1">
      <c r="A165" s="76" t="s">
        <v>150</v>
      </c>
      <c r="B165" s="1092">
        <v>0</v>
      </c>
      <c r="C165" s="1092">
        <v>0</v>
      </c>
      <c r="D165" s="1092">
        <v>0</v>
      </c>
      <c r="E165" s="1092">
        <v>0</v>
      </c>
      <c r="F165" s="1092">
        <v>0</v>
      </c>
      <c r="G165" s="1092"/>
      <c r="H165" s="1092"/>
      <c r="I165" s="1092">
        <v>0</v>
      </c>
      <c r="J165" s="1092">
        <v>0</v>
      </c>
      <c r="K165" s="1092">
        <v>0</v>
      </c>
      <c r="L165" s="1092">
        <v>0</v>
      </c>
      <c r="M165" s="1092">
        <v>0</v>
      </c>
      <c r="N165" s="27">
        <f t="shared" si="26"/>
        <v>0</v>
      </c>
    </row>
    <row r="166" spans="1:14">
      <c r="A166" s="32" t="s">
        <v>56</v>
      </c>
      <c r="B166" s="1092">
        <v>0</v>
      </c>
      <c r="C166" s="1092">
        <v>0</v>
      </c>
      <c r="D166" s="1092">
        <v>0</v>
      </c>
      <c r="E166" s="1092">
        <v>0</v>
      </c>
      <c r="F166" s="1092">
        <v>0</v>
      </c>
      <c r="G166" s="1092">
        <v>0</v>
      </c>
      <c r="H166" s="1092">
        <v>0</v>
      </c>
      <c r="I166" s="1092">
        <v>0</v>
      </c>
      <c r="J166" s="1092">
        <v>0</v>
      </c>
      <c r="K166" s="1092">
        <v>0</v>
      </c>
      <c r="L166" s="1092">
        <v>0</v>
      </c>
      <c r="M166" s="1092">
        <v>0</v>
      </c>
      <c r="N166" s="27">
        <f>SUM(B166:M166)</f>
        <v>0</v>
      </c>
    </row>
    <row r="167" spans="1:14">
      <c r="A167" s="78" t="s">
        <v>122</v>
      </c>
      <c r="B167" s="1092">
        <v>0</v>
      </c>
      <c r="C167" s="1092">
        <v>0</v>
      </c>
      <c r="D167" s="1092">
        <v>0</v>
      </c>
      <c r="E167" s="1092">
        <v>0</v>
      </c>
      <c r="F167" s="1092">
        <v>0</v>
      </c>
      <c r="G167" s="1092">
        <v>0</v>
      </c>
      <c r="H167" s="1092">
        <v>0</v>
      </c>
      <c r="I167" s="1092">
        <v>0</v>
      </c>
      <c r="J167" s="1092">
        <v>0</v>
      </c>
      <c r="K167" s="1092">
        <v>0</v>
      </c>
      <c r="L167" s="1092">
        <v>0</v>
      </c>
      <c r="M167" s="1092">
        <v>0</v>
      </c>
      <c r="N167" s="27">
        <f>SUM(B167:M167)</f>
        <v>0</v>
      </c>
    </row>
    <row r="168" spans="1:14" ht="14" hidden="1" thickBot="1">
      <c r="A168" s="32" t="s">
        <v>102</v>
      </c>
      <c r="B168" s="1092">
        <v>0</v>
      </c>
      <c r="C168" s="1092">
        <v>0</v>
      </c>
      <c r="D168" s="1092">
        <v>0</v>
      </c>
      <c r="E168" s="1092">
        <v>0</v>
      </c>
      <c r="F168" s="1092">
        <v>0</v>
      </c>
      <c r="G168" s="1092"/>
      <c r="H168" s="1092"/>
      <c r="I168" s="1092">
        <v>0</v>
      </c>
      <c r="J168" s="1092">
        <v>0</v>
      </c>
      <c r="K168" s="1092">
        <v>0</v>
      </c>
      <c r="L168" s="1092">
        <v>0</v>
      </c>
      <c r="M168" s="1092">
        <v>0</v>
      </c>
      <c r="N168" s="27">
        <f>SUM(B168:M168)</f>
        <v>0</v>
      </c>
    </row>
    <row r="169" spans="1:14">
      <c r="A169" s="78" t="s">
        <v>167</v>
      </c>
      <c r="B169" s="1092">
        <v>0</v>
      </c>
      <c r="C169" s="1092">
        <v>0</v>
      </c>
      <c r="D169" s="1092">
        <v>0</v>
      </c>
      <c r="E169" s="1092">
        <v>0</v>
      </c>
      <c r="F169" s="1092">
        <v>0</v>
      </c>
      <c r="G169" s="1092">
        <v>0</v>
      </c>
      <c r="H169" s="1092">
        <v>0</v>
      </c>
      <c r="I169" s="1092">
        <v>0</v>
      </c>
      <c r="J169" s="1092">
        <v>0</v>
      </c>
      <c r="K169" s="1092">
        <v>0</v>
      </c>
      <c r="L169" s="1092">
        <v>0</v>
      </c>
      <c r="M169" s="1092">
        <v>0</v>
      </c>
      <c r="N169" s="27">
        <f>SUM(B169:M169)</f>
        <v>0</v>
      </c>
    </row>
    <row r="170" spans="1:14">
      <c r="A170" s="32" t="s">
        <v>165</v>
      </c>
      <c r="B170" s="1092">
        <v>0</v>
      </c>
      <c r="C170" s="1092">
        <v>0</v>
      </c>
      <c r="D170" s="1092">
        <v>0</v>
      </c>
      <c r="E170" s="1092">
        <v>0</v>
      </c>
      <c r="F170" s="1092">
        <v>0</v>
      </c>
      <c r="G170" s="1092">
        <v>0</v>
      </c>
      <c r="H170" s="1092">
        <v>0</v>
      </c>
      <c r="I170" s="1092">
        <v>0</v>
      </c>
      <c r="J170" s="1092">
        <v>0</v>
      </c>
      <c r="K170" s="1092">
        <v>0</v>
      </c>
      <c r="L170" s="1092">
        <v>0</v>
      </c>
      <c r="M170" s="1092">
        <v>0</v>
      </c>
      <c r="N170" s="27">
        <v>2889</v>
      </c>
    </row>
    <row r="171" spans="1:14" ht="14" thickBot="1">
      <c r="A171" s="78" t="s">
        <v>184</v>
      </c>
      <c r="B171" s="1092">
        <v>0</v>
      </c>
      <c r="C171" s="1092">
        <v>0</v>
      </c>
      <c r="D171" s="1092">
        <v>0</v>
      </c>
      <c r="E171" s="1092">
        <v>0</v>
      </c>
      <c r="F171" s="1092">
        <v>0</v>
      </c>
      <c r="G171" s="1092">
        <v>0</v>
      </c>
      <c r="H171" s="1092">
        <v>0</v>
      </c>
      <c r="I171" s="1092">
        <v>0</v>
      </c>
      <c r="J171" s="1092">
        <v>0</v>
      </c>
      <c r="K171" s="1092">
        <v>0</v>
      </c>
      <c r="L171" s="1092">
        <v>0</v>
      </c>
      <c r="M171" s="1092">
        <v>0</v>
      </c>
      <c r="N171" s="27">
        <f>SUM(B171:M171)</f>
        <v>0</v>
      </c>
    </row>
    <row r="172" spans="1:14" ht="14" thickBot="1">
      <c r="A172" s="53" t="s">
        <v>60</v>
      </c>
      <c r="B172" s="55">
        <f>SUM(B159:B171)</f>
        <v>0</v>
      </c>
      <c r="C172" s="55">
        <f t="shared" ref="C172:N172" si="27">SUM(C159:C171)</f>
        <v>0</v>
      </c>
      <c r="D172" s="55">
        <f t="shared" si="27"/>
        <v>0</v>
      </c>
      <c r="E172" s="55">
        <f t="shared" si="27"/>
        <v>0</v>
      </c>
      <c r="F172" s="55">
        <f t="shared" si="27"/>
        <v>0</v>
      </c>
      <c r="G172" s="55">
        <f t="shared" si="27"/>
        <v>9</v>
      </c>
      <c r="H172" s="55">
        <f t="shared" si="27"/>
        <v>13</v>
      </c>
      <c r="I172" s="55">
        <f t="shared" si="27"/>
        <v>0</v>
      </c>
      <c r="J172" s="55">
        <f t="shared" si="27"/>
        <v>0</v>
      </c>
      <c r="K172" s="55">
        <f t="shared" si="27"/>
        <v>0</v>
      </c>
      <c r="L172" s="55">
        <f t="shared" si="27"/>
        <v>0</v>
      </c>
      <c r="M172" s="55">
        <f>SUM(M159:M171)</f>
        <v>0</v>
      </c>
      <c r="N172" s="54">
        <f t="shared" si="27"/>
        <v>2911</v>
      </c>
    </row>
    <row r="174" spans="1:14" ht="14" thickBot="1">
      <c r="B174" s="43" t="s">
        <v>35</v>
      </c>
      <c r="C174" s="43" t="s">
        <v>36</v>
      </c>
      <c r="D174" s="43" t="s">
        <v>37</v>
      </c>
      <c r="E174" s="43" t="s">
        <v>38</v>
      </c>
      <c r="F174" s="43" t="s">
        <v>39</v>
      </c>
      <c r="G174" s="43" t="s">
        <v>40</v>
      </c>
      <c r="H174" s="43" t="s">
        <v>41</v>
      </c>
      <c r="I174" s="43" t="s">
        <v>42</v>
      </c>
      <c r="J174" s="43" t="s">
        <v>43</v>
      </c>
      <c r="K174" s="43" t="s">
        <v>44</v>
      </c>
      <c r="L174" s="43" t="s">
        <v>45</v>
      </c>
      <c r="M174" s="43" t="s">
        <v>46</v>
      </c>
      <c r="N174" s="43" t="s">
        <v>10</v>
      </c>
    </row>
    <row r="175" spans="1:14" ht="17" thickBot="1">
      <c r="A175" s="31" t="s">
        <v>186</v>
      </c>
      <c r="B175" s="24"/>
      <c r="C175" s="24"/>
      <c r="D175" s="22"/>
      <c r="E175" s="22"/>
      <c r="F175" s="25"/>
      <c r="G175" s="25"/>
      <c r="H175" s="22"/>
      <c r="I175" s="22"/>
      <c r="J175" s="22"/>
      <c r="K175" s="22"/>
      <c r="L175" s="24"/>
      <c r="M175" s="24"/>
      <c r="N175" s="26"/>
    </row>
    <row r="176" spans="1:14" ht="14" thickBot="1">
      <c r="A176" s="38" t="str">
        <f>Ontario!A177</f>
        <v>SoCal Water$mart Residential Rebates</v>
      </c>
      <c r="B176" s="39"/>
      <c r="C176" s="39"/>
      <c r="D176" s="39"/>
      <c r="E176" s="39"/>
      <c r="F176" s="39"/>
      <c r="G176" s="39"/>
      <c r="H176" s="39"/>
      <c r="I176" s="39"/>
      <c r="J176" s="39"/>
      <c r="K176" s="39"/>
      <c r="L176" s="39"/>
      <c r="M176" s="39"/>
      <c r="N176" s="40"/>
    </row>
    <row r="177" spans="1:14">
      <c r="A177" s="32" t="str">
        <f>Ontario!A178</f>
        <v>High Efficiency Toilets (HET)</v>
      </c>
      <c r="B177" s="1092">
        <v>0</v>
      </c>
      <c r="C177" s="1092">
        <v>0</v>
      </c>
      <c r="D177" s="1092">
        <v>0</v>
      </c>
      <c r="E177" s="1092">
        <v>0</v>
      </c>
      <c r="F177" s="1092">
        <v>0</v>
      </c>
      <c r="G177" s="1092">
        <v>0</v>
      </c>
      <c r="H177" s="1092">
        <v>0</v>
      </c>
      <c r="I177" s="1092">
        <v>0</v>
      </c>
      <c r="J177" s="1092">
        <v>0</v>
      </c>
      <c r="K177" s="1092">
        <v>0</v>
      </c>
      <c r="L177" s="1092">
        <v>0</v>
      </c>
      <c r="M177" s="1092">
        <v>0</v>
      </c>
      <c r="N177" s="27">
        <f>SUM(B177:M177)</f>
        <v>0</v>
      </c>
    </row>
    <row r="178" spans="1:14">
      <c r="A178" s="32" t="str">
        <f>Ontario!A179</f>
        <v>High Efficiency Clothes Washers (HECW)</v>
      </c>
      <c r="B178" s="1092">
        <v>0</v>
      </c>
      <c r="C178" s="1092">
        <v>10</v>
      </c>
      <c r="D178" s="1092">
        <v>0</v>
      </c>
      <c r="E178" s="1092">
        <v>2</v>
      </c>
      <c r="F178" s="1092">
        <v>5</v>
      </c>
      <c r="G178" s="1092">
        <v>1</v>
      </c>
      <c r="H178" s="1092">
        <v>6</v>
      </c>
      <c r="I178" s="1092">
        <v>3</v>
      </c>
      <c r="J178" s="1092">
        <v>7</v>
      </c>
      <c r="K178" s="1092">
        <v>3</v>
      </c>
      <c r="L178" s="1092">
        <v>7</v>
      </c>
      <c r="M178" s="1092">
        <v>6</v>
      </c>
      <c r="N178" s="27">
        <f>SUM(B178:M178)</f>
        <v>50</v>
      </c>
    </row>
    <row r="179" spans="1:14">
      <c r="A179" s="32" t="str">
        <f>Ontario!A180</f>
        <v>Rotating Nozzles for Pop-up Spray Heads</v>
      </c>
      <c r="B179" s="1092">
        <v>0</v>
      </c>
      <c r="C179" s="1092">
        <v>0</v>
      </c>
      <c r="D179" s="1092">
        <v>0</v>
      </c>
      <c r="E179" s="1092">
        <v>0</v>
      </c>
      <c r="F179" s="1092">
        <v>0</v>
      </c>
      <c r="G179" s="1092">
        <v>0</v>
      </c>
      <c r="H179" s="1092">
        <v>0</v>
      </c>
      <c r="I179" s="1092">
        <v>0</v>
      </c>
      <c r="J179" s="1092">
        <v>0</v>
      </c>
      <c r="K179" s="1092">
        <v>0</v>
      </c>
      <c r="L179" s="1092">
        <v>0</v>
      </c>
      <c r="M179" s="1092">
        <v>0</v>
      </c>
      <c r="N179" s="27">
        <f>SUM(B179:M179)</f>
        <v>0</v>
      </c>
    </row>
    <row r="180" spans="1:14" ht="14" thickBot="1">
      <c r="A180" s="32" t="str">
        <f>Ontario!A181</f>
        <v>Weather Based Irrigation Controllers (WBIC)</v>
      </c>
      <c r="B180" s="1092">
        <v>0</v>
      </c>
      <c r="C180" s="1092">
        <v>0</v>
      </c>
      <c r="D180" s="1092">
        <v>2</v>
      </c>
      <c r="E180" s="1092">
        <v>0</v>
      </c>
      <c r="F180" s="1092">
        <v>0</v>
      </c>
      <c r="G180" s="1092">
        <v>0</v>
      </c>
      <c r="H180" s="1092">
        <v>0</v>
      </c>
      <c r="I180" s="1092">
        <v>0</v>
      </c>
      <c r="J180" s="1092">
        <v>0</v>
      </c>
      <c r="K180" s="1092">
        <v>0</v>
      </c>
      <c r="L180" s="1092">
        <v>2</v>
      </c>
      <c r="M180" s="1092">
        <v>1</v>
      </c>
      <c r="N180" s="27">
        <f>SUM(B180:M180)</f>
        <v>5</v>
      </c>
    </row>
    <row r="181" spans="1:14" hidden="1">
      <c r="A181" s="76" t="s">
        <v>182</v>
      </c>
      <c r="B181" s="44"/>
      <c r="C181" s="44"/>
      <c r="D181" s="44"/>
      <c r="E181" s="44"/>
      <c r="F181" s="44"/>
      <c r="G181" s="44"/>
      <c r="H181" s="44"/>
      <c r="I181" s="44"/>
      <c r="J181" s="44"/>
      <c r="K181" s="44"/>
      <c r="L181" s="44"/>
      <c r="M181" s="44"/>
      <c r="N181" s="27">
        <f>SUM(B181:M181)</f>
        <v>0</v>
      </c>
    </row>
    <row r="182" spans="1:14" ht="14" thickBot="1">
      <c r="A182" s="38" t="str">
        <f>Ontario!A183</f>
        <v>IEUA Locally Implemented Residential Programs</v>
      </c>
      <c r="B182" s="39"/>
      <c r="C182" s="39"/>
      <c r="D182" s="39"/>
      <c r="E182" s="39"/>
      <c r="F182" s="39"/>
      <c r="G182" s="39"/>
      <c r="H182" s="39"/>
      <c r="I182" s="39"/>
      <c r="J182" s="39"/>
      <c r="K182" s="39"/>
      <c r="L182" s="39"/>
      <c r="M182" s="39"/>
      <c r="N182" s="40"/>
    </row>
    <row r="183" spans="1:14">
      <c r="A183" s="32" t="str">
        <f>Ontario!A184</f>
        <v>FreeSprinklerNozzles.com Program</v>
      </c>
      <c r="B183" s="1092">
        <v>0</v>
      </c>
      <c r="C183" s="1092">
        <v>0</v>
      </c>
      <c r="D183" s="1092">
        <v>0</v>
      </c>
      <c r="E183" s="1092">
        <v>0</v>
      </c>
      <c r="F183" s="1092">
        <v>0</v>
      </c>
      <c r="G183" s="1092">
        <v>0</v>
      </c>
      <c r="H183" s="1092">
        <v>0</v>
      </c>
      <c r="I183" s="1092">
        <v>0</v>
      </c>
      <c r="J183" s="1092">
        <v>0</v>
      </c>
      <c r="K183" s="1092">
        <v>0</v>
      </c>
      <c r="L183" s="1092">
        <v>0</v>
      </c>
      <c r="M183" s="1092">
        <v>1575</v>
      </c>
      <c r="N183" s="27">
        <f>SUM(B183:M183)</f>
        <v>1575</v>
      </c>
    </row>
    <row r="184" spans="1:14">
      <c r="A184" s="32" t="str">
        <f>Ontario!A185</f>
        <v>Residential Landscape Retrofit Program</v>
      </c>
      <c r="B184" s="1092">
        <v>0</v>
      </c>
      <c r="C184" s="1092">
        <v>0</v>
      </c>
      <c r="D184" s="1092">
        <v>0</v>
      </c>
      <c r="E184" s="1092">
        <v>0</v>
      </c>
      <c r="F184" s="1092">
        <v>0</v>
      </c>
      <c r="G184" s="1092">
        <v>0</v>
      </c>
      <c r="H184" s="1092">
        <v>4</v>
      </c>
      <c r="I184" s="1092">
        <v>6</v>
      </c>
      <c r="J184" s="1092">
        <v>5</v>
      </c>
      <c r="K184" s="1092">
        <v>2</v>
      </c>
      <c r="L184" s="1092">
        <v>1</v>
      </c>
      <c r="M184" s="1092">
        <v>2</v>
      </c>
      <c r="N184" s="27">
        <f>SUM(B184:M184)</f>
        <v>20</v>
      </c>
    </row>
    <row r="185" spans="1:14" ht="14" thickBot="1">
      <c r="A185" s="32" t="str">
        <f>Ontario!A186</f>
        <v>Landscape Transformation Program</v>
      </c>
      <c r="B185" s="1092">
        <v>0</v>
      </c>
      <c r="C185" s="1092">
        <v>0</v>
      </c>
      <c r="D185" s="1092">
        <v>0</v>
      </c>
      <c r="E185" s="1092">
        <v>0</v>
      </c>
      <c r="F185" s="1092">
        <v>0</v>
      </c>
      <c r="G185" s="1092">
        <v>0</v>
      </c>
      <c r="H185" s="1092">
        <v>2</v>
      </c>
      <c r="I185" s="1092">
        <v>2</v>
      </c>
      <c r="J185" s="1092">
        <v>1</v>
      </c>
      <c r="K185" s="1092">
        <v>0</v>
      </c>
      <c r="L185" s="1092">
        <v>0</v>
      </c>
      <c r="M185" s="1092">
        <v>1</v>
      </c>
      <c r="N185" s="27">
        <f>SUM(B185:M185)</f>
        <v>6</v>
      </c>
    </row>
    <row r="186" spans="1:14" ht="14" thickBot="1">
      <c r="A186" s="53" t="s">
        <v>60</v>
      </c>
      <c r="B186" s="55">
        <f>SUM(B177:B185)</f>
        <v>0</v>
      </c>
      <c r="C186" s="55">
        <f t="shared" ref="C186:M186" si="28">SUM(C177:C185)</f>
        <v>10</v>
      </c>
      <c r="D186" s="55">
        <f t="shared" si="28"/>
        <v>2</v>
      </c>
      <c r="E186" s="55">
        <f t="shared" si="28"/>
        <v>2</v>
      </c>
      <c r="F186" s="55">
        <f t="shared" si="28"/>
        <v>5</v>
      </c>
      <c r="G186" s="55">
        <f t="shared" si="28"/>
        <v>1</v>
      </c>
      <c r="H186" s="55">
        <f t="shared" si="28"/>
        <v>12</v>
      </c>
      <c r="I186" s="55">
        <f t="shared" si="28"/>
        <v>11</v>
      </c>
      <c r="J186" s="55">
        <f t="shared" si="28"/>
        <v>13</v>
      </c>
      <c r="K186" s="55">
        <f t="shared" si="28"/>
        <v>5</v>
      </c>
      <c r="L186" s="55">
        <f t="shared" si="28"/>
        <v>10</v>
      </c>
      <c r="M186" s="55">
        <f t="shared" si="28"/>
        <v>1585</v>
      </c>
      <c r="N186" s="54">
        <f>SUM(N177:N185)</f>
        <v>1656</v>
      </c>
    </row>
    <row r="187" spans="1:14" ht="14" thickBot="1">
      <c r="A187" s="38" t="str">
        <f>Ontario!A188</f>
        <v xml:space="preserve">IEUA High Efficiency Toilet (HET) Installation Prog. </v>
      </c>
      <c r="B187" s="39"/>
      <c r="C187" s="39"/>
      <c r="D187" s="39"/>
      <c r="E187" s="39"/>
      <c r="F187" s="39"/>
      <c r="G187" s="39"/>
      <c r="H187" s="39"/>
      <c r="I187" s="39"/>
      <c r="J187" s="39"/>
      <c r="K187" s="39"/>
      <c r="L187" s="39"/>
      <c r="M187" s="39"/>
      <c r="N187" s="40"/>
    </row>
    <row r="188" spans="1:14">
      <c r="A188" s="32" t="str">
        <f>Ontario!A189</f>
        <v>IEUA Multi-Family Direct Install Prog. (HET/ULFT)</v>
      </c>
      <c r="B188" s="1092">
        <v>4</v>
      </c>
      <c r="C188" s="1092">
        <v>0</v>
      </c>
      <c r="D188" s="1092">
        <v>0</v>
      </c>
      <c r="E188" s="1092">
        <v>0</v>
      </c>
      <c r="F188" s="1092">
        <v>0</v>
      </c>
      <c r="G188" s="1092">
        <v>0</v>
      </c>
      <c r="H188" s="1092">
        <v>0</v>
      </c>
      <c r="I188" s="1092">
        <v>0</v>
      </c>
      <c r="J188" s="1092">
        <v>0</v>
      </c>
      <c r="K188" s="1092">
        <v>0</v>
      </c>
      <c r="L188" s="1092">
        <v>0</v>
      </c>
      <c r="M188" s="1092">
        <v>0</v>
      </c>
      <c r="N188" s="27">
        <f>SUM(B188:M188)</f>
        <v>4</v>
      </c>
    </row>
    <row r="189" spans="1:14" ht="14" thickBot="1">
      <c r="A189" s="32" t="str">
        <f>Ontario!A190</f>
        <v>IEUA Single-Family Direct Install Prog. (HET/ULFT)</v>
      </c>
      <c r="B189" s="1092">
        <v>10</v>
      </c>
      <c r="C189" s="1092">
        <v>18</v>
      </c>
      <c r="D189" s="1092">
        <v>13</v>
      </c>
      <c r="E189" s="1092">
        <v>9</v>
      </c>
      <c r="F189" s="1092">
        <v>14</v>
      </c>
      <c r="G189" s="1092">
        <v>6</v>
      </c>
      <c r="H189" s="1092">
        <v>11</v>
      </c>
      <c r="I189" s="1092">
        <v>6</v>
      </c>
      <c r="J189" s="1092">
        <v>4</v>
      </c>
      <c r="K189" s="1092">
        <v>5</v>
      </c>
      <c r="L189" s="1092">
        <v>0</v>
      </c>
      <c r="M189" s="1092">
        <v>0</v>
      </c>
      <c r="N189" s="27">
        <f>SUM(B189:M189)</f>
        <v>96</v>
      </c>
    </row>
    <row r="190" spans="1:14" ht="14" thickBot="1">
      <c r="A190" s="53" t="s">
        <v>60</v>
      </c>
      <c r="B190" s="55">
        <f>SUM(B188:B189)</f>
        <v>14</v>
      </c>
      <c r="C190" s="55">
        <f t="shared" ref="C190:M190" si="29">SUM(C188:C189)</f>
        <v>18</v>
      </c>
      <c r="D190" s="55">
        <f t="shared" si="29"/>
        <v>13</v>
      </c>
      <c r="E190" s="55">
        <f t="shared" si="29"/>
        <v>9</v>
      </c>
      <c r="F190" s="55">
        <f t="shared" si="29"/>
        <v>14</v>
      </c>
      <c r="G190" s="55">
        <f t="shared" si="29"/>
        <v>6</v>
      </c>
      <c r="H190" s="55">
        <f t="shared" si="29"/>
        <v>11</v>
      </c>
      <c r="I190" s="55">
        <f t="shared" si="29"/>
        <v>6</v>
      </c>
      <c r="J190" s="55">
        <f t="shared" si="29"/>
        <v>4</v>
      </c>
      <c r="K190" s="55">
        <f t="shared" si="29"/>
        <v>5</v>
      </c>
      <c r="L190" s="55">
        <f t="shared" si="29"/>
        <v>0</v>
      </c>
      <c r="M190" s="55">
        <f t="shared" si="29"/>
        <v>0</v>
      </c>
      <c r="N190" s="54">
        <f>SUM(N188:N189)</f>
        <v>100</v>
      </c>
    </row>
    <row r="191" spans="1:14" ht="14" thickBot="1">
      <c r="A191" s="38" t="str">
        <f>Ontario!A192</f>
        <v>SoCal Water$mart Commercial Rebates</v>
      </c>
      <c r="B191" s="39"/>
      <c r="C191" s="39"/>
      <c r="D191" s="39"/>
      <c r="E191" s="39"/>
      <c r="F191" s="39"/>
      <c r="G191" s="39"/>
      <c r="H191" s="39"/>
      <c r="I191" s="39"/>
      <c r="J191" s="39"/>
      <c r="K191" s="39"/>
      <c r="L191" s="39"/>
      <c r="M191" s="39"/>
      <c r="N191" s="40"/>
    </row>
    <row r="192" spans="1:14">
      <c r="A192" s="32" t="str">
        <f>Ontario!A193</f>
        <v>High Efficiency Toilets (HET)</v>
      </c>
      <c r="B192" s="1092">
        <v>0</v>
      </c>
      <c r="C192" s="1092">
        <v>0</v>
      </c>
      <c r="D192" s="1092">
        <v>0</v>
      </c>
      <c r="E192" s="1092">
        <v>1</v>
      </c>
      <c r="F192" s="1092">
        <v>0</v>
      </c>
      <c r="G192" s="1092">
        <v>0</v>
      </c>
      <c r="H192" s="1092">
        <v>0</v>
      </c>
      <c r="I192" s="1092">
        <v>0</v>
      </c>
      <c r="J192" s="1092">
        <v>0</v>
      </c>
      <c r="K192" s="1092">
        <v>0</v>
      </c>
      <c r="L192" s="1092">
        <v>0</v>
      </c>
      <c r="M192" s="1092">
        <v>0</v>
      </c>
      <c r="N192" s="27">
        <f t="shared" ref="N192:N207" si="30">SUM(B192:M192)</f>
        <v>1</v>
      </c>
    </row>
    <row r="193" spans="1:14">
      <c r="A193" s="32" t="str">
        <f>Ontario!A194</f>
        <v>Waterless Urinals</v>
      </c>
      <c r="B193" s="1092">
        <v>0</v>
      </c>
      <c r="C193" s="1092">
        <v>0</v>
      </c>
      <c r="D193" s="1092">
        <v>0</v>
      </c>
      <c r="E193" s="1092">
        <v>0</v>
      </c>
      <c r="F193" s="1092">
        <v>0</v>
      </c>
      <c r="G193" s="1092">
        <v>0</v>
      </c>
      <c r="H193" s="1092">
        <v>0</v>
      </c>
      <c r="I193" s="1092">
        <v>0</v>
      </c>
      <c r="J193" s="1092">
        <v>0</v>
      </c>
      <c r="K193" s="1092">
        <v>0</v>
      </c>
      <c r="L193" s="1092">
        <v>0</v>
      </c>
      <c r="M193" s="1092">
        <v>0</v>
      </c>
      <c r="N193" s="27">
        <f t="shared" si="30"/>
        <v>0</v>
      </c>
    </row>
    <row r="194" spans="1:14">
      <c r="A194" s="32" t="s">
        <v>204</v>
      </c>
      <c r="B194" s="1092">
        <v>0</v>
      </c>
      <c r="C194" s="1092">
        <v>0</v>
      </c>
      <c r="D194" s="1092">
        <v>0</v>
      </c>
      <c r="E194" s="1092">
        <v>0</v>
      </c>
      <c r="F194" s="1092">
        <v>0</v>
      </c>
      <c r="G194" s="1092">
        <v>0</v>
      </c>
      <c r="H194" s="1092">
        <v>0</v>
      </c>
      <c r="I194" s="1092">
        <v>0</v>
      </c>
      <c r="J194" s="1092">
        <v>0</v>
      </c>
      <c r="K194" s="1092">
        <v>0</v>
      </c>
      <c r="L194" s="1092">
        <v>0</v>
      </c>
      <c r="M194" s="1092">
        <v>0</v>
      </c>
      <c r="N194" s="27">
        <f t="shared" si="30"/>
        <v>0</v>
      </c>
    </row>
    <row r="195" spans="1:14">
      <c r="A195" s="32" t="str">
        <f>Ontario!A196</f>
        <v>High Efficiency Clothes Washers</v>
      </c>
      <c r="B195" s="1092">
        <v>0</v>
      </c>
      <c r="C195" s="1092">
        <v>0</v>
      </c>
      <c r="D195" s="1092">
        <v>0</v>
      </c>
      <c r="E195" s="1092">
        <v>0</v>
      </c>
      <c r="F195" s="1092">
        <v>0</v>
      </c>
      <c r="G195" s="1092">
        <v>0</v>
      </c>
      <c r="H195" s="1092">
        <v>0</v>
      </c>
      <c r="I195" s="1092">
        <v>0</v>
      </c>
      <c r="J195" s="1092">
        <v>0</v>
      </c>
      <c r="K195" s="1092">
        <v>0</v>
      </c>
      <c r="L195" s="1092">
        <v>0</v>
      </c>
      <c r="M195" s="1092">
        <v>0</v>
      </c>
      <c r="N195" s="27">
        <f t="shared" si="30"/>
        <v>0</v>
      </c>
    </row>
    <row r="196" spans="1:14" hidden="1">
      <c r="A196" s="35" t="s">
        <v>47</v>
      </c>
      <c r="B196" s="1092">
        <v>0</v>
      </c>
      <c r="C196" s="1092">
        <v>0</v>
      </c>
      <c r="D196" s="1092">
        <v>0</v>
      </c>
      <c r="E196" s="1092">
        <v>0</v>
      </c>
      <c r="F196" s="1092">
        <v>0</v>
      </c>
      <c r="G196" s="1092">
        <v>0</v>
      </c>
      <c r="H196" s="1092">
        <v>0</v>
      </c>
      <c r="I196" s="1092">
        <v>0</v>
      </c>
      <c r="J196" s="1092">
        <v>0</v>
      </c>
      <c r="K196" s="1092">
        <v>0</v>
      </c>
      <c r="L196" s="1092">
        <v>0</v>
      </c>
      <c r="M196" s="1092">
        <v>0</v>
      </c>
      <c r="N196" s="27">
        <f t="shared" si="30"/>
        <v>0</v>
      </c>
    </row>
    <row r="197" spans="1:14">
      <c r="A197" s="32" t="str">
        <f>Ontario!A198</f>
        <v>Weather Based Irrigation Controllers (WBIC)</v>
      </c>
      <c r="B197" s="1092">
        <v>0</v>
      </c>
      <c r="C197" s="1092">
        <v>0</v>
      </c>
      <c r="D197" s="1092">
        <v>0</v>
      </c>
      <c r="E197" s="1092">
        <v>0</v>
      </c>
      <c r="F197" s="1092">
        <v>0</v>
      </c>
      <c r="G197" s="1092">
        <v>0</v>
      </c>
      <c r="H197" s="1092">
        <v>0</v>
      </c>
      <c r="I197" s="1092">
        <v>0</v>
      </c>
      <c r="J197" s="1092">
        <v>0</v>
      </c>
      <c r="K197" s="1092">
        <v>0</v>
      </c>
      <c r="L197" s="1092">
        <v>0</v>
      </c>
      <c r="M197" s="1092">
        <v>0</v>
      </c>
      <c r="N197" s="27">
        <f t="shared" si="30"/>
        <v>0</v>
      </c>
    </row>
    <row r="198" spans="1:14" hidden="1">
      <c r="A198" s="76" t="s">
        <v>150</v>
      </c>
      <c r="B198" s="1092">
        <v>0</v>
      </c>
      <c r="C198" s="1092">
        <v>0</v>
      </c>
      <c r="D198" s="1092">
        <v>0</v>
      </c>
      <c r="E198" s="1092">
        <v>0</v>
      </c>
      <c r="F198" s="1092">
        <v>0</v>
      </c>
      <c r="G198" s="1092">
        <v>0</v>
      </c>
      <c r="H198" s="1092">
        <v>0</v>
      </c>
      <c r="I198" s="1092">
        <v>0</v>
      </c>
      <c r="J198" s="1092">
        <v>0</v>
      </c>
      <c r="K198" s="1092">
        <v>0</v>
      </c>
      <c r="L198" s="1092">
        <v>0</v>
      </c>
      <c r="M198" s="1092">
        <v>0</v>
      </c>
      <c r="N198" s="27">
        <f t="shared" si="30"/>
        <v>0</v>
      </c>
    </row>
    <row r="199" spans="1:14">
      <c r="A199" s="32" t="str">
        <f>Ontario!A200</f>
        <v>Rotating Nozzles for Pop-up Spray Heads</v>
      </c>
      <c r="B199" s="1092">
        <v>0</v>
      </c>
      <c r="C199" s="1092">
        <v>0</v>
      </c>
      <c r="D199" s="1092">
        <v>0</v>
      </c>
      <c r="E199" s="1092">
        <v>0</v>
      </c>
      <c r="F199" s="1092">
        <v>0</v>
      </c>
      <c r="G199" s="1092">
        <v>0</v>
      </c>
      <c r="H199" s="1092">
        <v>0</v>
      </c>
      <c r="I199" s="1092">
        <v>0</v>
      </c>
      <c r="J199" s="1092">
        <v>0</v>
      </c>
      <c r="K199" s="1092">
        <v>0</v>
      </c>
      <c r="L199" s="1092">
        <v>0</v>
      </c>
      <c r="M199" s="1092">
        <v>0</v>
      </c>
      <c r="N199" s="27">
        <f t="shared" si="30"/>
        <v>0</v>
      </c>
    </row>
    <row r="200" spans="1:14">
      <c r="A200" s="32" t="str">
        <f>Ontario!A201</f>
        <v>Large Rotary Nozzles</v>
      </c>
      <c r="B200" s="1092">
        <v>0</v>
      </c>
      <c r="C200" s="1092">
        <v>0</v>
      </c>
      <c r="D200" s="1092">
        <v>0</v>
      </c>
      <c r="E200" s="1092">
        <v>0</v>
      </c>
      <c r="F200" s="1092">
        <v>0</v>
      </c>
      <c r="G200" s="1092">
        <v>0</v>
      </c>
      <c r="H200" s="1092">
        <v>0</v>
      </c>
      <c r="I200" s="1092">
        <v>0</v>
      </c>
      <c r="J200" s="1092">
        <v>0</v>
      </c>
      <c r="K200" s="1092">
        <v>0</v>
      </c>
      <c r="L200" s="1092">
        <v>0</v>
      </c>
      <c r="M200" s="1092">
        <v>0</v>
      </c>
      <c r="N200" s="27">
        <f t="shared" si="30"/>
        <v>0</v>
      </c>
    </row>
    <row r="201" spans="1:14" hidden="1">
      <c r="A201" s="32" t="s">
        <v>102</v>
      </c>
      <c r="B201" s="1092">
        <v>0</v>
      </c>
      <c r="C201" s="1092">
        <v>0</v>
      </c>
      <c r="D201" s="1092">
        <v>0</v>
      </c>
      <c r="E201" s="1092">
        <v>0</v>
      </c>
      <c r="F201" s="1092">
        <v>0</v>
      </c>
      <c r="G201" s="1092">
        <v>0</v>
      </c>
      <c r="H201" s="1092">
        <v>0</v>
      </c>
      <c r="I201" s="1092">
        <v>0</v>
      </c>
      <c r="J201" s="1092">
        <v>0</v>
      </c>
      <c r="K201" s="1092">
        <v>0</v>
      </c>
      <c r="L201" s="1092">
        <v>0</v>
      </c>
      <c r="M201" s="1092">
        <v>0</v>
      </c>
      <c r="N201" s="27">
        <f t="shared" si="30"/>
        <v>0</v>
      </c>
    </row>
    <row r="202" spans="1:14">
      <c r="A202" s="32" t="str">
        <f>Ontario!A203</f>
        <v xml:space="preserve">Central Computerized Irrigation Controller </v>
      </c>
      <c r="B202" s="1092">
        <v>0</v>
      </c>
      <c r="C202" s="1092">
        <v>0</v>
      </c>
      <c r="D202" s="1092">
        <v>0</v>
      </c>
      <c r="E202" s="1092">
        <v>0</v>
      </c>
      <c r="F202" s="1092">
        <v>0</v>
      </c>
      <c r="G202" s="1092">
        <v>0</v>
      </c>
      <c r="H202" s="1092">
        <v>0</v>
      </c>
      <c r="I202" s="1092">
        <v>0</v>
      </c>
      <c r="J202" s="1092">
        <v>0</v>
      </c>
      <c r="K202" s="1092">
        <v>0</v>
      </c>
      <c r="L202" s="1092">
        <v>0</v>
      </c>
      <c r="M202" s="1092">
        <v>0</v>
      </c>
      <c r="N202" s="27">
        <f>SUM(B202:M202)</f>
        <v>0</v>
      </c>
    </row>
    <row r="203" spans="1:14">
      <c r="A203" s="32" t="str">
        <f>Ontario!A204</f>
        <v>Laminar Flow Restrictor</v>
      </c>
      <c r="B203" s="1092">
        <v>0</v>
      </c>
      <c r="C203" s="1092">
        <v>0</v>
      </c>
      <c r="D203" s="1092">
        <v>0</v>
      </c>
      <c r="E203" s="1092">
        <v>0</v>
      </c>
      <c r="F203" s="1092">
        <v>0</v>
      </c>
      <c r="G203" s="1092">
        <v>0</v>
      </c>
      <c r="H203" s="1092">
        <v>0</v>
      </c>
      <c r="I203" s="1092">
        <v>0</v>
      </c>
      <c r="J203" s="1092">
        <v>0</v>
      </c>
      <c r="K203" s="1092">
        <v>0</v>
      </c>
      <c r="L203" s="1092">
        <v>1</v>
      </c>
      <c r="M203" s="1092">
        <v>0</v>
      </c>
      <c r="N203" s="27">
        <f>SUM(B203:M203)</f>
        <v>1</v>
      </c>
    </row>
    <row r="204" spans="1:14" ht="14" thickBot="1">
      <c r="A204" s="32" t="str">
        <f>Ontario!A205</f>
        <v>Air-Cooled Ice Machine</v>
      </c>
      <c r="B204" s="1092">
        <v>0</v>
      </c>
      <c r="C204" s="1092">
        <v>0</v>
      </c>
      <c r="D204" s="1092">
        <v>0</v>
      </c>
      <c r="E204" s="1092">
        <v>0</v>
      </c>
      <c r="F204" s="1092">
        <v>0</v>
      </c>
      <c r="G204" s="1092">
        <v>0</v>
      </c>
      <c r="H204" s="1092">
        <v>0</v>
      </c>
      <c r="I204" s="1092">
        <v>0</v>
      </c>
      <c r="J204" s="1092">
        <v>0</v>
      </c>
      <c r="K204" s="1092">
        <v>1</v>
      </c>
      <c r="L204" s="1092">
        <v>0</v>
      </c>
      <c r="M204" s="1092">
        <v>0</v>
      </c>
      <c r="N204" s="27">
        <f>SUM(B204:M204)</f>
        <v>1</v>
      </c>
    </row>
    <row r="205" spans="1:14" ht="14" thickBot="1">
      <c r="A205" s="38" t="str">
        <f>Ontario!A206</f>
        <v>IEUA Locally Implemented Commercial Programs</v>
      </c>
      <c r="B205" s="39"/>
      <c r="C205" s="39"/>
      <c r="D205" s="39"/>
      <c r="E205" s="39"/>
      <c r="F205" s="39"/>
      <c r="G205" s="39"/>
      <c r="H205" s="39"/>
      <c r="I205" s="39"/>
      <c r="J205" s="39"/>
      <c r="K205" s="39"/>
      <c r="L205" s="39"/>
      <c r="M205" s="39"/>
      <c r="N205" s="40"/>
    </row>
    <row r="206" spans="1:14">
      <c r="A206" s="32" t="str">
        <f>Ontario!A207</f>
        <v>Fontana Unified School Retrofit Program</v>
      </c>
      <c r="B206" s="1092">
        <v>0</v>
      </c>
      <c r="C206" s="1092">
        <v>0</v>
      </c>
      <c r="D206" s="1092">
        <v>0</v>
      </c>
      <c r="E206" s="1092">
        <v>0</v>
      </c>
      <c r="F206" s="1092">
        <v>0</v>
      </c>
      <c r="G206" s="1092">
        <v>0</v>
      </c>
      <c r="H206" s="1092">
        <v>0</v>
      </c>
      <c r="I206" s="1092">
        <v>0</v>
      </c>
      <c r="J206" s="1092">
        <v>0</v>
      </c>
      <c r="K206" s="1092">
        <v>0</v>
      </c>
      <c r="L206" s="1092">
        <v>0</v>
      </c>
      <c r="M206" s="1092">
        <v>0</v>
      </c>
      <c r="N206" s="27">
        <f t="shared" si="30"/>
        <v>0</v>
      </c>
    </row>
    <row r="207" spans="1:14" ht="14" thickBot="1">
      <c r="A207" s="32" t="str">
        <f>Ontario!A208</f>
        <v>FreeSprinklerNozzles.com Program</v>
      </c>
      <c r="B207" s="1092">
        <v>0</v>
      </c>
      <c r="C207" s="1092">
        <v>0</v>
      </c>
      <c r="D207" s="1092">
        <v>0</v>
      </c>
      <c r="E207" s="1092">
        <v>0</v>
      </c>
      <c r="F207" s="1092">
        <v>0</v>
      </c>
      <c r="G207" s="1092">
        <v>0</v>
      </c>
      <c r="H207" s="1092">
        <v>0</v>
      </c>
      <c r="I207" s="1092">
        <v>0</v>
      </c>
      <c r="J207" s="1092">
        <v>0</v>
      </c>
      <c r="K207" s="1092">
        <v>0</v>
      </c>
      <c r="L207" s="1092">
        <v>0</v>
      </c>
      <c r="M207" s="1092">
        <v>282</v>
      </c>
      <c r="N207" s="27">
        <f t="shared" si="30"/>
        <v>282</v>
      </c>
    </row>
    <row r="208" spans="1:14" ht="14" thickBot="1">
      <c r="A208" s="53" t="s">
        <v>60</v>
      </c>
      <c r="B208" s="55">
        <f>SUM(B192:B207)</f>
        <v>0</v>
      </c>
      <c r="C208" s="55">
        <f>SUM(C192:C207)</f>
        <v>0</v>
      </c>
      <c r="D208" s="55">
        <f t="shared" ref="D208:M208" si="31">SUM(D192:D207)</f>
        <v>0</v>
      </c>
      <c r="E208" s="55">
        <f t="shared" si="31"/>
        <v>1</v>
      </c>
      <c r="F208" s="55">
        <f t="shared" si="31"/>
        <v>0</v>
      </c>
      <c r="G208" s="55">
        <f t="shared" si="31"/>
        <v>0</v>
      </c>
      <c r="H208" s="55">
        <f t="shared" si="31"/>
        <v>0</v>
      </c>
      <c r="I208" s="55">
        <f t="shared" si="31"/>
        <v>0</v>
      </c>
      <c r="J208" s="55">
        <f t="shared" si="31"/>
        <v>0</v>
      </c>
      <c r="K208" s="55">
        <f t="shared" si="31"/>
        <v>1</v>
      </c>
      <c r="L208" s="55">
        <f t="shared" si="31"/>
        <v>1</v>
      </c>
      <c r="M208" s="55">
        <f t="shared" si="31"/>
        <v>282</v>
      </c>
      <c r="N208" s="54">
        <f>SUM(N192:N207)</f>
        <v>285</v>
      </c>
    </row>
    <row r="210" spans="1:14" ht="14" thickBot="1">
      <c r="B210" s="43" t="s">
        <v>35</v>
      </c>
      <c r="C210" s="43" t="s">
        <v>36</v>
      </c>
      <c r="D210" s="43" t="s">
        <v>37</v>
      </c>
      <c r="E210" s="43" t="s">
        <v>38</v>
      </c>
      <c r="F210" s="43" t="s">
        <v>39</v>
      </c>
      <c r="G210" s="43" t="s">
        <v>40</v>
      </c>
      <c r="H210" s="43" t="s">
        <v>41</v>
      </c>
      <c r="I210" s="43" t="s">
        <v>42</v>
      </c>
      <c r="J210" s="43" t="s">
        <v>43</v>
      </c>
      <c r="K210" s="43" t="s">
        <v>44</v>
      </c>
      <c r="L210" s="43" t="s">
        <v>45</v>
      </c>
      <c r="M210" s="43" t="s">
        <v>46</v>
      </c>
      <c r="N210" s="43" t="s">
        <v>10</v>
      </c>
    </row>
    <row r="211" spans="1:14" ht="17" thickBot="1">
      <c r="A211" s="31" t="s">
        <v>210</v>
      </c>
      <c r="B211" s="24"/>
      <c r="C211" s="24"/>
      <c r="D211" s="22"/>
      <c r="E211" s="22"/>
      <c r="F211" s="25"/>
      <c r="G211" s="25"/>
      <c r="H211" s="22"/>
      <c r="I211" s="22"/>
      <c r="J211" s="22"/>
      <c r="K211" s="22"/>
      <c r="L211" s="24"/>
      <c r="M211" s="24"/>
      <c r="N211" s="26"/>
    </row>
    <row r="212" spans="1:14" ht="14" thickBot="1">
      <c r="A212" s="38" t="str">
        <f>Ontario!A214</f>
        <v>SoCal Water$mart Residential Rebates</v>
      </c>
      <c r="B212" s="39"/>
      <c r="C212" s="39"/>
      <c r="D212" s="39"/>
      <c r="E212" s="39"/>
      <c r="F212" s="39"/>
      <c r="G212" s="39"/>
      <c r="H212" s="39"/>
      <c r="I212" s="39"/>
      <c r="J212" s="39"/>
      <c r="K212" s="39"/>
      <c r="L212" s="39"/>
      <c r="M212" s="39"/>
      <c r="N212" s="40"/>
    </row>
    <row r="213" spans="1:14">
      <c r="A213" s="32" t="str">
        <f>Ontario!A215</f>
        <v>High Efficiency Toilets (HET)</v>
      </c>
      <c r="B213" s="1092">
        <v>0</v>
      </c>
      <c r="C213" s="1092">
        <v>0</v>
      </c>
      <c r="D213" s="1092">
        <v>1</v>
      </c>
      <c r="E213" s="1092">
        <v>1</v>
      </c>
      <c r="F213" s="1092">
        <v>1</v>
      </c>
      <c r="G213" s="1092">
        <v>5</v>
      </c>
      <c r="H213" s="1092">
        <v>8</v>
      </c>
      <c r="I213" s="1092">
        <v>0</v>
      </c>
      <c r="J213" s="1092">
        <v>0</v>
      </c>
      <c r="K213" s="1092">
        <v>6</v>
      </c>
      <c r="L213" s="1092">
        <v>13</v>
      </c>
      <c r="M213" s="1092">
        <v>4</v>
      </c>
      <c r="N213" s="27">
        <f>SUM(B213:M213)</f>
        <v>39</v>
      </c>
    </row>
    <row r="214" spans="1:14">
      <c r="A214" s="32" t="str">
        <f>Ontario!A216</f>
        <v>High Efficiency Clothes Washers (HECW)</v>
      </c>
      <c r="B214" s="1092">
        <v>5</v>
      </c>
      <c r="C214" s="1092">
        <v>1</v>
      </c>
      <c r="D214" s="1092">
        <v>2</v>
      </c>
      <c r="E214" s="1092">
        <v>5</v>
      </c>
      <c r="F214" s="1092">
        <v>3</v>
      </c>
      <c r="G214" s="1092">
        <v>3</v>
      </c>
      <c r="H214" s="1092">
        <v>3</v>
      </c>
      <c r="I214" s="1092">
        <v>0</v>
      </c>
      <c r="J214" s="1092">
        <v>0</v>
      </c>
      <c r="K214" s="1092">
        <v>8</v>
      </c>
      <c r="L214" s="1092">
        <v>7</v>
      </c>
      <c r="M214" s="1092">
        <v>1</v>
      </c>
      <c r="N214" s="27">
        <f>SUM(B214:M214)</f>
        <v>38</v>
      </c>
    </row>
    <row r="215" spans="1:14">
      <c r="A215" s="32" t="str">
        <f>Ontario!A217</f>
        <v>Rotating Nozzles for Pop-up Spray Heads</v>
      </c>
      <c r="B215" s="1092">
        <v>0</v>
      </c>
      <c r="C215" s="1092">
        <v>0</v>
      </c>
      <c r="D215" s="1092">
        <v>1</v>
      </c>
      <c r="E215" s="1092">
        <v>0</v>
      </c>
      <c r="F215" s="1092">
        <v>0</v>
      </c>
      <c r="G215" s="1092">
        <v>0</v>
      </c>
      <c r="H215" s="1092">
        <v>1</v>
      </c>
      <c r="I215" s="1092">
        <v>0</v>
      </c>
      <c r="J215" s="1092">
        <v>0</v>
      </c>
      <c r="K215" s="1092">
        <v>0</v>
      </c>
      <c r="L215" s="1092">
        <v>0</v>
      </c>
      <c r="M215" s="1092">
        <v>0</v>
      </c>
      <c r="N215" s="27">
        <f>SUM(B215:M215)</f>
        <v>2</v>
      </c>
    </row>
    <row r="216" spans="1:14">
      <c r="A216" s="32" t="str">
        <f>Ontario!A218</f>
        <v>Weather Based Irrigation Controllers (WBIC)</v>
      </c>
      <c r="B216" s="1092">
        <v>0</v>
      </c>
      <c r="C216" s="1092">
        <v>0</v>
      </c>
      <c r="D216" s="1092">
        <v>1</v>
      </c>
      <c r="E216" s="1092">
        <v>0</v>
      </c>
      <c r="F216" s="1092">
        <v>0</v>
      </c>
      <c r="G216" s="1092">
        <v>0</v>
      </c>
      <c r="H216" s="1092">
        <v>1</v>
      </c>
      <c r="I216" s="1092">
        <v>0</v>
      </c>
      <c r="J216" s="1092">
        <v>0</v>
      </c>
      <c r="K216" s="1092">
        <v>0</v>
      </c>
      <c r="L216" s="1092">
        <v>0</v>
      </c>
      <c r="M216" s="1092">
        <v>0</v>
      </c>
      <c r="N216" s="27">
        <f>SUM(B216:M216)</f>
        <v>2</v>
      </c>
    </row>
    <row r="217" spans="1:14" ht="14" hidden="1" thickBot="1">
      <c r="A217" s="76" t="s">
        <v>182</v>
      </c>
      <c r="B217" s="1092"/>
      <c r="C217" s="1092"/>
      <c r="D217" s="1092"/>
      <c r="E217" s="1092"/>
      <c r="F217" s="1092"/>
      <c r="G217" s="1092"/>
      <c r="H217" s="1092"/>
      <c r="I217" s="1092"/>
      <c r="J217" s="1092"/>
      <c r="K217" s="1092"/>
      <c r="L217" s="1092"/>
      <c r="M217" s="1092"/>
      <c r="N217" s="27">
        <f>SUM(B217:M217)</f>
        <v>0</v>
      </c>
    </row>
    <row r="218" spans="1:14" ht="14" thickBot="1">
      <c r="A218" s="76" t="s">
        <v>212</v>
      </c>
      <c r="B218" s="1092">
        <v>0</v>
      </c>
      <c r="C218" s="1092">
        <v>0</v>
      </c>
      <c r="D218" s="1092">
        <v>0</v>
      </c>
      <c r="E218" s="1092">
        <v>0</v>
      </c>
      <c r="F218" s="1092">
        <v>0</v>
      </c>
      <c r="G218" s="1092">
        <v>0</v>
      </c>
      <c r="H218" s="1092">
        <v>0</v>
      </c>
      <c r="I218" s="1092">
        <v>0</v>
      </c>
      <c r="J218" s="1092">
        <v>0</v>
      </c>
      <c r="K218" s="1092">
        <v>0</v>
      </c>
      <c r="L218" s="1092">
        <v>0</v>
      </c>
      <c r="M218" s="1092">
        <v>0</v>
      </c>
      <c r="N218" s="27">
        <f>M218+L218+K218+J218+I218+H218+G218+F218+E218+D218+C218+B218</f>
        <v>0</v>
      </c>
    </row>
    <row r="219" spans="1:14" ht="14" thickBot="1">
      <c r="A219" s="38" t="str">
        <f>Ontario!A221</f>
        <v>IEUA Locally Implemented Residential Programs</v>
      </c>
      <c r="B219" s="39"/>
      <c r="C219" s="39"/>
      <c r="D219" s="39"/>
      <c r="E219" s="39"/>
      <c r="F219" s="39"/>
      <c r="G219" s="39"/>
      <c r="H219" s="39"/>
      <c r="I219" s="39"/>
      <c r="J219" s="39"/>
      <c r="K219" s="39"/>
      <c r="L219" s="39"/>
      <c r="M219" s="39"/>
      <c r="N219" s="40"/>
    </row>
    <row r="220" spans="1:14">
      <c r="A220" s="32" t="str">
        <f>Ontario!A222</f>
        <v>FreeSprinklerNozzles.com Program</v>
      </c>
      <c r="B220" s="1092">
        <v>712</v>
      </c>
      <c r="C220" s="1092">
        <v>0</v>
      </c>
      <c r="D220" s="1092">
        <v>0</v>
      </c>
      <c r="E220" s="1092">
        <v>0</v>
      </c>
      <c r="F220" s="1092">
        <v>0</v>
      </c>
      <c r="G220" s="1092">
        <v>0</v>
      </c>
      <c r="H220" s="1092">
        <v>0</v>
      </c>
      <c r="I220" s="1092">
        <v>0</v>
      </c>
      <c r="J220" s="1092">
        <v>0</v>
      </c>
      <c r="K220" s="1092">
        <v>0</v>
      </c>
      <c r="L220" s="1092">
        <v>0</v>
      </c>
      <c r="M220" s="1092">
        <v>0</v>
      </c>
      <c r="N220" s="27">
        <f>SUM(B220:M220)</f>
        <v>712</v>
      </c>
    </row>
    <row r="221" spans="1:14">
      <c r="A221" s="32" t="str">
        <f>Ontario!A223</f>
        <v>Residential Landscape Retrofit Program</v>
      </c>
      <c r="B221" s="1092">
        <v>0</v>
      </c>
      <c r="C221" s="1092">
        <v>6</v>
      </c>
      <c r="D221" s="1092">
        <v>13</v>
      </c>
      <c r="E221" s="1092">
        <v>1</v>
      </c>
      <c r="F221" s="1092">
        <v>3</v>
      </c>
      <c r="G221" s="1092">
        <v>2</v>
      </c>
      <c r="H221" s="1092">
        <v>0</v>
      </c>
      <c r="I221" s="1092">
        <v>1</v>
      </c>
      <c r="J221" s="1092">
        <v>1</v>
      </c>
      <c r="K221" s="1092">
        <v>0</v>
      </c>
      <c r="L221" s="1092">
        <v>3</v>
      </c>
      <c r="M221" s="1092">
        <v>2</v>
      </c>
      <c r="N221" s="27">
        <f>SUM(B221:M221)</f>
        <v>32</v>
      </c>
    </row>
    <row r="222" spans="1:14" ht="14" thickBot="1">
      <c r="A222" s="32" t="str">
        <f>Ontario!A224</f>
        <v>Landscape Transformation Program</v>
      </c>
      <c r="B222" s="1092">
        <v>0</v>
      </c>
      <c r="C222" s="1092">
        <v>0</v>
      </c>
      <c r="D222" s="1092">
        <v>0</v>
      </c>
      <c r="E222" s="1092">
        <v>0</v>
      </c>
      <c r="F222" s="1092">
        <v>2</v>
      </c>
      <c r="G222" s="1092">
        <v>2</v>
      </c>
      <c r="H222" s="1092">
        <v>1</v>
      </c>
      <c r="I222" s="1092">
        <v>1</v>
      </c>
      <c r="J222" s="1092">
        <v>1</v>
      </c>
      <c r="K222" s="1092">
        <v>0</v>
      </c>
      <c r="L222" s="1092">
        <v>0</v>
      </c>
      <c r="M222" s="1092">
        <v>0</v>
      </c>
      <c r="N222" s="27">
        <f>SUM(B222:M222)</f>
        <v>7</v>
      </c>
    </row>
    <row r="223" spans="1:14" ht="14" thickBot="1">
      <c r="A223" s="53" t="s">
        <v>60</v>
      </c>
      <c r="B223" s="55">
        <f>SUM(B213:B222)</f>
        <v>717</v>
      </c>
      <c r="C223" s="55">
        <f t="shared" ref="C223:M223" si="32">SUM(C213:C222)</f>
        <v>7</v>
      </c>
      <c r="D223" s="55">
        <f t="shared" si="32"/>
        <v>18</v>
      </c>
      <c r="E223" s="55">
        <f t="shared" si="32"/>
        <v>7</v>
      </c>
      <c r="F223" s="55">
        <f t="shared" si="32"/>
        <v>9</v>
      </c>
      <c r="G223" s="55">
        <f t="shared" si="32"/>
        <v>12</v>
      </c>
      <c r="H223" s="55">
        <f t="shared" si="32"/>
        <v>14</v>
      </c>
      <c r="I223" s="55">
        <f t="shared" si="32"/>
        <v>2</v>
      </c>
      <c r="J223" s="55">
        <f t="shared" si="32"/>
        <v>2</v>
      </c>
      <c r="K223" s="55">
        <f t="shared" si="32"/>
        <v>14</v>
      </c>
      <c r="L223" s="55">
        <f t="shared" si="32"/>
        <v>23</v>
      </c>
      <c r="M223" s="55">
        <f t="shared" si="32"/>
        <v>7</v>
      </c>
      <c r="N223" s="54">
        <f>SUM(N213:N222)</f>
        <v>832</v>
      </c>
    </row>
    <row r="224" spans="1:14" ht="14" hidden="1" thickBot="1">
      <c r="A224" s="38" t="str">
        <f>Ontario!A226</f>
        <v xml:space="preserve">IEUA High Efficiency Toilet (HET) Installation Prog. </v>
      </c>
      <c r="B224" s="39"/>
      <c r="C224" s="39"/>
      <c r="D224" s="39"/>
      <c r="E224" s="39"/>
      <c r="F224" s="39"/>
      <c r="G224" s="39"/>
      <c r="H224" s="39"/>
      <c r="I224" s="39"/>
      <c r="J224" s="39"/>
      <c r="K224" s="39"/>
      <c r="L224" s="39"/>
      <c r="M224" s="39"/>
      <c r="N224" s="40"/>
    </row>
    <row r="225" spans="1:14" hidden="1">
      <c r="A225" s="32" t="str">
        <f>Ontario!A227</f>
        <v>IEUA Multi-Family Direct Install Prog. (HET/ULFT)</v>
      </c>
      <c r="B225" s="168"/>
      <c r="C225" s="168"/>
      <c r="D225" s="168"/>
      <c r="E225" s="168"/>
      <c r="F225" s="168"/>
      <c r="G225" s="168"/>
      <c r="H225" s="168"/>
      <c r="I225" s="168"/>
      <c r="J225" s="168"/>
      <c r="K225" s="168"/>
      <c r="L225" s="168"/>
      <c r="M225" s="168"/>
      <c r="N225" s="27">
        <f>SUM(B225:M225)</f>
        <v>0</v>
      </c>
    </row>
    <row r="226" spans="1:14" ht="14" hidden="1" thickBot="1">
      <c r="A226" s="32" t="str">
        <f>Ontario!A228</f>
        <v>IEUA Single-Family Direct Install Prog. (HET/ULFT)</v>
      </c>
      <c r="B226" s="168"/>
      <c r="C226" s="168"/>
      <c r="D226" s="168"/>
      <c r="E226" s="168"/>
      <c r="F226" s="168"/>
      <c r="G226" s="168"/>
      <c r="H226" s="168"/>
      <c r="I226" s="168"/>
      <c r="J226" s="168"/>
      <c r="K226" s="168"/>
      <c r="L226" s="168"/>
      <c r="M226" s="168"/>
      <c r="N226" s="27">
        <f>SUM(B226:M226)</f>
        <v>0</v>
      </c>
    </row>
    <row r="227" spans="1:14" ht="14" hidden="1" thickBot="1">
      <c r="A227" s="53" t="s">
        <v>60</v>
      </c>
      <c r="B227" s="55">
        <f>SUM(B225:B226)</f>
        <v>0</v>
      </c>
      <c r="C227" s="55">
        <f t="shared" ref="C227:M227" si="33">SUM(C225:C226)</f>
        <v>0</v>
      </c>
      <c r="D227" s="55">
        <f t="shared" si="33"/>
        <v>0</v>
      </c>
      <c r="E227" s="55">
        <f t="shared" si="33"/>
        <v>0</v>
      </c>
      <c r="F227" s="55">
        <f t="shared" si="33"/>
        <v>0</v>
      </c>
      <c r="G227" s="55">
        <f t="shared" si="33"/>
        <v>0</v>
      </c>
      <c r="H227" s="55">
        <f t="shared" si="33"/>
        <v>0</v>
      </c>
      <c r="I227" s="55">
        <f t="shared" si="33"/>
        <v>0</v>
      </c>
      <c r="J227" s="55">
        <f t="shared" si="33"/>
        <v>0</v>
      </c>
      <c r="K227" s="55">
        <f t="shared" si="33"/>
        <v>0</v>
      </c>
      <c r="L227" s="55">
        <f t="shared" si="33"/>
        <v>0</v>
      </c>
      <c r="M227" s="55">
        <f t="shared" si="33"/>
        <v>0</v>
      </c>
      <c r="N227" s="54">
        <f>SUM(N225:N226)</f>
        <v>0</v>
      </c>
    </row>
    <row r="228" spans="1:14" ht="14" thickBot="1">
      <c r="A228" s="38" t="str">
        <f>Ontario!A230</f>
        <v>SoCal Water$mart Commercial Rebates</v>
      </c>
      <c r="B228" s="39"/>
      <c r="C228" s="39"/>
      <c r="D228" s="39"/>
      <c r="E228" s="39"/>
      <c r="F228" s="39"/>
      <c r="G228" s="39"/>
      <c r="H228" s="39"/>
      <c r="I228" s="39"/>
      <c r="J228" s="39"/>
      <c r="K228" s="39"/>
      <c r="L228" s="39"/>
      <c r="M228" s="39"/>
      <c r="N228" s="40"/>
    </row>
    <row r="229" spans="1:14">
      <c r="A229" s="32" t="str">
        <f>Ontario!A231</f>
        <v>High Efficiency Toilets (HET)</v>
      </c>
      <c r="B229" s="1092">
        <v>0</v>
      </c>
      <c r="C229" s="1092">
        <v>0</v>
      </c>
      <c r="D229" s="1092">
        <v>0</v>
      </c>
      <c r="E229" s="1092">
        <v>0</v>
      </c>
      <c r="F229" s="1092">
        <v>0</v>
      </c>
      <c r="G229" s="1092">
        <v>0</v>
      </c>
      <c r="H229" s="1092">
        <v>0</v>
      </c>
      <c r="I229" s="1092">
        <v>0</v>
      </c>
      <c r="J229" s="1092">
        <v>0</v>
      </c>
      <c r="K229" s="1092">
        <v>0</v>
      </c>
      <c r="L229" s="1092">
        <v>0</v>
      </c>
      <c r="M229" s="1092">
        <v>2</v>
      </c>
      <c r="N229" s="27">
        <f t="shared" ref="N229:N238" si="34">SUM(B229:M229)</f>
        <v>2</v>
      </c>
    </row>
    <row r="230" spans="1:14">
      <c r="A230" s="32" t="str">
        <f>Ontario!A232</f>
        <v>Waterless Urinals</v>
      </c>
      <c r="B230" s="1092">
        <v>0</v>
      </c>
      <c r="C230" s="1092">
        <v>0</v>
      </c>
      <c r="D230" s="1092">
        <v>0</v>
      </c>
      <c r="E230" s="1092">
        <v>0</v>
      </c>
      <c r="F230" s="1092">
        <v>0</v>
      </c>
      <c r="G230" s="1092">
        <v>0</v>
      </c>
      <c r="H230" s="1092">
        <v>0</v>
      </c>
      <c r="I230" s="1092">
        <v>0</v>
      </c>
      <c r="J230" s="1092">
        <v>0</v>
      </c>
      <c r="K230" s="1092">
        <v>0</v>
      </c>
      <c r="L230" s="1092">
        <v>0</v>
      </c>
      <c r="M230" s="1092">
        <v>0</v>
      </c>
      <c r="N230" s="27">
        <f t="shared" si="34"/>
        <v>0</v>
      </c>
    </row>
    <row r="231" spans="1:14">
      <c r="A231" s="32" t="s">
        <v>204</v>
      </c>
      <c r="B231" s="1092">
        <v>0</v>
      </c>
      <c r="C231" s="1092">
        <v>0</v>
      </c>
      <c r="D231" s="1092">
        <v>0</v>
      </c>
      <c r="E231" s="1092">
        <v>0</v>
      </c>
      <c r="F231" s="1092">
        <v>0</v>
      </c>
      <c r="G231" s="1092">
        <v>0</v>
      </c>
      <c r="H231" s="1092">
        <v>0</v>
      </c>
      <c r="I231" s="1092">
        <v>0</v>
      </c>
      <c r="J231" s="1092">
        <v>0</v>
      </c>
      <c r="K231" s="1092">
        <v>0</v>
      </c>
      <c r="L231" s="1092">
        <v>0</v>
      </c>
      <c r="M231" s="1092">
        <v>0</v>
      </c>
      <c r="N231" s="27">
        <f t="shared" si="34"/>
        <v>0</v>
      </c>
    </row>
    <row r="232" spans="1:14" hidden="1">
      <c r="A232" s="32" t="str">
        <f>Ontario!A234</f>
        <v>High Efficiency Clothes Washers</v>
      </c>
      <c r="B232" s="278"/>
      <c r="C232" s="278"/>
      <c r="D232" s="278"/>
      <c r="E232" s="278"/>
      <c r="F232" s="278"/>
      <c r="G232" s="278"/>
      <c r="H232" s="278"/>
      <c r="I232" s="278"/>
      <c r="J232" s="278"/>
      <c r="K232" s="278"/>
      <c r="L232" s="278"/>
      <c r="M232" s="278"/>
      <c r="N232" s="27">
        <f t="shared" si="34"/>
        <v>0</v>
      </c>
    </row>
    <row r="233" spans="1:14" hidden="1">
      <c r="A233" s="35" t="s">
        <v>47</v>
      </c>
      <c r="B233" s="278"/>
      <c r="C233" s="278"/>
      <c r="D233" s="278"/>
      <c r="E233" s="278"/>
      <c r="F233" s="278"/>
      <c r="G233" s="278"/>
      <c r="H233" s="278"/>
      <c r="I233" s="278"/>
      <c r="J233" s="278"/>
      <c r="K233" s="278"/>
      <c r="L233" s="278"/>
      <c r="M233" s="278"/>
      <c r="N233" s="27">
        <f t="shared" si="34"/>
        <v>0</v>
      </c>
    </row>
    <row r="234" spans="1:14">
      <c r="A234" s="32" t="str">
        <f>Ontario!A236</f>
        <v>Weather Based Irrigation Controllers (WBIC)</v>
      </c>
      <c r="B234" s="1092">
        <v>0</v>
      </c>
      <c r="C234" s="1092">
        <v>0</v>
      </c>
      <c r="D234" s="1092">
        <v>2</v>
      </c>
      <c r="E234" s="1092">
        <v>0</v>
      </c>
      <c r="F234" s="1092">
        <v>0</v>
      </c>
      <c r="G234" s="1092">
        <v>0</v>
      </c>
      <c r="H234" s="1092">
        <v>0</v>
      </c>
      <c r="I234" s="1092">
        <v>0</v>
      </c>
      <c r="J234" s="1092">
        <v>0</v>
      </c>
      <c r="K234" s="1092">
        <v>0</v>
      </c>
      <c r="L234" s="1092">
        <v>0</v>
      </c>
      <c r="M234" s="1092">
        <v>0</v>
      </c>
      <c r="N234" s="27">
        <f t="shared" si="34"/>
        <v>2</v>
      </c>
    </row>
    <row r="235" spans="1:14" hidden="1">
      <c r="A235" s="76" t="s">
        <v>150</v>
      </c>
      <c r="B235" s="1092"/>
      <c r="C235" s="1092"/>
      <c r="D235" s="1092"/>
      <c r="E235" s="1092"/>
      <c r="F235" s="1092"/>
      <c r="G235" s="1092"/>
      <c r="H235" s="1092"/>
      <c r="I235" s="1092"/>
      <c r="J235" s="1092"/>
      <c r="K235" s="1092"/>
      <c r="L235" s="1092"/>
      <c r="M235" s="1092"/>
      <c r="N235" s="27">
        <f t="shared" si="34"/>
        <v>0</v>
      </c>
    </row>
    <row r="236" spans="1:14">
      <c r="A236" s="32" t="str">
        <f>Ontario!A238</f>
        <v>Rotating Nozzles for Pop-up Spray Heads</v>
      </c>
      <c r="B236" s="1092">
        <v>0</v>
      </c>
      <c r="C236" s="1092">
        <v>0</v>
      </c>
      <c r="D236" s="1092">
        <v>48</v>
      </c>
      <c r="E236" s="1092">
        <v>0</v>
      </c>
      <c r="F236" s="1092">
        <v>0</v>
      </c>
      <c r="G236" s="1092">
        <v>0</v>
      </c>
      <c r="H236" s="1092">
        <v>0</v>
      </c>
      <c r="I236" s="1092">
        <v>0</v>
      </c>
      <c r="J236" s="1092">
        <v>0</v>
      </c>
      <c r="K236" s="1092">
        <v>0</v>
      </c>
      <c r="L236" s="1092">
        <v>0</v>
      </c>
      <c r="M236" s="1092">
        <v>0</v>
      </c>
      <c r="N236" s="27">
        <f t="shared" si="34"/>
        <v>48</v>
      </c>
    </row>
    <row r="237" spans="1:14">
      <c r="A237" s="32" t="str">
        <f>Ontario!A239</f>
        <v>Large Rotary Nozzles</v>
      </c>
      <c r="B237" s="1092">
        <v>0</v>
      </c>
      <c r="C237" s="1092">
        <v>0</v>
      </c>
      <c r="D237" s="1092">
        <v>0</v>
      </c>
      <c r="E237" s="1092">
        <v>0</v>
      </c>
      <c r="F237" s="1092">
        <v>0</v>
      </c>
      <c r="G237" s="1092">
        <v>0</v>
      </c>
      <c r="H237" s="1092">
        <v>0</v>
      </c>
      <c r="I237" s="1092">
        <v>0</v>
      </c>
      <c r="J237" s="1092">
        <v>0</v>
      </c>
      <c r="K237" s="1092">
        <v>0</v>
      </c>
      <c r="L237" s="1092">
        <v>0</v>
      </c>
      <c r="M237" s="1092">
        <v>0</v>
      </c>
      <c r="N237" s="27">
        <f t="shared" si="34"/>
        <v>0</v>
      </c>
    </row>
    <row r="238" spans="1:14" hidden="1">
      <c r="A238" s="32" t="s">
        <v>102</v>
      </c>
      <c r="B238" s="1092"/>
      <c r="C238" s="1092"/>
      <c r="D238" s="1092"/>
      <c r="E238" s="1092"/>
      <c r="F238" s="1092"/>
      <c r="G238" s="1092"/>
      <c r="H238" s="1092"/>
      <c r="I238" s="1092"/>
      <c r="J238" s="1092"/>
      <c r="K238" s="1092"/>
      <c r="L238" s="1092"/>
      <c r="M238" s="1092"/>
      <c r="N238" s="27">
        <f t="shared" si="34"/>
        <v>0</v>
      </c>
    </row>
    <row r="239" spans="1:14">
      <c r="A239" s="32" t="str">
        <f>Ontario!A241</f>
        <v xml:space="preserve">Central Computerized Irrigation Controller </v>
      </c>
      <c r="B239" s="1092">
        <v>0</v>
      </c>
      <c r="C239" s="1092">
        <v>0</v>
      </c>
      <c r="D239" s="1092">
        <v>0</v>
      </c>
      <c r="E239" s="1092">
        <v>0</v>
      </c>
      <c r="F239" s="1092">
        <v>0</v>
      </c>
      <c r="G239" s="1092">
        <v>0</v>
      </c>
      <c r="H239" s="1092">
        <v>0</v>
      </c>
      <c r="I239" s="1092">
        <v>0</v>
      </c>
      <c r="J239" s="1092">
        <v>0</v>
      </c>
      <c r="K239" s="1092">
        <v>0</v>
      </c>
      <c r="L239" s="1092">
        <v>0</v>
      </c>
      <c r="M239" s="1092">
        <v>0</v>
      </c>
      <c r="N239" s="27">
        <f>SUM(B239:M239)</f>
        <v>0</v>
      </c>
    </row>
    <row r="240" spans="1:14">
      <c r="A240" s="32" t="str">
        <f>Ontario!A242</f>
        <v>Laminar Flow Restrictor</v>
      </c>
      <c r="B240" s="1092">
        <v>0</v>
      </c>
      <c r="C240" s="1092">
        <v>0</v>
      </c>
      <c r="D240" s="1092">
        <v>0</v>
      </c>
      <c r="E240" s="1092">
        <v>0</v>
      </c>
      <c r="F240" s="1092">
        <v>0</v>
      </c>
      <c r="G240" s="1092">
        <v>0</v>
      </c>
      <c r="H240" s="1092">
        <v>0</v>
      </c>
      <c r="I240" s="1092">
        <v>0</v>
      </c>
      <c r="J240" s="1092">
        <v>0</v>
      </c>
      <c r="K240" s="1092">
        <v>0</v>
      </c>
      <c r="L240" s="1092">
        <v>0</v>
      </c>
      <c r="M240" s="1092">
        <v>0</v>
      </c>
      <c r="N240" s="27">
        <f>SUM(B240:M240)</f>
        <v>0</v>
      </c>
    </row>
    <row r="241" spans="1:14">
      <c r="A241" s="32" t="str">
        <f>Ontario!A243</f>
        <v>Air-Cooled Ice Machine</v>
      </c>
      <c r="B241" s="1092">
        <v>0</v>
      </c>
      <c r="C241" s="1092">
        <v>0</v>
      </c>
      <c r="D241" s="1092">
        <v>0</v>
      </c>
      <c r="E241" s="1092">
        <v>0</v>
      </c>
      <c r="F241" s="1092">
        <v>0</v>
      </c>
      <c r="G241" s="1092">
        <v>0</v>
      </c>
      <c r="H241" s="1092">
        <v>0</v>
      </c>
      <c r="I241" s="1092">
        <v>0</v>
      </c>
      <c r="J241" s="1092">
        <v>0</v>
      </c>
      <c r="K241" s="1092">
        <v>0</v>
      </c>
      <c r="L241" s="1092">
        <v>0</v>
      </c>
      <c r="M241" s="1092">
        <v>0</v>
      </c>
      <c r="N241" s="27">
        <f>SUM(B241:M241)</f>
        <v>0</v>
      </c>
    </row>
    <row r="242" spans="1:14" ht="14" thickBot="1">
      <c r="A242" s="32" t="s">
        <v>213</v>
      </c>
      <c r="B242" s="1092">
        <v>0</v>
      </c>
      <c r="C242" s="1092">
        <v>0</v>
      </c>
      <c r="D242" s="1092">
        <v>0</v>
      </c>
      <c r="E242" s="1092">
        <v>0</v>
      </c>
      <c r="F242" s="1092">
        <v>0</v>
      </c>
      <c r="G242" s="1092">
        <v>0</v>
      </c>
      <c r="H242" s="1092">
        <v>0</v>
      </c>
      <c r="I242" s="1092">
        <v>0</v>
      </c>
      <c r="J242" s="1092">
        <v>0</v>
      </c>
      <c r="K242" s="1092">
        <v>0</v>
      </c>
      <c r="L242" s="1092">
        <v>0</v>
      </c>
      <c r="M242" s="1092">
        <v>0</v>
      </c>
      <c r="N242" s="27">
        <f>SUM(B242:M242)</f>
        <v>0</v>
      </c>
    </row>
    <row r="243" spans="1:14" ht="14" thickBot="1">
      <c r="A243" s="38" t="str">
        <f>Ontario!A245</f>
        <v>IEUA Locally Implemented Commercial Programs</v>
      </c>
      <c r="B243" s="39"/>
      <c r="C243" s="39"/>
      <c r="D243" s="39"/>
      <c r="E243" s="39"/>
      <c r="F243" s="39"/>
      <c r="G243" s="39"/>
      <c r="H243" s="39"/>
      <c r="I243" s="39"/>
      <c r="J243" s="39"/>
      <c r="K243" s="39"/>
      <c r="L243" s="39"/>
      <c r="M243" s="39"/>
      <c r="N243" s="40"/>
    </row>
    <row r="244" spans="1:14" hidden="1">
      <c r="A244" s="32" t="str">
        <f>Ontario!A246</f>
        <v>Fontana Unified School Retrofit Program</v>
      </c>
      <c r="B244" s="168"/>
      <c r="C244" s="168"/>
      <c r="D244" s="168"/>
      <c r="E244" s="168"/>
      <c r="F244" s="168"/>
      <c r="G244" s="168"/>
      <c r="H244" s="168"/>
      <c r="I244" s="168"/>
      <c r="J244" s="168"/>
      <c r="K244" s="168"/>
      <c r="L244" s="168"/>
      <c r="M244" s="168"/>
      <c r="N244" s="27">
        <f>SUM(B244:M244)</f>
        <v>0</v>
      </c>
    </row>
    <row r="245" spans="1:14" ht="14" thickBot="1">
      <c r="A245" s="32" t="str">
        <f>Ontario!A247</f>
        <v>FreeSprinklerNozzles.com Program</v>
      </c>
      <c r="B245" s="1092">
        <v>1460</v>
      </c>
      <c r="C245" s="1092">
        <v>0</v>
      </c>
      <c r="D245" s="1092">
        <v>0</v>
      </c>
      <c r="E245" s="1092">
        <v>0</v>
      </c>
      <c r="F245" s="1092">
        <v>0</v>
      </c>
      <c r="G245" s="1092">
        <v>0</v>
      </c>
      <c r="H245" s="1092">
        <v>0</v>
      </c>
      <c r="I245" s="1092">
        <v>0</v>
      </c>
      <c r="J245" s="1092">
        <v>0</v>
      </c>
      <c r="K245" s="1092">
        <v>0</v>
      </c>
      <c r="L245" s="1092">
        <v>0</v>
      </c>
      <c r="M245" s="1092">
        <v>0</v>
      </c>
      <c r="N245" s="27">
        <f>SUM(B245:M245)</f>
        <v>1460</v>
      </c>
    </row>
    <row r="246" spans="1:14" ht="14" thickBot="1">
      <c r="A246" s="53" t="s">
        <v>60</v>
      </c>
      <c r="B246" s="55">
        <f>SUM(B229:B245)</f>
        <v>1460</v>
      </c>
      <c r="C246" s="55">
        <f>SUM(C229:C245)</f>
        <v>0</v>
      </c>
      <c r="D246" s="55">
        <f t="shared" ref="D246:M246" si="35">SUM(D229:D245)</f>
        <v>50</v>
      </c>
      <c r="E246" s="55">
        <f t="shared" si="35"/>
        <v>0</v>
      </c>
      <c r="F246" s="55">
        <f t="shared" si="35"/>
        <v>0</v>
      </c>
      <c r="G246" s="55">
        <f t="shared" si="35"/>
        <v>0</v>
      </c>
      <c r="H246" s="55">
        <f t="shared" si="35"/>
        <v>0</v>
      </c>
      <c r="I246" s="55">
        <f t="shared" si="35"/>
        <v>0</v>
      </c>
      <c r="J246" s="55">
        <f t="shared" si="35"/>
        <v>0</v>
      </c>
      <c r="K246" s="55">
        <f t="shared" si="35"/>
        <v>0</v>
      </c>
      <c r="L246" s="55">
        <f t="shared" si="35"/>
        <v>0</v>
      </c>
      <c r="M246" s="55">
        <f t="shared" si="35"/>
        <v>2</v>
      </c>
      <c r="N246" s="54">
        <f>SUM(N229:N245)</f>
        <v>1512</v>
      </c>
    </row>
    <row r="248" spans="1:14" ht="14" thickBot="1">
      <c r="B248" s="43" t="s">
        <v>35</v>
      </c>
      <c r="C248" s="43" t="s">
        <v>36</v>
      </c>
      <c r="D248" s="43" t="s">
        <v>37</v>
      </c>
      <c r="E248" s="43" t="s">
        <v>38</v>
      </c>
      <c r="F248" s="43" t="s">
        <v>39</v>
      </c>
      <c r="G248" s="43" t="s">
        <v>40</v>
      </c>
      <c r="H248" s="43" t="s">
        <v>41</v>
      </c>
      <c r="I248" s="43" t="s">
        <v>42</v>
      </c>
      <c r="J248" s="43" t="s">
        <v>43</v>
      </c>
      <c r="K248" s="43" t="s">
        <v>44</v>
      </c>
      <c r="L248" s="43" t="s">
        <v>45</v>
      </c>
      <c r="M248" s="43" t="s">
        <v>46</v>
      </c>
      <c r="N248" s="43" t="s">
        <v>10</v>
      </c>
    </row>
    <row r="249" spans="1:14" ht="17" thickBot="1">
      <c r="A249" s="31" t="s">
        <v>234</v>
      </c>
      <c r="B249" s="24"/>
      <c r="C249" s="24"/>
      <c r="D249" s="22"/>
      <c r="E249" s="22"/>
      <c r="F249" s="25"/>
      <c r="G249" s="25"/>
      <c r="H249" s="22"/>
      <c r="I249" s="22"/>
      <c r="J249" s="22"/>
      <c r="K249" s="22"/>
      <c r="L249" s="24"/>
      <c r="M249" s="24"/>
      <c r="N249" s="26"/>
    </row>
    <row r="250" spans="1:14" ht="14" thickBot="1">
      <c r="A250" s="38" t="s">
        <v>189</v>
      </c>
      <c r="B250" s="39"/>
      <c r="C250" s="39"/>
      <c r="D250" s="39"/>
      <c r="E250" s="39"/>
      <c r="F250" s="39"/>
      <c r="G250" s="39"/>
      <c r="H250" s="39"/>
      <c r="I250" s="39"/>
      <c r="J250" s="39"/>
      <c r="K250" s="39"/>
      <c r="L250" s="39"/>
      <c r="M250" s="39"/>
      <c r="N250" s="40"/>
    </row>
    <row r="251" spans="1:14">
      <c r="A251" s="32" t="s">
        <v>29</v>
      </c>
      <c r="B251" s="1092">
        <v>7</v>
      </c>
      <c r="C251" s="1092">
        <v>7</v>
      </c>
      <c r="D251" s="1092">
        <v>7</v>
      </c>
      <c r="E251" s="1092">
        <v>5</v>
      </c>
      <c r="F251" s="1092">
        <v>4</v>
      </c>
      <c r="G251" s="1092">
        <v>1</v>
      </c>
      <c r="H251" s="1092">
        <v>3</v>
      </c>
      <c r="I251" s="1092">
        <v>3</v>
      </c>
      <c r="J251" s="1092">
        <v>2</v>
      </c>
      <c r="K251" s="1092">
        <v>13</v>
      </c>
      <c r="L251" s="1092">
        <v>10</v>
      </c>
      <c r="M251" s="1092">
        <v>4</v>
      </c>
      <c r="N251" s="27">
        <f t="shared" ref="N251:N256" si="36">SUM(B251:M251)</f>
        <v>66</v>
      </c>
    </row>
    <row r="252" spans="1:14">
      <c r="A252" s="32" t="s">
        <v>33</v>
      </c>
      <c r="B252" s="1092">
        <v>5</v>
      </c>
      <c r="C252" s="1092">
        <v>3</v>
      </c>
      <c r="D252" s="1092">
        <v>7</v>
      </c>
      <c r="E252" s="1092">
        <v>9</v>
      </c>
      <c r="F252" s="1092">
        <v>2</v>
      </c>
      <c r="G252" s="1092">
        <v>2</v>
      </c>
      <c r="H252" s="1092">
        <v>2</v>
      </c>
      <c r="I252" s="1092">
        <v>3</v>
      </c>
      <c r="J252" s="1092">
        <v>6</v>
      </c>
      <c r="K252" s="1092">
        <v>5</v>
      </c>
      <c r="L252" s="1092">
        <v>5</v>
      </c>
      <c r="M252" s="1092">
        <v>2</v>
      </c>
      <c r="N252" s="27">
        <f t="shared" si="36"/>
        <v>51</v>
      </c>
    </row>
    <row r="253" spans="1:14">
      <c r="A253" s="32" t="s">
        <v>56</v>
      </c>
      <c r="B253" s="1092">
        <v>0</v>
      </c>
      <c r="C253" s="1092">
        <v>0</v>
      </c>
      <c r="D253" s="1092">
        <v>0</v>
      </c>
      <c r="E253" s="1092">
        <v>0</v>
      </c>
      <c r="F253" s="1092">
        <v>0</v>
      </c>
      <c r="G253" s="1092">
        <v>0</v>
      </c>
      <c r="H253" s="1092">
        <v>0</v>
      </c>
      <c r="I253" s="1092">
        <v>0</v>
      </c>
      <c r="J253" s="1092">
        <v>15</v>
      </c>
      <c r="K253" s="1092">
        <v>0</v>
      </c>
      <c r="L253" s="1092">
        <v>0</v>
      </c>
      <c r="M253" s="1092">
        <v>0</v>
      </c>
      <c r="N253" s="27">
        <f t="shared" si="36"/>
        <v>15</v>
      </c>
    </row>
    <row r="254" spans="1:14">
      <c r="A254" s="78" t="s">
        <v>30</v>
      </c>
      <c r="B254" s="1092">
        <v>0</v>
      </c>
      <c r="C254" s="1092">
        <v>1</v>
      </c>
      <c r="D254" s="1092">
        <v>0</v>
      </c>
      <c r="E254" s="1092">
        <v>0</v>
      </c>
      <c r="F254" s="1092">
        <v>0</v>
      </c>
      <c r="G254" s="1092">
        <v>0</v>
      </c>
      <c r="H254" s="1092">
        <v>0</v>
      </c>
      <c r="I254" s="1092">
        <v>0</v>
      </c>
      <c r="J254" s="1092">
        <v>1</v>
      </c>
      <c r="K254" s="1092">
        <v>1</v>
      </c>
      <c r="L254" s="1092">
        <v>0</v>
      </c>
      <c r="M254" s="1092">
        <v>0</v>
      </c>
      <c r="N254" s="27">
        <f t="shared" si="36"/>
        <v>3</v>
      </c>
    </row>
    <row r="255" spans="1:14">
      <c r="A255" s="76" t="s">
        <v>213</v>
      </c>
      <c r="B255" s="1092">
        <v>0</v>
      </c>
      <c r="C255" s="1092">
        <v>0</v>
      </c>
      <c r="D255" s="1092">
        <v>0</v>
      </c>
      <c r="E255" s="1092">
        <v>0</v>
      </c>
      <c r="F255" s="1092">
        <v>0</v>
      </c>
      <c r="G255" s="1092">
        <v>0</v>
      </c>
      <c r="H255" s="1092">
        <v>0</v>
      </c>
      <c r="I255" s="1092">
        <v>0</v>
      </c>
      <c r="J255" s="1092">
        <v>0</v>
      </c>
      <c r="K255" s="1092">
        <v>0</v>
      </c>
      <c r="L255" s="1092">
        <v>0</v>
      </c>
      <c r="M255" s="1092">
        <v>0</v>
      </c>
      <c r="N255" s="27">
        <f t="shared" si="36"/>
        <v>0</v>
      </c>
    </row>
    <row r="256" spans="1:14" ht="14" thickBot="1">
      <c r="A256" s="76" t="s">
        <v>212</v>
      </c>
      <c r="B256" s="1092">
        <v>4</v>
      </c>
      <c r="C256" s="1092">
        <v>0</v>
      </c>
      <c r="D256" s="1092">
        <v>0</v>
      </c>
      <c r="E256" s="1092">
        <v>0</v>
      </c>
      <c r="F256" s="1092">
        <v>0</v>
      </c>
      <c r="G256" s="1092">
        <v>0</v>
      </c>
      <c r="H256" s="1092">
        <v>0</v>
      </c>
      <c r="I256" s="1092">
        <v>0</v>
      </c>
      <c r="J256" s="1092">
        <v>0</v>
      </c>
      <c r="K256" s="1092">
        <v>0</v>
      </c>
      <c r="L256" s="1092">
        <v>0</v>
      </c>
      <c r="M256" s="1092">
        <v>1</v>
      </c>
      <c r="N256" s="27">
        <f t="shared" si="36"/>
        <v>5</v>
      </c>
    </row>
    <row r="257" spans="1:14" ht="14" thickBot="1">
      <c r="A257" s="38" t="s">
        <v>190</v>
      </c>
      <c r="B257" s="39"/>
      <c r="C257" s="39"/>
      <c r="D257" s="39"/>
      <c r="E257" s="39"/>
      <c r="F257" s="39"/>
      <c r="G257" s="39"/>
      <c r="H257" s="39"/>
      <c r="I257" s="39"/>
      <c r="J257" s="39"/>
      <c r="K257" s="39"/>
      <c r="L257" s="39"/>
      <c r="M257" s="39"/>
      <c r="N257" s="40"/>
    </row>
    <row r="258" spans="1:14">
      <c r="A258" s="76" t="s">
        <v>165</v>
      </c>
      <c r="B258" s="1092">
        <v>2426</v>
      </c>
      <c r="C258" s="1092">
        <v>0</v>
      </c>
      <c r="D258" s="1092">
        <v>0</v>
      </c>
      <c r="E258" s="1092">
        <v>0</v>
      </c>
      <c r="F258" s="1092">
        <v>0</v>
      </c>
      <c r="G258" s="1092">
        <v>0</v>
      </c>
      <c r="H258" s="1092">
        <v>0</v>
      </c>
      <c r="I258" s="1092">
        <v>0</v>
      </c>
      <c r="J258" s="1092">
        <v>0</v>
      </c>
      <c r="K258" s="1092">
        <v>0</v>
      </c>
      <c r="L258" s="1092">
        <v>0</v>
      </c>
      <c r="M258" s="1092">
        <v>0</v>
      </c>
      <c r="N258" s="27">
        <f>SUM(B258:M258)</f>
        <v>2426</v>
      </c>
    </row>
    <row r="259" spans="1:14">
      <c r="A259" s="76" t="s">
        <v>166</v>
      </c>
      <c r="B259" s="1092">
        <v>5</v>
      </c>
      <c r="C259" s="1092">
        <v>1</v>
      </c>
      <c r="D259" s="1092">
        <v>1</v>
      </c>
      <c r="E259" s="1092">
        <v>8</v>
      </c>
      <c r="F259" s="1092">
        <v>11</v>
      </c>
      <c r="G259" s="1092">
        <v>5</v>
      </c>
      <c r="H259" s="1092">
        <v>20</v>
      </c>
      <c r="I259" s="1092">
        <v>8</v>
      </c>
      <c r="J259" s="1092">
        <v>6</v>
      </c>
      <c r="K259" s="1092">
        <v>2</v>
      </c>
      <c r="L259" s="1092">
        <v>1</v>
      </c>
      <c r="M259" s="1092">
        <v>4</v>
      </c>
      <c r="N259" s="27">
        <f>SUM(B259:M259)</f>
        <v>72</v>
      </c>
    </row>
    <row r="260" spans="1:14">
      <c r="A260" s="76" t="s">
        <v>193</v>
      </c>
      <c r="B260" s="1092">
        <v>2</v>
      </c>
      <c r="C260" s="1092">
        <v>0</v>
      </c>
      <c r="D260" s="1092">
        <v>3</v>
      </c>
      <c r="E260" s="1092">
        <v>1</v>
      </c>
      <c r="F260" s="1092">
        <v>5</v>
      </c>
      <c r="G260" s="1092">
        <v>2</v>
      </c>
      <c r="H260" s="1092">
        <v>0</v>
      </c>
      <c r="I260" s="1092">
        <v>2</v>
      </c>
      <c r="J260" s="1092">
        <v>3</v>
      </c>
      <c r="K260" s="1092">
        <v>1</v>
      </c>
      <c r="L260" s="1092">
        <v>1</v>
      </c>
      <c r="M260" s="1092">
        <v>1</v>
      </c>
      <c r="N260" s="27">
        <f>SUM(B260:M260)</f>
        <v>21</v>
      </c>
    </row>
    <row r="261" spans="1:14" ht="14" thickBot="1">
      <c r="A261" s="76" t="s">
        <v>266</v>
      </c>
      <c r="B261" s="1092">
        <v>0</v>
      </c>
      <c r="C261" s="1092">
        <v>0</v>
      </c>
      <c r="D261" s="1092">
        <v>0</v>
      </c>
      <c r="E261" s="1092">
        <v>0</v>
      </c>
      <c r="F261" s="1092">
        <v>0</v>
      </c>
      <c r="G261" s="1092">
        <v>0</v>
      </c>
      <c r="H261" s="1092">
        <v>0</v>
      </c>
      <c r="I261" s="1092">
        <v>0</v>
      </c>
      <c r="J261" s="1092">
        <v>0</v>
      </c>
      <c r="K261" s="1092">
        <v>0</v>
      </c>
      <c r="L261" s="1092">
        <v>0</v>
      </c>
      <c r="M261" s="1092">
        <v>0</v>
      </c>
      <c r="N261" s="27">
        <f>SUM(B261:M261)</f>
        <v>0</v>
      </c>
    </row>
    <row r="262" spans="1:14" ht="14" thickBot="1">
      <c r="A262" s="53" t="s">
        <v>60</v>
      </c>
      <c r="B262" s="55">
        <f>SUM(B251:B261)</f>
        <v>2449</v>
      </c>
      <c r="C262" s="55">
        <f t="shared" ref="C262:M262" si="37">SUM(C251:C261)</f>
        <v>12</v>
      </c>
      <c r="D262" s="55">
        <f t="shared" si="37"/>
        <v>18</v>
      </c>
      <c r="E262" s="55">
        <f t="shared" si="37"/>
        <v>23</v>
      </c>
      <c r="F262" s="55">
        <f t="shared" si="37"/>
        <v>22</v>
      </c>
      <c r="G262" s="55">
        <f t="shared" si="37"/>
        <v>10</v>
      </c>
      <c r="H262" s="55">
        <f t="shared" si="37"/>
        <v>25</v>
      </c>
      <c r="I262" s="55">
        <f t="shared" si="37"/>
        <v>16</v>
      </c>
      <c r="J262" s="55">
        <f t="shared" si="37"/>
        <v>33</v>
      </c>
      <c r="K262" s="55">
        <f t="shared" si="37"/>
        <v>22</v>
      </c>
      <c r="L262" s="55">
        <f t="shared" si="37"/>
        <v>17</v>
      </c>
      <c r="M262" s="55">
        <f t="shared" si="37"/>
        <v>12</v>
      </c>
      <c r="N262" s="54">
        <f>SUM(N251:N261)</f>
        <v>2659</v>
      </c>
    </row>
    <row r="263" spans="1:14" ht="14" hidden="1" thickBot="1">
      <c r="A263" s="38" t="s">
        <v>191</v>
      </c>
      <c r="B263" s="39"/>
      <c r="C263" s="39"/>
      <c r="D263" s="39"/>
      <c r="E263" s="39"/>
      <c r="F263" s="39"/>
      <c r="G263" s="39"/>
      <c r="H263" s="39"/>
      <c r="I263" s="39"/>
      <c r="J263" s="39"/>
      <c r="K263" s="39"/>
      <c r="L263" s="39"/>
      <c r="M263" s="39"/>
      <c r="N263" s="40"/>
    </row>
    <row r="264" spans="1:14" ht="14" hidden="1" thickBot="1">
      <c r="A264" s="76" t="s">
        <v>147</v>
      </c>
      <c r="B264" s="168"/>
      <c r="C264" s="168"/>
      <c r="D264" s="168"/>
      <c r="E264" s="168"/>
      <c r="F264" s="168"/>
      <c r="G264" s="168"/>
      <c r="H264" s="168"/>
      <c r="I264" s="168"/>
      <c r="J264" s="168"/>
      <c r="K264" s="168"/>
      <c r="L264" s="168"/>
      <c r="M264" s="168"/>
      <c r="N264" s="27"/>
    </row>
    <row r="265" spans="1:14" ht="14" hidden="1" thickBot="1">
      <c r="A265" s="76" t="s">
        <v>179</v>
      </c>
      <c r="B265" s="168"/>
      <c r="C265" s="168"/>
      <c r="D265" s="168"/>
      <c r="E265" s="168"/>
      <c r="F265" s="168"/>
      <c r="G265" s="168"/>
      <c r="H265" s="168"/>
      <c r="I265" s="168"/>
      <c r="J265" s="168"/>
      <c r="K265" s="168"/>
      <c r="L265" s="168"/>
      <c r="M265" s="168"/>
      <c r="N265" s="27"/>
    </row>
    <row r="266" spans="1:14" ht="14" hidden="1" thickBot="1">
      <c r="A266" s="53" t="s">
        <v>60</v>
      </c>
      <c r="B266" s="55"/>
      <c r="C266" s="55"/>
      <c r="D266" s="55"/>
      <c r="E266" s="55"/>
      <c r="F266" s="55"/>
      <c r="G266" s="55"/>
      <c r="H266" s="55"/>
      <c r="I266" s="55"/>
      <c r="J266" s="55"/>
      <c r="K266" s="55"/>
      <c r="L266" s="55"/>
      <c r="M266" s="55"/>
      <c r="N266" s="54"/>
    </row>
    <row r="267" spans="1:14" ht="14" thickBot="1">
      <c r="A267" s="38" t="s">
        <v>194</v>
      </c>
      <c r="B267" s="276"/>
      <c r="C267" s="276"/>
      <c r="D267" s="276"/>
      <c r="E267" s="276"/>
      <c r="F267" s="276"/>
      <c r="G267" s="276"/>
      <c r="H267" s="276"/>
      <c r="I267" s="276"/>
      <c r="J267" s="276"/>
      <c r="K267" s="276"/>
      <c r="L267" s="276"/>
      <c r="M267" s="276"/>
      <c r="N267" s="40"/>
    </row>
    <row r="268" spans="1:14">
      <c r="A268" s="32" t="s">
        <v>29</v>
      </c>
      <c r="B268" s="1092">
        <v>0</v>
      </c>
      <c r="C268" s="1092">
        <v>0</v>
      </c>
      <c r="D268" s="1092">
        <v>0</v>
      </c>
      <c r="E268" s="1092">
        <v>0</v>
      </c>
      <c r="F268" s="1092">
        <v>0</v>
      </c>
      <c r="G268" s="1092">
        <v>0</v>
      </c>
      <c r="H268" s="1092">
        <v>0</v>
      </c>
      <c r="I268" s="1092">
        <v>0</v>
      </c>
      <c r="J268" s="1092">
        <v>0</v>
      </c>
      <c r="K268" s="1092">
        <v>0</v>
      </c>
      <c r="L268" s="1092">
        <v>0</v>
      </c>
      <c r="M268" s="1092">
        <v>0</v>
      </c>
      <c r="N268" s="27">
        <f t="shared" ref="N268:N279" si="38">SUM(B268:M268)</f>
        <v>0</v>
      </c>
    </row>
    <row r="269" spans="1:14">
      <c r="A269" s="32" t="s">
        <v>51</v>
      </c>
      <c r="B269" s="1092">
        <v>0</v>
      </c>
      <c r="C269" s="1092">
        <v>0</v>
      </c>
      <c r="D269" s="1092">
        <v>0</v>
      </c>
      <c r="E269" s="1092">
        <v>0</v>
      </c>
      <c r="F269" s="1092">
        <v>0</v>
      </c>
      <c r="G269" s="1092">
        <v>0</v>
      </c>
      <c r="H269" s="1092">
        <v>0</v>
      </c>
      <c r="I269" s="1092">
        <v>0</v>
      </c>
      <c r="J269" s="1092">
        <v>0</v>
      </c>
      <c r="K269" s="1092">
        <v>0</v>
      </c>
      <c r="L269" s="1092">
        <v>0</v>
      </c>
      <c r="M269" s="1092">
        <v>0</v>
      </c>
      <c r="N269" s="27">
        <f t="shared" si="38"/>
        <v>0</v>
      </c>
    </row>
    <row r="270" spans="1:14">
      <c r="A270" s="34" t="s">
        <v>204</v>
      </c>
      <c r="B270" s="1092">
        <v>0</v>
      </c>
      <c r="C270" s="1092">
        <v>0</v>
      </c>
      <c r="D270" s="1092">
        <v>0</v>
      </c>
      <c r="E270" s="1092">
        <v>0</v>
      </c>
      <c r="F270" s="1092">
        <v>0</v>
      </c>
      <c r="G270" s="1092">
        <v>0</v>
      </c>
      <c r="H270" s="1092">
        <v>0</v>
      </c>
      <c r="I270" s="1092">
        <v>0</v>
      </c>
      <c r="J270" s="1092">
        <v>0</v>
      </c>
      <c r="K270" s="1092">
        <v>0</v>
      </c>
      <c r="L270" s="1092">
        <v>0</v>
      </c>
      <c r="M270" s="1092">
        <v>0</v>
      </c>
      <c r="N270" s="27">
        <f t="shared" si="38"/>
        <v>0</v>
      </c>
    </row>
    <row r="271" spans="1:14" hidden="1">
      <c r="A271" s="34" t="s">
        <v>13</v>
      </c>
      <c r="B271" s="1092"/>
      <c r="C271" s="1092"/>
      <c r="D271" s="1092"/>
      <c r="E271" s="1092"/>
      <c r="F271" s="1092"/>
      <c r="G271" s="1092"/>
      <c r="H271" s="1092"/>
      <c r="I271" s="1092"/>
      <c r="J271" s="1092"/>
      <c r="K271" s="1092"/>
      <c r="L271" s="1092"/>
      <c r="M271" s="1092"/>
      <c r="N271" s="27">
        <f t="shared" si="38"/>
        <v>0</v>
      </c>
    </row>
    <row r="272" spans="1:14" hidden="1">
      <c r="A272" s="35" t="s">
        <v>47</v>
      </c>
      <c r="B272" s="1092"/>
      <c r="C272" s="1092"/>
      <c r="D272" s="1092"/>
      <c r="E272" s="1092"/>
      <c r="F272" s="1092"/>
      <c r="G272" s="1092"/>
      <c r="H272" s="1092"/>
      <c r="I272" s="1092"/>
      <c r="J272" s="1092"/>
      <c r="K272" s="1092"/>
      <c r="L272" s="1092"/>
      <c r="M272" s="1092"/>
      <c r="N272" s="27">
        <f t="shared" si="38"/>
        <v>0</v>
      </c>
    </row>
    <row r="273" spans="1:14">
      <c r="A273" s="76" t="s">
        <v>30</v>
      </c>
      <c r="B273" s="1092">
        <v>0</v>
      </c>
      <c r="C273" s="1092">
        <v>0</v>
      </c>
      <c r="D273" s="1092">
        <v>0</v>
      </c>
      <c r="E273" s="1092">
        <v>0</v>
      </c>
      <c r="F273" s="1092">
        <v>0</v>
      </c>
      <c r="G273" s="1092">
        <v>0</v>
      </c>
      <c r="H273" s="1092">
        <v>0</v>
      </c>
      <c r="I273" s="1092">
        <v>0</v>
      </c>
      <c r="J273" s="1092">
        <v>0</v>
      </c>
      <c r="K273" s="1092">
        <v>0</v>
      </c>
      <c r="L273" s="1092">
        <v>0</v>
      </c>
      <c r="M273" s="1092">
        <v>0</v>
      </c>
      <c r="N273" s="27">
        <f t="shared" si="38"/>
        <v>0</v>
      </c>
    </row>
    <row r="274" spans="1:14" hidden="1">
      <c r="A274" s="76" t="s">
        <v>150</v>
      </c>
      <c r="B274" s="1092"/>
      <c r="C274" s="1092"/>
      <c r="D274" s="1092"/>
      <c r="E274" s="1092"/>
      <c r="F274" s="1092"/>
      <c r="G274" s="1092"/>
      <c r="H274" s="1092"/>
      <c r="I274" s="1092"/>
      <c r="J274" s="1092"/>
      <c r="K274" s="1092"/>
      <c r="L274" s="1092"/>
      <c r="M274" s="1092"/>
      <c r="N274" s="27">
        <f t="shared" si="38"/>
        <v>0</v>
      </c>
    </row>
    <row r="275" spans="1:14">
      <c r="A275" s="32" t="s">
        <v>56</v>
      </c>
      <c r="B275" s="1092">
        <v>0</v>
      </c>
      <c r="C275" s="1092">
        <v>0</v>
      </c>
      <c r="D275" s="1092">
        <v>0</v>
      </c>
      <c r="E275" s="1092">
        <v>0</v>
      </c>
      <c r="F275" s="1092">
        <v>0</v>
      </c>
      <c r="G275" s="1092">
        <v>0</v>
      </c>
      <c r="H275" s="1092">
        <v>0</v>
      </c>
      <c r="I275" s="1092">
        <v>0</v>
      </c>
      <c r="J275" s="1092">
        <v>0</v>
      </c>
      <c r="K275" s="1092">
        <v>0</v>
      </c>
      <c r="L275" s="1092">
        <v>0</v>
      </c>
      <c r="M275" s="1092">
        <v>0</v>
      </c>
      <c r="N275" s="27">
        <f t="shared" si="38"/>
        <v>0</v>
      </c>
    </row>
    <row r="276" spans="1:14">
      <c r="A276" s="78" t="s">
        <v>122</v>
      </c>
      <c r="B276" s="1092">
        <v>0</v>
      </c>
      <c r="C276" s="1092">
        <v>0</v>
      </c>
      <c r="D276" s="1092">
        <v>0</v>
      </c>
      <c r="E276" s="1092">
        <v>0</v>
      </c>
      <c r="F276" s="1092">
        <v>0</v>
      </c>
      <c r="G276" s="1092">
        <v>0</v>
      </c>
      <c r="H276" s="1092">
        <v>0</v>
      </c>
      <c r="I276" s="1092">
        <v>0</v>
      </c>
      <c r="J276" s="1092">
        <v>0</v>
      </c>
      <c r="K276" s="1092">
        <v>0</v>
      </c>
      <c r="L276" s="1092">
        <v>0</v>
      </c>
      <c r="M276" s="1092">
        <v>0</v>
      </c>
      <c r="N276" s="27">
        <f t="shared" si="38"/>
        <v>0</v>
      </c>
    </row>
    <row r="277" spans="1:14" hidden="1">
      <c r="A277" s="32" t="s">
        <v>102</v>
      </c>
      <c r="B277" s="1092"/>
      <c r="C277" s="1092"/>
      <c r="D277" s="1092"/>
      <c r="E277" s="1092"/>
      <c r="F277" s="1092"/>
      <c r="G277" s="1092"/>
      <c r="H277" s="1092"/>
      <c r="I277" s="1092"/>
      <c r="J277" s="1092"/>
      <c r="K277" s="1092"/>
      <c r="L277" s="1092"/>
      <c r="M277" s="1092"/>
      <c r="N277" s="27">
        <f t="shared" si="38"/>
        <v>0</v>
      </c>
    </row>
    <row r="278" spans="1:14">
      <c r="A278" s="78" t="s">
        <v>184</v>
      </c>
      <c r="B278" s="1092">
        <v>0</v>
      </c>
      <c r="C278" s="1092">
        <v>0</v>
      </c>
      <c r="D278" s="1092">
        <v>0</v>
      </c>
      <c r="E278" s="1092">
        <v>0</v>
      </c>
      <c r="F278" s="1092">
        <v>0</v>
      </c>
      <c r="G278" s="1092">
        <v>0</v>
      </c>
      <c r="H278" s="1092">
        <v>0</v>
      </c>
      <c r="I278" s="1092">
        <v>0</v>
      </c>
      <c r="J278" s="1092">
        <v>0</v>
      </c>
      <c r="K278" s="1092">
        <v>0</v>
      </c>
      <c r="L278" s="1092">
        <v>0</v>
      </c>
      <c r="M278" s="1092">
        <v>0</v>
      </c>
      <c r="N278" s="27">
        <f t="shared" si="38"/>
        <v>0</v>
      </c>
    </row>
    <row r="279" spans="1:14">
      <c r="A279" s="78" t="s">
        <v>187</v>
      </c>
      <c r="B279" s="1092">
        <v>0</v>
      </c>
      <c r="C279" s="1092">
        <v>0</v>
      </c>
      <c r="D279" s="1092">
        <v>0</v>
      </c>
      <c r="E279" s="1092">
        <v>0</v>
      </c>
      <c r="F279" s="1092">
        <v>0</v>
      </c>
      <c r="G279" s="1092">
        <v>0</v>
      </c>
      <c r="H279" s="1092">
        <v>0</v>
      </c>
      <c r="I279" s="1092">
        <v>0</v>
      </c>
      <c r="J279" s="1092">
        <v>0</v>
      </c>
      <c r="K279" s="1092">
        <v>0</v>
      </c>
      <c r="L279" s="1092">
        <v>0</v>
      </c>
      <c r="M279" s="1092">
        <v>0</v>
      </c>
      <c r="N279" s="27">
        <f t="shared" si="38"/>
        <v>0</v>
      </c>
    </row>
    <row r="280" spans="1:14">
      <c r="A280" s="78" t="s">
        <v>188</v>
      </c>
      <c r="B280" s="1092">
        <v>0</v>
      </c>
      <c r="C280" s="1092">
        <v>0</v>
      </c>
      <c r="D280" s="1092">
        <v>0</v>
      </c>
      <c r="E280" s="1092">
        <v>0</v>
      </c>
      <c r="F280" s="1092">
        <v>0</v>
      </c>
      <c r="G280" s="1092">
        <v>1</v>
      </c>
      <c r="H280" s="1092">
        <v>0</v>
      </c>
      <c r="I280" s="1092">
        <v>0</v>
      </c>
      <c r="J280" s="1092">
        <v>0</v>
      </c>
      <c r="K280" s="1092">
        <v>0</v>
      </c>
      <c r="L280" s="1092">
        <v>0</v>
      </c>
      <c r="M280" s="1092">
        <v>0</v>
      </c>
      <c r="N280" s="27">
        <f>SUM(B280:M280)</f>
        <v>1</v>
      </c>
    </row>
    <row r="281" spans="1:14" ht="14" thickBot="1">
      <c r="A281" s="78" t="s">
        <v>213</v>
      </c>
      <c r="B281" s="1092">
        <v>5</v>
      </c>
      <c r="C281" s="1092">
        <v>0</v>
      </c>
      <c r="D281" s="1092">
        <v>0</v>
      </c>
      <c r="E281" s="1092">
        <v>0</v>
      </c>
      <c r="F281" s="1092">
        <v>0</v>
      </c>
      <c r="G281" s="1092">
        <v>0</v>
      </c>
      <c r="H281" s="1092">
        <v>0</v>
      </c>
      <c r="I281" s="1092">
        <v>0</v>
      </c>
      <c r="J281" s="1092">
        <v>0</v>
      </c>
      <c r="K281" s="1092">
        <v>0</v>
      </c>
      <c r="L281" s="1092">
        <v>0</v>
      </c>
      <c r="M281" s="1092">
        <v>0</v>
      </c>
      <c r="N281" s="27">
        <f>SUM(B281:M281)</f>
        <v>5</v>
      </c>
    </row>
    <row r="282" spans="1:14" ht="14" thickBot="1">
      <c r="A282" s="38" t="s">
        <v>192</v>
      </c>
      <c r="B282" s="39"/>
      <c r="C282" s="39"/>
      <c r="D282" s="39"/>
      <c r="E282" s="39"/>
      <c r="F282" s="39"/>
      <c r="G282" s="39"/>
      <c r="H282" s="39"/>
      <c r="I282" s="39"/>
      <c r="J282" s="39"/>
      <c r="K282" s="39"/>
      <c r="L282" s="39"/>
      <c r="M282" s="39"/>
      <c r="N282" s="40"/>
    </row>
    <row r="283" spans="1:14" hidden="1">
      <c r="A283" s="78" t="s">
        <v>167</v>
      </c>
      <c r="B283" s="168"/>
      <c r="C283" s="168"/>
      <c r="D283" s="168"/>
      <c r="E283" s="168"/>
      <c r="F283" s="168"/>
      <c r="G283" s="168"/>
      <c r="H283" s="168"/>
      <c r="I283" s="168"/>
      <c r="J283" s="168"/>
      <c r="K283" s="168"/>
      <c r="L283" s="168"/>
      <c r="M283" s="168"/>
      <c r="N283" s="27"/>
    </row>
    <row r="284" spans="1:14" ht="14" thickBot="1">
      <c r="A284" s="32" t="s">
        <v>165</v>
      </c>
      <c r="B284" s="1092">
        <v>200</v>
      </c>
      <c r="C284" s="1092">
        <v>0</v>
      </c>
      <c r="D284" s="1092">
        <v>0</v>
      </c>
      <c r="E284" s="1092">
        <v>0</v>
      </c>
      <c r="F284" s="1092">
        <v>0</v>
      </c>
      <c r="G284" s="1092">
        <v>0</v>
      </c>
      <c r="H284" s="1092">
        <v>0</v>
      </c>
      <c r="I284" s="1092">
        <v>0</v>
      </c>
      <c r="J284" s="1092">
        <v>0</v>
      </c>
      <c r="K284" s="1092">
        <v>0</v>
      </c>
      <c r="L284" s="1092">
        <v>0</v>
      </c>
      <c r="M284" s="1092">
        <v>0</v>
      </c>
      <c r="N284" s="27">
        <f>SUM(B284:M284)</f>
        <v>200</v>
      </c>
    </row>
    <row r="285" spans="1:14" ht="14" thickBot="1">
      <c r="A285" s="53" t="s">
        <v>60</v>
      </c>
      <c r="B285" s="55">
        <f t="shared" ref="B285:J285" si="39">SUM(B268:B284)</f>
        <v>205</v>
      </c>
      <c r="C285" s="55">
        <f t="shared" si="39"/>
        <v>0</v>
      </c>
      <c r="D285" s="55">
        <f t="shared" si="39"/>
        <v>0</v>
      </c>
      <c r="E285" s="55">
        <f t="shared" si="39"/>
        <v>0</v>
      </c>
      <c r="F285" s="55">
        <f t="shared" si="39"/>
        <v>0</v>
      </c>
      <c r="G285" s="55">
        <f t="shared" si="39"/>
        <v>1</v>
      </c>
      <c r="H285" s="55">
        <f t="shared" si="39"/>
        <v>0</v>
      </c>
      <c r="I285" s="55">
        <f t="shared" si="39"/>
        <v>0</v>
      </c>
      <c r="J285" s="55">
        <f t="shared" si="39"/>
        <v>0</v>
      </c>
      <c r="K285" s="55">
        <f>SUM(K268:K284)</f>
        <v>0</v>
      </c>
      <c r="L285" s="55">
        <f>SUM(L268:L284)</f>
        <v>0</v>
      </c>
      <c r="M285" s="55">
        <f>SUM(M268:M284)</f>
        <v>0</v>
      </c>
      <c r="N285" s="54">
        <f>SUM(N268:N284)</f>
        <v>206</v>
      </c>
    </row>
    <row r="287" spans="1:14" ht="14" thickBot="1">
      <c r="B287" s="43" t="s">
        <v>35</v>
      </c>
      <c r="C287" s="43" t="s">
        <v>36</v>
      </c>
      <c r="D287" s="43" t="s">
        <v>37</v>
      </c>
      <c r="E287" s="43" t="s">
        <v>38</v>
      </c>
      <c r="F287" s="43" t="s">
        <v>39</v>
      </c>
      <c r="G287" s="43" t="s">
        <v>40</v>
      </c>
      <c r="H287" s="43" t="s">
        <v>41</v>
      </c>
      <c r="I287" s="43" t="s">
        <v>42</v>
      </c>
      <c r="J287" s="43" t="s">
        <v>43</v>
      </c>
      <c r="K287" s="43" t="s">
        <v>44</v>
      </c>
      <c r="L287" s="43" t="s">
        <v>45</v>
      </c>
      <c r="M287" s="43" t="s">
        <v>46</v>
      </c>
      <c r="N287" s="43" t="s">
        <v>10</v>
      </c>
    </row>
    <row r="288" spans="1:14" ht="17" thickBot="1">
      <c r="A288" s="31" t="s">
        <v>263</v>
      </c>
      <c r="B288" s="24"/>
      <c r="C288" s="24"/>
      <c r="D288" s="22"/>
      <c r="E288" s="22"/>
      <c r="F288" s="25"/>
      <c r="G288" s="25"/>
      <c r="H288" s="22"/>
      <c r="I288" s="22"/>
      <c r="J288" s="22"/>
      <c r="K288" s="22"/>
      <c r="L288" s="24"/>
      <c r="M288" s="24"/>
      <c r="N288" s="26"/>
    </row>
    <row r="289" spans="1:14" ht="14" thickBot="1">
      <c r="A289" s="38" t="s">
        <v>189</v>
      </c>
      <c r="B289" s="39"/>
      <c r="C289" s="39"/>
      <c r="D289" s="39"/>
      <c r="E289" s="39"/>
      <c r="F289" s="39"/>
      <c r="G289" s="39"/>
      <c r="H289" s="39"/>
      <c r="I289" s="39"/>
      <c r="J289" s="39"/>
      <c r="K289" s="39"/>
      <c r="L289" s="39"/>
      <c r="M289" s="39"/>
      <c r="N289" s="40"/>
    </row>
    <row r="290" spans="1:14">
      <c r="A290" s="32" t="s">
        <v>29</v>
      </c>
      <c r="B290" s="1092">
        <v>15</v>
      </c>
      <c r="C290" s="1092">
        <v>17</v>
      </c>
      <c r="D290" s="1092">
        <v>46</v>
      </c>
      <c r="E290" s="1092">
        <v>285</v>
      </c>
      <c r="F290" s="1092">
        <v>353</v>
      </c>
      <c r="G290" s="1092">
        <v>56</v>
      </c>
      <c r="H290" s="1092">
        <v>38</v>
      </c>
      <c r="I290" s="1092">
        <v>2</v>
      </c>
      <c r="J290" s="1092">
        <v>11</v>
      </c>
      <c r="K290" s="1092">
        <v>0</v>
      </c>
      <c r="L290" s="1092">
        <v>10</v>
      </c>
      <c r="M290" s="1092">
        <v>6</v>
      </c>
      <c r="N290" s="27">
        <f>SUM(B290:M290)</f>
        <v>839</v>
      </c>
    </row>
    <row r="291" spans="1:14">
      <c r="A291" s="32" t="s">
        <v>33</v>
      </c>
      <c r="B291" s="1092">
        <v>4</v>
      </c>
      <c r="C291" s="1092">
        <v>3</v>
      </c>
      <c r="D291" s="1092">
        <v>2</v>
      </c>
      <c r="E291" s="1092">
        <v>5</v>
      </c>
      <c r="F291" s="1092">
        <v>1</v>
      </c>
      <c r="G291" s="1092">
        <v>1</v>
      </c>
      <c r="H291" s="1092">
        <v>0</v>
      </c>
      <c r="I291" s="1092">
        <v>30</v>
      </c>
      <c r="J291" s="1092">
        <v>4</v>
      </c>
      <c r="K291" s="1092">
        <v>1</v>
      </c>
      <c r="L291" s="1092">
        <v>1</v>
      </c>
      <c r="M291" s="1092">
        <v>16</v>
      </c>
      <c r="N291" s="27">
        <f t="shared" ref="N291:N300" si="40">SUM(B291:M291)</f>
        <v>68</v>
      </c>
    </row>
    <row r="292" spans="1:14">
      <c r="A292" s="32" t="s">
        <v>56</v>
      </c>
      <c r="B292" s="1092">
        <v>0</v>
      </c>
      <c r="C292" s="1092">
        <v>0</v>
      </c>
      <c r="D292" s="1092">
        <v>0</v>
      </c>
      <c r="E292" s="1092">
        <v>0</v>
      </c>
      <c r="F292" s="1092">
        <v>0</v>
      </c>
      <c r="G292" s="1092">
        <v>0</v>
      </c>
      <c r="H292" s="1092">
        <v>0</v>
      </c>
      <c r="I292" s="1092">
        <v>0</v>
      </c>
      <c r="J292" s="1092">
        <v>0</v>
      </c>
      <c r="K292" s="1092">
        <v>0</v>
      </c>
      <c r="L292" s="1092">
        <v>0</v>
      </c>
      <c r="M292" s="1092">
        <v>0</v>
      </c>
      <c r="N292" s="27">
        <f t="shared" si="40"/>
        <v>0</v>
      </c>
    </row>
    <row r="293" spans="1:14">
      <c r="A293" s="78" t="s">
        <v>30</v>
      </c>
      <c r="B293" s="1092">
        <v>0</v>
      </c>
      <c r="C293" s="1092">
        <v>0</v>
      </c>
      <c r="D293" s="1092">
        <v>1</v>
      </c>
      <c r="E293" s="1092">
        <v>2</v>
      </c>
      <c r="F293" s="1092">
        <v>0</v>
      </c>
      <c r="G293" s="1092">
        <v>0</v>
      </c>
      <c r="H293" s="1092">
        <v>1</v>
      </c>
      <c r="I293" s="1092">
        <v>0</v>
      </c>
      <c r="J293" s="1092">
        <v>1</v>
      </c>
      <c r="K293" s="1092">
        <v>0</v>
      </c>
      <c r="L293" s="1092">
        <v>1</v>
      </c>
      <c r="M293" s="1092">
        <v>1</v>
      </c>
      <c r="N293" s="27">
        <f t="shared" si="40"/>
        <v>7</v>
      </c>
    </row>
    <row r="294" spans="1:14">
      <c r="A294" s="76" t="s">
        <v>213</v>
      </c>
      <c r="B294" s="1092">
        <v>0</v>
      </c>
      <c r="C294" s="1092">
        <v>0</v>
      </c>
      <c r="D294" s="1092">
        <v>2</v>
      </c>
      <c r="E294" s="1092">
        <v>1</v>
      </c>
      <c r="F294" s="1092">
        <v>0</v>
      </c>
      <c r="G294" s="1092">
        <v>5</v>
      </c>
      <c r="H294" s="1092">
        <v>13</v>
      </c>
      <c r="I294" s="1092">
        <v>12</v>
      </c>
      <c r="J294" s="1092">
        <v>9</v>
      </c>
      <c r="K294" s="1092">
        <v>0</v>
      </c>
      <c r="L294" s="1092">
        <v>0</v>
      </c>
      <c r="M294" s="1092">
        <v>1</v>
      </c>
      <c r="N294" s="27">
        <f t="shared" si="40"/>
        <v>43</v>
      </c>
    </row>
    <row r="295" spans="1:14">
      <c r="A295" s="76" t="s">
        <v>212</v>
      </c>
      <c r="B295" s="1092">
        <v>0</v>
      </c>
      <c r="C295" s="1092">
        <v>0</v>
      </c>
      <c r="D295" s="1092">
        <v>4</v>
      </c>
      <c r="E295" s="1092">
        <v>6</v>
      </c>
      <c r="F295" s="1092">
        <v>2</v>
      </c>
      <c r="G295" s="1092">
        <v>0</v>
      </c>
      <c r="H295" s="1092">
        <v>3</v>
      </c>
      <c r="I295" s="1092">
        <v>0</v>
      </c>
      <c r="J295" s="1092">
        <v>6</v>
      </c>
      <c r="K295" s="1092">
        <v>0</v>
      </c>
      <c r="L295" s="1092">
        <v>0</v>
      </c>
      <c r="M295" s="1092">
        <v>0</v>
      </c>
      <c r="N295" s="27">
        <f t="shared" si="40"/>
        <v>21</v>
      </c>
    </row>
    <row r="296" spans="1:14" ht="14" thickBot="1">
      <c r="A296" s="76" t="s">
        <v>267</v>
      </c>
      <c r="B296" s="1092">
        <v>0</v>
      </c>
      <c r="C296" s="1092">
        <v>0</v>
      </c>
      <c r="D296" s="1092">
        <v>0</v>
      </c>
      <c r="E296" s="1092">
        <v>0</v>
      </c>
      <c r="F296" s="1092">
        <v>0</v>
      </c>
      <c r="G296" s="1092">
        <v>0</v>
      </c>
      <c r="H296" s="1092">
        <v>0</v>
      </c>
      <c r="I296" s="1092">
        <v>0</v>
      </c>
      <c r="J296" s="1092">
        <v>0</v>
      </c>
      <c r="K296" s="1092">
        <v>0</v>
      </c>
      <c r="L296" s="1092">
        <v>0</v>
      </c>
      <c r="M296" s="1092">
        <v>0</v>
      </c>
      <c r="N296" s="27">
        <f t="shared" si="40"/>
        <v>0</v>
      </c>
    </row>
    <row r="297" spans="1:14" ht="14" thickBot="1">
      <c r="A297" s="38" t="s">
        <v>190</v>
      </c>
      <c r="B297" s="281"/>
      <c r="C297" s="39"/>
      <c r="D297" s="39"/>
      <c r="E297" s="39"/>
      <c r="F297" s="39"/>
      <c r="G297" s="39"/>
      <c r="H297" s="39"/>
      <c r="I297" s="39"/>
      <c r="J297" s="39"/>
      <c r="K297" s="39"/>
      <c r="L297" s="39"/>
      <c r="M297" s="39"/>
      <c r="N297" s="280"/>
    </row>
    <row r="298" spans="1:14">
      <c r="A298" s="76" t="s">
        <v>165</v>
      </c>
      <c r="B298" s="1102">
        <v>0</v>
      </c>
      <c r="C298" s="1092">
        <v>0</v>
      </c>
      <c r="D298" s="1092">
        <v>0</v>
      </c>
      <c r="E298" s="1092">
        <v>0</v>
      </c>
      <c r="F298" s="1092">
        <v>0</v>
      </c>
      <c r="G298" s="1092">
        <v>0</v>
      </c>
      <c r="H298" s="1092">
        <v>0</v>
      </c>
      <c r="I298" s="1092">
        <v>0</v>
      </c>
      <c r="J298" s="1092">
        <v>0</v>
      </c>
      <c r="K298" s="1092">
        <v>0</v>
      </c>
      <c r="L298" s="1092">
        <v>0</v>
      </c>
      <c r="M298" s="1092">
        <v>1154</v>
      </c>
      <c r="N298" s="27">
        <f t="shared" si="40"/>
        <v>1154</v>
      </c>
    </row>
    <row r="299" spans="1:14">
      <c r="A299" s="76" t="s">
        <v>166</v>
      </c>
      <c r="B299" s="1102">
        <v>1</v>
      </c>
      <c r="C299" s="1092">
        <v>0</v>
      </c>
      <c r="D299" s="1092">
        <v>19</v>
      </c>
      <c r="E299" s="1092">
        <v>16</v>
      </c>
      <c r="F299" s="1092">
        <v>14</v>
      </c>
      <c r="G299" s="1092">
        <v>18</v>
      </c>
      <c r="H299" s="1092">
        <v>4</v>
      </c>
      <c r="I299" s="1092">
        <v>2</v>
      </c>
      <c r="J299" s="1092">
        <v>3</v>
      </c>
      <c r="K299" s="1092">
        <v>4</v>
      </c>
      <c r="L299" s="1092">
        <v>0</v>
      </c>
      <c r="M299" s="1092">
        <v>0</v>
      </c>
      <c r="N299" s="27">
        <f t="shared" si="40"/>
        <v>81</v>
      </c>
    </row>
    <row r="300" spans="1:14">
      <c r="A300" s="76" t="s">
        <v>193</v>
      </c>
      <c r="B300" s="1102">
        <v>1</v>
      </c>
      <c r="C300" s="1092">
        <v>0</v>
      </c>
      <c r="D300" s="1092">
        <v>0</v>
      </c>
      <c r="E300" s="1092">
        <v>0</v>
      </c>
      <c r="F300" s="1092">
        <v>0</v>
      </c>
      <c r="G300" s="1092">
        <v>0</v>
      </c>
      <c r="H300" s="1092">
        <v>0</v>
      </c>
      <c r="I300" s="1092">
        <v>0</v>
      </c>
      <c r="J300" s="1092">
        <v>0</v>
      </c>
      <c r="K300" s="1092">
        <v>0</v>
      </c>
      <c r="L300" s="1092">
        <v>0</v>
      </c>
      <c r="M300" s="1092">
        <v>0</v>
      </c>
      <c r="N300" s="27">
        <f t="shared" si="40"/>
        <v>1</v>
      </c>
    </row>
    <row r="301" spans="1:14" ht="14" thickBot="1">
      <c r="A301" s="76" t="s">
        <v>266</v>
      </c>
      <c r="B301" s="1092">
        <v>0</v>
      </c>
      <c r="C301" s="1092">
        <v>0</v>
      </c>
      <c r="D301" s="1092">
        <v>0</v>
      </c>
      <c r="E301" s="1092">
        <v>0</v>
      </c>
      <c r="F301" s="1092">
        <v>0</v>
      </c>
      <c r="G301" s="1092">
        <v>0</v>
      </c>
      <c r="H301" s="1092">
        <v>0</v>
      </c>
      <c r="I301" s="1092">
        <v>0</v>
      </c>
      <c r="J301" s="1092">
        <v>0</v>
      </c>
      <c r="K301" s="1092">
        <v>0</v>
      </c>
      <c r="L301" s="1092">
        <v>0</v>
      </c>
      <c r="M301" s="1092">
        <v>0</v>
      </c>
      <c r="N301" s="27">
        <f>SUM(B301:M301)</f>
        <v>0</v>
      </c>
    </row>
    <row r="302" spans="1:14" ht="14" thickBot="1">
      <c r="A302" s="53" t="s">
        <v>60</v>
      </c>
      <c r="B302" s="55">
        <f t="shared" ref="B302:L302" si="41">SUM(B290:B301)</f>
        <v>21</v>
      </c>
      <c r="C302" s="55">
        <f t="shared" si="41"/>
        <v>20</v>
      </c>
      <c r="D302" s="55">
        <f t="shared" si="41"/>
        <v>74</v>
      </c>
      <c r="E302" s="55">
        <f t="shared" si="41"/>
        <v>315</v>
      </c>
      <c r="F302" s="55">
        <f t="shared" si="41"/>
        <v>370</v>
      </c>
      <c r="G302" s="55">
        <f t="shared" si="41"/>
        <v>80</v>
      </c>
      <c r="H302" s="55">
        <f t="shared" si="41"/>
        <v>59</v>
      </c>
      <c r="I302" s="55">
        <f t="shared" si="41"/>
        <v>46</v>
      </c>
      <c r="J302" s="55">
        <f t="shared" si="41"/>
        <v>34</v>
      </c>
      <c r="K302" s="55">
        <f t="shared" si="41"/>
        <v>5</v>
      </c>
      <c r="L302" s="55">
        <f t="shared" si="41"/>
        <v>12</v>
      </c>
      <c r="M302" s="55">
        <f>SUM(M290:M301)</f>
        <v>1178</v>
      </c>
      <c r="N302" s="54">
        <f>SUM(N290:N301)</f>
        <v>2214</v>
      </c>
    </row>
    <row r="303" spans="1:14" ht="14" thickBot="1">
      <c r="A303" s="53"/>
      <c r="B303" s="282"/>
      <c r="C303" s="55"/>
      <c r="D303" s="55"/>
      <c r="E303" s="55"/>
      <c r="F303" s="55"/>
      <c r="G303" s="55"/>
      <c r="H303" s="55"/>
      <c r="I303" s="55"/>
      <c r="J303" s="55"/>
      <c r="K303" s="55"/>
      <c r="L303" s="55"/>
      <c r="M303" s="55"/>
      <c r="N303" s="54"/>
    </row>
    <row r="304" spans="1:14" ht="14" thickBot="1">
      <c r="A304" s="38" t="s">
        <v>194</v>
      </c>
      <c r="B304" s="281"/>
      <c r="C304" s="39"/>
      <c r="D304" s="39"/>
      <c r="E304" s="39"/>
      <c r="F304" s="39"/>
      <c r="G304" s="39"/>
      <c r="H304" s="39"/>
      <c r="I304" s="39"/>
      <c r="J304" s="39"/>
      <c r="K304" s="39"/>
      <c r="L304" s="39"/>
      <c r="M304" s="39"/>
      <c r="N304" s="40"/>
    </row>
    <row r="305" spans="1:14">
      <c r="A305" s="32" t="s">
        <v>29</v>
      </c>
      <c r="B305" s="1102">
        <v>0</v>
      </c>
      <c r="C305" s="1092">
        <v>0</v>
      </c>
      <c r="D305" s="1092">
        <v>0</v>
      </c>
      <c r="E305" s="1092">
        <v>0</v>
      </c>
      <c r="F305" s="1092">
        <v>0</v>
      </c>
      <c r="G305" s="1092">
        <v>88</v>
      </c>
      <c r="H305" s="1092">
        <f>30+46+245</f>
        <v>321</v>
      </c>
      <c r="I305" s="1092">
        <v>0</v>
      </c>
      <c r="J305" s="1092">
        <v>0</v>
      </c>
      <c r="K305" s="1092">
        <v>85</v>
      </c>
      <c r="L305" s="1092">
        <v>0</v>
      </c>
      <c r="M305" s="1092">
        <v>3</v>
      </c>
      <c r="N305" s="27">
        <f>SUM(B305:M305)</f>
        <v>497</v>
      </c>
    </row>
    <row r="306" spans="1:14">
      <c r="A306" s="78" t="s">
        <v>264</v>
      </c>
      <c r="B306" s="1102">
        <v>0</v>
      </c>
      <c r="C306" s="1092">
        <v>0</v>
      </c>
      <c r="D306" s="1092">
        <v>0</v>
      </c>
      <c r="E306" s="1092">
        <v>0</v>
      </c>
      <c r="F306" s="1092">
        <v>0</v>
      </c>
      <c r="G306" s="1092">
        <v>0</v>
      </c>
      <c r="H306" s="1092">
        <v>0</v>
      </c>
      <c r="I306" s="1092">
        <v>0</v>
      </c>
      <c r="J306" s="1092">
        <v>0</v>
      </c>
      <c r="K306" s="1092">
        <v>0</v>
      </c>
      <c r="L306" s="1092">
        <v>3</v>
      </c>
      <c r="M306" s="1092">
        <v>14</v>
      </c>
      <c r="N306" s="27">
        <f t="shared" ref="N306:N315" si="42">SUM(B306:M306)</f>
        <v>17</v>
      </c>
    </row>
    <row r="307" spans="1:14">
      <c r="A307" s="34" t="s">
        <v>204</v>
      </c>
      <c r="B307" s="1102">
        <v>0</v>
      </c>
      <c r="C307" s="1092">
        <v>0</v>
      </c>
      <c r="D307" s="1092">
        <v>0</v>
      </c>
      <c r="E307" s="1092">
        <v>0</v>
      </c>
      <c r="F307" s="1092">
        <v>0</v>
      </c>
      <c r="G307" s="1092">
        <v>0</v>
      </c>
      <c r="H307" s="1092">
        <v>0</v>
      </c>
      <c r="I307" s="1092">
        <v>0</v>
      </c>
      <c r="J307" s="1092">
        <v>0</v>
      </c>
      <c r="K307" s="1092">
        <v>0</v>
      </c>
      <c r="L307" s="1092">
        <v>0</v>
      </c>
      <c r="M307" s="1092">
        <v>0</v>
      </c>
      <c r="N307" s="27">
        <f t="shared" si="42"/>
        <v>0</v>
      </c>
    </row>
    <row r="308" spans="1:14">
      <c r="A308" s="76" t="s">
        <v>30</v>
      </c>
      <c r="B308" s="1102">
        <v>0</v>
      </c>
      <c r="C308" s="1092">
        <v>0</v>
      </c>
      <c r="D308" s="1092">
        <v>0</v>
      </c>
      <c r="E308" s="1092">
        <v>0</v>
      </c>
      <c r="F308" s="1092">
        <v>0</v>
      </c>
      <c r="G308" s="1092">
        <v>1</v>
      </c>
      <c r="H308" s="1092">
        <v>7</v>
      </c>
      <c r="I308" s="1092">
        <v>0</v>
      </c>
      <c r="J308" s="1092">
        <v>0</v>
      </c>
      <c r="K308" s="1092">
        <v>0</v>
      </c>
      <c r="L308" s="1092">
        <v>0</v>
      </c>
      <c r="M308" s="1092">
        <v>0</v>
      </c>
      <c r="N308" s="27">
        <f t="shared" si="42"/>
        <v>8</v>
      </c>
    </row>
    <row r="309" spans="1:14">
      <c r="A309" s="32" t="s">
        <v>56</v>
      </c>
      <c r="B309" s="1102">
        <v>0</v>
      </c>
      <c r="C309" s="1092">
        <v>0</v>
      </c>
      <c r="D309" s="1092">
        <v>0</v>
      </c>
      <c r="E309" s="1092">
        <v>0</v>
      </c>
      <c r="F309" s="1092">
        <v>0</v>
      </c>
      <c r="G309" s="1092">
        <v>0</v>
      </c>
      <c r="H309" s="1092">
        <v>0</v>
      </c>
      <c r="I309" s="1092">
        <v>0</v>
      </c>
      <c r="J309" s="1092">
        <v>0</v>
      </c>
      <c r="K309" s="1092">
        <v>0</v>
      </c>
      <c r="L309" s="1092">
        <v>0</v>
      </c>
      <c r="M309" s="1092">
        <v>0</v>
      </c>
      <c r="N309" s="27">
        <f t="shared" si="42"/>
        <v>0</v>
      </c>
    </row>
    <row r="310" spans="1:14">
      <c r="A310" s="78" t="s">
        <v>122</v>
      </c>
      <c r="B310" s="1102">
        <v>0</v>
      </c>
      <c r="C310" s="1092">
        <v>0</v>
      </c>
      <c r="D310" s="1092">
        <v>0</v>
      </c>
      <c r="E310" s="1092">
        <v>0</v>
      </c>
      <c r="F310" s="1092">
        <v>0</v>
      </c>
      <c r="G310" s="1092">
        <v>0</v>
      </c>
      <c r="H310" s="1092">
        <v>0</v>
      </c>
      <c r="I310" s="1092">
        <v>0</v>
      </c>
      <c r="J310" s="1092">
        <v>0</v>
      </c>
      <c r="K310" s="1092">
        <v>0</v>
      </c>
      <c r="L310" s="1092">
        <v>0</v>
      </c>
      <c r="M310" s="1092">
        <v>0</v>
      </c>
      <c r="N310" s="27">
        <f t="shared" si="42"/>
        <v>0</v>
      </c>
    </row>
    <row r="311" spans="1:14">
      <c r="A311" s="78" t="s">
        <v>184</v>
      </c>
      <c r="B311" s="1102">
        <v>0</v>
      </c>
      <c r="C311" s="1092">
        <v>0</v>
      </c>
      <c r="D311" s="1092">
        <v>0</v>
      </c>
      <c r="E311" s="1092">
        <v>0</v>
      </c>
      <c r="F311" s="1092">
        <v>0</v>
      </c>
      <c r="G311" s="1092">
        <v>0</v>
      </c>
      <c r="H311" s="1092">
        <v>0</v>
      </c>
      <c r="I311" s="1092">
        <v>0</v>
      </c>
      <c r="J311" s="1092">
        <v>0</v>
      </c>
      <c r="K311" s="1092">
        <v>0</v>
      </c>
      <c r="L311" s="1092">
        <v>0</v>
      </c>
      <c r="M311" s="1092">
        <v>0</v>
      </c>
      <c r="N311" s="27">
        <f t="shared" si="42"/>
        <v>0</v>
      </c>
    </row>
    <row r="312" spans="1:14">
      <c r="A312" s="78" t="s">
        <v>187</v>
      </c>
      <c r="B312" s="1102">
        <v>0</v>
      </c>
      <c r="C312" s="1092">
        <v>0</v>
      </c>
      <c r="D312" s="1092">
        <v>0</v>
      </c>
      <c r="E312" s="1092">
        <v>0</v>
      </c>
      <c r="F312" s="1092">
        <v>0</v>
      </c>
      <c r="G312" s="1092">
        <v>0</v>
      </c>
      <c r="H312" s="1092">
        <v>0</v>
      </c>
      <c r="I312" s="1092">
        <v>0</v>
      </c>
      <c r="J312" s="1092">
        <v>0</v>
      </c>
      <c r="K312" s="1092">
        <v>0</v>
      </c>
      <c r="L312" s="1092">
        <v>0</v>
      </c>
      <c r="M312" s="1092">
        <v>0</v>
      </c>
      <c r="N312" s="27">
        <f t="shared" si="42"/>
        <v>0</v>
      </c>
    </row>
    <row r="313" spans="1:14">
      <c r="A313" s="78" t="s">
        <v>188</v>
      </c>
      <c r="B313" s="1102">
        <v>0</v>
      </c>
      <c r="C313" s="1092">
        <v>0</v>
      </c>
      <c r="D313" s="1092">
        <v>0</v>
      </c>
      <c r="E313" s="1092">
        <v>0</v>
      </c>
      <c r="F313" s="1092">
        <v>0</v>
      </c>
      <c r="G313" s="1092">
        <v>0</v>
      </c>
      <c r="H313" s="1092">
        <v>0</v>
      </c>
      <c r="I313" s="1092">
        <v>0</v>
      </c>
      <c r="J313" s="1092">
        <v>0</v>
      </c>
      <c r="K313" s="1092">
        <v>0</v>
      </c>
      <c r="L313" s="1092">
        <v>0</v>
      </c>
      <c r="M313" s="1092">
        <v>0</v>
      </c>
      <c r="N313" s="27">
        <f t="shared" si="42"/>
        <v>0</v>
      </c>
    </row>
    <row r="314" spans="1:14">
      <c r="A314" s="78" t="s">
        <v>213</v>
      </c>
      <c r="B314" s="1102">
        <v>0</v>
      </c>
      <c r="C314" s="1092">
        <v>1</v>
      </c>
      <c r="D314" s="1092">
        <v>2</v>
      </c>
      <c r="E314" s="1092">
        <v>0</v>
      </c>
      <c r="F314" s="1092">
        <v>0</v>
      </c>
      <c r="G314" s="1092">
        <v>1</v>
      </c>
      <c r="H314" s="1092">
        <v>2</v>
      </c>
      <c r="I314" s="1092">
        <v>2</v>
      </c>
      <c r="J314" s="1092">
        <v>0</v>
      </c>
      <c r="K314" s="1092">
        <v>2</v>
      </c>
      <c r="L314" s="1092">
        <v>1</v>
      </c>
      <c r="M314" s="1092">
        <v>0</v>
      </c>
      <c r="N314" s="27">
        <f t="shared" si="42"/>
        <v>11</v>
      </c>
    </row>
    <row r="315" spans="1:14">
      <c r="A315" s="76" t="s">
        <v>267</v>
      </c>
      <c r="B315" s="1092">
        <v>0</v>
      </c>
      <c r="C315" s="1092">
        <v>0</v>
      </c>
      <c r="D315" s="1092">
        <v>0</v>
      </c>
      <c r="E315" s="1092">
        <v>0</v>
      </c>
      <c r="F315" s="1092">
        <v>0</v>
      </c>
      <c r="G315" s="1092">
        <v>0</v>
      </c>
      <c r="H315" s="1092">
        <v>0</v>
      </c>
      <c r="I315" s="1092">
        <v>0</v>
      </c>
      <c r="J315" s="1092">
        <v>0</v>
      </c>
      <c r="K315" s="1092">
        <v>0</v>
      </c>
      <c r="L315" s="1092">
        <v>0</v>
      </c>
      <c r="M315" s="1092">
        <v>0</v>
      </c>
      <c r="N315" s="27">
        <f t="shared" si="42"/>
        <v>0</v>
      </c>
    </row>
    <row r="316" spans="1:14" ht="14" thickBot="1">
      <c r="A316" s="32" t="s">
        <v>268</v>
      </c>
      <c r="B316" s="1092">
        <v>0</v>
      </c>
      <c r="C316" s="1092">
        <v>0</v>
      </c>
      <c r="D316" s="1092">
        <v>0</v>
      </c>
      <c r="E316" s="1092">
        <v>0</v>
      </c>
      <c r="F316" s="1092">
        <v>0</v>
      </c>
      <c r="G316" s="1092">
        <v>0</v>
      </c>
      <c r="H316" s="1092">
        <v>904</v>
      </c>
      <c r="I316" s="1092">
        <v>0</v>
      </c>
      <c r="J316" s="1092">
        <v>0</v>
      </c>
      <c r="K316" s="1092">
        <v>425</v>
      </c>
      <c r="L316" s="1092">
        <v>0</v>
      </c>
      <c r="M316" s="1092">
        <v>930</v>
      </c>
      <c r="N316" s="27">
        <f>SUM(B316:M316)</f>
        <v>2259</v>
      </c>
    </row>
    <row r="317" spans="1:14" ht="14" thickBot="1">
      <c r="A317" s="38" t="s">
        <v>192</v>
      </c>
      <c r="B317" s="281"/>
      <c r="C317" s="39"/>
      <c r="D317" s="39"/>
      <c r="E317" s="39"/>
      <c r="F317" s="39"/>
      <c r="G317" s="39"/>
      <c r="H317" s="39"/>
      <c r="I317" s="39"/>
      <c r="J317" s="39"/>
      <c r="K317" s="39"/>
      <c r="L317" s="39"/>
      <c r="M317" s="39"/>
      <c r="N317" s="280"/>
    </row>
    <row r="318" spans="1:14" ht="14" thickBot="1">
      <c r="A318" s="32" t="s">
        <v>165</v>
      </c>
      <c r="B318" s="1092">
        <v>0</v>
      </c>
      <c r="C318" s="1092">
        <v>0</v>
      </c>
      <c r="D318" s="1092">
        <v>0</v>
      </c>
      <c r="E318" s="1092">
        <v>0</v>
      </c>
      <c r="F318" s="1092">
        <v>0</v>
      </c>
      <c r="G318" s="1092">
        <v>0</v>
      </c>
      <c r="H318" s="1092">
        <v>0</v>
      </c>
      <c r="I318" s="1092">
        <v>0</v>
      </c>
      <c r="J318" s="1092">
        <v>0</v>
      </c>
      <c r="K318" s="1092">
        <v>0</v>
      </c>
      <c r="L318" s="1092">
        <v>0</v>
      </c>
      <c r="M318" s="1092">
        <v>100</v>
      </c>
      <c r="N318" s="27">
        <f>SUM(B318:M318)</f>
        <v>100</v>
      </c>
    </row>
    <row r="319" spans="1:14" ht="14" thickBot="1">
      <c r="A319" s="53" t="s">
        <v>60</v>
      </c>
      <c r="B319" s="55">
        <f t="shared" ref="B319:L319" si="43">SUM(B305:B318)</f>
        <v>0</v>
      </c>
      <c r="C319" s="55">
        <f t="shared" si="43"/>
        <v>1</v>
      </c>
      <c r="D319" s="55">
        <f t="shared" si="43"/>
        <v>2</v>
      </c>
      <c r="E319" s="55">
        <f t="shared" si="43"/>
        <v>0</v>
      </c>
      <c r="F319" s="55">
        <f t="shared" si="43"/>
        <v>0</v>
      </c>
      <c r="G319" s="55">
        <f t="shared" si="43"/>
        <v>90</v>
      </c>
      <c r="H319" s="55">
        <f t="shared" si="43"/>
        <v>1234</v>
      </c>
      <c r="I319" s="55">
        <f t="shared" si="43"/>
        <v>2</v>
      </c>
      <c r="J319" s="55">
        <f t="shared" si="43"/>
        <v>0</v>
      </c>
      <c r="K319" s="55">
        <f t="shared" si="43"/>
        <v>512</v>
      </c>
      <c r="L319" s="55">
        <f t="shared" si="43"/>
        <v>4</v>
      </c>
      <c r="M319" s="55">
        <f>SUM(M305:M318)</f>
        <v>1047</v>
      </c>
      <c r="N319" s="54">
        <f>SUM(N305:N318)</f>
        <v>2892</v>
      </c>
    </row>
    <row r="321" spans="1:14" ht="14" thickBot="1">
      <c r="B321" s="43" t="s">
        <v>35</v>
      </c>
      <c r="C321" s="43" t="s">
        <v>36</v>
      </c>
      <c r="D321" s="43" t="s">
        <v>37</v>
      </c>
      <c r="E321" s="43" t="s">
        <v>38</v>
      </c>
      <c r="F321" s="43" t="s">
        <v>39</v>
      </c>
      <c r="G321" s="43" t="s">
        <v>40</v>
      </c>
      <c r="H321" s="43" t="s">
        <v>41</v>
      </c>
      <c r="I321" s="43" t="s">
        <v>42</v>
      </c>
      <c r="J321" s="43" t="s">
        <v>43</v>
      </c>
      <c r="K321" s="43" t="s">
        <v>44</v>
      </c>
      <c r="L321" s="43" t="s">
        <v>45</v>
      </c>
      <c r="M321" s="43" t="s">
        <v>46</v>
      </c>
      <c r="N321" s="43" t="s">
        <v>10</v>
      </c>
    </row>
    <row r="322" spans="1:14" ht="17" thickBot="1">
      <c r="A322" s="31" t="s">
        <v>317</v>
      </c>
      <c r="B322" s="24"/>
      <c r="C322" s="24"/>
      <c r="D322" s="22"/>
      <c r="E322" s="22"/>
      <c r="F322" s="25"/>
      <c r="G322" s="25"/>
      <c r="H322" s="22"/>
      <c r="I322" s="22"/>
      <c r="J322" s="22"/>
      <c r="K322" s="22"/>
      <c r="L322" s="24"/>
      <c r="M322" s="24"/>
      <c r="N322" s="26"/>
    </row>
    <row r="323" spans="1:14" ht="14" thickBot="1">
      <c r="A323" s="38" t="s">
        <v>189</v>
      </c>
      <c r="B323" s="39"/>
      <c r="C323" s="39"/>
      <c r="D323" s="39"/>
      <c r="E323" s="39"/>
      <c r="F323" s="39"/>
      <c r="G323" s="39"/>
      <c r="H323" s="39"/>
      <c r="I323" s="39"/>
      <c r="J323" s="39"/>
      <c r="K323" s="39"/>
      <c r="L323" s="39"/>
      <c r="M323" s="39"/>
      <c r="N323" s="40"/>
    </row>
    <row r="324" spans="1:14">
      <c r="A324" s="32" t="s">
        <v>29</v>
      </c>
      <c r="B324" s="1092">
        <v>2</v>
      </c>
      <c r="C324" s="1092">
        <v>0</v>
      </c>
      <c r="D324" s="1092">
        <v>2</v>
      </c>
      <c r="E324" s="1092">
        <v>2</v>
      </c>
      <c r="F324" s="1092">
        <v>2</v>
      </c>
      <c r="G324" s="1092">
        <v>0</v>
      </c>
      <c r="H324" s="1092">
        <v>13</v>
      </c>
      <c r="I324" s="1092">
        <v>0</v>
      </c>
      <c r="J324" s="1092">
        <v>0</v>
      </c>
      <c r="K324" s="1092">
        <v>0</v>
      </c>
      <c r="L324" s="1092">
        <v>2</v>
      </c>
      <c r="M324" s="1092">
        <v>0</v>
      </c>
      <c r="N324" s="27">
        <f>SUM(B324:M324)</f>
        <v>23</v>
      </c>
    </row>
    <row r="325" spans="1:14">
      <c r="A325" s="32" t="s">
        <v>33</v>
      </c>
      <c r="B325" s="1092">
        <v>3</v>
      </c>
      <c r="C325" s="1092">
        <v>1</v>
      </c>
      <c r="D325" s="1092">
        <v>3</v>
      </c>
      <c r="E325" s="1092">
        <v>3</v>
      </c>
      <c r="F325" s="1092">
        <v>2</v>
      </c>
      <c r="G325" s="1092">
        <v>2</v>
      </c>
      <c r="H325" s="1092">
        <v>3</v>
      </c>
      <c r="I325" s="1092">
        <v>10</v>
      </c>
      <c r="J325" s="1092">
        <v>1</v>
      </c>
      <c r="K325" s="1092">
        <v>2</v>
      </c>
      <c r="L325" s="1092">
        <v>0</v>
      </c>
      <c r="M325" s="1092">
        <v>14</v>
      </c>
      <c r="N325" s="27">
        <f t="shared" ref="N325:N331" si="44">SUM(B325:M325)</f>
        <v>44</v>
      </c>
    </row>
    <row r="326" spans="1:14">
      <c r="A326" s="32" t="s">
        <v>56</v>
      </c>
      <c r="B326" s="1092">
        <v>0</v>
      </c>
      <c r="C326" s="1092">
        <v>0</v>
      </c>
      <c r="D326" s="1092">
        <v>0</v>
      </c>
      <c r="E326" s="1092">
        <v>0</v>
      </c>
      <c r="F326" s="1092">
        <v>0</v>
      </c>
      <c r="G326" s="1092">
        <v>0</v>
      </c>
      <c r="H326" s="1092">
        <v>0</v>
      </c>
      <c r="I326" s="1092">
        <v>0</v>
      </c>
      <c r="J326" s="1092">
        <v>0</v>
      </c>
      <c r="K326" s="1092">
        <v>0</v>
      </c>
      <c r="L326" s="1092">
        <v>0</v>
      </c>
      <c r="M326" s="1092">
        <v>0</v>
      </c>
      <c r="N326" s="27">
        <f t="shared" si="44"/>
        <v>0</v>
      </c>
    </row>
    <row r="327" spans="1:14">
      <c r="A327" s="78" t="s">
        <v>30</v>
      </c>
      <c r="B327" s="1092">
        <v>0</v>
      </c>
      <c r="C327" s="1092">
        <v>0</v>
      </c>
      <c r="D327" s="1092">
        <v>3</v>
      </c>
      <c r="E327" s="1092">
        <v>0</v>
      </c>
      <c r="F327" s="1092">
        <v>0</v>
      </c>
      <c r="G327" s="1092">
        <v>0</v>
      </c>
      <c r="H327" s="1092">
        <v>0</v>
      </c>
      <c r="I327" s="1092">
        <v>1</v>
      </c>
      <c r="J327" s="1092">
        <v>0</v>
      </c>
      <c r="K327" s="1092">
        <v>0</v>
      </c>
      <c r="L327" s="1092">
        <v>0</v>
      </c>
      <c r="M327" s="1092">
        <v>0</v>
      </c>
      <c r="N327" s="27">
        <f t="shared" si="44"/>
        <v>4</v>
      </c>
    </row>
    <row r="328" spans="1:14">
      <c r="A328" s="76" t="s">
        <v>213</v>
      </c>
      <c r="B328" s="1092">
        <v>0</v>
      </c>
      <c r="C328" s="1092">
        <v>0</v>
      </c>
      <c r="D328" s="1092">
        <v>0</v>
      </c>
      <c r="E328" s="1092">
        <v>0</v>
      </c>
      <c r="F328" s="1092">
        <v>1</v>
      </c>
      <c r="G328" s="1092">
        <v>0</v>
      </c>
      <c r="H328" s="1092">
        <v>0</v>
      </c>
      <c r="I328" s="1092">
        <v>3</v>
      </c>
      <c r="J328" s="1092">
        <v>2</v>
      </c>
      <c r="K328" s="1092">
        <v>2</v>
      </c>
      <c r="L328" s="1092">
        <v>0</v>
      </c>
      <c r="M328" s="1092">
        <v>0</v>
      </c>
      <c r="N328" s="27">
        <f t="shared" si="44"/>
        <v>8</v>
      </c>
    </row>
    <row r="329" spans="1:14">
      <c r="A329" s="76" t="s">
        <v>212</v>
      </c>
      <c r="B329" s="1092">
        <v>7</v>
      </c>
      <c r="C329" s="1092">
        <v>4</v>
      </c>
      <c r="D329" s="1092">
        <v>0</v>
      </c>
      <c r="E329" s="1092">
        <v>0</v>
      </c>
      <c r="F329" s="1092">
        <v>0</v>
      </c>
      <c r="G329" s="1092">
        <v>2</v>
      </c>
      <c r="H329" s="1092">
        <v>2</v>
      </c>
      <c r="I329" s="1092">
        <v>0</v>
      </c>
      <c r="J329" s="1092">
        <v>0</v>
      </c>
      <c r="K329" s="1092">
        <v>0</v>
      </c>
      <c r="L329" s="1092">
        <v>0</v>
      </c>
      <c r="M329" s="1092">
        <v>0</v>
      </c>
      <c r="N329" s="27">
        <f t="shared" si="44"/>
        <v>15</v>
      </c>
    </row>
    <row r="330" spans="1:14">
      <c r="A330" s="76" t="s">
        <v>331</v>
      </c>
      <c r="B330" s="1092">
        <v>0</v>
      </c>
      <c r="C330" s="1092">
        <v>0</v>
      </c>
      <c r="D330" s="1092">
        <v>0</v>
      </c>
      <c r="E330" s="1092">
        <v>0</v>
      </c>
      <c r="F330" s="1092">
        <v>0</v>
      </c>
      <c r="G330" s="1092">
        <v>0</v>
      </c>
      <c r="H330" s="1092">
        <v>0</v>
      </c>
      <c r="I330" s="1092">
        <v>0</v>
      </c>
      <c r="J330" s="1092">
        <v>0</v>
      </c>
      <c r="K330" s="1092">
        <v>0</v>
      </c>
      <c r="L330" s="1092">
        <v>0</v>
      </c>
      <c r="M330" s="1092">
        <v>0</v>
      </c>
      <c r="N330" s="27">
        <f t="shared" si="44"/>
        <v>0</v>
      </c>
    </row>
    <row r="331" spans="1:14" ht="14" thickBot="1">
      <c r="A331" s="76" t="s">
        <v>267</v>
      </c>
      <c r="B331" s="1092">
        <v>0</v>
      </c>
      <c r="C331" s="1092">
        <v>0</v>
      </c>
      <c r="D331" s="1092">
        <v>0</v>
      </c>
      <c r="E331" s="1092">
        <v>0</v>
      </c>
      <c r="F331" s="1092">
        <v>0</v>
      </c>
      <c r="G331" s="1092">
        <v>0</v>
      </c>
      <c r="H331" s="1092">
        <v>0</v>
      </c>
      <c r="I331" s="1092">
        <v>0</v>
      </c>
      <c r="J331" s="1092">
        <v>0</v>
      </c>
      <c r="K331" s="1092">
        <v>0</v>
      </c>
      <c r="L331" s="1092">
        <v>0</v>
      </c>
      <c r="M331" s="1092">
        <v>0</v>
      </c>
      <c r="N331" s="27">
        <f t="shared" si="44"/>
        <v>0</v>
      </c>
    </row>
    <row r="332" spans="1:14" ht="14" thickBot="1">
      <c r="A332" s="38" t="s">
        <v>190</v>
      </c>
      <c r="B332" s="281"/>
      <c r="C332" s="39"/>
      <c r="D332" s="39"/>
      <c r="E332" s="39"/>
      <c r="F332" s="39"/>
      <c r="G332" s="39"/>
      <c r="H332" s="39"/>
      <c r="I332" s="39"/>
      <c r="J332" s="39"/>
      <c r="K332" s="39"/>
      <c r="L332" s="39"/>
      <c r="M332" s="39"/>
      <c r="N332" s="280"/>
    </row>
    <row r="333" spans="1:14">
      <c r="A333" s="76" t="s">
        <v>165</v>
      </c>
      <c r="B333" s="1102">
        <v>0</v>
      </c>
      <c r="C333" s="1092">
        <v>0</v>
      </c>
      <c r="D333" s="1092">
        <v>566</v>
      </c>
      <c r="E333" s="1092">
        <v>25</v>
      </c>
      <c r="F333" s="1092">
        <v>25</v>
      </c>
      <c r="G333" s="1092">
        <v>0</v>
      </c>
      <c r="H333" s="1092">
        <v>0</v>
      </c>
      <c r="I333" s="1092">
        <v>0</v>
      </c>
      <c r="J333" s="1092">
        <v>0</v>
      </c>
      <c r="K333" s="1092">
        <v>0</v>
      </c>
      <c r="L333" s="1092">
        <v>0</v>
      </c>
      <c r="M333" s="1092">
        <v>448</v>
      </c>
      <c r="N333" s="27">
        <f t="shared" ref="N333:N335" si="45">SUM(B333:M333)</f>
        <v>1064</v>
      </c>
    </row>
    <row r="334" spans="1:14">
      <c r="A334" s="76" t="s">
        <v>166</v>
      </c>
      <c r="B334" s="1102">
        <v>0</v>
      </c>
      <c r="C334" s="1092">
        <v>2</v>
      </c>
      <c r="D334" s="1092">
        <v>0</v>
      </c>
      <c r="E334" s="1092">
        <v>5</v>
      </c>
      <c r="F334" s="1092">
        <v>3</v>
      </c>
      <c r="G334" s="1092">
        <v>0</v>
      </c>
      <c r="H334" s="1092">
        <v>0</v>
      </c>
      <c r="I334" s="1092">
        <v>0</v>
      </c>
      <c r="J334" s="1092">
        <v>0</v>
      </c>
      <c r="K334" s="1092">
        <v>3</v>
      </c>
      <c r="L334" s="1092">
        <v>2</v>
      </c>
      <c r="M334" s="1092">
        <v>0</v>
      </c>
      <c r="N334" s="27">
        <f t="shared" si="45"/>
        <v>15</v>
      </c>
    </row>
    <row r="335" spans="1:14">
      <c r="A335" s="76" t="s">
        <v>336</v>
      </c>
      <c r="B335" s="1092">
        <v>4</v>
      </c>
      <c r="C335" s="1092">
        <v>5</v>
      </c>
      <c r="D335" s="1092">
        <v>9</v>
      </c>
      <c r="E335" s="1092">
        <v>5</v>
      </c>
      <c r="F335" s="1092">
        <v>0</v>
      </c>
      <c r="G335" s="1092">
        <v>1</v>
      </c>
      <c r="H335" s="1092">
        <v>3</v>
      </c>
      <c r="I335" s="1092">
        <v>1</v>
      </c>
      <c r="J335" s="1092">
        <v>3</v>
      </c>
      <c r="K335" s="1092">
        <v>2</v>
      </c>
      <c r="L335" s="1092">
        <v>4</v>
      </c>
      <c r="M335" s="1092">
        <v>4</v>
      </c>
      <c r="N335" s="27">
        <f t="shared" si="45"/>
        <v>41</v>
      </c>
    </row>
    <row r="336" spans="1:14" ht="14" thickBot="1">
      <c r="A336" s="76" t="s">
        <v>266</v>
      </c>
      <c r="B336" s="1092">
        <v>0</v>
      </c>
      <c r="C336" s="1092">
        <v>0</v>
      </c>
      <c r="D336" s="1092">
        <v>0</v>
      </c>
      <c r="E336" s="1092">
        <v>0</v>
      </c>
      <c r="F336" s="1092">
        <v>0</v>
      </c>
      <c r="G336" s="1092">
        <v>0</v>
      </c>
      <c r="H336" s="1092">
        <v>0</v>
      </c>
      <c r="I336" s="1092">
        <v>1</v>
      </c>
      <c r="J336" s="1092">
        <v>0</v>
      </c>
      <c r="K336" s="1092">
        <v>0</v>
      </c>
      <c r="L336" s="1092">
        <v>0</v>
      </c>
      <c r="M336" s="1092">
        <v>0</v>
      </c>
      <c r="N336" s="27">
        <f>SUM(B336:M336)</f>
        <v>1</v>
      </c>
    </row>
    <row r="337" spans="1:14" ht="14" thickBot="1">
      <c r="A337" s="53" t="s">
        <v>60</v>
      </c>
      <c r="B337" s="55">
        <f t="shared" ref="B337:N337" si="46">SUM(B324:B336)</f>
        <v>16</v>
      </c>
      <c r="C337" s="55">
        <f t="shared" si="46"/>
        <v>12</v>
      </c>
      <c r="D337" s="55">
        <f t="shared" si="46"/>
        <v>583</v>
      </c>
      <c r="E337" s="55">
        <f t="shared" si="46"/>
        <v>40</v>
      </c>
      <c r="F337" s="55">
        <f t="shared" si="46"/>
        <v>33</v>
      </c>
      <c r="G337" s="55">
        <f t="shared" si="46"/>
        <v>5</v>
      </c>
      <c r="H337" s="55">
        <f t="shared" si="46"/>
        <v>21</v>
      </c>
      <c r="I337" s="55">
        <f t="shared" si="46"/>
        <v>16</v>
      </c>
      <c r="J337" s="55">
        <f t="shared" si="46"/>
        <v>6</v>
      </c>
      <c r="K337" s="55">
        <f t="shared" si="46"/>
        <v>9</v>
      </c>
      <c r="L337" s="55">
        <f t="shared" si="46"/>
        <v>8</v>
      </c>
      <c r="M337" s="55">
        <f t="shared" si="46"/>
        <v>466</v>
      </c>
      <c r="N337" s="54">
        <f t="shared" si="46"/>
        <v>1215</v>
      </c>
    </row>
    <row r="338" spans="1:14" ht="14" thickBot="1">
      <c r="A338" s="53"/>
      <c r="B338" s="282"/>
      <c r="C338" s="55"/>
      <c r="D338" s="55"/>
      <c r="E338" s="55"/>
      <c r="F338" s="55"/>
      <c r="G338" s="55"/>
      <c r="H338" s="55"/>
      <c r="I338" s="55"/>
      <c r="J338" s="55"/>
      <c r="K338" s="55"/>
      <c r="L338" s="55"/>
      <c r="M338" s="55"/>
      <c r="N338" s="54"/>
    </row>
    <row r="339" spans="1:14" ht="14" thickBot="1">
      <c r="A339" s="38" t="s">
        <v>194</v>
      </c>
      <c r="B339" s="281"/>
      <c r="C339" s="39"/>
      <c r="D339" s="39"/>
      <c r="E339" s="39"/>
      <c r="F339" s="39"/>
      <c r="G339" s="39"/>
      <c r="H339" s="39"/>
      <c r="I339" s="39"/>
      <c r="J339" s="39"/>
      <c r="K339" s="39"/>
      <c r="L339" s="39"/>
      <c r="M339" s="39"/>
      <c r="N339" s="40"/>
    </row>
    <row r="340" spans="1:14">
      <c r="A340" s="32" t="s">
        <v>29</v>
      </c>
      <c r="B340" s="1102">
        <v>0</v>
      </c>
      <c r="C340" s="1092">
        <v>0</v>
      </c>
      <c r="D340" s="1092">
        <v>0</v>
      </c>
      <c r="E340" s="1092">
        <v>0</v>
      </c>
      <c r="F340" s="1092">
        <v>0</v>
      </c>
      <c r="G340" s="1092">
        <v>0</v>
      </c>
      <c r="H340" s="1092">
        <v>0</v>
      </c>
      <c r="I340" s="1092">
        <v>0</v>
      </c>
      <c r="J340" s="1092">
        <v>0</v>
      </c>
      <c r="K340" s="1092">
        <v>0</v>
      </c>
      <c r="L340" s="1092">
        <v>0</v>
      </c>
      <c r="M340" s="1092">
        <v>0</v>
      </c>
      <c r="N340" s="27">
        <f>SUM(B340:M340)</f>
        <v>0</v>
      </c>
    </row>
    <row r="341" spans="1:14">
      <c r="A341" s="78" t="s">
        <v>264</v>
      </c>
      <c r="B341" s="1102">
        <v>0</v>
      </c>
      <c r="C341" s="1092">
        <v>0</v>
      </c>
      <c r="D341" s="1092">
        <v>0</v>
      </c>
      <c r="E341" s="1092">
        <v>0</v>
      </c>
      <c r="F341" s="1092">
        <v>0</v>
      </c>
      <c r="G341" s="1092">
        <v>0</v>
      </c>
      <c r="H341" s="1092">
        <v>0</v>
      </c>
      <c r="I341" s="1092">
        <v>0</v>
      </c>
      <c r="J341" s="1092">
        <v>0</v>
      </c>
      <c r="K341" s="1092">
        <v>0</v>
      </c>
      <c r="L341" s="1092">
        <v>0</v>
      </c>
      <c r="M341" s="1092">
        <v>0</v>
      </c>
      <c r="N341" s="27">
        <f t="shared" ref="N341:N350" si="47">SUM(B341:M341)</f>
        <v>0</v>
      </c>
    </row>
    <row r="342" spans="1:14">
      <c r="A342" s="34" t="s">
        <v>204</v>
      </c>
      <c r="B342" s="1102">
        <v>0</v>
      </c>
      <c r="C342" s="1092">
        <v>0</v>
      </c>
      <c r="D342" s="1092">
        <v>0</v>
      </c>
      <c r="E342" s="1092">
        <v>0</v>
      </c>
      <c r="F342" s="1092">
        <v>0</v>
      </c>
      <c r="G342" s="1092">
        <v>0</v>
      </c>
      <c r="H342" s="1092">
        <v>0</v>
      </c>
      <c r="I342" s="1092">
        <v>0</v>
      </c>
      <c r="J342" s="1092">
        <v>0</v>
      </c>
      <c r="K342" s="1092">
        <v>0</v>
      </c>
      <c r="L342" s="1092">
        <v>0</v>
      </c>
      <c r="M342" s="1092">
        <v>0</v>
      </c>
      <c r="N342" s="27">
        <f t="shared" si="47"/>
        <v>0</v>
      </c>
    </row>
    <row r="343" spans="1:14">
      <c r="A343" s="76" t="s">
        <v>30</v>
      </c>
      <c r="B343" s="1102">
        <v>0</v>
      </c>
      <c r="C343" s="1092">
        <v>0</v>
      </c>
      <c r="D343" s="1092">
        <v>0</v>
      </c>
      <c r="E343" s="1092">
        <v>0</v>
      </c>
      <c r="F343" s="1092">
        <v>0</v>
      </c>
      <c r="G343" s="1092">
        <v>0</v>
      </c>
      <c r="H343" s="1092">
        <v>0</v>
      </c>
      <c r="I343" s="1092">
        <v>0</v>
      </c>
      <c r="J343" s="1092">
        <v>0</v>
      </c>
      <c r="K343" s="1092">
        <v>0</v>
      </c>
      <c r="L343" s="1092">
        <v>0</v>
      </c>
      <c r="M343" s="1092">
        <v>0</v>
      </c>
      <c r="N343" s="27">
        <f t="shared" si="47"/>
        <v>0</v>
      </c>
    </row>
    <row r="344" spans="1:14">
      <c r="A344" s="32" t="s">
        <v>56</v>
      </c>
      <c r="B344" s="1102">
        <v>0</v>
      </c>
      <c r="C344" s="1092">
        <v>0</v>
      </c>
      <c r="D344" s="1092">
        <v>0</v>
      </c>
      <c r="E344" s="1092">
        <v>0</v>
      </c>
      <c r="F344" s="1092">
        <v>0</v>
      </c>
      <c r="G344" s="1092">
        <v>0</v>
      </c>
      <c r="H344" s="1092">
        <v>0</v>
      </c>
      <c r="I344" s="1092">
        <v>0</v>
      </c>
      <c r="J344" s="1092">
        <v>0</v>
      </c>
      <c r="K344" s="1092">
        <v>0</v>
      </c>
      <c r="L344" s="1092">
        <v>0</v>
      </c>
      <c r="M344" s="1092">
        <v>0</v>
      </c>
      <c r="N344" s="27">
        <f t="shared" si="47"/>
        <v>0</v>
      </c>
    </row>
    <row r="345" spans="1:14">
      <c r="A345" s="78" t="s">
        <v>122</v>
      </c>
      <c r="B345" s="1102">
        <v>0</v>
      </c>
      <c r="C345" s="1092">
        <v>0</v>
      </c>
      <c r="D345" s="1092">
        <v>0</v>
      </c>
      <c r="E345" s="1092">
        <v>0</v>
      </c>
      <c r="F345" s="1092">
        <v>0</v>
      </c>
      <c r="G345" s="1092">
        <v>0</v>
      </c>
      <c r="H345" s="1092">
        <v>0</v>
      </c>
      <c r="I345" s="1092">
        <v>0</v>
      </c>
      <c r="J345" s="1092">
        <v>0</v>
      </c>
      <c r="K345" s="1092">
        <v>0</v>
      </c>
      <c r="L345" s="1092">
        <v>0</v>
      </c>
      <c r="M345" s="1092">
        <v>0</v>
      </c>
      <c r="N345" s="27">
        <f t="shared" si="47"/>
        <v>0</v>
      </c>
    </row>
    <row r="346" spans="1:14">
      <c r="A346" s="78" t="s">
        <v>184</v>
      </c>
      <c r="B346" s="1102">
        <v>0</v>
      </c>
      <c r="C346" s="1092">
        <v>0</v>
      </c>
      <c r="D346" s="1092">
        <v>0</v>
      </c>
      <c r="E346" s="1092">
        <v>0</v>
      </c>
      <c r="F346" s="1092">
        <v>0</v>
      </c>
      <c r="G346" s="1092">
        <v>0</v>
      </c>
      <c r="H346" s="1092">
        <v>0</v>
      </c>
      <c r="I346" s="1092">
        <v>0</v>
      </c>
      <c r="J346" s="1092">
        <v>0</v>
      </c>
      <c r="K346" s="1092">
        <v>0</v>
      </c>
      <c r="L346" s="1092">
        <v>0</v>
      </c>
      <c r="M346" s="1092">
        <v>0</v>
      </c>
      <c r="N346" s="27">
        <f t="shared" si="47"/>
        <v>0</v>
      </c>
    </row>
    <row r="347" spans="1:14">
      <c r="A347" s="78" t="s">
        <v>187</v>
      </c>
      <c r="B347" s="1102">
        <v>0</v>
      </c>
      <c r="C347" s="1092">
        <v>0</v>
      </c>
      <c r="D347" s="1092">
        <v>0</v>
      </c>
      <c r="E347" s="1092">
        <v>0</v>
      </c>
      <c r="F347" s="1092">
        <v>0</v>
      </c>
      <c r="G347" s="1092">
        <v>0</v>
      </c>
      <c r="H347" s="1092">
        <v>0</v>
      </c>
      <c r="I347" s="1092">
        <v>0</v>
      </c>
      <c r="J347" s="1092">
        <v>0</v>
      </c>
      <c r="K347" s="1092">
        <v>0</v>
      </c>
      <c r="L347" s="1092">
        <v>0</v>
      </c>
      <c r="M347" s="1092">
        <v>0</v>
      </c>
      <c r="N347" s="27">
        <f t="shared" si="47"/>
        <v>0</v>
      </c>
    </row>
    <row r="348" spans="1:14">
      <c r="A348" s="78" t="s">
        <v>188</v>
      </c>
      <c r="B348" s="1102">
        <v>0</v>
      </c>
      <c r="C348" s="1092">
        <v>0</v>
      </c>
      <c r="D348" s="1092">
        <v>0</v>
      </c>
      <c r="E348" s="1092">
        <v>0</v>
      </c>
      <c r="F348" s="1092">
        <v>0</v>
      </c>
      <c r="G348" s="1092">
        <v>0</v>
      </c>
      <c r="H348" s="1092">
        <v>0</v>
      </c>
      <c r="I348" s="1092">
        <v>0</v>
      </c>
      <c r="J348" s="1092">
        <v>0</v>
      </c>
      <c r="K348" s="1092">
        <v>0</v>
      </c>
      <c r="L348" s="1092">
        <v>0</v>
      </c>
      <c r="M348" s="1092">
        <v>0</v>
      </c>
      <c r="N348" s="27">
        <f t="shared" si="47"/>
        <v>0</v>
      </c>
    </row>
    <row r="349" spans="1:14">
      <c r="A349" s="78" t="s">
        <v>213</v>
      </c>
      <c r="B349" s="1102">
        <v>0</v>
      </c>
      <c r="C349" s="1092">
        <v>0</v>
      </c>
      <c r="D349" s="1092">
        <v>0</v>
      </c>
      <c r="E349" s="1092">
        <v>0</v>
      </c>
      <c r="F349" s="1092">
        <v>0</v>
      </c>
      <c r="G349" s="1092">
        <v>0</v>
      </c>
      <c r="H349" s="1092">
        <v>0</v>
      </c>
      <c r="I349" s="1092">
        <v>0</v>
      </c>
      <c r="J349" s="1092">
        <v>1</v>
      </c>
      <c r="K349" s="1092">
        <v>1</v>
      </c>
      <c r="L349" s="1092">
        <v>0</v>
      </c>
      <c r="M349" s="1092">
        <v>0</v>
      </c>
      <c r="N349" s="27">
        <f t="shared" si="47"/>
        <v>2</v>
      </c>
    </row>
    <row r="350" spans="1:14">
      <c r="A350" s="76" t="s">
        <v>267</v>
      </c>
      <c r="B350" s="1092">
        <v>0</v>
      </c>
      <c r="C350" s="1092">
        <v>0</v>
      </c>
      <c r="D350" s="1092">
        <v>0</v>
      </c>
      <c r="E350" s="1092">
        <v>0</v>
      </c>
      <c r="F350" s="1092">
        <v>0</v>
      </c>
      <c r="G350" s="1092">
        <v>0</v>
      </c>
      <c r="H350" s="1092">
        <v>0</v>
      </c>
      <c r="I350" s="1092">
        <v>0</v>
      </c>
      <c r="J350" s="1092">
        <v>0</v>
      </c>
      <c r="K350" s="1092">
        <v>0</v>
      </c>
      <c r="L350" s="1092">
        <v>0</v>
      </c>
      <c r="M350" s="1092">
        <v>0</v>
      </c>
      <c r="N350" s="27">
        <f t="shared" si="47"/>
        <v>0</v>
      </c>
    </row>
    <row r="351" spans="1:14" ht="14" thickBot="1">
      <c r="A351" s="32" t="s">
        <v>268</v>
      </c>
      <c r="B351" s="1092">
        <v>0</v>
      </c>
      <c r="C351" s="1092">
        <v>0</v>
      </c>
      <c r="D351" s="1092">
        <v>480</v>
      </c>
      <c r="E351" s="1092">
        <v>0</v>
      </c>
      <c r="F351" s="1092">
        <v>0</v>
      </c>
      <c r="G351" s="1092">
        <v>0</v>
      </c>
      <c r="H351" s="1092">
        <v>0</v>
      </c>
      <c r="I351" s="1092">
        <v>0</v>
      </c>
      <c r="J351" s="1092">
        <v>0</v>
      </c>
      <c r="K351" s="1092">
        <v>161</v>
      </c>
      <c r="L351" s="1092">
        <v>0</v>
      </c>
      <c r="M351" s="1092">
        <v>0</v>
      </c>
      <c r="N351" s="27">
        <f>SUM(B351:M351)</f>
        <v>641</v>
      </c>
    </row>
    <row r="352" spans="1:14" ht="14" thickBot="1">
      <c r="A352" s="38" t="s">
        <v>192</v>
      </c>
      <c r="B352" s="281"/>
      <c r="C352" s="39"/>
      <c r="D352" s="39"/>
      <c r="E352" s="39"/>
      <c r="F352" s="39"/>
      <c r="G352" s="39"/>
      <c r="H352" s="39"/>
      <c r="I352" s="39"/>
      <c r="J352" s="39"/>
      <c r="K352" s="39"/>
      <c r="L352" s="39"/>
      <c r="M352" s="39"/>
      <c r="N352" s="280"/>
    </row>
    <row r="353" spans="1:14" ht="14" thickBot="1">
      <c r="A353" s="32" t="s">
        <v>165</v>
      </c>
      <c r="B353" s="1092">
        <v>0</v>
      </c>
      <c r="C353" s="1092">
        <v>0</v>
      </c>
      <c r="D353" s="1092">
        <v>0</v>
      </c>
      <c r="E353" s="1092">
        <v>0</v>
      </c>
      <c r="F353" s="1092">
        <v>0</v>
      </c>
      <c r="G353" s="1092">
        <v>0</v>
      </c>
      <c r="H353" s="1092">
        <v>0</v>
      </c>
      <c r="I353" s="1092">
        <v>0</v>
      </c>
      <c r="J353" s="1092">
        <v>0</v>
      </c>
      <c r="K353" s="1092">
        <v>0</v>
      </c>
      <c r="L353" s="1092">
        <v>0</v>
      </c>
      <c r="M353" s="1092">
        <v>0</v>
      </c>
      <c r="N353" s="27">
        <f>SUM(B353:M353)</f>
        <v>0</v>
      </c>
    </row>
    <row r="354" spans="1:14" ht="14" thickBot="1">
      <c r="A354" s="53" t="s">
        <v>60</v>
      </c>
      <c r="B354" s="55">
        <f t="shared" ref="B354:L354" si="48">SUM(B340:B353)</f>
        <v>0</v>
      </c>
      <c r="C354" s="55">
        <f t="shared" si="48"/>
        <v>0</v>
      </c>
      <c r="D354" s="55">
        <f t="shared" si="48"/>
        <v>480</v>
      </c>
      <c r="E354" s="55">
        <f t="shared" si="48"/>
        <v>0</v>
      </c>
      <c r="F354" s="55">
        <f t="shared" si="48"/>
        <v>0</v>
      </c>
      <c r="G354" s="55">
        <f t="shared" si="48"/>
        <v>0</v>
      </c>
      <c r="H354" s="55">
        <f t="shared" si="48"/>
        <v>0</v>
      </c>
      <c r="I354" s="55">
        <f t="shared" si="48"/>
        <v>0</v>
      </c>
      <c r="J354" s="55">
        <f t="shared" si="48"/>
        <v>1</v>
      </c>
      <c r="K354" s="55">
        <f t="shared" si="48"/>
        <v>162</v>
      </c>
      <c r="L354" s="55">
        <f t="shared" si="48"/>
        <v>0</v>
      </c>
      <c r="M354" s="55">
        <f>SUM(M340:M353)</f>
        <v>0</v>
      </c>
      <c r="N354" s="54">
        <f>SUM(N340:N353)</f>
        <v>643</v>
      </c>
    </row>
    <row r="356" spans="1:14" ht="14" thickBot="1">
      <c r="B356" s="43" t="s">
        <v>35</v>
      </c>
      <c r="C356" s="43" t="s">
        <v>36</v>
      </c>
      <c r="D356" s="43" t="s">
        <v>37</v>
      </c>
      <c r="E356" s="43" t="s">
        <v>38</v>
      </c>
      <c r="F356" s="43" t="s">
        <v>39</v>
      </c>
      <c r="G356" s="43" t="s">
        <v>40</v>
      </c>
      <c r="H356" s="43" t="s">
        <v>41</v>
      </c>
      <c r="I356" s="43" t="s">
        <v>42</v>
      </c>
      <c r="J356" s="43" t="s">
        <v>43</v>
      </c>
      <c r="K356" s="43" t="s">
        <v>44</v>
      </c>
      <c r="L356" s="43" t="s">
        <v>45</v>
      </c>
      <c r="M356" s="43" t="s">
        <v>46</v>
      </c>
      <c r="N356" s="43" t="s">
        <v>10</v>
      </c>
    </row>
    <row r="357" spans="1:14" ht="17" thickBot="1">
      <c r="A357" s="31" t="s">
        <v>350</v>
      </c>
      <c r="B357" s="24"/>
      <c r="C357" s="24"/>
      <c r="D357" s="22"/>
      <c r="E357" s="22"/>
      <c r="F357" s="25"/>
      <c r="G357" s="25"/>
      <c r="H357" s="22"/>
      <c r="I357" s="22"/>
      <c r="J357" s="22"/>
      <c r="K357" s="22"/>
      <c r="L357" s="24"/>
      <c r="M357" s="24"/>
      <c r="N357" s="26"/>
    </row>
    <row r="358" spans="1:14" ht="14" thickBot="1">
      <c r="A358" s="38" t="s">
        <v>189</v>
      </c>
      <c r="B358" s="39"/>
      <c r="C358" s="39"/>
      <c r="D358" s="39"/>
      <c r="E358" s="39"/>
      <c r="F358" s="39"/>
      <c r="G358" s="39"/>
      <c r="H358" s="39"/>
      <c r="I358" s="39"/>
      <c r="J358" s="39"/>
      <c r="K358" s="39"/>
      <c r="L358" s="39"/>
      <c r="M358" s="39"/>
      <c r="N358" s="40"/>
    </row>
    <row r="359" spans="1:14">
      <c r="A359" s="32" t="s">
        <v>29</v>
      </c>
      <c r="B359" s="1092">
        <v>3</v>
      </c>
      <c r="C359" s="1092">
        <v>0</v>
      </c>
      <c r="D359" s="1092">
        <v>0</v>
      </c>
      <c r="E359" s="1092">
        <v>3</v>
      </c>
      <c r="F359" s="1092">
        <v>2</v>
      </c>
      <c r="G359" s="1092">
        <v>5</v>
      </c>
      <c r="H359" s="1092">
        <v>3</v>
      </c>
      <c r="I359" s="1092">
        <v>3</v>
      </c>
      <c r="J359" s="1092">
        <v>0</v>
      </c>
      <c r="K359" s="1092">
        <v>0</v>
      </c>
      <c r="L359" s="1092">
        <v>0</v>
      </c>
      <c r="M359" s="1092">
        <v>2</v>
      </c>
      <c r="N359" s="27">
        <f t="shared" ref="N359:N366" si="49">SUM(B359:M359)</f>
        <v>21</v>
      </c>
    </row>
    <row r="360" spans="1:14">
      <c r="A360" s="32" t="s">
        <v>33</v>
      </c>
      <c r="B360" s="1092">
        <v>1</v>
      </c>
      <c r="C360" s="1092">
        <v>11</v>
      </c>
      <c r="D360" s="1092">
        <v>0</v>
      </c>
      <c r="E360" s="1092">
        <v>3</v>
      </c>
      <c r="F360" s="1092">
        <v>5</v>
      </c>
      <c r="G360" s="1092">
        <v>3</v>
      </c>
      <c r="H360" s="1092">
        <v>0</v>
      </c>
      <c r="I360" s="1092">
        <v>2</v>
      </c>
      <c r="J360" s="1092">
        <v>5</v>
      </c>
      <c r="K360" s="1092">
        <v>0</v>
      </c>
      <c r="L360" s="1092">
        <v>0</v>
      </c>
      <c r="M360" s="1092">
        <v>7</v>
      </c>
      <c r="N360" s="27">
        <f t="shared" si="49"/>
        <v>37</v>
      </c>
    </row>
    <row r="361" spans="1:14">
      <c r="A361" s="32" t="s">
        <v>56</v>
      </c>
      <c r="B361" s="1092">
        <v>0</v>
      </c>
      <c r="C361" s="1092">
        <v>0</v>
      </c>
      <c r="D361" s="1092">
        <v>0</v>
      </c>
      <c r="E361" s="1092">
        <v>0</v>
      </c>
      <c r="F361" s="1092">
        <v>0</v>
      </c>
      <c r="G361" s="1092">
        <v>0</v>
      </c>
      <c r="H361" s="1092">
        <v>0</v>
      </c>
      <c r="I361" s="1092">
        <v>0</v>
      </c>
      <c r="J361" s="1092">
        <v>0</v>
      </c>
      <c r="K361" s="1092">
        <v>0</v>
      </c>
      <c r="L361" s="1092">
        <v>0</v>
      </c>
      <c r="M361" s="1092">
        <v>0</v>
      </c>
      <c r="N361" s="27">
        <f t="shared" si="49"/>
        <v>0</v>
      </c>
    </row>
    <row r="362" spans="1:14">
      <c r="A362" s="78" t="s">
        <v>30</v>
      </c>
      <c r="B362" s="1092">
        <v>0</v>
      </c>
      <c r="C362" s="1092">
        <v>0</v>
      </c>
      <c r="D362" s="1092">
        <v>0</v>
      </c>
      <c r="E362" s="1092">
        <v>0</v>
      </c>
      <c r="F362" s="1092">
        <v>3</v>
      </c>
      <c r="G362" s="1092">
        <v>0</v>
      </c>
      <c r="H362" s="1092">
        <v>0</v>
      </c>
      <c r="I362" s="1092">
        <v>1</v>
      </c>
      <c r="J362" s="1092">
        <v>0</v>
      </c>
      <c r="K362" s="1092">
        <v>0</v>
      </c>
      <c r="L362" s="1092">
        <v>0</v>
      </c>
      <c r="M362" s="1092">
        <v>3</v>
      </c>
      <c r="N362" s="27">
        <f t="shared" si="49"/>
        <v>7</v>
      </c>
    </row>
    <row r="363" spans="1:14">
      <c r="A363" s="76" t="s">
        <v>213</v>
      </c>
      <c r="B363" s="1092">
        <v>0</v>
      </c>
      <c r="C363" s="1092">
        <v>0</v>
      </c>
      <c r="D363" s="1092">
        <v>0</v>
      </c>
      <c r="E363" s="1092">
        <v>0</v>
      </c>
      <c r="F363" s="1092">
        <v>0</v>
      </c>
      <c r="G363" s="1092">
        <v>0</v>
      </c>
      <c r="H363" s="1092">
        <v>0</v>
      </c>
      <c r="I363" s="1092">
        <v>0</v>
      </c>
      <c r="J363" s="1092">
        <v>0</v>
      </c>
      <c r="K363" s="1092">
        <v>0</v>
      </c>
      <c r="L363" s="1092">
        <v>0</v>
      </c>
      <c r="M363" s="1092">
        <v>0</v>
      </c>
      <c r="N363" s="27">
        <f t="shared" si="49"/>
        <v>0</v>
      </c>
    </row>
    <row r="364" spans="1:14">
      <c r="A364" s="76" t="s">
        <v>212</v>
      </c>
      <c r="B364" s="1092">
        <v>0</v>
      </c>
      <c r="C364" s="1092">
        <v>0</v>
      </c>
      <c r="D364" s="1092">
        <v>0</v>
      </c>
      <c r="E364" s="1092">
        <v>0</v>
      </c>
      <c r="F364" s="1092">
        <v>0</v>
      </c>
      <c r="G364" s="1092">
        <v>0</v>
      </c>
      <c r="H364" s="1092">
        <v>0</v>
      </c>
      <c r="I364" s="1092">
        <v>0</v>
      </c>
      <c r="J364" s="1092">
        <v>0</v>
      </c>
      <c r="K364" s="1092">
        <v>0</v>
      </c>
      <c r="L364" s="1092">
        <v>0</v>
      </c>
      <c r="M364" s="1092">
        <v>0</v>
      </c>
      <c r="N364" s="27">
        <f t="shared" si="49"/>
        <v>0</v>
      </c>
    </row>
    <row r="365" spans="1:14">
      <c r="A365" s="76" t="s">
        <v>331</v>
      </c>
      <c r="B365" s="1092">
        <v>0</v>
      </c>
      <c r="C365" s="1092">
        <v>0</v>
      </c>
      <c r="D365" s="1092">
        <v>0</v>
      </c>
      <c r="E365" s="1092">
        <v>0</v>
      </c>
      <c r="F365" s="1092">
        <v>0</v>
      </c>
      <c r="G365" s="1092">
        <v>0</v>
      </c>
      <c r="H365" s="1092">
        <v>0</v>
      </c>
      <c r="I365" s="1092">
        <v>0</v>
      </c>
      <c r="J365" s="1092">
        <v>0</v>
      </c>
      <c r="K365" s="1092">
        <v>0</v>
      </c>
      <c r="L365" s="1092">
        <v>0</v>
      </c>
      <c r="M365" s="1092">
        <v>0</v>
      </c>
      <c r="N365" s="27">
        <f t="shared" si="49"/>
        <v>0</v>
      </c>
    </row>
    <row r="366" spans="1:14" ht="14" thickBot="1">
      <c r="A366" s="76" t="s">
        <v>267</v>
      </c>
      <c r="B366" s="1092">
        <v>0</v>
      </c>
      <c r="C366" s="1092">
        <v>0</v>
      </c>
      <c r="D366" s="1092">
        <v>0</v>
      </c>
      <c r="E366" s="1092">
        <v>0</v>
      </c>
      <c r="F366" s="1092">
        <v>0</v>
      </c>
      <c r="G366" s="1092">
        <v>0</v>
      </c>
      <c r="H366" s="1092">
        <v>0</v>
      </c>
      <c r="I366" s="1092">
        <v>0</v>
      </c>
      <c r="J366" s="1092">
        <v>0</v>
      </c>
      <c r="K366" s="1092">
        <v>0</v>
      </c>
      <c r="L366" s="1092">
        <v>0</v>
      </c>
      <c r="M366" s="1092">
        <v>0</v>
      </c>
      <c r="N366" s="27">
        <f t="shared" si="49"/>
        <v>0</v>
      </c>
    </row>
    <row r="367" spans="1:14" ht="14" thickBot="1">
      <c r="A367" s="38" t="s">
        <v>190</v>
      </c>
      <c r="B367" s="39"/>
      <c r="C367" s="39"/>
      <c r="D367" s="39"/>
      <c r="E367" s="39"/>
      <c r="F367" s="39"/>
      <c r="G367" s="39"/>
      <c r="H367" s="39"/>
      <c r="I367" s="39"/>
      <c r="J367" s="39"/>
      <c r="K367" s="39"/>
      <c r="L367" s="39"/>
      <c r="M367" s="39"/>
      <c r="N367" s="280"/>
    </row>
    <row r="368" spans="1:14">
      <c r="A368" s="76" t="s">
        <v>165</v>
      </c>
      <c r="B368" s="1092">
        <v>25</v>
      </c>
      <c r="C368" s="1092">
        <v>0</v>
      </c>
      <c r="D368" s="1092">
        <v>0</v>
      </c>
      <c r="E368" s="1092">
        <v>0</v>
      </c>
      <c r="F368" s="1092">
        <v>0</v>
      </c>
      <c r="G368" s="1092">
        <v>25</v>
      </c>
      <c r="H368" s="1092">
        <v>0</v>
      </c>
      <c r="I368" s="1092">
        <v>0</v>
      </c>
      <c r="J368" s="1092">
        <v>0</v>
      </c>
      <c r="K368" s="1092">
        <v>946</v>
      </c>
      <c r="L368" s="1092">
        <v>0</v>
      </c>
      <c r="M368" s="1092">
        <v>0</v>
      </c>
      <c r="N368" s="27">
        <f>SUM(B368:M368)</f>
        <v>996</v>
      </c>
    </row>
    <row r="369" spans="1:14">
      <c r="A369" s="76" t="s">
        <v>166</v>
      </c>
      <c r="B369" s="1092">
        <v>1</v>
      </c>
      <c r="C369" s="1092">
        <v>0</v>
      </c>
      <c r="D369" s="1092">
        <v>0</v>
      </c>
      <c r="E369" s="1092">
        <v>0</v>
      </c>
      <c r="F369" s="1092">
        <v>0</v>
      </c>
      <c r="G369" s="1092">
        <v>0</v>
      </c>
      <c r="H369" s="1092">
        <v>0</v>
      </c>
      <c r="I369" s="1092">
        <v>0</v>
      </c>
      <c r="J369" s="1092">
        <v>1</v>
      </c>
      <c r="K369" s="1092">
        <v>0</v>
      </c>
      <c r="L369" s="1092">
        <v>0</v>
      </c>
      <c r="M369" s="1092">
        <v>0</v>
      </c>
      <c r="N369" s="27">
        <f>SUM(B369:M369)</f>
        <v>2</v>
      </c>
    </row>
    <row r="370" spans="1:14">
      <c r="A370" s="76" t="s">
        <v>336</v>
      </c>
      <c r="B370" s="1092">
        <v>7</v>
      </c>
      <c r="C370" s="1092">
        <v>4</v>
      </c>
      <c r="D370" s="1092">
        <v>4</v>
      </c>
      <c r="E370" s="1092">
        <v>8</v>
      </c>
      <c r="F370" s="1092">
        <v>0</v>
      </c>
      <c r="G370" s="1092">
        <v>0</v>
      </c>
      <c r="H370" s="1092">
        <v>2</v>
      </c>
      <c r="I370" s="1092">
        <v>2</v>
      </c>
      <c r="J370" s="1092">
        <v>0</v>
      </c>
      <c r="K370" s="1092">
        <v>7</v>
      </c>
      <c r="L370" s="1092">
        <v>7</v>
      </c>
      <c r="M370" s="1092">
        <v>2</v>
      </c>
      <c r="N370" s="27">
        <f>SUM(B370:M370)</f>
        <v>43</v>
      </c>
    </row>
    <row r="371" spans="1:14" ht="14" thickBot="1">
      <c r="A371" s="76" t="s">
        <v>266</v>
      </c>
      <c r="B371" s="1092">
        <v>0</v>
      </c>
      <c r="C371" s="1092">
        <v>1</v>
      </c>
      <c r="D371" s="1092">
        <v>0</v>
      </c>
      <c r="E371" s="1092">
        <v>0</v>
      </c>
      <c r="F371" s="1092">
        <v>0</v>
      </c>
      <c r="G371" s="1092">
        <v>0</v>
      </c>
      <c r="H371" s="1092">
        <v>1</v>
      </c>
      <c r="I371" s="1092">
        <v>0</v>
      </c>
      <c r="J371" s="1092">
        <v>0</v>
      </c>
      <c r="K371" s="1092">
        <v>0</v>
      </c>
      <c r="L371" s="1092">
        <v>0</v>
      </c>
      <c r="M371" s="1092">
        <v>1</v>
      </c>
      <c r="N371" s="27">
        <f>SUM(B371:M371)</f>
        <v>3</v>
      </c>
    </row>
    <row r="372" spans="1:14" ht="14" thickBot="1">
      <c r="A372" s="53" t="s">
        <v>60</v>
      </c>
      <c r="B372" s="55">
        <f t="shared" ref="B372:M372" si="50">SUM(B359:B371)</f>
        <v>37</v>
      </c>
      <c r="C372" s="55">
        <f t="shared" si="50"/>
        <v>16</v>
      </c>
      <c r="D372" s="55">
        <f t="shared" si="50"/>
        <v>4</v>
      </c>
      <c r="E372" s="55">
        <f t="shared" si="50"/>
        <v>14</v>
      </c>
      <c r="F372" s="55">
        <f t="shared" si="50"/>
        <v>10</v>
      </c>
      <c r="G372" s="55">
        <f t="shared" si="50"/>
        <v>33</v>
      </c>
      <c r="H372" s="55">
        <f t="shared" si="50"/>
        <v>6</v>
      </c>
      <c r="I372" s="55">
        <f t="shared" si="50"/>
        <v>8</v>
      </c>
      <c r="J372" s="55">
        <f t="shared" si="50"/>
        <v>6</v>
      </c>
      <c r="K372" s="55">
        <f t="shared" si="50"/>
        <v>953</v>
      </c>
      <c r="L372" s="55">
        <f t="shared" si="50"/>
        <v>7</v>
      </c>
      <c r="M372" s="55">
        <f t="shared" si="50"/>
        <v>15</v>
      </c>
      <c r="N372" s="54"/>
    </row>
    <row r="373" spans="1:14" ht="14" thickBot="1">
      <c r="A373" s="38" t="s">
        <v>194</v>
      </c>
      <c r="B373" s="39"/>
      <c r="C373" s="39"/>
      <c r="D373" s="39"/>
      <c r="E373" s="39"/>
      <c r="F373" s="39"/>
      <c r="G373" s="39"/>
      <c r="H373" s="39"/>
      <c r="I373" s="39"/>
      <c r="J373" s="39"/>
      <c r="K373" s="39"/>
      <c r="L373" s="39"/>
      <c r="M373" s="39"/>
      <c r="N373" s="40"/>
    </row>
    <row r="374" spans="1:14">
      <c r="A374" s="32" t="s">
        <v>29</v>
      </c>
      <c r="B374" s="1092">
        <v>0</v>
      </c>
      <c r="C374" s="1092">
        <v>0</v>
      </c>
      <c r="D374" s="1092">
        <v>0</v>
      </c>
      <c r="E374" s="1092">
        <v>0</v>
      </c>
      <c r="F374" s="1092">
        <v>0</v>
      </c>
      <c r="G374" s="1092">
        <v>0</v>
      </c>
      <c r="H374" s="1092">
        <v>0</v>
      </c>
      <c r="I374" s="1092">
        <v>0</v>
      </c>
      <c r="J374" s="1092">
        <v>0</v>
      </c>
      <c r="K374" s="1092">
        <v>0</v>
      </c>
      <c r="L374" s="1092">
        <v>0</v>
      </c>
      <c r="M374" s="1092">
        <v>0</v>
      </c>
      <c r="N374" s="27">
        <f t="shared" ref="N374:N385" si="51">SUM(B374:M374)</f>
        <v>0</v>
      </c>
    </row>
    <row r="375" spans="1:14">
      <c r="A375" s="78" t="s">
        <v>264</v>
      </c>
      <c r="B375" s="1092">
        <v>0</v>
      </c>
      <c r="C375" s="1092">
        <v>0</v>
      </c>
      <c r="D375" s="1092">
        <v>0</v>
      </c>
      <c r="E375" s="1092">
        <v>0</v>
      </c>
      <c r="F375" s="1092">
        <v>0</v>
      </c>
      <c r="G375" s="1092">
        <v>0</v>
      </c>
      <c r="H375" s="1092">
        <v>0</v>
      </c>
      <c r="I375" s="1092">
        <v>0</v>
      </c>
      <c r="J375" s="1092">
        <v>0</v>
      </c>
      <c r="K375" s="1092">
        <v>0</v>
      </c>
      <c r="L375" s="1092">
        <v>0</v>
      </c>
      <c r="M375" s="1092">
        <v>0</v>
      </c>
      <c r="N375" s="27">
        <f t="shared" si="51"/>
        <v>0</v>
      </c>
    </row>
    <row r="376" spans="1:14">
      <c r="A376" s="34" t="s">
        <v>204</v>
      </c>
      <c r="B376" s="1092">
        <v>0</v>
      </c>
      <c r="C376" s="1092">
        <v>0</v>
      </c>
      <c r="D376" s="1092">
        <v>0</v>
      </c>
      <c r="E376" s="1092">
        <v>0</v>
      </c>
      <c r="F376" s="1092">
        <v>0</v>
      </c>
      <c r="G376" s="1092">
        <v>0</v>
      </c>
      <c r="H376" s="1092">
        <v>0</v>
      </c>
      <c r="I376" s="1092">
        <v>0</v>
      </c>
      <c r="J376" s="1092">
        <v>0</v>
      </c>
      <c r="K376" s="1092">
        <v>0</v>
      </c>
      <c r="L376" s="1092">
        <v>0</v>
      </c>
      <c r="M376" s="1092">
        <v>0</v>
      </c>
      <c r="N376" s="27">
        <f t="shared" si="51"/>
        <v>0</v>
      </c>
    </row>
    <row r="377" spans="1:14">
      <c r="A377" s="76" t="s">
        <v>30</v>
      </c>
      <c r="B377" s="1092">
        <v>0</v>
      </c>
      <c r="C377" s="1092">
        <v>0</v>
      </c>
      <c r="D377" s="1092">
        <v>0</v>
      </c>
      <c r="E377" s="1092">
        <v>0</v>
      </c>
      <c r="F377" s="1092">
        <v>0</v>
      </c>
      <c r="G377" s="1092">
        <v>0</v>
      </c>
      <c r="H377" s="1092">
        <v>0</v>
      </c>
      <c r="I377" s="1092">
        <v>0</v>
      </c>
      <c r="J377" s="1092">
        <v>0</v>
      </c>
      <c r="K377" s="1092">
        <v>0</v>
      </c>
      <c r="L377" s="1092">
        <v>0</v>
      </c>
      <c r="M377" s="1092">
        <v>0</v>
      </c>
      <c r="N377" s="27">
        <f t="shared" si="51"/>
        <v>0</v>
      </c>
    </row>
    <row r="378" spans="1:14">
      <c r="A378" s="32" t="s">
        <v>56</v>
      </c>
      <c r="B378" s="1092">
        <v>0</v>
      </c>
      <c r="C378" s="1092">
        <v>0</v>
      </c>
      <c r="D378" s="1092">
        <v>0</v>
      </c>
      <c r="E378" s="1092">
        <v>0</v>
      </c>
      <c r="F378" s="1092">
        <v>0</v>
      </c>
      <c r="G378" s="1092">
        <v>0</v>
      </c>
      <c r="H378" s="1092">
        <v>0</v>
      </c>
      <c r="I378" s="1092">
        <v>0</v>
      </c>
      <c r="J378" s="1092">
        <v>0</v>
      </c>
      <c r="K378" s="1092">
        <v>0</v>
      </c>
      <c r="L378" s="1092">
        <v>0</v>
      </c>
      <c r="M378" s="1092">
        <v>0</v>
      </c>
      <c r="N378" s="27">
        <f t="shared" si="51"/>
        <v>0</v>
      </c>
    </row>
    <row r="379" spans="1:14">
      <c r="A379" s="78" t="s">
        <v>122</v>
      </c>
      <c r="B379" s="1092">
        <v>0</v>
      </c>
      <c r="C379" s="1092">
        <v>0</v>
      </c>
      <c r="D379" s="1092">
        <v>0</v>
      </c>
      <c r="E379" s="1092">
        <v>0</v>
      </c>
      <c r="F379" s="1092">
        <v>0</v>
      </c>
      <c r="G379" s="1092">
        <v>0</v>
      </c>
      <c r="H379" s="1092">
        <v>0</v>
      </c>
      <c r="I379" s="1092">
        <v>0</v>
      </c>
      <c r="J379" s="1092">
        <v>0</v>
      </c>
      <c r="K379" s="1092">
        <v>0</v>
      </c>
      <c r="L379" s="1092">
        <v>0</v>
      </c>
      <c r="M379" s="1092">
        <v>0</v>
      </c>
      <c r="N379" s="27">
        <f t="shared" si="51"/>
        <v>0</v>
      </c>
    </row>
    <row r="380" spans="1:14">
      <c r="A380" s="78" t="s">
        <v>184</v>
      </c>
      <c r="B380" s="1092">
        <v>0</v>
      </c>
      <c r="C380" s="1092">
        <v>0</v>
      </c>
      <c r="D380" s="1092">
        <v>0</v>
      </c>
      <c r="E380" s="1092">
        <v>0</v>
      </c>
      <c r="F380" s="1092">
        <v>0</v>
      </c>
      <c r="G380" s="1092">
        <v>0</v>
      </c>
      <c r="H380" s="1092">
        <v>0</v>
      </c>
      <c r="I380" s="1092">
        <v>0</v>
      </c>
      <c r="J380" s="1092">
        <v>0</v>
      </c>
      <c r="K380" s="1092">
        <v>0</v>
      </c>
      <c r="L380" s="1092">
        <v>0</v>
      </c>
      <c r="M380" s="1092">
        <v>0</v>
      </c>
      <c r="N380" s="27">
        <f t="shared" si="51"/>
        <v>0</v>
      </c>
    </row>
    <row r="381" spans="1:14">
      <c r="A381" s="78" t="s">
        <v>187</v>
      </c>
      <c r="B381" s="1092">
        <v>0</v>
      </c>
      <c r="C381" s="1092">
        <v>0</v>
      </c>
      <c r="D381" s="1092">
        <v>0</v>
      </c>
      <c r="E381" s="1092">
        <v>0</v>
      </c>
      <c r="F381" s="1092">
        <v>0</v>
      </c>
      <c r="G381" s="1092">
        <v>0</v>
      </c>
      <c r="H381" s="1092">
        <v>0</v>
      </c>
      <c r="I381" s="1092">
        <v>0</v>
      </c>
      <c r="J381" s="1092">
        <v>0</v>
      </c>
      <c r="K381" s="1092">
        <v>0</v>
      </c>
      <c r="L381" s="1092">
        <v>0</v>
      </c>
      <c r="M381" s="1092">
        <v>0</v>
      </c>
      <c r="N381" s="27">
        <f t="shared" si="51"/>
        <v>0</v>
      </c>
    </row>
    <row r="382" spans="1:14">
      <c r="A382" s="78" t="s">
        <v>188</v>
      </c>
      <c r="B382" s="1092">
        <v>0</v>
      </c>
      <c r="C382" s="1092">
        <v>0</v>
      </c>
      <c r="D382" s="1092">
        <v>0</v>
      </c>
      <c r="E382" s="1092">
        <v>0</v>
      </c>
      <c r="F382" s="1092">
        <v>0</v>
      </c>
      <c r="G382" s="1092">
        <v>0</v>
      </c>
      <c r="H382" s="1092">
        <v>0</v>
      </c>
      <c r="I382" s="1092">
        <v>0</v>
      </c>
      <c r="J382" s="1092">
        <v>0</v>
      </c>
      <c r="K382" s="1092">
        <v>0</v>
      </c>
      <c r="L382" s="1092">
        <v>0</v>
      </c>
      <c r="M382" s="1092">
        <v>0</v>
      </c>
      <c r="N382" s="27">
        <f t="shared" si="51"/>
        <v>0</v>
      </c>
    </row>
    <row r="383" spans="1:14">
      <c r="A383" s="78" t="s">
        <v>213</v>
      </c>
      <c r="B383" s="1092">
        <v>0</v>
      </c>
      <c r="C383" s="1092">
        <v>0</v>
      </c>
      <c r="D383" s="1092">
        <v>0</v>
      </c>
      <c r="E383" s="1092">
        <v>0</v>
      </c>
      <c r="F383" s="1092">
        <v>0</v>
      </c>
      <c r="G383" s="1092">
        <v>0</v>
      </c>
      <c r="H383" s="1092">
        <v>0</v>
      </c>
      <c r="I383" s="1092">
        <v>0</v>
      </c>
      <c r="J383" s="1092">
        <v>0</v>
      </c>
      <c r="K383" s="1092">
        <v>0</v>
      </c>
      <c r="L383" s="1092">
        <v>0</v>
      </c>
      <c r="M383" s="1092">
        <v>0</v>
      </c>
      <c r="N383" s="27">
        <f t="shared" si="51"/>
        <v>0</v>
      </c>
    </row>
    <row r="384" spans="1:14">
      <c r="A384" s="76" t="s">
        <v>267</v>
      </c>
      <c r="B384" s="1092">
        <v>0</v>
      </c>
      <c r="C384" s="1092">
        <v>0</v>
      </c>
      <c r="D384" s="1092">
        <v>0</v>
      </c>
      <c r="E384" s="1092">
        <v>0</v>
      </c>
      <c r="F384" s="1092">
        <v>0</v>
      </c>
      <c r="G384" s="1092">
        <v>0</v>
      </c>
      <c r="H384" s="1092">
        <v>0</v>
      </c>
      <c r="I384" s="1092">
        <v>0</v>
      </c>
      <c r="J384" s="1092">
        <v>0</v>
      </c>
      <c r="K384" s="1092">
        <v>0</v>
      </c>
      <c r="L384" s="1092">
        <v>0</v>
      </c>
      <c r="M384" s="1092">
        <v>0</v>
      </c>
      <c r="N384" s="27">
        <f t="shared" si="51"/>
        <v>0</v>
      </c>
    </row>
    <row r="385" spans="1:14" ht="14" thickBot="1">
      <c r="A385" s="78" t="s">
        <v>268</v>
      </c>
      <c r="B385" s="1092">
        <v>0</v>
      </c>
      <c r="C385" s="1092">
        <v>0</v>
      </c>
      <c r="D385" s="1092">
        <v>0</v>
      </c>
      <c r="E385" s="1092">
        <v>0</v>
      </c>
      <c r="F385" s="1092">
        <v>0</v>
      </c>
      <c r="G385" s="1092">
        <v>0</v>
      </c>
      <c r="H385" s="1092">
        <v>0</v>
      </c>
      <c r="I385" s="1092">
        <v>0</v>
      </c>
      <c r="J385" s="1092">
        <v>0</v>
      </c>
      <c r="K385" s="1092">
        <v>0</v>
      </c>
      <c r="L385" s="1092">
        <v>0</v>
      </c>
      <c r="M385" s="1092">
        <v>0</v>
      </c>
      <c r="N385" s="27">
        <f t="shared" si="51"/>
        <v>0</v>
      </c>
    </row>
    <row r="386" spans="1:14" ht="14" thickBot="1">
      <c r="A386" s="38" t="s">
        <v>192</v>
      </c>
      <c r="B386" s="39"/>
      <c r="C386" s="39"/>
      <c r="D386" s="39"/>
      <c r="E386" s="39"/>
      <c r="F386" s="39"/>
      <c r="G386" s="39"/>
      <c r="H386" s="39"/>
      <c r="I386" s="39"/>
      <c r="J386" s="39"/>
      <c r="K386" s="39"/>
      <c r="L386" s="39"/>
      <c r="M386" s="39"/>
      <c r="N386" s="40"/>
    </row>
    <row r="387" spans="1:14" ht="14" thickBot="1">
      <c r="A387" s="32" t="s">
        <v>165</v>
      </c>
      <c r="B387" s="1092">
        <v>0</v>
      </c>
      <c r="C387" s="1092">
        <v>0</v>
      </c>
      <c r="D387" s="1092">
        <v>0</v>
      </c>
      <c r="E387" s="1092">
        <v>0</v>
      </c>
      <c r="F387" s="1092">
        <v>0</v>
      </c>
      <c r="G387" s="1092">
        <v>0</v>
      </c>
      <c r="H387" s="1092">
        <v>0</v>
      </c>
      <c r="I387" s="1092">
        <v>0</v>
      </c>
      <c r="J387" s="1092">
        <v>0</v>
      </c>
      <c r="K387" s="1092">
        <v>3133</v>
      </c>
      <c r="L387" s="1092">
        <v>0</v>
      </c>
      <c r="M387" s="1092">
        <v>5800</v>
      </c>
      <c r="N387" s="27">
        <f>SUM(B387:M387)</f>
        <v>8933</v>
      </c>
    </row>
    <row r="388" spans="1:14" ht="14" thickBot="1">
      <c r="A388" s="53" t="s">
        <v>60</v>
      </c>
      <c r="B388" s="55">
        <f t="shared" ref="B388:M388" si="52">SUM(B374:B387)</f>
        <v>0</v>
      </c>
      <c r="C388" s="55">
        <f t="shared" si="52"/>
        <v>0</v>
      </c>
      <c r="D388" s="55">
        <f t="shared" si="52"/>
        <v>0</v>
      </c>
      <c r="E388" s="55">
        <f t="shared" si="52"/>
        <v>0</v>
      </c>
      <c r="F388" s="55">
        <f t="shared" si="52"/>
        <v>0</v>
      </c>
      <c r="G388" s="55">
        <f t="shared" si="52"/>
        <v>0</v>
      </c>
      <c r="H388" s="55">
        <f t="shared" si="52"/>
        <v>0</v>
      </c>
      <c r="I388" s="55">
        <f t="shared" si="52"/>
        <v>0</v>
      </c>
      <c r="J388" s="55">
        <f t="shared" si="52"/>
        <v>0</v>
      </c>
      <c r="K388" s="55">
        <f t="shared" si="52"/>
        <v>3133</v>
      </c>
      <c r="L388" s="55">
        <f t="shared" si="52"/>
        <v>0</v>
      </c>
      <c r="M388" s="55">
        <f t="shared" si="52"/>
        <v>5800</v>
      </c>
      <c r="N388" s="54"/>
    </row>
    <row r="390" spans="1:14" ht="14" thickBot="1">
      <c r="B390" s="43" t="s">
        <v>35</v>
      </c>
      <c r="C390" s="43" t="s">
        <v>36</v>
      </c>
      <c r="D390" s="43" t="s">
        <v>37</v>
      </c>
      <c r="E390" s="43" t="s">
        <v>38</v>
      </c>
      <c r="F390" s="43" t="s">
        <v>39</v>
      </c>
      <c r="G390" s="43" t="s">
        <v>40</v>
      </c>
      <c r="H390" s="43" t="s">
        <v>41</v>
      </c>
      <c r="I390" s="43" t="s">
        <v>42</v>
      </c>
      <c r="J390" s="43" t="s">
        <v>43</v>
      </c>
      <c r="K390" s="43" t="s">
        <v>44</v>
      </c>
      <c r="L390" s="43" t="s">
        <v>45</v>
      </c>
      <c r="M390" s="43" t="s">
        <v>46</v>
      </c>
      <c r="N390" s="43" t="s">
        <v>10</v>
      </c>
    </row>
    <row r="391" spans="1:14" ht="17" thickBot="1">
      <c r="A391" s="31" t="s">
        <v>392</v>
      </c>
      <c r="B391" s="24"/>
      <c r="C391" s="24"/>
      <c r="D391" s="22"/>
      <c r="E391" s="22"/>
      <c r="F391" s="25"/>
      <c r="G391" s="25"/>
      <c r="H391" s="22"/>
      <c r="I391" s="22"/>
      <c r="J391" s="22"/>
      <c r="K391" s="22"/>
      <c r="L391" s="24"/>
      <c r="M391" s="24"/>
      <c r="N391" s="26"/>
    </row>
    <row r="392" spans="1:14" ht="14" thickBot="1">
      <c r="A392" s="38" t="s">
        <v>189</v>
      </c>
      <c r="B392" s="39"/>
      <c r="C392" s="39"/>
      <c r="D392" s="39"/>
      <c r="E392" s="39"/>
      <c r="F392" s="39"/>
      <c r="G392" s="39"/>
      <c r="H392" s="39"/>
      <c r="I392" s="39"/>
      <c r="J392" s="39"/>
      <c r="K392" s="39"/>
      <c r="L392" s="39"/>
      <c r="M392" s="39"/>
      <c r="N392" s="40"/>
    </row>
    <row r="393" spans="1:14">
      <c r="A393" s="32" t="s">
        <v>29</v>
      </c>
      <c r="B393" s="1092">
        <v>0</v>
      </c>
      <c r="C393" s="1092">
        <v>0</v>
      </c>
      <c r="D393" s="1092">
        <v>0</v>
      </c>
      <c r="E393" s="1092">
        <v>2</v>
      </c>
      <c r="F393" s="1092">
        <v>0</v>
      </c>
      <c r="G393" s="1092">
        <v>1</v>
      </c>
      <c r="H393" s="1092">
        <v>1</v>
      </c>
      <c r="I393" s="1092">
        <v>0</v>
      </c>
      <c r="J393" s="1092">
        <v>0</v>
      </c>
      <c r="K393" s="1092">
        <v>0</v>
      </c>
      <c r="L393" s="1092">
        <v>0</v>
      </c>
      <c r="M393" s="1092">
        <v>8</v>
      </c>
      <c r="N393" s="27">
        <f t="shared" ref="N393:N400" si="53">SUM(B393:M393)</f>
        <v>12</v>
      </c>
    </row>
    <row r="394" spans="1:14">
      <c r="A394" s="32" t="s">
        <v>33</v>
      </c>
      <c r="B394" s="1092">
        <v>1</v>
      </c>
      <c r="C394" s="1092">
        <v>1</v>
      </c>
      <c r="D394" s="1092">
        <v>9</v>
      </c>
      <c r="E394" s="1092">
        <v>2</v>
      </c>
      <c r="F394" s="1092">
        <v>1</v>
      </c>
      <c r="G394" s="1092">
        <v>2</v>
      </c>
      <c r="H394" s="1092">
        <v>2</v>
      </c>
      <c r="I394" s="1092">
        <v>4</v>
      </c>
      <c r="J394" s="1092">
        <v>1</v>
      </c>
      <c r="K394" s="1092">
        <v>1</v>
      </c>
      <c r="L394" s="1092">
        <v>10</v>
      </c>
      <c r="M394" s="1092">
        <v>10</v>
      </c>
      <c r="N394" s="27">
        <f t="shared" si="53"/>
        <v>44</v>
      </c>
    </row>
    <row r="395" spans="1:14">
      <c r="A395" s="32" t="s">
        <v>56</v>
      </c>
      <c r="B395" s="1092">
        <v>0</v>
      </c>
      <c r="C395" s="1092">
        <v>0</v>
      </c>
      <c r="D395" s="1092">
        <v>0</v>
      </c>
      <c r="E395" s="1092">
        <v>1</v>
      </c>
      <c r="F395" s="1092">
        <v>0</v>
      </c>
      <c r="G395" s="1092">
        <v>0</v>
      </c>
      <c r="H395" s="1092">
        <v>0</v>
      </c>
      <c r="I395" s="1092">
        <v>0</v>
      </c>
      <c r="J395" s="1092">
        <v>0</v>
      </c>
      <c r="K395" s="1092">
        <v>0</v>
      </c>
      <c r="L395" s="1092">
        <v>0</v>
      </c>
      <c r="M395" s="1092">
        <v>0</v>
      </c>
      <c r="N395" s="27">
        <f t="shared" si="53"/>
        <v>1</v>
      </c>
    </row>
    <row r="396" spans="1:14">
      <c r="A396" s="78" t="s">
        <v>30</v>
      </c>
      <c r="B396" s="1092">
        <v>0</v>
      </c>
      <c r="C396" s="1092">
        <v>0</v>
      </c>
      <c r="D396" s="1092">
        <v>4</v>
      </c>
      <c r="E396" s="1092">
        <v>0</v>
      </c>
      <c r="F396" s="1092">
        <v>1</v>
      </c>
      <c r="G396" s="1092">
        <v>2</v>
      </c>
      <c r="H396" s="1092">
        <v>0</v>
      </c>
      <c r="I396" s="1092">
        <v>0</v>
      </c>
      <c r="J396" s="1092">
        <v>0</v>
      </c>
      <c r="K396" s="1092">
        <v>0</v>
      </c>
      <c r="L396" s="1092">
        <v>0</v>
      </c>
      <c r="M396" s="1092">
        <v>4</v>
      </c>
      <c r="N396" s="27">
        <f t="shared" si="53"/>
        <v>11</v>
      </c>
    </row>
    <row r="397" spans="1:14">
      <c r="A397" s="76" t="s">
        <v>213</v>
      </c>
      <c r="B397" s="1092">
        <v>0</v>
      </c>
      <c r="C397" s="1092">
        <v>0</v>
      </c>
      <c r="D397" s="1092">
        <v>0</v>
      </c>
      <c r="E397" s="1092">
        <v>0</v>
      </c>
      <c r="F397" s="1092">
        <v>0</v>
      </c>
      <c r="G397" s="1092">
        <v>0</v>
      </c>
      <c r="H397" s="1092">
        <v>0</v>
      </c>
      <c r="I397" s="1092">
        <v>1</v>
      </c>
      <c r="J397" s="1092">
        <v>1</v>
      </c>
      <c r="K397" s="1092">
        <v>2</v>
      </c>
      <c r="L397" s="1092">
        <v>2</v>
      </c>
      <c r="M397" s="1092">
        <v>0</v>
      </c>
      <c r="N397" s="27">
        <f t="shared" si="53"/>
        <v>6</v>
      </c>
    </row>
    <row r="398" spans="1:14">
      <c r="A398" s="76" t="s">
        <v>212</v>
      </c>
      <c r="B398" s="1092">
        <v>0</v>
      </c>
      <c r="C398" s="1092">
        <v>0</v>
      </c>
      <c r="D398" s="1092">
        <v>0</v>
      </c>
      <c r="E398" s="1092">
        <v>0</v>
      </c>
      <c r="F398" s="1092">
        <v>0</v>
      </c>
      <c r="G398" s="1092">
        <v>0</v>
      </c>
      <c r="H398" s="1092">
        <v>0</v>
      </c>
      <c r="I398" s="1092">
        <v>0</v>
      </c>
      <c r="J398" s="1092">
        <v>0</v>
      </c>
      <c r="K398" s="1092">
        <v>0</v>
      </c>
      <c r="L398" s="1092">
        <v>0</v>
      </c>
      <c r="M398" s="1092">
        <v>0</v>
      </c>
      <c r="N398" s="27">
        <f t="shared" si="53"/>
        <v>0</v>
      </c>
    </row>
    <row r="399" spans="1:14">
      <c r="A399" s="76" t="s">
        <v>331</v>
      </c>
      <c r="B399" s="1092">
        <v>0</v>
      </c>
      <c r="C399" s="1092">
        <v>0</v>
      </c>
      <c r="D399" s="1092">
        <v>0</v>
      </c>
      <c r="E399" s="1092">
        <v>0</v>
      </c>
      <c r="F399" s="1092">
        <v>0</v>
      </c>
      <c r="G399" s="1092">
        <v>0</v>
      </c>
      <c r="H399" s="1092">
        <v>0</v>
      </c>
      <c r="I399" s="1092">
        <v>0</v>
      </c>
      <c r="J399" s="1092">
        <v>0</v>
      </c>
      <c r="K399" s="1092">
        <v>0</v>
      </c>
      <c r="L399" s="1092">
        <v>0</v>
      </c>
      <c r="M399" s="1092">
        <v>0</v>
      </c>
      <c r="N399" s="27">
        <f t="shared" si="53"/>
        <v>0</v>
      </c>
    </row>
    <row r="400" spans="1:14" ht="14" thickBot="1">
      <c r="A400" s="76" t="s">
        <v>267</v>
      </c>
      <c r="B400" s="1092">
        <v>0</v>
      </c>
      <c r="C400" s="1092">
        <v>0</v>
      </c>
      <c r="D400" s="1092">
        <v>0</v>
      </c>
      <c r="E400" s="1092">
        <v>0</v>
      </c>
      <c r="F400" s="1092">
        <v>0</v>
      </c>
      <c r="G400" s="1092">
        <v>0</v>
      </c>
      <c r="H400" s="1092">
        <v>0</v>
      </c>
      <c r="I400" s="1092">
        <v>0</v>
      </c>
      <c r="J400" s="1092">
        <v>0</v>
      </c>
      <c r="K400" s="1092">
        <v>0</v>
      </c>
      <c r="L400" s="1092">
        <v>0</v>
      </c>
      <c r="M400" s="1092">
        <v>0</v>
      </c>
      <c r="N400" s="27">
        <f t="shared" si="53"/>
        <v>0</v>
      </c>
    </row>
    <row r="401" spans="1:14" ht="14" thickBot="1">
      <c r="A401" s="38" t="s">
        <v>190</v>
      </c>
      <c r="B401" s="39"/>
      <c r="C401" s="39"/>
      <c r="D401" s="39"/>
      <c r="E401" s="39"/>
      <c r="F401" s="39"/>
      <c r="G401" s="39"/>
      <c r="H401" s="39"/>
      <c r="I401" s="39"/>
      <c r="J401" s="39"/>
      <c r="K401" s="39"/>
      <c r="L401" s="39"/>
      <c r="M401" s="39"/>
      <c r="N401" s="280"/>
    </row>
    <row r="402" spans="1:14">
      <c r="A402" s="76" t="s">
        <v>393</v>
      </c>
      <c r="B402" s="1092">
        <v>0</v>
      </c>
      <c r="C402" s="1092">
        <v>0</v>
      </c>
      <c r="D402" s="1092">
        <v>0</v>
      </c>
      <c r="E402" s="1092">
        <v>0</v>
      </c>
      <c r="F402" s="1092">
        <v>0</v>
      </c>
      <c r="G402" s="1092">
        <v>0</v>
      </c>
      <c r="H402" s="1092">
        <v>0</v>
      </c>
      <c r="I402" s="1092">
        <v>0</v>
      </c>
      <c r="J402" s="1092">
        <v>6</v>
      </c>
      <c r="K402" s="1092">
        <v>4</v>
      </c>
      <c r="L402" s="1092">
        <v>3</v>
      </c>
      <c r="M402" s="1092">
        <v>5</v>
      </c>
      <c r="N402" s="27">
        <f>SUM(B402:M402)</f>
        <v>18</v>
      </c>
    </row>
    <row r="403" spans="1:14">
      <c r="A403" s="76" t="s">
        <v>166</v>
      </c>
      <c r="B403" s="1092">
        <v>0</v>
      </c>
      <c r="C403" s="1092">
        <v>0</v>
      </c>
      <c r="D403" s="1092">
        <v>0</v>
      </c>
      <c r="E403" s="1092">
        <v>0</v>
      </c>
      <c r="F403" s="1092">
        <v>0</v>
      </c>
      <c r="G403" s="1092">
        <v>0</v>
      </c>
      <c r="H403" s="1092">
        <v>0</v>
      </c>
      <c r="I403" s="1092">
        <v>1</v>
      </c>
      <c r="J403" s="1092">
        <v>0</v>
      </c>
      <c r="K403" s="1092">
        <v>0</v>
      </c>
      <c r="L403" s="1092">
        <v>0</v>
      </c>
      <c r="M403" s="1092">
        <v>2</v>
      </c>
      <c r="N403" s="27">
        <f>SUM(B403:M403)</f>
        <v>3</v>
      </c>
    </row>
    <row r="404" spans="1:14">
      <c r="A404" s="76" t="s">
        <v>336</v>
      </c>
      <c r="B404" s="1092">
        <v>1</v>
      </c>
      <c r="C404" s="1092">
        <v>5</v>
      </c>
      <c r="D404" s="1092">
        <v>3</v>
      </c>
      <c r="E404" s="1092">
        <v>6</v>
      </c>
      <c r="F404" s="1092">
        <v>1</v>
      </c>
      <c r="G404" s="1092">
        <v>0</v>
      </c>
      <c r="H404" s="1092">
        <v>0</v>
      </c>
      <c r="I404" s="1092">
        <v>2</v>
      </c>
      <c r="J404" s="1092">
        <v>1</v>
      </c>
      <c r="K404" s="1092">
        <v>3</v>
      </c>
      <c r="L404" s="1092">
        <v>2</v>
      </c>
      <c r="M404" s="1092">
        <v>6</v>
      </c>
      <c r="N404" s="27">
        <f>SUM(B404:M404)</f>
        <v>30</v>
      </c>
    </row>
    <row r="405" spans="1:14" ht="14" thickBot="1">
      <c r="A405" s="76" t="s">
        <v>266</v>
      </c>
      <c r="B405" s="1092">
        <v>0</v>
      </c>
      <c r="C405" s="1092">
        <v>0</v>
      </c>
      <c r="D405" s="1092">
        <v>0</v>
      </c>
      <c r="E405" s="1092">
        <v>0</v>
      </c>
      <c r="F405" s="1092">
        <v>0</v>
      </c>
      <c r="G405" s="1092">
        <v>0</v>
      </c>
      <c r="H405" s="1092">
        <v>0</v>
      </c>
      <c r="I405" s="1092">
        <v>0</v>
      </c>
      <c r="J405" s="1092">
        <v>0</v>
      </c>
      <c r="K405" s="1092">
        <v>0</v>
      </c>
      <c r="L405" s="1092">
        <v>0</v>
      </c>
      <c r="M405" s="1092">
        <v>0</v>
      </c>
      <c r="N405" s="27">
        <f>SUM(B405:M405)</f>
        <v>0</v>
      </c>
    </row>
    <row r="406" spans="1:14" ht="14" thickBot="1">
      <c r="A406" s="53" t="s">
        <v>60</v>
      </c>
      <c r="B406" s="55"/>
      <c r="C406" s="55"/>
      <c r="D406" s="55"/>
      <c r="E406" s="55"/>
      <c r="F406" s="55"/>
      <c r="G406" s="55"/>
      <c r="H406" s="55"/>
      <c r="I406" s="55"/>
      <c r="J406" s="55"/>
      <c r="K406" s="55"/>
      <c r="L406" s="55"/>
      <c r="M406" s="55"/>
      <c r="N406" s="54"/>
    </row>
    <row r="407" spans="1:14" ht="14" thickBot="1">
      <c r="A407" s="38" t="s">
        <v>194</v>
      </c>
      <c r="B407" s="39"/>
      <c r="C407" s="39"/>
      <c r="D407" s="39"/>
      <c r="E407" s="39"/>
      <c r="F407" s="39"/>
      <c r="G407" s="39"/>
      <c r="H407" s="39"/>
      <c r="I407" s="39"/>
      <c r="J407" s="39"/>
      <c r="K407" s="39"/>
      <c r="L407" s="39"/>
      <c r="M407" s="39"/>
      <c r="N407" s="40"/>
    </row>
    <row r="408" spans="1:14">
      <c r="A408" s="32" t="s">
        <v>29</v>
      </c>
      <c r="B408" s="1092">
        <v>0</v>
      </c>
      <c r="C408" s="1092">
        <v>0</v>
      </c>
      <c r="D408" s="1092">
        <v>0</v>
      </c>
      <c r="E408" s="1092">
        <v>0</v>
      </c>
      <c r="F408" s="1092">
        <v>0</v>
      </c>
      <c r="G408" s="1092">
        <v>0</v>
      </c>
      <c r="H408" s="1092">
        <v>0</v>
      </c>
      <c r="I408" s="1092">
        <v>0</v>
      </c>
      <c r="J408" s="1092">
        <v>0</v>
      </c>
      <c r="K408" s="1092">
        <v>0</v>
      </c>
      <c r="L408" s="1092">
        <v>0</v>
      </c>
      <c r="M408" s="1092">
        <v>0</v>
      </c>
      <c r="N408" s="27">
        <f t="shared" ref="N408:N419" si="54">SUM(B408:M408)</f>
        <v>0</v>
      </c>
    </row>
    <row r="409" spans="1:14">
      <c r="A409" s="78" t="s">
        <v>264</v>
      </c>
      <c r="B409" s="1092">
        <v>0</v>
      </c>
      <c r="C409" s="1092">
        <v>0</v>
      </c>
      <c r="D409" s="1092">
        <v>0</v>
      </c>
      <c r="E409" s="1092">
        <v>0</v>
      </c>
      <c r="F409" s="1092">
        <v>0</v>
      </c>
      <c r="G409" s="1092">
        <v>0</v>
      </c>
      <c r="H409" s="1092">
        <v>0</v>
      </c>
      <c r="I409" s="1092">
        <v>0</v>
      </c>
      <c r="J409" s="1092">
        <v>0</v>
      </c>
      <c r="K409" s="1092">
        <v>0</v>
      </c>
      <c r="L409" s="1092">
        <v>0</v>
      </c>
      <c r="M409" s="1092">
        <v>0</v>
      </c>
      <c r="N409" s="27">
        <f t="shared" si="54"/>
        <v>0</v>
      </c>
    </row>
    <row r="410" spans="1:14">
      <c r="A410" s="34" t="s">
        <v>204</v>
      </c>
      <c r="B410" s="1092">
        <v>0</v>
      </c>
      <c r="C410" s="1092">
        <v>0</v>
      </c>
      <c r="D410" s="1092">
        <v>0</v>
      </c>
      <c r="E410" s="1092">
        <v>0</v>
      </c>
      <c r="F410" s="1092">
        <v>0</v>
      </c>
      <c r="G410" s="1092">
        <v>0</v>
      </c>
      <c r="H410" s="1092">
        <v>0</v>
      </c>
      <c r="I410" s="1092">
        <v>0</v>
      </c>
      <c r="J410" s="1092">
        <v>0</v>
      </c>
      <c r="K410" s="1092">
        <v>0</v>
      </c>
      <c r="L410" s="1092">
        <v>0</v>
      </c>
      <c r="M410" s="1092">
        <v>0</v>
      </c>
      <c r="N410" s="27">
        <f t="shared" si="54"/>
        <v>0</v>
      </c>
    </row>
    <row r="411" spans="1:14">
      <c r="A411" s="76" t="s">
        <v>30</v>
      </c>
      <c r="B411" s="1092">
        <v>0</v>
      </c>
      <c r="C411" s="1092">
        <v>0</v>
      </c>
      <c r="D411" s="1092">
        <v>0</v>
      </c>
      <c r="E411" s="1092">
        <v>0</v>
      </c>
      <c r="F411" s="1092">
        <v>0</v>
      </c>
      <c r="G411" s="1092">
        <v>0</v>
      </c>
      <c r="H411" s="1092">
        <v>0</v>
      </c>
      <c r="I411" s="1092">
        <v>0</v>
      </c>
      <c r="J411" s="1092">
        <v>0</v>
      </c>
      <c r="K411" s="1092">
        <v>0</v>
      </c>
      <c r="L411" s="1092">
        <v>0</v>
      </c>
      <c r="M411" s="1092">
        <v>0</v>
      </c>
      <c r="N411" s="27">
        <f t="shared" si="54"/>
        <v>0</v>
      </c>
    </row>
    <row r="412" spans="1:14">
      <c r="A412" s="32" t="s">
        <v>56</v>
      </c>
      <c r="B412" s="1092">
        <v>0</v>
      </c>
      <c r="C412" s="1092">
        <v>0</v>
      </c>
      <c r="D412" s="1092">
        <v>0</v>
      </c>
      <c r="E412" s="1092">
        <v>0</v>
      </c>
      <c r="F412" s="1092">
        <v>0</v>
      </c>
      <c r="G412" s="1092">
        <v>0</v>
      </c>
      <c r="H412" s="1092">
        <v>0</v>
      </c>
      <c r="I412" s="1092">
        <v>0</v>
      </c>
      <c r="J412" s="1092">
        <v>0</v>
      </c>
      <c r="K412" s="1092">
        <v>0</v>
      </c>
      <c r="L412" s="1092">
        <v>0</v>
      </c>
      <c r="M412" s="1092">
        <v>0</v>
      </c>
      <c r="N412" s="27">
        <f t="shared" si="54"/>
        <v>0</v>
      </c>
    </row>
    <row r="413" spans="1:14">
      <c r="A413" s="78" t="s">
        <v>122</v>
      </c>
      <c r="B413" s="1092">
        <v>0</v>
      </c>
      <c r="C413" s="1092">
        <v>0</v>
      </c>
      <c r="D413" s="1092">
        <v>0</v>
      </c>
      <c r="E413" s="1092">
        <v>0</v>
      </c>
      <c r="F413" s="1092">
        <v>0</v>
      </c>
      <c r="G413" s="1092">
        <v>0</v>
      </c>
      <c r="H413" s="1092">
        <v>0</v>
      </c>
      <c r="I413" s="1092">
        <v>0</v>
      </c>
      <c r="J413" s="1092">
        <v>0</v>
      </c>
      <c r="K413" s="1092">
        <v>0</v>
      </c>
      <c r="L413" s="1092">
        <v>0</v>
      </c>
      <c r="M413" s="1092">
        <v>0</v>
      </c>
      <c r="N413" s="27">
        <f t="shared" si="54"/>
        <v>0</v>
      </c>
    </row>
    <row r="414" spans="1:14">
      <c r="A414" s="78" t="s">
        <v>184</v>
      </c>
      <c r="B414" s="1092">
        <v>0</v>
      </c>
      <c r="C414" s="1092">
        <v>0</v>
      </c>
      <c r="D414" s="1092">
        <v>0</v>
      </c>
      <c r="E414" s="1092">
        <v>0</v>
      </c>
      <c r="F414" s="1092">
        <v>0</v>
      </c>
      <c r="G414" s="1092">
        <v>0</v>
      </c>
      <c r="H414" s="1092">
        <v>0</v>
      </c>
      <c r="I414" s="1092">
        <v>0</v>
      </c>
      <c r="J414" s="1092">
        <v>0</v>
      </c>
      <c r="K414" s="1092">
        <v>0</v>
      </c>
      <c r="L414" s="1092">
        <v>0</v>
      </c>
      <c r="M414" s="1092">
        <v>0</v>
      </c>
      <c r="N414" s="27">
        <f t="shared" si="54"/>
        <v>0</v>
      </c>
    </row>
    <row r="415" spans="1:14">
      <c r="A415" s="78" t="s">
        <v>187</v>
      </c>
      <c r="B415" s="1092">
        <v>0</v>
      </c>
      <c r="C415" s="1092">
        <v>0</v>
      </c>
      <c r="D415" s="1092">
        <v>0</v>
      </c>
      <c r="E415" s="1092">
        <v>0</v>
      </c>
      <c r="F415" s="1092">
        <v>0</v>
      </c>
      <c r="G415" s="1092">
        <v>0</v>
      </c>
      <c r="H415" s="1092">
        <v>0</v>
      </c>
      <c r="I415" s="1092">
        <v>0</v>
      </c>
      <c r="J415" s="1092">
        <v>0</v>
      </c>
      <c r="K415" s="1092">
        <v>0</v>
      </c>
      <c r="L415" s="1092">
        <v>0</v>
      </c>
      <c r="M415" s="1092">
        <v>0</v>
      </c>
      <c r="N415" s="27">
        <f t="shared" si="54"/>
        <v>0</v>
      </c>
    </row>
    <row r="416" spans="1:14">
      <c r="A416" s="78" t="s">
        <v>188</v>
      </c>
      <c r="B416" s="1092">
        <v>0</v>
      </c>
      <c r="C416" s="1092">
        <v>0</v>
      </c>
      <c r="D416" s="1092">
        <v>0</v>
      </c>
      <c r="E416" s="1092">
        <v>0</v>
      </c>
      <c r="F416" s="1092">
        <v>0</v>
      </c>
      <c r="G416" s="1092">
        <v>0</v>
      </c>
      <c r="H416" s="1092">
        <v>0</v>
      </c>
      <c r="I416" s="1092">
        <v>0</v>
      </c>
      <c r="J416" s="1092">
        <v>0</v>
      </c>
      <c r="K416" s="1092">
        <v>0</v>
      </c>
      <c r="L416" s="1092">
        <v>0</v>
      </c>
      <c r="M416" s="1092">
        <v>0</v>
      </c>
      <c r="N416" s="27">
        <f t="shared" si="54"/>
        <v>0</v>
      </c>
    </row>
    <row r="417" spans="1:14">
      <c r="A417" s="78" t="s">
        <v>213</v>
      </c>
      <c r="B417" s="1092">
        <v>0</v>
      </c>
      <c r="C417" s="1092">
        <v>0</v>
      </c>
      <c r="D417" s="1092">
        <v>0</v>
      </c>
      <c r="E417" s="1092">
        <v>0</v>
      </c>
      <c r="F417" s="1092">
        <v>0</v>
      </c>
      <c r="G417" s="1092">
        <v>0</v>
      </c>
      <c r="H417" s="1092">
        <v>0</v>
      </c>
      <c r="I417" s="1092">
        <v>0</v>
      </c>
      <c r="J417" s="1092">
        <v>0</v>
      </c>
      <c r="K417" s="1092">
        <v>0</v>
      </c>
      <c r="L417" s="1092">
        <v>0</v>
      </c>
      <c r="M417" s="1092">
        <v>0</v>
      </c>
      <c r="N417" s="27">
        <f t="shared" si="54"/>
        <v>0</v>
      </c>
    </row>
    <row r="418" spans="1:14">
      <c r="A418" s="76" t="s">
        <v>267</v>
      </c>
      <c r="B418" s="1092">
        <v>0</v>
      </c>
      <c r="C418" s="1092">
        <v>0</v>
      </c>
      <c r="D418" s="1092">
        <v>0</v>
      </c>
      <c r="E418" s="1092">
        <v>0</v>
      </c>
      <c r="F418" s="1092">
        <v>0</v>
      </c>
      <c r="G418" s="1092">
        <v>0</v>
      </c>
      <c r="H418" s="1092">
        <v>0</v>
      </c>
      <c r="I418" s="1092">
        <v>0</v>
      </c>
      <c r="J418" s="1092">
        <v>0</v>
      </c>
      <c r="K418" s="1092">
        <v>0</v>
      </c>
      <c r="L418" s="1092">
        <v>0</v>
      </c>
      <c r="M418" s="1092">
        <v>0</v>
      </c>
      <c r="N418" s="27">
        <f t="shared" si="54"/>
        <v>0</v>
      </c>
    </row>
    <row r="419" spans="1:14" ht="14" thickBot="1">
      <c r="A419" s="78" t="s">
        <v>268</v>
      </c>
      <c r="B419" s="1092">
        <v>0</v>
      </c>
      <c r="C419" s="1092">
        <v>0</v>
      </c>
      <c r="D419" s="1092">
        <v>0</v>
      </c>
      <c r="E419" s="1092">
        <v>0</v>
      </c>
      <c r="F419" s="1092">
        <v>0</v>
      </c>
      <c r="G419" s="1092">
        <v>0</v>
      </c>
      <c r="H419" s="1092">
        <v>0</v>
      </c>
      <c r="I419" s="1092">
        <v>0</v>
      </c>
      <c r="J419" s="1092">
        <v>0</v>
      </c>
      <c r="K419" s="1092">
        <v>0</v>
      </c>
      <c r="L419" s="1092">
        <v>0</v>
      </c>
      <c r="M419" s="1092">
        <v>0</v>
      </c>
      <c r="N419" s="27">
        <f t="shared" si="54"/>
        <v>0</v>
      </c>
    </row>
    <row r="420" spans="1:14" ht="14" thickBot="1">
      <c r="A420" s="38" t="s">
        <v>192</v>
      </c>
      <c r="B420" s="39"/>
      <c r="C420" s="39"/>
      <c r="D420" s="39"/>
      <c r="E420" s="39"/>
      <c r="F420" s="39"/>
      <c r="G420" s="39"/>
      <c r="H420" s="39"/>
      <c r="I420" s="39"/>
      <c r="J420" s="39"/>
      <c r="K420" s="39"/>
      <c r="L420" s="39"/>
      <c r="M420" s="39"/>
      <c r="N420" s="40"/>
    </row>
    <row r="421" spans="1:14" ht="14" thickBot="1">
      <c r="A421" s="76" t="s">
        <v>193</v>
      </c>
      <c r="B421" s="1092"/>
      <c r="C421" s="1092"/>
      <c r="D421" s="1092"/>
      <c r="E421" s="1092"/>
      <c r="F421" s="1092"/>
      <c r="G421" s="1092"/>
      <c r="H421" s="1092"/>
      <c r="I421" s="1092"/>
      <c r="J421" s="1092"/>
      <c r="K421" s="1092"/>
      <c r="L421" s="1092"/>
      <c r="M421" s="1092"/>
      <c r="N421" s="27">
        <f>SUM(B421:M421)</f>
        <v>0</v>
      </c>
    </row>
    <row r="422" spans="1:14" ht="14" thickBot="1">
      <c r="A422" s="53" t="s">
        <v>60</v>
      </c>
      <c r="B422" s="55">
        <f t="shared" ref="B422:M422" si="55">SUM(B408:B421)</f>
        <v>0</v>
      </c>
      <c r="C422" s="55">
        <f t="shared" si="55"/>
        <v>0</v>
      </c>
      <c r="D422" s="55">
        <f t="shared" si="55"/>
        <v>0</v>
      </c>
      <c r="E422" s="55">
        <f t="shared" si="55"/>
        <v>0</v>
      </c>
      <c r="F422" s="55">
        <f t="shared" si="55"/>
        <v>0</v>
      </c>
      <c r="G422" s="55">
        <f t="shared" si="55"/>
        <v>0</v>
      </c>
      <c r="H422" s="55">
        <f t="shared" si="55"/>
        <v>0</v>
      </c>
      <c r="I422" s="55">
        <f t="shared" si="55"/>
        <v>0</v>
      </c>
      <c r="J422" s="55">
        <f t="shared" si="55"/>
        <v>0</v>
      </c>
      <c r="K422" s="55">
        <f t="shared" si="55"/>
        <v>0</v>
      </c>
      <c r="L422" s="55">
        <f t="shared" si="55"/>
        <v>0</v>
      </c>
      <c r="M422" s="55">
        <f t="shared" si="55"/>
        <v>0</v>
      </c>
      <c r="N422" s="54"/>
    </row>
    <row r="424" spans="1:14" ht="14" thickBot="1">
      <c r="B424" s="43" t="s">
        <v>35</v>
      </c>
      <c r="C424" s="43" t="s">
        <v>36</v>
      </c>
      <c r="D424" s="43" t="s">
        <v>37</v>
      </c>
      <c r="E424" s="43" t="s">
        <v>38</v>
      </c>
      <c r="F424" s="43" t="s">
        <v>39</v>
      </c>
      <c r="G424" s="43" t="s">
        <v>40</v>
      </c>
      <c r="H424" s="43" t="s">
        <v>41</v>
      </c>
      <c r="I424" s="43" t="s">
        <v>42</v>
      </c>
      <c r="J424" s="43" t="s">
        <v>43</v>
      </c>
      <c r="K424" s="43" t="s">
        <v>44</v>
      </c>
      <c r="L424" s="43" t="s">
        <v>45</v>
      </c>
      <c r="M424" s="43" t="s">
        <v>46</v>
      </c>
      <c r="N424" s="43" t="s">
        <v>10</v>
      </c>
    </row>
    <row r="425" spans="1:14" ht="17" thickBot="1">
      <c r="A425" s="31" t="s">
        <v>434</v>
      </c>
      <c r="B425" s="24"/>
      <c r="C425" s="24"/>
      <c r="D425" s="22"/>
      <c r="E425" s="22"/>
      <c r="F425" s="25"/>
      <c r="G425" s="25"/>
      <c r="H425" s="22"/>
      <c r="I425" s="22"/>
      <c r="J425" s="22"/>
      <c r="K425" s="22"/>
      <c r="L425" s="24"/>
      <c r="M425" s="24"/>
      <c r="N425" s="26"/>
    </row>
    <row r="426" spans="1:14" ht="14" thickBot="1">
      <c r="A426" s="38" t="s">
        <v>189</v>
      </c>
      <c r="B426" s="39"/>
      <c r="C426" s="39"/>
      <c r="D426" s="39"/>
      <c r="E426" s="39"/>
      <c r="F426" s="39"/>
      <c r="G426" s="39"/>
      <c r="H426" s="39"/>
      <c r="I426" s="39"/>
      <c r="J426" s="39"/>
      <c r="K426" s="39"/>
      <c r="L426" s="39"/>
      <c r="M426" s="39"/>
      <c r="N426" s="40"/>
    </row>
    <row r="427" spans="1:14">
      <c r="A427" s="32" t="s">
        <v>29</v>
      </c>
      <c r="B427" s="1092"/>
      <c r="C427" s="1092">
        <v>5</v>
      </c>
      <c r="D427" s="1092">
        <v>2</v>
      </c>
      <c r="E427" s="1092"/>
      <c r="F427" s="1092">
        <v>3</v>
      </c>
      <c r="G427" s="1092">
        <v>17</v>
      </c>
      <c r="H427" s="1092">
        <v>2</v>
      </c>
      <c r="I427" s="1092"/>
      <c r="J427" s="1092"/>
      <c r="K427" s="1092"/>
      <c r="L427" s="1092"/>
      <c r="M427" s="1092"/>
      <c r="N427" s="27">
        <f t="shared" ref="N427:N434" si="56">SUM(B427:M427)</f>
        <v>29</v>
      </c>
    </row>
    <row r="428" spans="1:14">
      <c r="A428" s="32" t="s">
        <v>33</v>
      </c>
      <c r="B428" s="1092">
        <v>2</v>
      </c>
      <c r="C428" s="1092">
        <v>1</v>
      </c>
      <c r="D428" s="1092">
        <v>2</v>
      </c>
      <c r="E428" s="1092"/>
      <c r="F428" s="1092">
        <v>3</v>
      </c>
      <c r="G428" s="1092"/>
      <c r="H428" s="1092"/>
      <c r="I428" s="1092">
        <v>3</v>
      </c>
      <c r="J428" s="1092">
        <v>1</v>
      </c>
      <c r="K428" s="1092"/>
      <c r="L428" s="1092">
        <v>13</v>
      </c>
      <c r="M428" s="1092"/>
      <c r="N428" s="27">
        <f t="shared" si="56"/>
        <v>25</v>
      </c>
    </row>
    <row r="429" spans="1:14">
      <c r="A429" s="32" t="s">
        <v>56</v>
      </c>
      <c r="B429" s="1092"/>
      <c r="C429" s="1092"/>
      <c r="D429" s="1092"/>
      <c r="E429" s="1092"/>
      <c r="F429" s="1092"/>
      <c r="G429" s="1092"/>
      <c r="H429" s="1092"/>
      <c r="I429" s="1092"/>
      <c r="J429" s="1092"/>
      <c r="K429" s="1092"/>
      <c r="L429" s="1092"/>
      <c r="M429" s="1092"/>
      <c r="N429" s="27">
        <f t="shared" si="56"/>
        <v>0</v>
      </c>
    </row>
    <row r="430" spans="1:14">
      <c r="A430" s="78" t="s">
        <v>30</v>
      </c>
      <c r="B430" s="1092"/>
      <c r="C430" s="1092">
        <v>3</v>
      </c>
      <c r="D430" s="1092">
        <v>5</v>
      </c>
      <c r="E430" s="1092"/>
      <c r="F430" s="1092"/>
      <c r="G430" s="1092"/>
      <c r="H430" s="1092"/>
      <c r="I430" s="1092"/>
      <c r="J430" s="1092"/>
      <c r="K430" s="1092"/>
      <c r="L430" s="1092">
        <v>2</v>
      </c>
      <c r="M430" s="1092">
        <v>2</v>
      </c>
      <c r="N430" s="27">
        <f t="shared" si="56"/>
        <v>12</v>
      </c>
    </row>
    <row r="431" spans="1:14">
      <c r="A431" s="76" t="s">
        <v>213</v>
      </c>
      <c r="B431" s="1092">
        <v>1</v>
      </c>
      <c r="C431" s="1092">
        <v>3</v>
      </c>
      <c r="D431" s="1092">
        <v>1</v>
      </c>
      <c r="E431" s="1092"/>
      <c r="F431" s="1092">
        <v>1</v>
      </c>
      <c r="G431" s="1092">
        <v>1</v>
      </c>
      <c r="H431" s="1092">
        <v>3</v>
      </c>
      <c r="I431" s="1092">
        <v>1</v>
      </c>
      <c r="J431" s="1092">
        <v>1</v>
      </c>
      <c r="K431" s="1092">
        <v>2</v>
      </c>
      <c r="L431" s="1092">
        <v>1</v>
      </c>
      <c r="M431" s="1092">
        <v>1</v>
      </c>
      <c r="N431" s="27">
        <f t="shared" si="56"/>
        <v>16</v>
      </c>
    </row>
    <row r="432" spans="1:14">
      <c r="A432" s="76" t="s">
        <v>212</v>
      </c>
      <c r="B432" s="1092"/>
      <c r="C432" s="1092"/>
      <c r="D432" s="1092"/>
      <c r="E432" s="1092"/>
      <c r="F432" s="1092"/>
      <c r="G432" s="1092"/>
      <c r="H432" s="1092"/>
      <c r="I432" s="1092">
        <v>1</v>
      </c>
      <c r="J432" s="1092"/>
      <c r="K432" s="1092"/>
      <c r="L432" s="1092"/>
      <c r="M432" s="1092"/>
      <c r="N432" s="27">
        <f t="shared" si="56"/>
        <v>1</v>
      </c>
    </row>
    <row r="433" spans="1:14">
      <c r="A433" s="76" t="s">
        <v>331</v>
      </c>
      <c r="B433" s="1092"/>
      <c r="C433" s="1092"/>
      <c r="D433" s="1092"/>
      <c r="E433" s="1092"/>
      <c r="F433" s="1092"/>
      <c r="G433" s="1092"/>
      <c r="H433" s="1092"/>
      <c r="I433" s="1092"/>
      <c r="J433" s="1092"/>
      <c r="K433" s="1092"/>
      <c r="L433" s="1092"/>
      <c r="M433" s="1092"/>
      <c r="N433" s="27">
        <f t="shared" si="56"/>
        <v>0</v>
      </c>
    </row>
    <row r="434" spans="1:14" ht="14" thickBot="1">
      <c r="A434" s="76" t="s">
        <v>267</v>
      </c>
      <c r="B434" s="1092"/>
      <c r="C434" s="1092"/>
      <c r="D434" s="1092"/>
      <c r="E434" s="1092"/>
      <c r="F434" s="1092"/>
      <c r="G434" s="1092"/>
      <c r="H434" s="1092"/>
      <c r="I434" s="1092"/>
      <c r="J434" s="1092"/>
      <c r="K434" s="1092"/>
      <c r="L434" s="1092"/>
      <c r="M434" s="1092"/>
      <c r="N434" s="27">
        <f t="shared" si="56"/>
        <v>0</v>
      </c>
    </row>
    <row r="435" spans="1:14" ht="14" thickBot="1">
      <c r="A435" s="38" t="s">
        <v>190</v>
      </c>
      <c r="B435" s="39"/>
      <c r="C435" s="39"/>
      <c r="D435" s="39"/>
      <c r="E435" s="39"/>
      <c r="F435" s="39"/>
      <c r="G435" s="39"/>
      <c r="H435" s="39"/>
      <c r="I435" s="39"/>
      <c r="J435" s="39"/>
      <c r="K435" s="39"/>
      <c r="L435" s="39"/>
      <c r="M435" s="39"/>
      <c r="N435" s="280"/>
    </row>
    <row r="436" spans="1:14">
      <c r="A436" s="76" t="s">
        <v>393</v>
      </c>
      <c r="B436" s="1092">
        <v>8</v>
      </c>
      <c r="C436" s="1092">
        <v>1</v>
      </c>
      <c r="D436" s="1092"/>
      <c r="E436" s="1092"/>
      <c r="F436" s="1092"/>
      <c r="G436" s="1092"/>
      <c r="H436" s="1092"/>
      <c r="I436" s="1092"/>
      <c r="J436" s="1092">
        <v>5</v>
      </c>
      <c r="K436" s="1092"/>
      <c r="L436" s="1092">
        <v>3</v>
      </c>
      <c r="M436" s="1092">
        <v>10</v>
      </c>
      <c r="N436" s="27">
        <f>SUM(B436:M436)</f>
        <v>27</v>
      </c>
    </row>
    <row r="437" spans="1:14">
      <c r="A437" s="76" t="s">
        <v>166</v>
      </c>
      <c r="B437" s="1092">
        <v>0</v>
      </c>
      <c r="C437" s="1140">
        <v>1</v>
      </c>
      <c r="D437" s="1092">
        <v>0</v>
      </c>
      <c r="E437" s="1092">
        <v>0</v>
      </c>
      <c r="F437" s="1092">
        <v>1</v>
      </c>
      <c r="G437" s="1092">
        <v>1</v>
      </c>
      <c r="H437" s="1092">
        <v>3</v>
      </c>
      <c r="I437" s="1092">
        <v>1</v>
      </c>
      <c r="J437" s="1092">
        <v>1</v>
      </c>
      <c r="K437" s="1092">
        <v>0</v>
      </c>
      <c r="L437" s="1092">
        <v>1</v>
      </c>
      <c r="M437" s="1092">
        <v>2</v>
      </c>
      <c r="N437" s="27">
        <f>SUM(B437:M437)</f>
        <v>11</v>
      </c>
    </row>
    <row r="438" spans="1:14">
      <c r="A438" s="76" t="s">
        <v>336</v>
      </c>
      <c r="B438" s="1092">
        <v>0</v>
      </c>
      <c r="C438" s="1092">
        <v>5</v>
      </c>
      <c r="D438" s="1092">
        <v>3</v>
      </c>
      <c r="E438" s="1092">
        <v>6</v>
      </c>
      <c r="F438" s="1092">
        <v>0</v>
      </c>
      <c r="G438" s="1092">
        <v>1</v>
      </c>
      <c r="H438" s="1092">
        <v>1</v>
      </c>
      <c r="I438" s="1092">
        <v>2</v>
      </c>
      <c r="J438" s="1092">
        <v>1</v>
      </c>
      <c r="K438" s="1092">
        <v>0</v>
      </c>
      <c r="L438" s="1092">
        <v>0</v>
      </c>
      <c r="M438" s="1092">
        <v>4</v>
      </c>
      <c r="N438" s="27">
        <f>SUM(B438:M438)</f>
        <v>23</v>
      </c>
    </row>
    <row r="439" spans="1:14">
      <c r="A439" s="76" t="s">
        <v>266</v>
      </c>
      <c r="B439" s="1092">
        <v>0</v>
      </c>
      <c r="C439" s="1092">
        <v>0</v>
      </c>
      <c r="D439" s="1092">
        <v>1</v>
      </c>
      <c r="E439" s="1092">
        <v>0</v>
      </c>
      <c r="F439" s="1092">
        <v>0</v>
      </c>
      <c r="G439" s="1092">
        <v>0</v>
      </c>
      <c r="H439" s="1092">
        <v>0</v>
      </c>
      <c r="I439" s="1092">
        <v>0</v>
      </c>
      <c r="J439" s="1092">
        <v>0</v>
      </c>
      <c r="K439" s="1092">
        <v>0</v>
      </c>
      <c r="L439" s="1092">
        <v>0</v>
      </c>
      <c r="M439" s="1092">
        <v>0</v>
      </c>
      <c r="N439" s="27">
        <f>SUM(B439:M439)</f>
        <v>1</v>
      </c>
    </row>
    <row r="440" spans="1:14" ht="14" thickBot="1">
      <c r="A440" s="76" t="s">
        <v>467</v>
      </c>
      <c r="B440" s="1092"/>
      <c r="C440" s="1092"/>
      <c r="D440" s="1092"/>
      <c r="E440" s="1092"/>
      <c r="F440" s="1092"/>
      <c r="G440" s="1092"/>
      <c r="H440" s="1092"/>
      <c r="I440" s="1092"/>
      <c r="J440" s="1092">
        <v>5</v>
      </c>
      <c r="K440" s="1092"/>
      <c r="L440" s="1092">
        <v>10</v>
      </c>
      <c r="M440" s="1092">
        <v>10</v>
      </c>
      <c r="N440" s="27">
        <f>SUM(B440:M440)</f>
        <v>25</v>
      </c>
    </row>
    <row r="441" spans="1:14" ht="14" thickBot="1">
      <c r="A441" s="53" t="s">
        <v>60</v>
      </c>
      <c r="B441" s="55">
        <f>SUM(B427:B440)</f>
        <v>11</v>
      </c>
      <c r="C441" s="55">
        <f t="shared" ref="C441:M441" si="57">SUM(C427:C440)</f>
        <v>19</v>
      </c>
      <c r="D441" s="55">
        <f t="shared" si="57"/>
        <v>14</v>
      </c>
      <c r="E441" s="55">
        <f t="shared" si="57"/>
        <v>6</v>
      </c>
      <c r="F441" s="55">
        <f t="shared" si="57"/>
        <v>8</v>
      </c>
      <c r="G441" s="55">
        <f t="shared" si="57"/>
        <v>20</v>
      </c>
      <c r="H441" s="55">
        <f t="shared" si="57"/>
        <v>9</v>
      </c>
      <c r="I441" s="55">
        <f t="shared" si="57"/>
        <v>8</v>
      </c>
      <c r="J441" s="55">
        <f t="shared" si="57"/>
        <v>14</v>
      </c>
      <c r="K441" s="55">
        <f t="shared" si="57"/>
        <v>2</v>
      </c>
      <c r="L441" s="55">
        <f t="shared" si="57"/>
        <v>30</v>
      </c>
      <c r="M441" s="55">
        <f t="shared" si="57"/>
        <v>29</v>
      </c>
      <c r="N441" s="54"/>
    </row>
    <row r="442" spans="1:14" ht="14" thickBot="1">
      <c r="A442" s="38" t="s">
        <v>194</v>
      </c>
      <c r="B442" s="39"/>
      <c r="C442" s="39"/>
      <c r="D442" s="39"/>
      <c r="E442" s="39"/>
      <c r="F442" s="39"/>
      <c r="G442" s="39"/>
      <c r="H442" s="39"/>
      <c r="I442" s="39"/>
      <c r="J442" s="39"/>
      <c r="K442" s="39"/>
      <c r="L442" s="39"/>
      <c r="M442" s="39"/>
      <c r="N442" s="40"/>
    </row>
    <row r="443" spans="1:14">
      <c r="A443" s="32" t="s">
        <v>29</v>
      </c>
      <c r="B443" s="1092"/>
      <c r="C443" s="1092"/>
      <c r="D443" s="1092"/>
      <c r="E443" s="1092"/>
      <c r="F443" s="1092"/>
      <c r="G443" s="1092"/>
      <c r="H443" s="1092">
        <v>2</v>
      </c>
      <c r="I443" s="1092"/>
      <c r="J443" s="1092"/>
      <c r="K443" s="1092"/>
      <c r="L443" s="1092"/>
      <c r="M443" s="1092"/>
      <c r="N443" s="27">
        <f t="shared" ref="N443:N454" si="58">SUM(B443:M443)</f>
        <v>2</v>
      </c>
    </row>
    <row r="444" spans="1:14">
      <c r="A444" s="78" t="s">
        <v>264</v>
      </c>
      <c r="B444" s="1092"/>
      <c r="C444" s="1092"/>
      <c r="D444" s="1092"/>
      <c r="E444" s="1092"/>
      <c r="F444" s="1092"/>
      <c r="G444" s="1092"/>
      <c r="H444" s="1092"/>
      <c r="I444" s="1092"/>
      <c r="J444" s="1092"/>
      <c r="K444" s="1092"/>
      <c r="L444" s="1092"/>
      <c r="M444" s="1092"/>
      <c r="N444" s="27">
        <f t="shared" si="58"/>
        <v>0</v>
      </c>
    </row>
    <row r="445" spans="1:14">
      <c r="A445" s="34" t="s">
        <v>204</v>
      </c>
      <c r="B445" s="1092"/>
      <c r="C445" s="1092"/>
      <c r="D445" s="1092"/>
      <c r="E445" s="1092"/>
      <c r="F445" s="1092"/>
      <c r="G445" s="1092"/>
      <c r="H445" s="1092"/>
      <c r="I445" s="1092"/>
      <c r="J445" s="1092"/>
      <c r="K445" s="1092"/>
      <c r="L445" s="1092"/>
      <c r="M445" s="1092"/>
      <c r="N445" s="27">
        <f t="shared" si="58"/>
        <v>0</v>
      </c>
    </row>
    <row r="446" spans="1:14">
      <c r="A446" s="76" t="s">
        <v>30</v>
      </c>
      <c r="B446" s="1092"/>
      <c r="C446" s="1092"/>
      <c r="D446" s="1092"/>
      <c r="E446" s="1092"/>
      <c r="F446" s="1092"/>
      <c r="G446" s="1092"/>
      <c r="H446" s="1092"/>
      <c r="I446" s="1092"/>
      <c r="J446" s="1092"/>
      <c r="K446" s="1092"/>
      <c r="L446" s="1092"/>
      <c r="M446" s="1092"/>
      <c r="N446" s="27">
        <f t="shared" si="58"/>
        <v>0</v>
      </c>
    </row>
    <row r="447" spans="1:14">
      <c r="A447" s="32" t="s">
        <v>56</v>
      </c>
      <c r="B447" s="1092"/>
      <c r="C447" s="1092"/>
      <c r="D447" s="1092"/>
      <c r="E447" s="1092"/>
      <c r="F447" s="1092"/>
      <c r="G447" s="1092"/>
      <c r="H447" s="1092"/>
      <c r="I447" s="1092"/>
      <c r="J447" s="1092"/>
      <c r="K447" s="1092"/>
      <c r="L447" s="1092"/>
      <c r="M447" s="1092"/>
      <c r="N447" s="27">
        <f t="shared" si="58"/>
        <v>0</v>
      </c>
    </row>
    <row r="448" spans="1:14">
      <c r="A448" s="78" t="s">
        <v>122</v>
      </c>
      <c r="B448" s="1092"/>
      <c r="C448" s="1092"/>
      <c r="D448" s="1092"/>
      <c r="E448" s="1092"/>
      <c r="F448" s="1092"/>
      <c r="G448" s="1092"/>
      <c r="H448" s="1092"/>
      <c r="I448" s="1092"/>
      <c r="J448" s="1092"/>
      <c r="K448" s="1092"/>
      <c r="L448" s="1092"/>
      <c r="M448" s="1092"/>
      <c r="N448" s="27">
        <f t="shared" si="58"/>
        <v>0</v>
      </c>
    </row>
    <row r="449" spans="1:14">
      <c r="A449" s="78" t="s">
        <v>184</v>
      </c>
      <c r="B449" s="1092"/>
      <c r="C449" s="1092"/>
      <c r="D449" s="1092"/>
      <c r="E449" s="1092"/>
      <c r="F449" s="1092"/>
      <c r="G449" s="1092"/>
      <c r="H449" s="1092"/>
      <c r="I449" s="1092"/>
      <c r="J449" s="1092"/>
      <c r="K449" s="1092"/>
      <c r="L449" s="1092"/>
      <c r="M449" s="1092"/>
      <c r="N449" s="27">
        <f t="shared" si="58"/>
        <v>0</v>
      </c>
    </row>
    <row r="450" spans="1:14">
      <c r="A450" s="78" t="s">
        <v>187</v>
      </c>
      <c r="B450" s="1092"/>
      <c r="C450" s="1092"/>
      <c r="D450" s="1092"/>
      <c r="E450" s="1092"/>
      <c r="F450" s="1092"/>
      <c r="G450" s="1092"/>
      <c r="H450" s="1092"/>
      <c r="I450" s="1092"/>
      <c r="J450" s="1092"/>
      <c r="K450" s="1092"/>
      <c r="L450" s="1092"/>
      <c r="M450" s="1092"/>
      <c r="N450" s="27">
        <f t="shared" si="58"/>
        <v>0</v>
      </c>
    </row>
    <row r="451" spans="1:14">
      <c r="A451" s="78" t="s">
        <v>188</v>
      </c>
      <c r="B451" s="1092"/>
      <c r="C451" s="1092"/>
      <c r="D451" s="1092"/>
      <c r="E451" s="1092"/>
      <c r="F451" s="1092"/>
      <c r="G451" s="1092"/>
      <c r="H451" s="1092"/>
      <c r="I451" s="1092"/>
      <c r="J451" s="1092"/>
      <c r="K451" s="1092"/>
      <c r="L451" s="1092"/>
      <c r="M451" s="1092"/>
      <c r="N451" s="27">
        <f t="shared" si="58"/>
        <v>0</v>
      </c>
    </row>
    <row r="452" spans="1:14">
      <c r="A452" s="78" t="s">
        <v>213</v>
      </c>
      <c r="B452" s="1092"/>
      <c r="C452" s="1092"/>
      <c r="D452" s="1092"/>
      <c r="E452" s="1092"/>
      <c r="F452" s="1092"/>
      <c r="G452" s="1092"/>
      <c r="H452" s="1092"/>
      <c r="I452" s="1092"/>
      <c r="J452" s="1092"/>
      <c r="K452" s="1092"/>
      <c r="L452" s="1092"/>
      <c r="M452" s="1092"/>
      <c r="N452" s="27">
        <f t="shared" si="58"/>
        <v>0</v>
      </c>
    </row>
    <row r="453" spans="1:14">
      <c r="A453" s="76" t="s">
        <v>267</v>
      </c>
      <c r="B453" s="1092"/>
      <c r="C453" s="1092"/>
      <c r="D453" s="1092"/>
      <c r="E453" s="1092"/>
      <c r="F453" s="1092"/>
      <c r="G453" s="1092"/>
      <c r="H453" s="1092"/>
      <c r="I453" s="1092"/>
      <c r="J453" s="1092"/>
      <c r="K453" s="1092"/>
      <c r="L453" s="1092"/>
      <c r="M453" s="1092"/>
      <c r="N453" s="27">
        <f t="shared" si="58"/>
        <v>0</v>
      </c>
    </row>
    <row r="454" spans="1:14" ht="14" thickBot="1">
      <c r="A454" s="78" t="s">
        <v>268</v>
      </c>
      <c r="B454" s="1092"/>
      <c r="C454" s="1092"/>
      <c r="D454" s="1092"/>
      <c r="E454" s="1092"/>
      <c r="F454" s="1092"/>
      <c r="G454" s="1092"/>
      <c r="H454" s="1092"/>
      <c r="I454" s="1092"/>
      <c r="J454" s="1092"/>
      <c r="K454" s="1092"/>
      <c r="L454" s="1092"/>
      <c r="M454" s="1092"/>
      <c r="N454" s="27">
        <f t="shared" si="58"/>
        <v>0</v>
      </c>
    </row>
    <row r="455" spans="1:14" ht="14" thickBot="1">
      <c r="A455" s="38" t="s">
        <v>192</v>
      </c>
      <c r="B455" s="39"/>
      <c r="C455" s="39"/>
      <c r="D455" s="39"/>
      <c r="E455" s="39"/>
      <c r="F455" s="39"/>
      <c r="G455" s="39"/>
      <c r="H455" s="39"/>
      <c r="I455" s="39"/>
      <c r="J455" s="39"/>
      <c r="K455" s="39"/>
      <c r="L455" s="39"/>
      <c r="M455" s="39"/>
      <c r="N455" s="40"/>
    </row>
    <row r="456" spans="1:14" ht="14" thickBot="1">
      <c r="A456" s="76" t="s">
        <v>193</v>
      </c>
      <c r="B456" s="1092"/>
      <c r="C456" s="1092"/>
      <c r="D456" s="1092"/>
      <c r="E456" s="1092"/>
      <c r="F456" s="1092"/>
      <c r="G456" s="1092"/>
      <c r="H456" s="1092"/>
      <c r="I456" s="1092"/>
      <c r="J456" s="1092"/>
      <c r="K456" s="1092"/>
      <c r="L456" s="1092"/>
      <c r="M456" s="1092"/>
      <c r="N456" s="27">
        <f>SUM(B456:M456)</f>
        <v>0</v>
      </c>
    </row>
    <row r="457" spans="1:14" ht="14" thickBot="1">
      <c r="A457" s="53" t="s">
        <v>60</v>
      </c>
      <c r="B457" s="55">
        <f>SUM(B443:B456)</f>
        <v>0</v>
      </c>
      <c r="C457" s="55">
        <f t="shared" ref="C457:M457" si="59">SUM(C443:C456)</f>
        <v>0</v>
      </c>
      <c r="D457" s="55">
        <f t="shared" si="59"/>
        <v>0</v>
      </c>
      <c r="E457" s="55">
        <f t="shared" si="59"/>
        <v>0</v>
      </c>
      <c r="F457" s="55">
        <f t="shared" si="59"/>
        <v>0</v>
      </c>
      <c r="G457" s="55">
        <f t="shared" si="59"/>
        <v>0</v>
      </c>
      <c r="H457" s="55">
        <f t="shared" si="59"/>
        <v>2</v>
      </c>
      <c r="I457" s="55">
        <f t="shared" si="59"/>
        <v>0</v>
      </c>
      <c r="J457" s="55">
        <f t="shared" si="59"/>
        <v>0</v>
      </c>
      <c r="K457" s="55">
        <f t="shared" si="59"/>
        <v>0</v>
      </c>
      <c r="L457" s="55">
        <f t="shared" si="59"/>
        <v>0</v>
      </c>
      <c r="M457" s="55">
        <f t="shared" si="59"/>
        <v>0</v>
      </c>
      <c r="N457" s="54"/>
    </row>
  </sheetData>
  <printOptions gridLines="1"/>
  <pageMargins left="0.75" right="0.75" top="1" bottom="1" header="0.5" footer="0.5"/>
  <pageSetup scale="70" orientation="landscape"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FF0000"/>
    <pageSetUpPr fitToPage="1"/>
  </sheetPr>
  <dimension ref="A1:U650"/>
  <sheetViews>
    <sheetView showGridLines="0" view="pageBreakPreview" zoomScale="75" zoomScaleNormal="100" zoomScaleSheetLayoutView="75" workbookViewId="0">
      <selection activeCell="M2" sqref="M2:N3"/>
    </sheetView>
  </sheetViews>
  <sheetFormatPr baseColWidth="10" defaultColWidth="8.83203125" defaultRowHeight="13"/>
  <cols>
    <col min="1" max="1" width="57.33203125" customWidth="1"/>
    <col min="2" max="5" width="8.83203125" customWidth="1"/>
    <col min="6" max="7" width="8.83203125" style="45" customWidth="1"/>
    <col min="8" max="8" width="17.1640625" style="45" customWidth="1"/>
    <col min="9" max="12" width="17.1640625" customWidth="1"/>
    <col min="13" max="14" width="8.83203125" customWidth="1"/>
  </cols>
  <sheetData>
    <row r="1" spans="1:14" s="363" customFormat="1" ht="16">
      <c r="A1" s="98"/>
      <c r="B1" s="99"/>
      <c r="C1" s="99"/>
      <c r="D1" s="99"/>
      <c r="E1" s="99"/>
      <c r="F1" s="421"/>
      <c r="G1" s="421"/>
      <c r="H1" s="421"/>
      <c r="I1" s="1468" t="s">
        <v>0</v>
      </c>
      <c r="J1" s="1468"/>
      <c r="K1" s="1468"/>
      <c r="L1" s="1468"/>
      <c r="M1" s="99"/>
      <c r="N1" s="101"/>
    </row>
    <row r="2" spans="1:14" ht="16">
      <c r="A2" s="97"/>
      <c r="B2" s="1469" t="s">
        <v>1</v>
      </c>
      <c r="C2" s="1469"/>
      <c r="D2" s="1469" t="s">
        <v>2</v>
      </c>
      <c r="E2" s="1469"/>
      <c r="F2" s="1470" t="s">
        <v>3</v>
      </c>
      <c r="G2" s="1470"/>
      <c r="H2" s="1314" t="s">
        <v>3</v>
      </c>
      <c r="I2" s="127" t="s">
        <v>195</v>
      </c>
      <c r="J2" s="102"/>
      <c r="K2" s="102"/>
      <c r="L2" s="128"/>
      <c r="M2" s="1471" t="s">
        <v>469</v>
      </c>
      <c r="N2" s="1472"/>
    </row>
    <row r="3" spans="1:14" ht="19" thickBot="1">
      <c r="A3" s="103" t="s">
        <v>5</v>
      </c>
      <c r="B3" s="1473" t="s">
        <v>6</v>
      </c>
      <c r="C3" s="1473"/>
      <c r="D3" s="1473" t="s">
        <v>7</v>
      </c>
      <c r="E3" s="1473"/>
      <c r="F3" s="1474" t="s">
        <v>7</v>
      </c>
      <c r="G3" s="1474"/>
      <c r="H3" s="1317" t="s">
        <v>58</v>
      </c>
      <c r="I3" s="1318" t="s">
        <v>196</v>
      </c>
      <c r="J3" s="1316" t="s">
        <v>8</v>
      </c>
      <c r="K3" s="1316" t="s">
        <v>9</v>
      </c>
      <c r="L3" s="401" t="s">
        <v>10</v>
      </c>
      <c r="M3" s="1473" t="s">
        <v>470</v>
      </c>
      <c r="N3" s="1475"/>
    </row>
    <row r="4" spans="1:14" ht="24" thickBot="1">
      <c r="A4" s="88" t="s">
        <v>435</v>
      </c>
      <c r="B4" s="1476"/>
      <c r="C4" s="1477"/>
      <c r="D4" s="1478"/>
      <c r="E4" s="1479"/>
      <c r="F4" s="1480"/>
      <c r="G4" s="1481"/>
      <c r="H4" s="1324"/>
      <c r="I4" s="213"/>
      <c r="J4" s="213"/>
      <c r="K4" s="213"/>
      <c r="L4" s="214"/>
      <c r="M4" s="1482"/>
      <c r="N4" s="1483"/>
    </row>
    <row r="5" spans="1:14" s="1161" customFormat="1" ht="17" thickBot="1">
      <c r="A5" s="110" t="s">
        <v>189</v>
      </c>
      <c r="B5" s="1456"/>
      <c r="C5" s="1457"/>
      <c r="D5" s="1457"/>
      <c r="E5" s="1457"/>
      <c r="F5" s="1484"/>
      <c r="G5" s="1484"/>
      <c r="H5" s="1320"/>
      <c r="I5" s="1319"/>
      <c r="J5" s="1319"/>
      <c r="K5" s="1319"/>
      <c r="L5" s="1319"/>
      <c r="M5" s="1485"/>
      <c r="N5" s="1486"/>
    </row>
    <row r="6" spans="1:14" s="121" customFormat="1">
      <c r="A6" s="69" t="s">
        <v>29</v>
      </c>
      <c r="B6" s="1465">
        <f>MVWD!N427</f>
        <v>29</v>
      </c>
      <c r="C6" s="1466"/>
      <c r="D6" s="1432">
        <f>F6*325900</f>
        <v>232497.06</v>
      </c>
      <c r="E6" s="1433"/>
      <c r="F6" s="1467">
        <f>0.0246*B6</f>
        <v>0.71340000000000003</v>
      </c>
      <c r="G6" s="1433"/>
      <c r="H6" s="1325">
        <f>F6*20</f>
        <v>14.268000000000001</v>
      </c>
      <c r="I6" s="173">
        <v>0</v>
      </c>
      <c r="J6" s="173">
        <f>B6*60</f>
        <v>1740</v>
      </c>
      <c r="K6" s="173">
        <f>B6*40</f>
        <v>1160</v>
      </c>
      <c r="L6" s="174">
        <f>K6+J6+I6</f>
        <v>2900</v>
      </c>
      <c r="M6" s="1427">
        <f>J6/(F6*830)</f>
        <v>2.9385836027034964</v>
      </c>
      <c r="N6" s="1428"/>
    </row>
    <row r="7" spans="1:14" s="121" customFormat="1">
      <c r="A7" s="69" t="s">
        <v>33</v>
      </c>
      <c r="B7" s="1435">
        <f>MVWD!N428</f>
        <v>25</v>
      </c>
      <c r="C7" s="1433"/>
      <c r="D7" s="1432">
        <f t="shared" ref="D7" si="0">F7*325900</f>
        <v>281088.75</v>
      </c>
      <c r="E7" s="1433"/>
      <c r="F7" s="1467">
        <f>0.0345*B7</f>
        <v>0.86250000000000004</v>
      </c>
      <c r="G7" s="1433"/>
      <c r="H7" s="1325">
        <f>F7*14</f>
        <v>12.075000000000001</v>
      </c>
      <c r="I7" s="173">
        <f>0*B7</f>
        <v>0</v>
      </c>
      <c r="J7" s="173">
        <f>B7*75</f>
        <v>1875</v>
      </c>
      <c r="K7" s="173">
        <f>B7*85</f>
        <v>2125</v>
      </c>
      <c r="L7" s="174">
        <f t="shared" ref="L7" si="1">K7+J7+I7</f>
        <v>4000</v>
      </c>
      <c r="M7" s="1427">
        <f t="shared" ref="M7:M11" si="2">J7/(F7*830)</f>
        <v>2.6191723415400734</v>
      </c>
      <c r="N7" s="1428"/>
    </row>
    <row r="8" spans="1:14" s="121" customFormat="1">
      <c r="A8" s="254" t="s">
        <v>363</v>
      </c>
      <c r="B8" s="1435">
        <f>MVWD!N429</f>
        <v>0</v>
      </c>
      <c r="C8" s="1433"/>
      <c r="D8" s="1432">
        <f>F8*325900</f>
        <v>0</v>
      </c>
      <c r="E8" s="1433"/>
      <c r="F8" s="1460">
        <f>0.0044*0</f>
        <v>0</v>
      </c>
      <c r="G8" s="1461"/>
      <c r="H8" s="1325">
        <f>F8*5</f>
        <v>0</v>
      </c>
      <c r="I8" s="173">
        <f>0*0</f>
        <v>0</v>
      </c>
      <c r="J8" s="173">
        <f>3*0</f>
        <v>0</v>
      </c>
      <c r="K8" s="173">
        <f>2*0</f>
        <v>0</v>
      </c>
      <c r="L8" s="174">
        <f>K8+J8+I8</f>
        <v>0</v>
      </c>
      <c r="M8" s="1427">
        <v>0</v>
      </c>
      <c r="N8" s="1428"/>
    </row>
    <row r="9" spans="1:14" s="121" customFormat="1">
      <c r="A9" s="69" t="s">
        <v>52</v>
      </c>
      <c r="B9" s="1435">
        <f>MVWD!N430</f>
        <v>12</v>
      </c>
      <c r="C9" s="1433"/>
      <c r="D9" s="1432">
        <f>F9*325900</f>
        <v>161907.12</v>
      </c>
      <c r="E9" s="1433"/>
      <c r="F9" s="1467">
        <f>0.0414*B9</f>
        <v>0.49680000000000002</v>
      </c>
      <c r="G9" s="1433"/>
      <c r="H9" s="1325">
        <f>F9*10</f>
        <v>4.968</v>
      </c>
      <c r="I9" s="173">
        <v>0</v>
      </c>
      <c r="J9" s="173">
        <f>B9*80</f>
        <v>960</v>
      </c>
      <c r="K9" s="173">
        <f>B9*80</f>
        <v>960</v>
      </c>
      <c r="L9" s="174">
        <f>K9+J9+I9</f>
        <v>1920</v>
      </c>
      <c r="M9" s="1427">
        <f t="shared" si="2"/>
        <v>2.3281531924800651</v>
      </c>
      <c r="N9" s="1428"/>
    </row>
    <row r="10" spans="1:14" s="121" customFormat="1">
      <c r="A10" s="254" t="s">
        <v>457</v>
      </c>
      <c r="B10" s="1435">
        <f>MVWD!N431</f>
        <v>16</v>
      </c>
      <c r="C10" s="1433"/>
      <c r="D10" s="1451">
        <f>F10*325900</f>
        <v>1277057</v>
      </c>
      <c r="E10" s="1448"/>
      <c r="F10" s="1447">
        <f>29699*43/325900</f>
        <v>3.9185547714022708</v>
      </c>
      <c r="G10" s="1448"/>
      <c r="H10" s="1321">
        <f>F10*10</f>
        <v>39.185547714022711</v>
      </c>
      <c r="I10" s="173">
        <v>11725</v>
      </c>
      <c r="J10" s="173">
        <v>23450</v>
      </c>
      <c r="K10" s="173">
        <v>59398</v>
      </c>
      <c r="L10" s="174">
        <f t="shared" ref="L10:L13" si="3">K10+J10+I10</f>
        <v>94573</v>
      </c>
      <c r="M10" s="1427">
        <f t="shared" si="2"/>
        <v>7.2100592428576205</v>
      </c>
      <c r="N10" s="1428"/>
    </row>
    <row r="11" spans="1:14" s="121" customFormat="1">
      <c r="A11" s="254" t="s">
        <v>214</v>
      </c>
      <c r="B11" s="1435">
        <f>MVWD!N432</f>
        <v>1</v>
      </c>
      <c r="C11" s="1433"/>
      <c r="D11" s="1432">
        <f t="shared" ref="D11" si="4">F11*325900</f>
        <v>619.21</v>
      </c>
      <c r="E11" s="1433"/>
      <c r="F11" s="1460">
        <f>0.0019*B11</f>
        <v>1.9E-3</v>
      </c>
      <c r="G11" s="1461"/>
      <c r="H11" s="1325">
        <f>F11*5</f>
        <v>9.4999999999999998E-3</v>
      </c>
      <c r="I11" s="173">
        <v>0</v>
      </c>
      <c r="J11" s="173">
        <f>B11*0</f>
        <v>0</v>
      </c>
      <c r="K11" s="173">
        <f>B11*35</f>
        <v>35</v>
      </c>
      <c r="L11" s="174">
        <f t="shared" si="3"/>
        <v>35</v>
      </c>
      <c r="M11" s="1427">
        <f t="shared" si="2"/>
        <v>0</v>
      </c>
      <c r="N11" s="1428"/>
    </row>
    <row r="12" spans="1:14" s="121" customFormat="1">
      <c r="A12" s="254" t="s">
        <v>331</v>
      </c>
      <c r="B12" s="1435">
        <f>MVWD!N433</f>
        <v>0</v>
      </c>
      <c r="C12" s="1433"/>
      <c r="D12" s="1432">
        <f>F12*325900</f>
        <v>0</v>
      </c>
      <c r="E12" s="1433"/>
      <c r="F12" s="1460">
        <v>0</v>
      </c>
      <c r="G12" s="1461"/>
      <c r="H12" s="1325">
        <v>0</v>
      </c>
      <c r="I12" s="173">
        <v>0</v>
      </c>
      <c r="J12" s="173">
        <f>B12*0</f>
        <v>0</v>
      </c>
      <c r="K12" s="173">
        <f>B12*300</f>
        <v>0</v>
      </c>
      <c r="L12" s="174">
        <f t="shared" si="3"/>
        <v>0</v>
      </c>
      <c r="M12" s="1427">
        <v>0</v>
      </c>
      <c r="N12" s="1428"/>
    </row>
    <row r="13" spans="1:14" s="121" customFormat="1" ht="14" thickBot="1">
      <c r="A13" s="254" t="s">
        <v>269</v>
      </c>
      <c r="B13" s="1462">
        <f>MVWD!N434</f>
        <v>0</v>
      </c>
      <c r="C13" s="1437"/>
      <c r="D13" s="1432">
        <f t="shared" ref="D13" si="5">F13*325900</f>
        <v>0</v>
      </c>
      <c r="E13" s="1433"/>
      <c r="F13" s="1460">
        <f>0.0414*B13</f>
        <v>0</v>
      </c>
      <c r="G13" s="1461"/>
      <c r="H13" s="1325">
        <f>F13*10</f>
        <v>0</v>
      </c>
      <c r="I13" s="173">
        <v>0</v>
      </c>
      <c r="J13" s="173">
        <f t="shared" ref="J13" si="6">B13*65</f>
        <v>0</v>
      </c>
      <c r="K13" s="173">
        <f t="shared" ref="K13" si="7">B13*40</f>
        <v>0</v>
      </c>
      <c r="L13" s="174">
        <f t="shared" si="3"/>
        <v>0</v>
      </c>
      <c r="M13" s="1427">
        <v>0</v>
      </c>
      <c r="N13" s="1428"/>
    </row>
    <row r="14" spans="1:14" s="1161" customFormat="1" ht="17" thickBot="1">
      <c r="A14" s="110" t="s">
        <v>190</v>
      </c>
      <c r="B14" s="1456"/>
      <c r="C14" s="1457"/>
      <c r="D14" s="1457"/>
      <c r="E14" s="1457"/>
      <c r="F14" s="1457"/>
      <c r="G14" s="1457"/>
      <c r="H14" s="1319"/>
      <c r="I14" s="195"/>
      <c r="J14" s="195"/>
      <c r="K14" s="195"/>
      <c r="L14" s="195"/>
      <c r="M14" s="195"/>
      <c r="N14" s="1190"/>
    </row>
    <row r="15" spans="1:14" s="121" customFormat="1">
      <c r="A15" s="76" t="s">
        <v>393</v>
      </c>
      <c r="B15" s="1435">
        <f>MVWD!N436</f>
        <v>27</v>
      </c>
      <c r="C15" s="1433"/>
      <c r="D15" s="1432">
        <f>F15*325900</f>
        <v>2041437.6</v>
      </c>
      <c r="E15" s="1433"/>
      <c r="F15" s="1463">
        <f>B15*0.232</f>
        <v>6.2640000000000002</v>
      </c>
      <c r="G15" s="1464"/>
      <c r="H15" s="1413">
        <f>F15*2</f>
        <v>12.528</v>
      </c>
      <c r="I15" s="173">
        <v>0</v>
      </c>
      <c r="J15" s="173">
        <f>L15-K15</f>
        <v>5633.0561848663347</v>
      </c>
      <c r="K15" s="173">
        <v>4050</v>
      </c>
      <c r="L15" s="174">
        <v>9683.0561848663347</v>
      </c>
      <c r="M15" s="1427">
        <f t="shared" ref="M15:M19" si="8">J15/(F15*830)</f>
        <v>1.0834633908942926</v>
      </c>
      <c r="N15" s="1428"/>
    </row>
    <row r="16" spans="1:14" s="120" customFormat="1">
      <c r="A16" s="254" t="s">
        <v>461</v>
      </c>
      <c r="B16" s="1435">
        <f>MVWD!N437</f>
        <v>11</v>
      </c>
      <c r="C16" s="1433"/>
      <c r="D16" s="1451">
        <f>F16*325900</f>
        <v>310843.42</v>
      </c>
      <c r="E16" s="1448"/>
      <c r="F16" s="1447">
        <f>(0.0414*19)+(0.0044*38)</f>
        <v>0.95379999999999998</v>
      </c>
      <c r="G16" s="1448"/>
      <c r="H16" s="1404">
        <f>((0.0414*19)*10)+((0.0044*38)*5)</f>
        <v>8.702</v>
      </c>
      <c r="I16" s="173">
        <v>0</v>
      </c>
      <c r="J16" s="173">
        <f>L16-K16</f>
        <v>5737.1202925215239</v>
      </c>
      <c r="K16" s="173">
        <v>4348.5</v>
      </c>
      <c r="L16" s="174">
        <v>10085.620292521524</v>
      </c>
      <c r="M16" s="1427">
        <f t="shared" si="8"/>
        <v>7.247004742629386</v>
      </c>
      <c r="N16" s="1428"/>
    </row>
    <row r="17" spans="1:21" s="121" customFormat="1">
      <c r="A17" s="254" t="s">
        <v>412</v>
      </c>
      <c r="B17" s="1435">
        <f>MVWD!N438</f>
        <v>23</v>
      </c>
      <c r="C17" s="1433"/>
      <c r="D17" s="1451">
        <f>F17*325900</f>
        <v>323814.24</v>
      </c>
      <c r="E17" s="1448"/>
      <c r="F17" s="1447">
        <f>0.0414*24</f>
        <v>0.99360000000000004</v>
      </c>
      <c r="G17" s="1448"/>
      <c r="H17" s="1321">
        <f>F17*10</f>
        <v>9.9359999999999999</v>
      </c>
      <c r="I17" s="173">
        <v>0</v>
      </c>
      <c r="J17" s="173">
        <f>L17-K17</f>
        <v>9621.1455136041368</v>
      </c>
      <c r="K17" s="173">
        <v>5029</v>
      </c>
      <c r="L17" s="174">
        <v>14650.145513604137</v>
      </c>
      <c r="M17" s="1427">
        <f t="shared" si="8"/>
        <v>11.666406584798295</v>
      </c>
      <c r="N17" s="1428"/>
    </row>
    <row r="18" spans="1:21" s="121" customFormat="1">
      <c r="A18" s="254" t="s">
        <v>266</v>
      </c>
      <c r="B18" s="1435">
        <f>MVWD!N439</f>
        <v>1</v>
      </c>
      <c r="C18" s="1433"/>
      <c r="D18" s="1447">
        <f>F18*325900</f>
        <v>4497.42</v>
      </c>
      <c r="E18" s="1448"/>
      <c r="F18" s="1451">
        <f>B18*0.0138</f>
        <v>1.38E-2</v>
      </c>
      <c r="G18" s="1448"/>
      <c r="H18" s="1321">
        <f>F18*10</f>
        <v>0.13800000000000001</v>
      </c>
      <c r="I18" s="173">
        <v>0</v>
      </c>
      <c r="J18" s="286">
        <f>L18-K18</f>
        <v>296.85000000000002</v>
      </c>
      <c r="K18" s="286">
        <v>260.12</v>
      </c>
      <c r="L18" s="174">
        <v>556.97</v>
      </c>
      <c r="M18" s="1427">
        <f t="shared" si="8"/>
        <v>25.916710319539025</v>
      </c>
      <c r="N18" s="1428"/>
    </row>
    <row r="19" spans="1:21" s="121" customFormat="1" ht="14" thickBot="1">
      <c r="A19" s="76" t="s">
        <v>467</v>
      </c>
      <c r="B19" s="1435">
        <f>MVWD!N440</f>
        <v>25</v>
      </c>
      <c r="C19" s="1433"/>
      <c r="D19" s="1458">
        <f>F19*325900</f>
        <v>611062.5</v>
      </c>
      <c r="E19" s="1459"/>
      <c r="F19" s="1458">
        <f>B19*0.075</f>
        <v>1.875</v>
      </c>
      <c r="G19" s="1459"/>
      <c r="H19" s="1410">
        <f>F19*10</f>
        <v>18.75</v>
      </c>
      <c r="I19" s="286">
        <v>0</v>
      </c>
      <c r="J19" s="286">
        <v>4283.0600000000004</v>
      </c>
      <c r="K19" s="286">
        <v>0</v>
      </c>
      <c r="L19" s="174">
        <f>SUM(I19:K19)</f>
        <v>4283.0600000000004</v>
      </c>
      <c r="M19" s="1427">
        <f t="shared" si="8"/>
        <v>2.7521670682730925</v>
      </c>
      <c r="N19" s="1428"/>
    </row>
    <row r="20" spans="1:21" ht="14" thickBot="1">
      <c r="A20" s="53" t="s">
        <v>60</v>
      </c>
      <c r="B20" s="1452">
        <f>SUM(B6:C19)</f>
        <v>170</v>
      </c>
      <c r="C20" s="1453"/>
      <c r="D20" s="1452">
        <f t="shared" ref="D20" si="9">SUM(D6:E19)</f>
        <v>5244824.32</v>
      </c>
      <c r="E20" s="1453"/>
      <c r="F20" s="1452">
        <f>SUM(F6:G19)</f>
        <v>16.093354771402272</v>
      </c>
      <c r="G20" s="1453"/>
      <c r="H20" s="1322">
        <f>SUM(H6:H19)</f>
        <v>120.56004771402272</v>
      </c>
      <c r="I20" s="1408">
        <f t="shared" ref="I20:L20" si="10">SUM(I6:I19)</f>
        <v>11725</v>
      </c>
      <c r="J20" s="515">
        <f t="shared" si="10"/>
        <v>53596.231990991997</v>
      </c>
      <c r="K20" s="515">
        <f t="shared" si="10"/>
        <v>77365.62</v>
      </c>
      <c r="L20" s="515">
        <f t="shared" si="10"/>
        <v>142686.851990992</v>
      </c>
      <c r="M20" s="1454"/>
      <c r="N20" s="1455"/>
    </row>
    <row r="21" spans="1:21" s="1161" customFormat="1" ht="17" thickBot="1">
      <c r="A21" s="110" t="s">
        <v>194</v>
      </c>
      <c r="B21" s="1456"/>
      <c r="C21" s="1457"/>
      <c r="D21" s="1457"/>
      <c r="E21" s="1457"/>
      <c r="F21" s="1457"/>
      <c r="G21" s="1457"/>
      <c r="H21" s="1319"/>
      <c r="I21" s="1334"/>
      <c r="J21" s="1334"/>
      <c r="K21" s="1334"/>
      <c r="L21" s="1334"/>
      <c r="M21" s="1334"/>
      <c r="N21" s="1335"/>
    </row>
    <row r="22" spans="1:21">
      <c r="A22" s="68" t="s">
        <v>29</v>
      </c>
      <c r="B22" s="1421">
        <f>MVWD!N443</f>
        <v>2</v>
      </c>
      <c r="C22" s="1422"/>
      <c r="D22" s="1431">
        <f>F22*325900</f>
        <v>16034.28</v>
      </c>
      <c r="E22" s="1422"/>
      <c r="F22" s="1444">
        <f>0.0246*B22</f>
        <v>4.9200000000000001E-2</v>
      </c>
      <c r="G22" s="1422"/>
      <c r="H22" s="1326">
        <f>F22*20</f>
        <v>0.98399999999999999</v>
      </c>
      <c r="I22" s="151">
        <v>0</v>
      </c>
      <c r="J22" s="150">
        <f>B22*60</f>
        <v>120</v>
      </c>
      <c r="K22" s="150">
        <f>B22*40</f>
        <v>80</v>
      </c>
      <c r="L22" s="174">
        <f t="shared" ref="L22:L25" si="11">K22+J22+I22</f>
        <v>200</v>
      </c>
      <c r="M22" s="1427">
        <f>J22/(F22*830)</f>
        <v>2.9385836027034968</v>
      </c>
      <c r="N22" s="1428"/>
      <c r="U22" s="3"/>
    </row>
    <row r="23" spans="1:21">
      <c r="A23" s="68" t="s">
        <v>51</v>
      </c>
      <c r="B23" s="1421">
        <f>MVWD!N444</f>
        <v>0</v>
      </c>
      <c r="C23" s="1422"/>
      <c r="D23" s="1431">
        <f>F23*325900</f>
        <v>0</v>
      </c>
      <c r="E23" s="1422"/>
      <c r="F23" s="1444">
        <f>0.1227*B23</f>
        <v>0</v>
      </c>
      <c r="G23" s="1422"/>
      <c r="H23" s="1326">
        <f>F23*20</f>
        <v>0</v>
      </c>
      <c r="I23" s="151">
        <v>0</v>
      </c>
      <c r="J23" s="150">
        <f>B23*200</f>
        <v>0</v>
      </c>
      <c r="K23" s="150">
        <f>B23*200</f>
        <v>0</v>
      </c>
      <c r="L23" s="174">
        <f t="shared" si="11"/>
        <v>0</v>
      </c>
      <c r="M23" s="1427">
        <v>0</v>
      </c>
      <c r="N23" s="1428"/>
    </row>
    <row r="24" spans="1:21">
      <c r="A24" s="2" t="s">
        <v>204</v>
      </c>
      <c r="B24" s="1421">
        <f>MVWD!N445</f>
        <v>0</v>
      </c>
      <c r="C24" s="1422"/>
      <c r="D24" s="1431">
        <f>F24*325900</f>
        <v>0</v>
      </c>
      <c r="E24" s="1422"/>
      <c r="F24" s="1444">
        <f>0.644*B24</f>
        <v>0</v>
      </c>
      <c r="G24" s="1422"/>
      <c r="H24" s="1326">
        <f>F24*5</f>
        <v>0</v>
      </c>
      <c r="I24" s="151">
        <v>0</v>
      </c>
      <c r="J24" s="150">
        <f>B24*375</f>
        <v>0</v>
      </c>
      <c r="K24" s="150">
        <f>B24*625</f>
        <v>0</v>
      </c>
      <c r="L24" s="174">
        <f t="shared" si="11"/>
        <v>0</v>
      </c>
      <c r="M24" s="1427">
        <v>0</v>
      </c>
      <c r="N24" s="1428"/>
    </row>
    <row r="25" spans="1:21">
      <c r="A25" s="254" t="s">
        <v>30</v>
      </c>
      <c r="B25" s="1421">
        <f>MVWD!N446</f>
        <v>0</v>
      </c>
      <c r="C25" s="1422"/>
      <c r="D25" s="1431">
        <f t="shared" ref="D25:D33" si="12">F25*325900</f>
        <v>0</v>
      </c>
      <c r="E25" s="1422"/>
      <c r="F25" s="1449">
        <f>0.0129*B25</f>
        <v>0</v>
      </c>
      <c r="G25" s="1450"/>
      <c r="H25" s="1326">
        <f>F25*10</f>
        <v>0</v>
      </c>
      <c r="I25" s="151">
        <v>0</v>
      </c>
      <c r="J25" s="150">
        <f>B25*15</f>
        <v>0</v>
      </c>
      <c r="K25" s="150">
        <f>B25*35</f>
        <v>0</v>
      </c>
      <c r="L25" s="174">
        <f t="shared" si="11"/>
        <v>0</v>
      </c>
      <c r="M25" s="1427">
        <v>0</v>
      </c>
      <c r="N25" s="1428"/>
    </row>
    <row r="26" spans="1:21">
      <c r="A26" s="254" t="s">
        <v>436</v>
      </c>
      <c r="B26" s="1421">
        <f>MVWD!N447</f>
        <v>0</v>
      </c>
      <c r="C26" s="1422"/>
      <c r="D26" s="1431">
        <f t="shared" si="12"/>
        <v>0</v>
      </c>
      <c r="E26" s="1422"/>
      <c r="F26" s="1425">
        <f>0.0044*0</f>
        <v>0</v>
      </c>
      <c r="G26" s="1426"/>
      <c r="H26" s="1326">
        <f>F26*5</f>
        <v>0</v>
      </c>
      <c r="I26" s="151">
        <v>0</v>
      </c>
      <c r="J26" s="150">
        <f>B26*3</f>
        <v>0</v>
      </c>
      <c r="K26" s="150">
        <f>B26*2</f>
        <v>0</v>
      </c>
      <c r="L26" s="174">
        <f>K26+J26+I26</f>
        <v>0</v>
      </c>
      <c r="M26" s="1427">
        <v>0</v>
      </c>
      <c r="N26" s="1428"/>
    </row>
    <row r="27" spans="1:21">
      <c r="A27" s="254" t="s">
        <v>122</v>
      </c>
      <c r="B27" s="1421">
        <f>MVWD!N448</f>
        <v>0</v>
      </c>
      <c r="C27" s="1422"/>
      <c r="D27" s="1431">
        <f t="shared" si="12"/>
        <v>0</v>
      </c>
      <c r="E27" s="1422"/>
      <c r="F27" s="1444">
        <f>0.018*B27</f>
        <v>0</v>
      </c>
      <c r="G27" s="1422"/>
      <c r="H27" s="1326">
        <f>F27*10</f>
        <v>0</v>
      </c>
      <c r="I27" s="151">
        <v>0</v>
      </c>
      <c r="J27" s="150">
        <f>B27*5</f>
        <v>0</v>
      </c>
      <c r="K27" s="150">
        <f>B27*13</f>
        <v>0</v>
      </c>
      <c r="L27" s="174">
        <f t="shared" ref="L27:L33" si="13">K27+J27+I27</f>
        <v>0</v>
      </c>
      <c r="M27" s="1427">
        <v>0</v>
      </c>
      <c r="N27" s="1428"/>
    </row>
    <row r="28" spans="1:21">
      <c r="A28" s="257" t="s">
        <v>184</v>
      </c>
      <c r="B28" s="1421">
        <f>MVWD!N449</f>
        <v>0</v>
      </c>
      <c r="C28" s="1422"/>
      <c r="D28" s="1431">
        <f t="shared" si="12"/>
        <v>0</v>
      </c>
      <c r="E28" s="1422"/>
      <c r="F28" s="1444">
        <f>0.0129*B28</f>
        <v>0</v>
      </c>
      <c r="G28" s="1422"/>
      <c r="H28" s="1326">
        <f>F28*10</f>
        <v>0</v>
      </c>
      <c r="I28" s="151">
        <v>0</v>
      </c>
      <c r="J28" s="150">
        <f>B28*15</f>
        <v>0</v>
      </c>
      <c r="K28" s="150">
        <f>B28*35</f>
        <v>0</v>
      </c>
      <c r="L28" s="174">
        <f t="shared" si="13"/>
        <v>0</v>
      </c>
      <c r="M28" s="1427">
        <v>0</v>
      </c>
      <c r="N28" s="1428"/>
    </row>
    <row r="29" spans="1:21" s="57" customFormat="1">
      <c r="A29" s="258" t="s">
        <v>187</v>
      </c>
      <c r="B29" s="1421">
        <f>MVWD!N450</f>
        <v>0</v>
      </c>
      <c r="C29" s="1422"/>
      <c r="D29" s="1431">
        <f t="shared" si="12"/>
        <v>0</v>
      </c>
      <c r="E29" s="1422"/>
      <c r="F29" s="1444">
        <f>0.023*B29</f>
        <v>0</v>
      </c>
      <c r="G29" s="1422"/>
      <c r="H29" s="1326">
        <f>F29*5</f>
        <v>0</v>
      </c>
      <c r="I29" s="151">
        <v>0</v>
      </c>
      <c r="J29" s="150">
        <f>B29*10</f>
        <v>0</v>
      </c>
      <c r="K29" s="150">
        <f>B29*10</f>
        <v>0</v>
      </c>
      <c r="L29" s="174">
        <f t="shared" si="13"/>
        <v>0</v>
      </c>
      <c r="M29" s="1427">
        <v>0</v>
      </c>
      <c r="N29" s="1428"/>
    </row>
    <row r="30" spans="1:21" s="57" customFormat="1">
      <c r="A30" s="258" t="s">
        <v>188</v>
      </c>
      <c r="B30" s="1421">
        <f>MVWD!N451</f>
        <v>0</v>
      </c>
      <c r="C30" s="1422"/>
      <c r="D30" s="1431">
        <f t="shared" si="12"/>
        <v>0</v>
      </c>
      <c r="E30" s="1422"/>
      <c r="F30" s="1445">
        <f>B30*0.154</f>
        <v>0</v>
      </c>
      <c r="G30" s="1446"/>
      <c r="H30" s="1329">
        <f>F30*10</f>
        <v>0</v>
      </c>
      <c r="I30" s="151">
        <v>0</v>
      </c>
      <c r="J30" s="150">
        <f>B30*1000</f>
        <v>0</v>
      </c>
      <c r="K30" s="150">
        <f>B30*1000</f>
        <v>0</v>
      </c>
      <c r="L30" s="174">
        <f t="shared" si="13"/>
        <v>0</v>
      </c>
      <c r="M30" s="1427">
        <v>0</v>
      </c>
      <c r="N30" s="1428"/>
    </row>
    <row r="31" spans="1:21" s="57" customFormat="1">
      <c r="A31" s="258" t="s">
        <v>323</v>
      </c>
      <c r="B31" s="1421">
        <f>MVWD!N452</f>
        <v>0</v>
      </c>
      <c r="C31" s="1422"/>
      <c r="D31" s="1423">
        <f t="shared" si="12"/>
        <v>0</v>
      </c>
      <c r="E31" s="1424"/>
      <c r="F31" s="1447">
        <f>0*43/325900</f>
        <v>0</v>
      </c>
      <c r="G31" s="1448"/>
      <c r="H31" s="1321">
        <f>F31*10</f>
        <v>0</v>
      </c>
      <c r="I31" s="151">
        <v>0</v>
      </c>
      <c r="J31" s="150">
        <v>0</v>
      </c>
      <c r="K31" s="150">
        <v>0</v>
      </c>
      <c r="L31" s="174">
        <f t="shared" si="13"/>
        <v>0</v>
      </c>
      <c r="M31" s="1427">
        <v>0</v>
      </c>
      <c r="N31" s="1428"/>
    </row>
    <row r="32" spans="1:21" s="57" customFormat="1">
      <c r="A32" s="258" t="s">
        <v>269</v>
      </c>
      <c r="B32" s="1421">
        <f>MVWD!N453</f>
        <v>0</v>
      </c>
      <c r="C32" s="1422"/>
      <c r="D32" s="1423">
        <f t="shared" si="12"/>
        <v>0</v>
      </c>
      <c r="E32" s="1424"/>
      <c r="F32" s="1425">
        <f t="shared" ref="F32" si="14">0.0129*B32</f>
        <v>0</v>
      </c>
      <c r="G32" s="1426"/>
      <c r="H32" s="1323">
        <f>F32*10</f>
        <v>0</v>
      </c>
      <c r="I32" s="151">
        <v>0</v>
      </c>
      <c r="J32" s="150">
        <f>B32*15</f>
        <v>0</v>
      </c>
      <c r="K32" s="150">
        <f>B32*35</f>
        <v>0</v>
      </c>
      <c r="L32" s="174">
        <f t="shared" si="13"/>
        <v>0</v>
      </c>
      <c r="M32" s="1427">
        <v>0</v>
      </c>
      <c r="N32" s="1428"/>
    </row>
    <row r="33" spans="1:14" s="57" customFormat="1" ht="14" thickBot="1">
      <c r="A33" s="258" t="s">
        <v>268</v>
      </c>
      <c r="B33" s="1421">
        <f>MVWD!N454</f>
        <v>0</v>
      </c>
      <c r="C33" s="1422"/>
      <c r="D33" s="1431">
        <f t="shared" si="12"/>
        <v>0</v>
      </c>
      <c r="E33" s="1422"/>
      <c r="F33" s="1432">
        <f>(B33*0.0084)/2</f>
        <v>0</v>
      </c>
      <c r="G33" s="1433"/>
      <c r="H33" s="1325">
        <f>F33*10</f>
        <v>0</v>
      </c>
      <c r="I33" s="151">
        <v>0</v>
      </c>
      <c r="J33" s="150">
        <f>B33*5</f>
        <v>0</v>
      </c>
      <c r="K33" s="150">
        <f>B33*5</f>
        <v>0</v>
      </c>
      <c r="L33" s="174">
        <f t="shared" si="13"/>
        <v>0</v>
      </c>
      <c r="M33" s="1427">
        <v>0</v>
      </c>
      <c r="N33" s="1428"/>
    </row>
    <row r="34" spans="1:14" s="91" customFormat="1" ht="16.5" hidden="1" customHeight="1" thickBot="1">
      <c r="A34" s="1046" t="s">
        <v>192</v>
      </c>
      <c r="B34" s="1434"/>
      <c r="C34" s="1434"/>
      <c r="D34" s="1434"/>
      <c r="E34" s="1434"/>
      <c r="F34" s="1425">
        <f t="shared" ref="F34:F35" si="15">0.0129*B34</f>
        <v>0</v>
      </c>
      <c r="G34" s="1426"/>
      <c r="H34" s="1327"/>
      <c r="I34" s="1133"/>
      <c r="J34" s="1133"/>
      <c r="K34" s="1133"/>
      <c r="L34" s="1133"/>
      <c r="M34" s="1133"/>
      <c r="N34" s="1134"/>
    </row>
    <row r="35" spans="1:14" s="121" customFormat="1" ht="13.5" hidden="1" customHeight="1" thickBot="1">
      <c r="A35" s="76" t="s">
        <v>193</v>
      </c>
      <c r="B35" s="1435">
        <v>0</v>
      </c>
      <c r="C35" s="1433"/>
      <c r="D35" s="1436">
        <f>F35*325900</f>
        <v>0</v>
      </c>
      <c r="E35" s="1437"/>
      <c r="F35" s="1425">
        <f t="shared" si="15"/>
        <v>0</v>
      </c>
      <c r="G35" s="1426"/>
      <c r="H35" s="1325">
        <f>F35*5</f>
        <v>0</v>
      </c>
      <c r="I35" s="216">
        <v>0</v>
      </c>
      <c r="J35" s="216">
        <f>L35-K35</f>
        <v>0</v>
      </c>
      <c r="K35" s="216">
        <f>B35*2</f>
        <v>0</v>
      </c>
      <c r="L35" s="174">
        <v>0</v>
      </c>
      <c r="M35" s="1427">
        <f>IF(ISERROR(L35/(F35*771)),0,L35/(F35*771))</f>
        <v>0</v>
      </c>
      <c r="N35" s="1428"/>
    </row>
    <row r="36" spans="1:14" ht="14" thickBot="1">
      <c r="A36" s="53" t="s">
        <v>60</v>
      </c>
      <c r="B36" s="1438">
        <f>SUM(B22:C35)</f>
        <v>2</v>
      </c>
      <c r="C36" s="1439"/>
      <c r="D36" s="1440">
        <f>SUM(D22:E35)</f>
        <v>16034.28</v>
      </c>
      <c r="E36" s="1439"/>
      <c r="F36" s="1441">
        <f>SUM(F22:G35)</f>
        <v>4.9200000000000001E-2</v>
      </c>
      <c r="G36" s="1439"/>
      <c r="H36" s="1313">
        <f>SUM(H22:H35)</f>
        <v>0.98399999999999999</v>
      </c>
      <c r="I36" s="1336">
        <f>SUM(I22:I35)</f>
        <v>0</v>
      </c>
      <c r="J36" s="1336">
        <f>SUM(J22:J35)</f>
        <v>120</v>
      </c>
      <c r="K36" s="1336">
        <f>SUM(K22:K35)</f>
        <v>80</v>
      </c>
      <c r="L36" s="1336">
        <f>SUM(L22:L35)</f>
        <v>200</v>
      </c>
      <c r="M36" s="1442"/>
      <c r="N36" s="1443"/>
    </row>
    <row r="37" spans="1:14" s="1161" customFormat="1" ht="17" thickBot="1">
      <c r="A37" s="1163" t="s">
        <v>17</v>
      </c>
      <c r="B37" s="1414">
        <f>SUM(,B20,B36)</f>
        <v>172</v>
      </c>
      <c r="C37" s="1415"/>
      <c r="D37" s="1416">
        <f>SUM(,D20,D36)</f>
        <v>5260858.6000000006</v>
      </c>
      <c r="E37" s="1415"/>
      <c r="F37" s="1416">
        <f>SUM(,F20,F36)</f>
        <v>16.142554771402271</v>
      </c>
      <c r="G37" s="1415"/>
      <c r="H37" s="1312">
        <f>SUM(H20,H36)</f>
        <v>121.54404771402271</v>
      </c>
      <c r="I37" s="1165">
        <f>SUM(,I20,I36)</f>
        <v>11725</v>
      </c>
      <c r="J37" s="1165">
        <f>SUM(,J20,J36)</f>
        <v>53716.231990991997</v>
      </c>
      <c r="K37" s="1165">
        <f>SUM(,K20,K36)</f>
        <v>77445.62</v>
      </c>
      <c r="L37" s="1165">
        <f>SUM(,L20,L36)</f>
        <v>142886.851990992</v>
      </c>
      <c r="M37" s="1417"/>
      <c r="N37" s="1418"/>
    </row>
    <row r="38" spans="1:14">
      <c r="A38" s="50"/>
      <c r="B38" s="1332"/>
      <c r="C38" s="1332"/>
      <c r="D38" s="1332"/>
      <c r="E38" s="1332"/>
      <c r="F38" s="1331"/>
      <c r="G38" s="1331"/>
      <c r="H38" s="1331"/>
      <c r="I38" s="21"/>
      <c r="J38" s="21"/>
      <c r="K38" s="21"/>
      <c r="L38" s="21"/>
      <c r="M38" s="1328"/>
      <c r="N38" s="1328"/>
    </row>
    <row r="39" spans="1:14" ht="15">
      <c r="A39" s="9" t="s">
        <v>18</v>
      </c>
      <c r="B39" s="1419" t="s">
        <v>59</v>
      </c>
      <c r="C39" s="1419"/>
      <c r="D39" s="1419"/>
      <c r="E39" s="1419"/>
      <c r="F39" s="1331"/>
      <c r="G39" s="1331"/>
      <c r="H39" s="1331"/>
      <c r="I39" s="21"/>
      <c r="J39" s="21"/>
      <c r="K39" s="21"/>
      <c r="L39" s="21"/>
      <c r="M39" s="1328"/>
      <c r="N39" s="1328"/>
    </row>
    <row r="40" spans="1:14" ht="14" thickBot="1">
      <c r="B40" s="1420" t="s">
        <v>19</v>
      </c>
      <c r="C40" s="1420"/>
      <c r="D40" s="1420"/>
      <c r="E40" s="1420"/>
      <c r="F40" s="1331"/>
      <c r="G40" s="1331"/>
      <c r="H40" s="1331"/>
      <c r="I40" s="21"/>
      <c r="J40" s="21"/>
      <c r="K40" s="21"/>
      <c r="L40" s="21"/>
      <c r="N40" s="1328"/>
    </row>
    <row r="41" spans="1:14" s="363" customFormat="1" ht="16">
      <c r="A41" s="98"/>
      <c r="B41" s="99"/>
      <c r="C41" s="99"/>
      <c r="D41" s="99"/>
      <c r="E41" s="99"/>
      <c r="F41" s="421"/>
      <c r="G41" s="421"/>
      <c r="H41" s="421"/>
      <c r="I41" s="1468" t="s">
        <v>0</v>
      </c>
      <c r="J41" s="1468"/>
      <c r="K41" s="1468"/>
      <c r="L41" s="1468"/>
      <c r="M41" s="99"/>
      <c r="N41" s="101"/>
    </row>
    <row r="42" spans="1:14" ht="16">
      <c r="A42" s="97"/>
      <c r="B42" s="1469" t="s">
        <v>1</v>
      </c>
      <c r="C42" s="1469"/>
      <c r="D42" s="1469" t="s">
        <v>2</v>
      </c>
      <c r="E42" s="1469"/>
      <c r="F42" s="1470" t="s">
        <v>3</v>
      </c>
      <c r="G42" s="1470"/>
      <c r="H42" s="1116" t="s">
        <v>3</v>
      </c>
      <c r="I42" s="127" t="s">
        <v>195</v>
      </c>
      <c r="J42" s="102"/>
      <c r="K42" s="102"/>
      <c r="L42" s="128"/>
      <c r="M42" s="1525" t="s">
        <v>4</v>
      </c>
      <c r="N42" s="1526"/>
    </row>
    <row r="43" spans="1:14" ht="19" thickBot="1">
      <c r="A43" s="103" t="s">
        <v>5</v>
      </c>
      <c r="B43" s="1473" t="s">
        <v>6</v>
      </c>
      <c r="C43" s="1473"/>
      <c r="D43" s="1473" t="s">
        <v>7</v>
      </c>
      <c r="E43" s="1473"/>
      <c r="F43" s="1474" t="s">
        <v>7</v>
      </c>
      <c r="G43" s="1474"/>
      <c r="H43" s="1118" t="s">
        <v>58</v>
      </c>
      <c r="I43" s="1121" t="s">
        <v>196</v>
      </c>
      <c r="J43" s="1117" t="s">
        <v>8</v>
      </c>
      <c r="K43" s="1117" t="s">
        <v>9</v>
      </c>
      <c r="L43" s="401" t="s">
        <v>10</v>
      </c>
      <c r="M43" s="1527" t="s">
        <v>145</v>
      </c>
      <c r="N43" s="1475"/>
    </row>
    <row r="44" spans="1:14" ht="24" thickBot="1">
      <c r="A44" s="88" t="s">
        <v>391</v>
      </c>
      <c r="B44" s="1476"/>
      <c r="C44" s="1477"/>
      <c r="D44" s="1478"/>
      <c r="E44" s="1479"/>
      <c r="F44" s="1480"/>
      <c r="G44" s="1481"/>
      <c r="H44" s="1126"/>
      <c r="I44" s="213"/>
      <c r="J44" s="213"/>
      <c r="K44" s="213"/>
      <c r="L44" s="214"/>
      <c r="M44" s="1482"/>
      <c r="N44" s="1483"/>
    </row>
    <row r="45" spans="1:14" s="1161" customFormat="1" ht="17" thickBot="1">
      <c r="A45" s="110" t="s">
        <v>189</v>
      </c>
      <c r="B45" s="1456"/>
      <c r="C45" s="1457"/>
      <c r="D45" s="1457"/>
      <c r="E45" s="1457"/>
      <c r="F45" s="1484"/>
      <c r="G45" s="1484"/>
      <c r="H45" s="1158"/>
      <c r="I45" s="1141"/>
      <c r="J45" s="1141"/>
      <c r="K45" s="1141"/>
      <c r="L45" s="1141"/>
      <c r="M45" s="1485"/>
      <c r="N45" s="1486"/>
    </row>
    <row r="46" spans="1:14" s="121" customFormat="1">
      <c r="A46" s="69" t="s">
        <v>29</v>
      </c>
      <c r="B46" s="1435">
        <f>MVWD!N393</f>
        <v>12</v>
      </c>
      <c r="C46" s="1433"/>
      <c r="D46" s="1432">
        <f t="shared" ref="D46:D47" si="16">F46*325900</f>
        <v>96205.680000000008</v>
      </c>
      <c r="E46" s="1433"/>
      <c r="F46" s="1974">
        <f>0.0246*B46</f>
        <v>0.29520000000000002</v>
      </c>
      <c r="G46" s="1973"/>
      <c r="H46" s="1124">
        <f>F46*20</f>
        <v>5.9039999999999999</v>
      </c>
      <c r="I46" s="173">
        <v>0</v>
      </c>
      <c r="J46" s="173">
        <f>B46*60</f>
        <v>720</v>
      </c>
      <c r="K46" s="173">
        <f>B46*40</f>
        <v>480</v>
      </c>
      <c r="L46" s="174">
        <f>K46+J46+I46</f>
        <v>1200</v>
      </c>
      <c r="M46" s="1427">
        <f t="shared" ref="M46:M53" si="17">IF(ISERROR(L46/(F46*771)),0,L46/(F46*799))</f>
        <v>5.087660388493747</v>
      </c>
      <c r="N46" s="1428"/>
    </row>
    <row r="47" spans="1:14" s="121" customFormat="1">
      <c r="A47" s="69" t="s">
        <v>33</v>
      </c>
      <c r="B47" s="1435">
        <f>MVWD!N394</f>
        <v>44</v>
      </c>
      <c r="C47" s="1433"/>
      <c r="D47" s="1432">
        <f t="shared" si="16"/>
        <v>494716.20000000007</v>
      </c>
      <c r="E47" s="1433"/>
      <c r="F47" s="1460">
        <f>B47*0.0345</f>
        <v>1.5180000000000002</v>
      </c>
      <c r="G47" s="1461"/>
      <c r="H47" s="1124">
        <f>F47*14</f>
        <v>21.252000000000002</v>
      </c>
      <c r="I47" s="173">
        <f>0*B47</f>
        <v>0</v>
      </c>
      <c r="J47" s="173">
        <f>B47*75</f>
        <v>3300</v>
      </c>
      <c r="K47" s="173">
        <f>B47*85</f>
        <v>3740</v>
      </c>
      <c r="L47" s="174">
        <f t="shared" ref="L47:L53" si="18">K47+J47+I47</f>
        <v>7040</v>
      </c>
      <c r="M47" s="1427">
        <f t="shared" si="17"/>
        <v>5.8043568953946041</v>
      </c>
      <c r="N47" s="1428"/>
    </row>
    <row r="48" spans="1:14" s="121" customFormat="1">
      <c r="A48" s="254" t="s">
        <v>427</v>
      </c>
      <c r="B48" s="1435">
        <f>MVWD!N395</f>
        <v>1</v>
      </c>
      <c r="C48" s="1433"/>
      <c r="D48" s="1432">
        <f>F48*325900</f>
        <v>43018.8</v>
      </c>
      <c r="E48" s="1433"/>
      <c r="F48" s="1460">
        <f>0.0044*30</f>
        <v>0.13200000000000001</v>
      </c>
      <c r="G48" s="1461"/>
      <c r="H48" s="1124">
        <f>F48*5</f>
        <v>0.66</v>
      </c>
      <c r="I48" s="173">
        <f>0*30</f>
        <v>0</v>
      </c>
      <c r="J48" s="173">
        <f>30*3</f>
        <v>90</v>
      </c>
      <c r="K48" s="173">
        <f>30*2</f>
        <v>60</v>
      </c>
      <c r="L48" s="174">
        <f t="shared" si="18"/>
        <v>150</v>
      </c>
      <c r="M48" s="1427">
        <f t="shared" si="17"/>
        <v>1.4222323358743885</v>
      </c>
      <c r="N48" s="1428"/>
    </row>
    <row r="49" spans="1:21" s="121" customFormat="1">
      <c r="A49" s="69" t="s">
        <v>52</v>
      </c>
      <c r="B49" s="1435">
        <f>MVWD!N396</f>
        <v>11</v>
      </c>
      <c r="C49" s="1433"/>
      <c r="D49" s="1432">
        <f t="shared" ref="D49" si="19">F49*325900</f>
        <v>148414.85999999999</v>
      </c>
      <c r="E49" s="1433"/>
      <c r="F49" s="1460">
        <f>0.0414*B49</f>
        <v>0.45539999999999997</v>
      </c>
      <c r="G49" s="1461"/>
      <c r="H49" s="1124">
        <f>F49*10</f>
        <v>4.5539999999999994</v>
      </c>
      <c r="I49" s="173">
        <v>0</v>
      </c>
      <c r="J49" s="173">
        <f>B49*80</f>
        <v>880</v>
      </c>
      <c r="K49" s="173">
        <f>B49*80</f>
        <v>880</v>
      </c>
      <c r="L49" s="174">
        <f t="shared" si="18"/>
        <v>1760</v>
      </c>
      <c r="M49" s="1427">
        <f t="shared" si="17"/>
        <v>4.8369640794955044</v>
      </c>
      <c r="N49" s="1428"/>
    </row>
    <row r="50" spans="1:21" s="121" customFormat="1">
      <c r="A50" s="254" t="s">
        <v>404</v>
      </c>
      <c r="B50" s="1435">
        <f>MVWD!N397</f>
        <v>6</v>
      </c>
      <c r="C50" s="1433"/>
      <c r="D50" s="1451">
        <f>F50*325900</f>
        <v>256709.99929899999</v>
      </c>
      <c r="E50" s="1448"/>
      <c r="F50" s="1447">
        <v>0.78769560999999999</v>
      </c>
      <c r="G50" s="1448"/>
      <c r="H50" s="1115">
        <f>F50*10</f>
        <v>7.8769561000000001</v>
      </c>
      <c r="I50" s="173">
        <v>2985</v>
      </c>
      <c r="J50" s="173">
        <v>5970</v>
      </c>
      <c r="K50" s="173">
        <v>9369</v>
      </c>
      <c r="L50" s="174">
        <f t="shared" si="18"/>
        <v>18324</v>
      </c>
      <c r="M50" s="1427">
        <f t="shared" si="17"/>
        <v>29.114884979306691</v>
      </c>
      <c r="N50" s="1428"/>
    </row>
    <row r="51" spans="1:21" s="121" customFormat="1">
      <c r="A51" s="254" t="s">
        <v>214</v>
      </c>
      <c r="B51" s="1435">
        <f>MVWD!N398</f>
        <v>0</v>
      </c>
      <c r="C51" s="1433"/>
      <c r="D51" s="1432">
        <f t="shared" ref="D51:D53" si="20">F51*325900</f>
        <v>0</v>
      </c>
      <c r="E51" s="1433"/>
      <c r="F51" s="1460">
        <v>0</v>
      </c>
      <c r="G51" s="1461"/>
      <c r="H51" s="1124">
        <f>F51*5</f>
        <v>0</v>
      </c>
      <c r="I51" s="173">
        <v>0</v>
      </c>
      <c r="J51" s="173">
        <f>B51*0</f>
        <v>0</v>
      </c>
      <c r="K51" s="173">
        <f>B51*35</f>
        <v>0</v>
      </c>
      <c r="L51" s="174">
        <f t="shared" si="18"/>
        <v>0</v>
      </c>
      <c r="M51" s="1427">
        <f t="shared" si="17"/>
        <v>0</v>
      </c>
      <c r="N51" s="1428"/>
    </row>
    <row r="52" spans="1:21" s="121" customFormat="1">
      <c r="A52" s="254" t="s">
        <v>331</v>
      </c>
      <c r="B52" s="1435">
        <f>MVWD!N399</f>
        <v>0</v>
      </c>
      <c r="C52" s="1433"/>
      <c r="D52" s="1432">
        <f t="shared" si="20"/>
        <v>0</v>
      </c>
      <c r="E52" s="1433"/>
      <c r="F52" s="1460">
        <v>0</v>
      </c>
      <c r="G52" s="1461"/>
      <c r="H52" s="1124">
        <v>0</v>
      </c>
      <c r="I52" s="173">
        <v>0</v>
      </c>
      <c r="J52" s="173">
        <f>B52*0</f>
        <v>0</v>
      </c>
      <c r="K52" s="173">
        <f>B52*300</f>
        <v>0</v>
      </c>
      <c r="L52" s="174">
        <f t="shared" si="18"/>
        <v>0</v>
      </c>
      <c r="M52" s="1427">
        <f t="shared" si="17"/>
        <v>0</v>
      </c>
      <c r="N52" s="1428"/>
    </row>
    <row r="53" spans="1:21" s="121" customFormat="1" ht="14" thickBot="1">
      <c r="A53" s="254" t="s">
        <v>269</v>
      </c>
      <c r="B53" s="1435">
        <f>MVWD!N400</f>
        <v>0</v>
      </c>
      <c r="C53" s="1433"/>
      <c r="D53" s="1432">
        <f t="shared" si="20"/>
        <v>0</v>
      </c>
      <c r="E53" s="1433"/>
      <c r="F53" s="1506">
        <v>0</v>
      </c>
      <c r="G53" s="1505"/>
      <c r="H53" s="1124">
        <f>F53*10</f>
        <v>0</v>
      </c>
      <c r="I53" s="173">
        <v>0</v>
      </c>
      <c r="J53" s="173">
        <f t="shared" ref="J53" si="21">B53*65</f>
        <v>0</v>
      </c>
      <c r="K53" s="173">
        <f t="shared" ref="K53" si="22">B53*40</f>
        <v>0</v>
      </c>
      <c r="L53" s="174">
        <f t="shared" si="18"/>
        <v>0</v>
      </c>
      <c r="M53" s="1427">
        <f t="shared" si="17"/>
        <v>0</v>
      </c>
      <c r="N53" s="1428"/>
    </row>
    <row r="54" spans="1:21" s="1161" customFormat="1" ht="17" thickBot="1">
      <c r="A54" s="110" t="s">
        <v>190</v>
      </c>
      <c r="B54" s="1456"/>
      <c r="C54" s="1457"/>
      <c r="D54" s="1457"/>
      <c r="E54" s="1457"/>
      <c r="F54" s="1457"/>
      <c r="G54" s="1457"/>
      <c r="H54" s="1141"/>
      <c r="I54" s="195"/>
      <c r="J54" s="195"/>
      <c r="K54" s="195"/>
      <c r="L54" s="195"/>
      <c r="M54" s="195"/>
      <c r="N54" s="1190"/>
    </row>
    <row r="55" spans="1:21" s="121" customFormat="1">
      <c r="A55" s="76" t="s">
        <v>421</v>
      </c>
      <c r="B55" s="1435">
        <f>MVWD!N402</f>
        <v>18</v>
      </c>
      <c r="C55" s="1433"/>
      <c r="D55" s="1432" t="s">
        <v>22</v>
      </c>
      <c r="E55" s="1433"/>
      <c r="F55" s="1467" t="s">
        <v>22</v>
      </c>
      <c r="G55" s="1433"/>
      <c r="H55" s="1292" t="s">
        <v>22</v>
      </c>
      <c r="I55" s="173">
        <f>B55*541.27</f>
        <v>9742.86</v>
      </c>
      <c r="J55" s="173">
        <v>0</v>
      </c>
      <c r="K55" s="173">
        <v>0</v>
      </c>
      <c r="L55" s="174">
        <f>I55+J55+K55</f>
        <v>9742.86</v>
      </c>
      <c r="M55" s="1427">
        <f>IF(ISERROR(L55/(F55*771)),0,L55/(F55*799))</f>
        <v>0</v>
      </c>
      <c r="N55" s="1428"/>
    </row>
    <row r="56" spans="1:21" s="121" customFormat="1">
      <c r="A56" s="254" t="s">
        <v>396</v>
      </c>
      <c r="B56" s="1435">
        <f>MVWD!N403</f>
        <v>3</v>
      </c>
      <c r="C56" s="1433"/>
      <c r="D56" s="1451">
        <f>F56*325900</f>
        <v>138311.96</v>
      </c>
      <c r="E56" s="1448"/>
      <c r="F56" s="1447">
        <v>0.4244</v>
      </c>
      <c r="G56" s="1448"/>
      <c r="H56" s="1115">
        <v>3.3639999999999999</v>
      </c>
      <c r="I56" s="173">
        <f>(B56*922.51)*0.49</f>
        <v>1356.0896999999998</v>
      </c>
      <c r="J56" s="173">
        <f>(B56*922.5)*0</f>
        <v>0</v>
      </c>
      <c r="K56" s="173">
        <f>(B56*922.51)*0.51</f>
        <v>1411.4403</v>
      </c>
      <c r="L56" s="174">
        <f t="shared" ref="L56:L58" si="23">K56+J56+I56</f>
        <v>2767.5299999999997</v>
      </c>
      <c r="M56" s="1427">
        <f>IF(ISERROR(L56/(F56*771)),0,L56/(F56*799))</f>
        <v>8.1615037175357035</v>
      </c>
      <c r="N56" s="1428"/>
    </row>
    <row r="57" spans="1:21" s="121" customFormat="1">
      <c r="A57" s="254" t="s">
        <v>413</v>
      </c>
      <c r="B57" s="1435">
        <f>MVWD!N404</f>
        <v>30</v>
      </c>
      <c r="C57" s="1433"/>
      <c r="D57" s="1451">
        <f>F57*325900</f>
        <v>499213.62</v>
      </c>
      <c r="E57" s="1448"/>
      <c r="F57" s="1447">
        <f>0.0414*37</f>
        <v>1.5318000000000001</v>
      </c>
      <c r="G57" s="1448"/>
      <c r="H57" s="1115">
        <f>F57*10</f>
        <v>15.318000000000001</v>
      </c>
      <c r="I57" s="173">
        <v>0</v>
      </c>
      <c r="J57" s="173">
        <f>(B57*674.7)*0.62</f>
        <v>12549.42</v>
      </c>
      <c r="K57" s="173">
        <f>(B57*674.7)*0.38</f>
        <v>7691.58</v>
      </c>
      <c r="L57" s="174">
        <f>K57+J57+I57</f>
        <v>20241</v>
      </c>
      <c r="M57" s="1427">
        <f>IF(ISERROR(L57/(F57*771)),0,L57/(F57*799))</f>
        <v>16.538005056261571</v>
      </c>
      <c r="N57" s="1428"/>
    </row>
    <row r="58" spans="1:21" s="121" customFormat="1" ht="14" thickBot="1">
      <c r="A58" s="254" t="s">
        <v>266</v>
      </c>
      <c r="B58" s="1435">
        <f>MVWD!N405</f>
        <v>0</v>
      </c>
      <c r="C58" s="1433"/>
      <c r="D58" s="1458">
        <f>F58*325900</f>
        <v>0</v>
      </c>
      <c r="E58" s="1459"/>
      <c r="F58" s="1693">
        <f>B58*0.118</f>
        <v>0</v>
      </c>
      <c r="G58" s="1459"/>
      <c r="H58" s="1115">
        <f>F58*10</f>
        <v>0</v>
      </c>
      <c r="I58" s="173">
        <v>0</v>
      </c>
      <c r="J58" s="286">
        <f>(B58*520.03)*0.51</f>
        <v>0</v>
      </c>
      <c r="K58" s="286">
        <f>(B58*520.03)*0.49</f>
        <v>0</v>
      </c>
      <c r="L58" s="174">
        <f t="shared" si="23"/>
        <v>0</v>
      </c>
      <c r="M58" s="1427">
        <f>IF(ISERROR(L58/(F58*771)),0,L58/(F58*799))</f>
        <v>0</v>
      </c>
      <c r="N58" s="1428"/>
    </row>
    <row r="59" spans="1:21" ht="14" thickBot="1">
      <c r="A59" s="53" t="s">
        <v>60</v>
      </c>
      <c r="B59" s="1452">
        <f>SUM(B46:C58)</f>
        <v>125</v>
      </c>
      <c r="C59" s="1453"/>
      <c r="D59" s="1694">
        <f>SUM(D46:E58)</f>
        <v>1676591.1192990001</v>
      </c>
      <c r="E59" s="1453"/>
      <c r="F59" s="1452">
        <v>8.309800000000001</v>
      </c>
      <c r="G59" s="1453"/>
      <c r="H59" s="1122">
        <f>SUM(H46:H58)</f>
        <v>58.928956100000008</v>
      </c>
      <c r="I59" s="1132">
        <f>SUM(I46:I58)</f>
        <v>14083.949700000001</v>
      </c>
      <c r="J59" s="1132">
        <f>SUM(J46:J58)</f>
        <v>23509.42</v>
      </c>
      <c r="K59" s="1132">
        <f t="shared" ref="K59:L59" si="24">SUM(K46:K58)</f>
        <v>23632.0203</v>
      </c>
      <c r="L59" s="1132">
        <f t="shared" si="24"/>
        <v>61225.39</v>
      </c>
      <c r="M59" s="1454">
        <f t="shared" ref="M59" si="25">IF(ISERROR(L59/(F59*744)),0,L59/(F59*744))</f>
        <v>9.9030290572835753</v>
      </c>
      <c r="N59" s="1455"/>
    </row>
    <row r="60" spans="1:21" s="1161" customFormat="1" ht="17" thickBot="1">
      <c r="A60" s="110" t="s">
        <v>194</v>
      </c>
      <c r="B60" s="1456"/>
      <c r="C60" s="1457"/>
      <c r="D60" s="1457"/>
      <c r="E60" s="1457"/>
      <c r="F60" s="1457"/>
      <c r="G60" s="1457"/>
      <c r="H60" s="1141"/>
      <c r="I60" s="997"/>
      <c r="J60" s="997"/>
      <c r="K60" s="997"/>
      <c r="L60" s="997"/>
      <c r="M60" s="997"/>
      <c r="N60" s="998"/>
    </row>
    <row r="61" spans="1:21">
      <c r="A61" s="68" t="s">
        <v>29</v>
      </c>
      <c r="B61" s="1421">
        <f>MVWD!N408</f>
        <v>0</v>
      </c>
      <c r="C61" s="1422"/>
      <c r="D61" s="1431">
        <f>F61*325900</f>
        <v>0</v>
      </c>
      <c r="E61" s="1422"/>
      <c r="F61" s="1961">
        <f>0.0246*B61</f>
        <v>0</v>
      </c>
      <c r="G61" s="1960"/>
      <c r="H61" s="1123">
        <f>F61*20</f>
        <v>0</v>
      </c>
      <c r="I61" s="151">
        <v>0</v>
      </c>
      <c r="J61" s="150">
        <f>B61*60</f>
        <v>0</v>
      </c>
      <c r="K61" s="150">
        <f>B61*40</f>
        <v>0</v>
      </c>
      <c r="L61" s="174">
        <f t="shared" ref="L61:L70" si="26">K61+J61+I61</f>
        <v>0</v>
      </c>
      <c r="M61" s="1427">
        <f t="shared" ref="M61:M72" si="27">IF(ISERROR(L61/(F61*771)),0,L61/(F61*799))</f>
        <v>0</v>
      </c>
      <c r="N61" s="1428"/>
      <c r="U61" s="3"/>
    </row>
    <row r="62" spans="1:21">
      <c r="A62" s="68" t="s">
        <v>51</v>
      </c>
      <c r="B62" s="1421">
        <f>MVWD!N409</f>
        <v>0</v>
      </c>
      <c r="C62" s="1422"/>
      <c r="D62" s="1431">
        <f>F62*325900</f>
        <v>0</v>
      </c>
      <c r="E62" s="1422"/>
      <c r="F62" s="1500">
        <f>0.1227*B62</f>
        <v>0</v>
      </c>
      <c r="G62" s="1426"/>
      <c r="H62" s="1123">
        <f>F62*20</f>
        <v>0</v>
      </c>
      <c r="I62" s="151">
        <v>0</v>
      </c>
      <c r="J62" s="150">
        <f>B62*200</f>
        <v>0</v>
      </c>
      <c r="K62" s="150">
        <f>B62*200</f>
        <v>0</v>
      </c>
      <c r="L62" s="174">
        <f t="shared" si="26"/>
        <v>0</v>
      </c>
      <c r="M62" s="1427">
        <f t="shared" si="27"/>
        <v>0</v>
      </c>
      <c r="N62" s="1428"/>
    </row>
    <row r="63" spans="1:21">
      <c r="A63" s="2" t="s">
        <v>204</v>
      </c>
      <c r="B63" s="1421">
        <f>MVWD!N410</f>
        <v>0</v>
      </c>
      <c r="C63" s="1422"/>
      <c r="D63" s="1431">
        <f>F63*325900</f>
        <v>0</v>
      </c>
      <c r="E63" s="1422"/>
      <c r="F63" s="1500">
        <f>0.644*B63</f>
        <v>0</v>
      </c>
      <c r="G63" s="1426"/>
      <c r="H63" s="1123">
        <f>F63*5</f>
        <v>0</v>
      </c>
      <c r="I63" s="151">
        <v>0</v>
      </c>
      <c r="J63" s="150">
        <f>B63*375</f>
        <v>0</v>
      </c>
      <c r="K63" s="150">
        <f>B63*625</f>
        <v>0</v>
      </c>
      <c r="L63" s="174">
        <f t="shared" si="26"/>
        <v>0</v>
      </c>
      <c r="M63" s="1427">
        <f t="shared" si="27"/>
        <v>0</v>
      </c>
      <c r="N63" s="1428"/>
    </row>
    <row r="64" spans="1:21">
      <c r="A64" s="254" t="s">
        <v>30</v>
      </c>
      <c r="B64" s="1421">
        <f>MVWD!N411</f>
        <v>0</v>
      </c>
      <c r="C64" s="1422"/>
      <c r="D64" s="1431">
        <f t="shared" ref="D64:D72" si="28">F64*325900</f>
        <v>0</v>
      </c>
      <c r="E64" s="1422"/>
      <c r="F64" s="1500">
        <f>0.0129*B64</f>
        <v>0</v>
      </c>
      <c r="G64" s="1426"/>
      <c r="H64" s="1123">
        <f>F64*10</f>
        <v>0</v>
      </c>
      <c r="I64" s="151">
        <v>0</v>
      </c>
      <c r="J64" s="150">
        <f>B64*15</f>
        <v>0</v>
      </c>
      <c r="K64" s="150">
        <f>B64*35</f>
        <v>0</v>
      </c>
      <c r="L64" s="174">
        <f t="shared" si="26"/>
        <v>0</v>
      </c>
      <c r="M64" s="1427">
        <f t="shared" si="27"/>
        <v>0</v>
      </c>
      <c r="N64" s="1428"/>
    </row>
    <row r="65" spans="1:14">
      <c r="A65" s="254" t="s">
        <v>363</v>
      </c>
      <c r="B65" s="1421">
        <f>MVWD!N412</f>
        <v>0</v>
      </c>
      <c r="C65" s="1422"/>
      <c r="D65" s="1431">
        <f t="shared" si="28"/>
        <v>0</v>
      </c>
      <c r="E65" s="1422"/>
      <c r="F65" s="1425">
        <f>0.0044*0</f>
        <v>0</v>
      </c>
      <c r="G65" s="1426"/>
      <c r="H65" s="1288">
        <f>F65*5</f>
        <v>0</v>
      </c>
      <c r="I65" s="151">
        <v>0</v>
      </c>
      <c r="J65" s="150">
        <f>0*3</f>
        <v>0</v>
      </c>
      <c r="K65" s="150">
        <f>0*2</f>
        <v>0</v>
      </c>
      <c r="L65" s="174">
        <f t="shared" si="26"/>
        <v>0</v>
      </c>
      <c r="M65" s="1427">
        <f t="shared" si="27"/>
        <v>0</v>
      </c>
      <c r="N65" s="1428"/>
    </row>
    <row r="66" spans="1:14">
      <c r="A66" s="254" t="s">
        <v>122</v>
      </c>
      <c r="B66" s="1421">
        <f>MVWD!N413</f>
        <v>0</v>
      </c>
      <c r="C66" s="1422"/>
      <c r="D66" s="1431">
        <f t="shared" si="28"/>
        <v>0</v>
      </c>
      <c r="E66" s="1422"/>
      <c r="F66" s="1500">
        <f>0.018*B66</f>
        <v>0</v>
      </c>
      <c r="G66" s="1426"/>
      <c r="H66" s="1123">
        <f>F66*10</f>
        <v>0</v>
      </c>
      <c r="I66" s="151">
        <v>0</v>
      </c>
      <c r="J66" s="150">
        <f>B66*5</f>
        <v>0</v>
      </c>
      <c r="K66" s="150">
        <f>B66*13</f>
        <v>0</v>
      </c>
      <c r="L66" s="174">
        <f t="shared" si="26"/>
        <v>0</v>
      </c>
      <c r="M66" s="1427">
        <f t="shared" si="27"/>
        <v>0</v>
      </c>
      <c r="N66" s="1428"/>
    </row>
    <row r="67" spans="1:14">
      <c r="A67" s="257" t="s">
        <v>184</v>
      </c>
      <c r="B67" s="1421">
        <f>MVWD!N414</f>
        <v>0</v>
      </c>
      <c r="C67" s="1422"/>
      <c r="D67" s="1431">
        <f t="shared" si="28"/>
        <v>0</v>
      </c>
      <c r="E67" s="1422"/>
      <c r="F67" s="1500">
        <f>0.0129*B67</f>
        <v>0</v>
      </c>
      <c r="G67" s="1426"/>
      <c r="H67" s="1123">
        <f>F67*10</f>
        <v>0</v>
      </c>
      <c r="I67" s="151">
        <v>0</v>
      </c>
      <c r="J67" s="150">
        <f>B67*15</f>
        <v>0</v>
      </c>
      <c r="K67" s="150">
        <f>B67*35</f>
        <v>0</v>
      </c>
      <c r="L67" s="174">
        <f t="shared" si="26"/>
        <v>0</v>
      </c>
      <c r="M67" s="1427">
        <f t="shared" si="27"/>
        <v>0</v>
      </c>
      <c r="N67" s="1428"/>
    </row>
    <row r="68" spans="1:14" s="57" customFormat="1">
      <c r="A68" s="258" t="s">
        <v>187</v>
      </c>
      <c r="B68" s="1421">
        <f>MVWD!N415</f>
        <v>0</v>
      </c>
      <c r="C68" s="1422"/>
      <c r="D68" s="1431">
        <f t="shared" si="28"/>
        <v>0</v>
      </c>
      <c r="E68" s="1422"/>
      <c r="F68" s="1500">
        <f>0.023*B68</f>
        <v>0</v>
      </c>
      <c r="G68" s="1426"/>
      <c r="H68" s="1123">
        <f>F68*5</f>
        <v>0</v>
      </c>
      <c r="I68" s="151">
        <v>0</v>
      </c>
      <c r="J68" s="150">
        <f>B68*10</f>
        <v>0</v>
      </c>
      <c r="K68" s="150">
        <f>B68*10</f>
        <v>0</v>
      </c>
      <c r="L68" s="174">
        <f t="shared" si="26"/>
        <v>0</v>
      </c>
      <c r="M68" s="1427">
        <f t="shared" si="27"/>
        <v>0</v>
      </c>
      <c r="N68" s="1428"/>
    </row>
    <row r="69" spans="1:14" s="57" customFormat="1">
      <c r="A69" s="258" t="s">
        <v>188</v>
      </c>
      <c r="B69" s="1421">
        <f>MVWD!N416</f>
        <v>0</v>
      </c>
      <c r="C69" s="1422"/>
      <c r="D69" s="1431">
        <f t="shared" si="28"/>
        <v>0</v>
      </c>
      <c r="E69" s="1422"/>
      <c r="F69" s="1958">
        <f>0.154*B69</f>
        <v>0</v>
      </c>
      <c r="G69" s="1510"/>
      <c r="H69" s="1130">
        <f>F69*10</f>
        <v>0</v>
      </c>
      <c r="I69" s="151">
        <v>0</v>
      </c>
      <c r="J69" s="150">
        <f>B69*1000</f>
        <v>0</v>
      </c>
      <c r="K69" s="150">
        <f>B69*1000</f>
        <v>0</v>
      </c>
      <c r="L69" s="174">
        <f t="shared" si="26"/>
        <v>0</v>
      </c>
      <c r="M69" s="1427">
        <f t="shared" si="27"/>
        <v>0</v>
      </c>
      <c r="N69" s="1428"/>
    </row>
    <row r="70" spans="1:14" s="57" customFormat="1">
      <c r="A70" s="258" t="s">
        <v>323</v>
      </c>
      <c r="B70" s="1421">
        <f>MVWD!N417</f>
        <v>0</v>
      </c>
      <c r="C70" s="1422"/>
      <c r="D70" s="1423">
        <f t="shared" si="28"/>
        <v>0</v>
      </c>
      <c r="E70" s="1424"/>
      <c r="F70" s="1515">
        <v>0</v>
      </c>
      <c r="G70" s="1495"/>
      <c r="H70" s="1115">
        <f>F70*10</f>
        <v>0</v>
      </c>
      <c r="I70" s="151">
        <v>0</v>
      </c>
      <c r="J70" s="150">
        <v>0</v>
      </c>
      <c r="K70" s="150">
        <v>0</v>
      </c>
      <c r="L70" s="174">
        <f t="shared" si="26"/>
        <v>0</v>
      </c>
      <c r="M70" s="1427">
        <f t="shared" si="27"/>
        <v>0</v>
      </c>
      <c r="N70" s="1428"/>
    </row>
    <row r="71" spans="1:14" s="57" customFormat="1">
      <c r="A71" s="258" t="s">
        <v>269</v>
      </c>
      <c r="B71" s="1421">
        <f>MVWD!N418</f>
        <v>0</v>
      </c>
      <c r="C71" s="1422"/>
      <c r="D71" s="1423">
        <f t="shared" si="28"/>
        <v>0</v>
      </c>
      <c r="E71" s="1424"/>
      <c r="F71" s="1948">
        <f>B71*0.0129</f>
        <v>0</v>
      </c>
      <c r="G71" s="1499"/>
      <c r="H71" s="1113">
        <f>F71*10</f>
        <v>0</v>
      </c>
      <c r="I71" s="151">
        <v>0</v>
      </c>
      <c r="J71" s="150">
        <f>B71*15</f>
        <v>0</v>
      </c>
      <c r="K71" s="150">
        <f>B71*35</f>
        <v>0</v>
      </c>
      <c r="L71" s="174">
        <f t="shared" ref="L71:L72" si="29">K71+J71+I71</f>
        <v>0</v>
      </c>
      <c r="M71" s="1427">
        <f t="shared" si="27"/>
        <v>0</v>
      </c>
      <c r="N71" s="1428"/>
    </row>
    <row r="72" spans="1:14" s="57" customFormat="1" ht="14" thickBot="1">
      <c r="A72" s="258" t="s">
        <v>268</v>
      </c>
      <c r="B72" s="1421">
        <f>MVWD!N419</f>
        <v>0</v>
      </c>
      <c r="C72" s="1422"/>
      <c r="D72" s="1431">
        <f t="shared" si="28"/>
        <v>0</v>
      </c>
      <c r="E72" s="1422"/>
      <c r="F72" s="1506">
        <f>(B72*0.0084)/2</f>
        <v>0</v>
      </c>
      <c r="G72" s="1505"/>
      <c r="H72" s="1124">
        <f>F72*10</f>
        <v>0</v>
      </c>
      <c r="I72" s="151">
        <v>0</v>
      </c>
      <c r="J72" s="150">
        <f>B72*5</f>
        <v>0</v>
      </c>
      <c r="K72" s="150">
        <f>B72*5</f>
        <v>0</v>
      </c>
      <c r="L72" s="174">
        <f t="shared" si="29"/>
        <v>0</v>
      </c>
      <c r="M72" s="1427">
        <f t="shared" si="27"/>
        <v>0</v>
      </c>
      <c r="N72" s="1428"/>
    </row>
    <row r="73" spans="1:14" s="91" customFormat="1" ht="17" hidden="1" thickBot="1">
      <c r="A73" s="1046" t="s">
        <v>192</v>
      </c>
      <c r="B73" s="1434"/>
      <c r="C73" s="1434"/>
      <c r="D73" s="1434"/>
      <c r="E73" s="1434"/>
      <c r="F73" s="1434"/>
      <c r="G73" s="1434"/>
      <c r="H73" s="1114"/>
      <c r="I73" s="1133"/>
      <c r="J73" s="1133"/>
      <c r="K73" s="1133"/>
      <c r="L73" s="1133"/>
      <c r="M73" s="1133"/>
      <c r="N73" s="1134"/>
    </row>
    <row r="74" spans="1:14" s="121" customFormat="1" ht="14" hidden="1" thickBot="1">
      <c r="A74" s="76" t="s">
        <v>193</v>
      </c>
      <c r="B74" s="1435">
        <f>MVWD!N421</f>
        <v>0</v>
      </c>
      <c r="C74" s="1433"/>
      <c r="D74" s="1436">
        <f>F74*325900</f>
        <v>0</v>
      </c>
      <c r="E74" s="1437"/>
      <c r="F74" s="1744">
        <f>0.004*B74</f>
        <v>0</v>
      </c>
      <c r="G74" s="1437"/>
      <c r="H74" s="1124">
        <f>F74*5</f>
        <v>0</v>
      </c>
      <c r="I74" s="216">
        <v>0</v>
      </c>
      <c r="J74" s="216">
        <f>L74-K74</f>
        <v>3607.5</v>
      </c>
      <c r="K74" s="216">
        <f>B74*2</f>
        <v>0</v>
      </c>
      <c r="L74" s="174">
        <v>3607.5</v>
      </c>
      <c r="M74" s="1427">
        <f>IF(ISERROR(L74/(F74*771)),0,L74/(F74*771))</f>
        <v>0</v>
      </c>
      <c r="N74" s="1428"/>
    </row>
    <row r="75" spans="1:14" ht="14" thickBot="1">
      <c r="A75" s="53" t="s">
        <v>60</v>
      </c>
      <c r="B75" s="1438">
        <f>SUM(B61:B74)</f>
        <v>0</v>
      </c>
      <c r="C75" s="1439"/>
      <c r="D75" s="1440">
        <f>SUM(D61:E74)</f>
        <v>0</v>
      </c>
      <c r="E75" s="1439"/>
      <c r="F75" s="1441">
        <f>SUM(F61:G74)</f>
        <v>0</v>
      </c>
      <c r="G75" s="1439"/>
      <c r="H75" s="1119">
        <f>SUM(H61:H74)</f>
        <v>0</v>
      </c>
      <c r="I75" s="146">
        <f>SUM(I61:I74)</f>
        <v>0</v>
      </c>
      <c r="J75" s="146">
        <f>SUM(J61:J74)</f>
        <v>3607.5</v>
      </c>
      <c r="K75" s="146">
        <f>SUM(K61:K74)</f>
        <v>0</v>
      </c>
      <c r="L75" s="146">
        <f>SUM(L61:L74)</f>
        <v>3607.5</v>
      </c>
      <c r="M75" s="1442"/>
      <c r="N75" s="1443"/>
    </row>
    <row r="76" spans="1:14" s="1161" customFormat="1" ht="17" thickBot="1">
      <c r="A76" s="1163" t="s">
        <v>17</v>
      </c>
      <c r="B76" s="1414">
        <f>SUM(,B59,B75)</f>
        <v>125</v>
      </c>
      <c r="C76" s="1415"/>
      <c r="D76" s="1416">
        <f>SUM(,D59,D75)</f>
        <v>1676591.1192990001</v>
      </c>
      <c r="E76" s="1415"/>
      <c r="F76" s="1416">
        <f>SUM(,F59,F75)</f>
        <v>8.309800000000001</v>
      </c>
      <c r="G76" s="1415"/>
      <c r="H76" s="1164">
        <f>SUM(H59,H75)</f>
        <v>58.928956100000008</v>
      </c>
      <c r="I76" s="1165">
        <f>SUM(,I59,I75)</f>
        <v>14083.949700000001</v>
      </c>
      <c r="J76" s="1165">
        <f>SUM(,J59,J75)</f>
        <v>27116.92</v>
      </c>
      <c r="K76" s="1165">
        <f>SUM(,K59,K75)</f>
        <v>23632.0203</v>
      </c>
      <c r="L76" s="1165">
        <f>SUM(,L59,L75)</f>
        <v>64832.89</v>
      </c>
      <c r="M76" s="1417"/>
      <c r="N76" s="1418"/>
    </row>
    <row r="77" spans="1:14">
      <c r="A77" s="50"/>
      <c r="B77" s="1127"/>
      <c r="C77" s="1127"/>
      <c r="D77" s="1127"/>
      <c r="E77" s="1127"/>
      <c r="F77" s="1128"/>
      <c r="G77" s="1128"/>
      <c r="H77" s="1128"/>
      <c r="I77" s="21"/>
      <c r="J77" s="21"/>
      <c r="K77" s="21"/>
      <c r="L77" s="21"/>
      <c r="M77" s="1125"/>
      <c r="N77" s="1125"/>
    </row>
    <row r="78" spans="1:14" ht="15">
      <c r="A78" s="9" t="s">
        <v>18</v>
      </c>
      <c r="B78" s="1419" t="s">
        <v>59</v>
      </c>
      <c r="C78" s="1419"/>
      <c r="D78" s="1419"/>
      <c r="E78" s="1419"/>
      <c r="F78" s="1128"/>
      <c r="G78" s="1128"/>
      <c r="H78" s="1128"/>
      <c r="I78" s="21"/>
      <c r="J78" s="21"/>
      <c r="K78" s="21"/>
      <c r="L78" s="21"/>
      <c r="M78" s="1125"/>
      <c r="N78" s="1125"/>
    </row>
    <row r="79" spans="1:14">
      <c r="B79" s="1420" t="s">
        <v>19</v>
      </c>
      <c r="C79" s="1420"/>
      <c r="D79" s="1420"/>
      <c r="E79" s="1420"/>
      <c r="F79" s="1128"/>
      <c r="G79" s="1128"/>
      <c r="H79" s="1128"/>
      <c r="I79" s="21"/>
      <c r="J79" s="21"/>
      <c r="K79" s="21"/>
      <c r="L79" s="21"/>
      <c r="N79" s="1125"/>
    </row>
    <row r="80" spans="1:14" ht="14" thickBot="1">
      <c r="B80" s="1125"/>
      <c r="C80" s="1125"/>
      <c r="D80" s="1125"/>
      <c r="E80" s="1125"/>
      <c r="F80" s="1128"/>
      <c r="G80" s="1128"/>
      <c r="H80" s="1128"/>
      <c r="I80" s="21"/>
      <c r="J80" s="21"/>
      <c r="K80" s="21"/>
      <c r="L80" s="21"/>
      <c r="N80" s="1125"/>
    </row>
    <row r="81" spans="1:14" s="363" customFormat="1" ht="16">
      <c r="A81" s="98"/>
      <c r="B81" s="99"/>
      <c r="C81" s="99"/>
      <c r="D81" s="99"/>
      <c r="E81" s="99"/>
      <c r="F81" s="736"/>
      <c r="G81" s="736"/>
      <c r="H81" s="736"/>
      <c r="I81" s="1468" t="s">
        <v>0</v>
      </c>
      <c r="J81" s="1468"/>
      <c r="K81" s="1468"/>
      <c r="L81" s="1468"/>
      <c r="M81" s="99"/>
      <c r="N81" s="101"/>
    </row>
    <row r="82" spans="1:14" ht="16">
      <c r="A82" s="97"/>
      <c r="B82" s="1469" t="s">
        <v>1</v>
      </c>
      <c r="C82" s="1469"/>
      <c r="D82" s="1469" t="s">
        <v>2</v>
      </c>
      <c r="E82" s="1469"/>
      <c r="F82" s="1977" t="s">
        <v>3</v>
      </c>
      <c r="G82" s="1977"/>
      <c r="H82" s="1083" t="s">
        <v>3</v>
      </c>
      <c r="I82" s="127" t="s">
        <v>195</v>
      </c>
      <c r="J82" s="102"/>
      <c r="K82" s="102"/>
      <c r="L82" s="128"/>
      <c r="M82" s="1525" t="s">
        <v>4</v>
      </c>
      <c r="N82" s="1526"/>
    </row>
    <row r="83" spans="1:14" ht="19" thickBot="1">
      <c r="A83" s="103" t="s">
        <v>5</v>
      </c>
      <c r="B83" s="1473" t="s">
        <v>6</v>
      </c>
      <c r="C83" s="1473"/>
      <c r="D83" s="1473" t="s">
        <v>7</v>
      </c>
      <c r="E83" s="1473"/>
      <c r="F83" s="1978" t="s">
        <v>7</v>
      </c>
      <c r="G83" s="1978"/>
      <c r="H83" s="1084" t="s">
        <v>58</v>
      </c>
      <c r="I83" s="1071" t="s">
        <v>196</v>
      </c>
      <c r="J83" s="1070" t="s">
        <v>8</v>
      </c>
      <c r="K83" s="1070" t="s">
        <v>9</v>
      </c>
      <c r="L83" s="401" t="s">
        <v>10</v>
      </c>
      <c r="M83" s="1527" t="s">
        <v>145</v>
      </c>
      <c r="N83" s="1475"/>
    </row>
    <row r="84" spans="1:14" ht="24" thickBot="1">
      <c r="A84" s="88" t="s">
        <v>351</v>
      </c>
      <c r="B84" s="1476"/>
      <c r="C84" s="1477"/>
      <c r="D84" s="1478"/>
      <c r="E84" s="1479"/>
      <c r="F84" s="1478"/>
      <c r="G84" s="1479"/>
      <c r="H84" s="1082"/>
      <c r="I84" s="304"/>
      <c r="J84" s="304"/>
      <c r="K84" s="304"/>
      <c r="L84" s="305"/>
      <c r="M84" s="1482"/>
      <c r="N84" s="1483"/>
    </row>
    <row r="85" spans="1:14" s="1161" customFormat="1" ht="17" thickBot="1">
      <c r="A85" s="110" t="s">
        <v>189</v>
      </c>
      <c r="B85" s="1456"/>
      <c r="C85" s="1457"/>
      <c r="D85" s="1457"/>
      <c r="E85" s="1457"/>
      <c r="F85" s="1457"/>
      <c r="G85" s="1457"/>
      <c r="H85" s="1141"/>
      <c r="I85" s="1141"/>
      <c r="J85" s="1141"/>
      <c r="K85" s="1141"/>
      <c r="L85" s="1141"/>
      <c r="M85" s="1485"/>
      <c r="N85" s="1486"/>
    </row>
    <row r="86" spans="1:14" s="1087" customFormat="1">
      <c r="A86" s="1057" t="s">
        <v>29</v>
      </c>
      <c r="B86" s="1972">
        <f>MVWD!N359</f>
        <v>21</v>
      </c>
      <c r="C86" s="1973"/>
      <c r="D86" s="1974">
        <f>F86*325900</f>
        <v>168359.94000000003</v>
      </c>
      <c r="E86" s="1973"/>
      <c r="F86" s="1974">
        <f>0.0246*B86</f>
        <v>0.51660000000000006</v>
      </c>
      <c r="G86" s="1973"/>
      <c r="H86" s="1073">
        <f>F86*20</f>
        <v>10.332000000000001</v>
      </c>
      <c r="I86" s="1052">
        <v>0</v>
      </c>
      <c r="J86" s="1052">
        <f>B86*60</f>
        <v>1260</v>
      </c>
      <c r="K86" s="1052">
        <f>B86*40</f>
        <v>840</v>
      </c>
      <c r="L86" s="1054">
        <f>K86+J86+I86</f>
        <v>2100</v>
      </c>
      <c r="M86" s="1975">
        <f t="shared" ref="M86:M93" si="30">IF(ISERROR(L86/(F86*771)),0,L86/(F86*771))</f>
        <v>5.272426265118682</v>
      </c>
      <c r="N86" s="1976"/>
    </row>
    <row r="87" spans="1:14" s="1087" customFormat="1">
      <c r="A87" s="1057" t="s">
        <v>33</v>
      </c>
      <c r="B87" s="1503">
        <f>MVWD!N360</f>
        <v>37</v>
      </c>
      <c r="C87" s="1461"/>
      <c r="D87" s="1460">
        <f>F87*325900</f>
        <v>416011.35000000003</v>
      </c>
      <c r="E87" s="1461"/>
      <c r="F87" s="1460">
        <f>B87*0.0345</f>
        <v>1.2765000000000002</v>
      </c>
      <c r="G87" s="1461"/>
      <c r="H87" s="1073">
        <f>F87*14</f>
        <v>17.871000000000002</v>
      </c>
      <c r="I87" s="1052">
        <f>0*B87</f>
        <v>0</v>
      </c>
      <c r="J87" s="1052">
        <f>B87*65</f>
        <v>2405</v>
      </c>
      <c r="K87" s="1052">
        <f>B87*85</f>
        <v>3145</v>
      </c>
      <c r="L87" s="1054">
        <f t="shared" ref="L87:L93" si="31">K87+J87+I87</f>
        <v>5550</v>
      </c>
      <c r="M87" s="1507">
        <f t="shared" si="30"/>
        <v>5.6392037444312857</v>
      </c>
      <c r="N87" s="1508"/>
    </row>
    <row r="88" spans="1:14" s="1087" customFormat="1">
      <c r="A88" s="1057" t="s">
        <v>363</v>
      </c>
      <c r="B88" s="1503">
        <f>MVWD!N361</f>
        <v>0</v>
      </c>
      <c r="C88" s="1461"/>
      <c r="D88" s="1460">
        <f>F88*325851</f>
        <v>0</v>
      </c>
      <c r="E88" s="1461"/>
      <c r="F88" s="1460">
        <f>0.0044*B88</f>
        <v>0</v>
      </c>
      <c r="G88" s="1461"/>
      <c r="H88" s="1073">
        <f>F88*5</f>
        <v>0</v>
      </c>
      <c r="I88" s="1052">
        <f>0*B88</f>
        <v>0</v>
      </c>
      <c r="J88" s="1052">
        <f>B88*3</f>
        <v>0</v>
      </c>
      <c r="K88" s="1052">
        <f>B88*2</f>
        <v>0</v>
      </c>
      <c r="L88" s="1054">
        <f t="shared" si="31"/>
        <v>0</v>
      </c>
      <c r="M88" s="1507">
        <f t="shared" si="30"/>
        <v>0</v>
      </c>
      <c r="N88" s="1508"/>
    </row>
    <row r="89" spans="1:14" s="1087" customFormat="1">
      <c r="A89" s="1057" t="s">
        <v>52</v>
      </c>
      <c r="B89" s="1503">
        <f>MVWD!N362</f>
        <v>7</v>
      </c>
      <c r="C89" s="1461"/>
      <c r="D89" s="1460">
        <f>F89*325900</f>
        <v>0</v>
      </c>
      <c r="E89" s="1461"/>
      <c r="F89" s="1460">
        <v>0</v>
      </c>
      <c r="G89" s="1461"/>
      <c r="H89" s="1073">
        <f>F89*10</f>
        <v>0</v>
      </c>
      <c r="I89" s="1052">
        <v>0</v>
      </c>
      <c r="J89" s="1052">
        <f>B89*70</f>
        <v>490</v>
      </c>
      <c r="K89" s="1052">
        <f>B89*80</f>
        <v>560</v>
      </c>
      <c r="L89" s="1054">
        <f t="shared" si="31"/>
        <v>1050</v>
      </c>
      <c r="M89" s="1507">
        <f t="shared" si="30"/>
        <v>0</v>
      </c>
      <c r="N89" s="1508"/>
    </row>
    <row r="90" spans="1:14" s="1087" customFormat="1">
      <c r="A90" s="1057" t="s">
        <v>323</v>
      </c>
      <c r="B90" s="1503">
        <f>MVWD!N363</f>
        <v>0</v>
      </c>
      <c r="C90" s="1461"/>
      <c r="D90" s="1515">
        <f>F90*325900</f>
        <v>0</v>
      </c>
      <c r="E90" s="1495"/>
      <c r="F90" s="1515">
        <v>0</v>
      </c>
      <c r="G90" s="1495"/>
      <c r="H90" s="1074">
        <f>F90*10</f>
        <v>0</v>
      </c>
      <c r="I90" s="1052">
        <v>0</v>
      </c>
      <c r="J90" s="1052">
        <f t="shared" ref="J90:J93" si="32">B90*65</f>
        <v>0</v>
      </c>
      <c r="K90" s="1052">
        <f t="shared" ref="K90:K93" si="33">B90*40</f>
        <v>0</v>
      </c>
      <c r="L90" s="1054">
        <f t="shared" si="31"/>
        <v>0</v>
      </c>
      <c r="M90" s="1507">
        <f t="shared" si="30"/>
        <v>0</v>
      </c>
      <c r="N90" s="1508"/>
    </row>
    <row r="91" spans="1:14" s="1087" customFormat="1">
      <c r="A91" s="1057" t="s">
        <v>214</v>
      </c>
      <c r="B91" s="1503">
        <f>MVWD!N364</f>
        <v>0</v>
      </c>
      <c r="C91" s="1461"/>
      <c r="D91" s="1460">
        <f>F91*325900</f>
        <v>0</v>
      </c>
      <c r="E91" s="1461"/>
      <c r="F91" s="1460">
        <v>0</v>
      </c>
      <c r="G91" s="1461"/>
      <c r="H91" s="1073">
        <f>F91*5</f>
        <v>0</v>
      </c>
      <c r="I91" s="1052">
        <v>0</v>
      </c>
      <c r="J91" s="1052">
        <f>B91*0</f>
        <v>0</v>
      </c>
      <c r="K91" s="1052">
        <f>B91*35</f>
        <v>0</v>
      </c>
      <c r="L91" s="1054">
        <f t="shared" si="31"/>
        <v>0</v>
      </c>
      <c r="M91" s="1507">
        <f t="shared" si="30"/>
        <v>0</v>
      </c>
      <c r="N91" s="1508"/>
    </row>
    <row r="92" spans="1:14" s="1087" customFormat="1">
      <c r="A92" s="1057" t="s">
        <v>331</v>
      </c>
      <c r="B92" s="1503">
        <f>MVWD!N365</f>
        <v>0</v>
      </c>
      <c r="C92" s="1461"/>
      <c r="D92" s="1460">
        <f>F92*325900</f>
        <v>0</v>
      </c>
      <c r="E92" s="1461"/>
      <c r="F92" s="1460">
        <v>0</v>
      </c>
      <c r="G92" s="1461"/>
      <c r="H92" s="1073">
        <v>0</v>
      </c>
      <c r="I92" s="1052">
        <v>0</v>
      </c>
      <c r="J92" s="1052">
        <f>B92*0</f>
        <v>0</v>
      </c>
      <c r="K92" s="1052">
        <f>B92*300</f>
        <v>0</v>
      </c>
      <c r="L92" s="1054">
        <f t="shared" si="31"/>
        <v>0</v>
      </c>
      <c r="M92" s="1507">
        <f t="shared" si="30"/>
        <v>0</v>
      </c>
      <c r="N92" s="1508"/>
    </row>
    <row r="93" spans="1:14" s="1087" customFormat="1" ht="14" thickBot="1">
      <c r="A93" s="1057" t="s">
        <v>269</v>
      </c>
      <c r="B93" s="1965">
        <f>MVWD!N366</f>
        <v>0</v>
      </c>
      <c r="C93" s="1505"/>
      <c r="D93" s="1506">
        <f>F93*0.0095</f>
        <v>0</v>
      </c>
      <c r="E93" s="1505"/>
      <c r="F93" s="1506">
        <v>0</v>
      </c>
      <c r="G93" s="1505"/>
      <c r="H93" s="1073">
        <f>F93*10</f>
        <v>0</v>
      </c>
      <c r="I93" s="1052">
        <v>0</v>
      </c>
      <c r="J93" s="1052">
        <f t="shared" si="32"/>
        <v>0</v>
      </c>
      <c r="K93" s="1052">
        <f t="shared" si="33"/>
        <v>0</v>
      </c>
      <c r="L93" s="1054">
        <f t="shared" si="31"/>
        <v>0</v>
      </c>
      <c r="M93" s="1966">
        <f t="shared" si="30"/>
        <v>0</v>
      </c>
      <c r="N93" s="1967"/>
    </row>
    <row r="94" spans="1:14" s="1228" customFormat="1" ht="17" thickBot="1">
      <c r="A94" s="1224" t="s">
        <v>190</v>
      </c>
      <c r="B94" s="1524"/>
      <c r="C94" s="1502"/>
      <c r="D94" s="1502"/>
      <c r="E94" s="1502"/>
      <c r="F94" s="1502"/>
      <c r="G94" s="1502"/>
      <c r="H94" s="1225"/>
      <c r="I94" s="1226"/>
      <c r="J94" s="1226"/>
      <c r="K94" s="1226"/>
      <c r="L94" s="1226"/>
      <c r="M94" s="1226"/>
      <c r="N94" s="1227"/>
    </row>
    <row r="95" spans="1:14" s="1087" customFormat="1">
      <c r="A95" s="1057" t="s">
        <v>384</v>
      </c>
      <c r="B95" s="1972">
        <f>MVWD!N368</f>
        <v>996</v>
      </c>
      <c r="C95" s="1973"/>
      <c r="D95" s="1974">
        <f>F95*325900</f>
        <v>1428224.1600000001</v>
      </c>
      <c r="E95" s="1973"/>
      <c r="F95" s="1974">
        <f>B95*0.0044</f>
        <v>4.3824000000000005</v>
      </c>
      <c r="G95" s="1973"/>
      <c r="H95" s="1073">
        <f>F95*5</f>
        <v>21.912000000000003</v>
      </c>
      <c r="I95" s="1052">
        <v>0</v>
      </c>
      <c r="J95" s="1052">
        <f>L95-K95</f>
        <v>1494</v>
      </c>
      <c r="K95" s="1052">
        <f>B95*2</f>
        <v>1992</v>
      </c>
      <c r="L95" s="1054">
        <v>3486</v>
      </c>
      <c r="M95" s="1975">
        <f>IF(ISERROR(L95/(F95*771)),0,L95/(F95*771))</f>
        <v>1.0317179577879967</v>
      </c>
      <c r="N95" s="1976"/>
    </row>
    <row r="96" spans="1:14" s="1087" customFormat="1">
      <c r="A96" s="1057" t="s">
        <v>355</v>
      </c>
      <c r="B96" s="1503">
        <f>MVWD!N369</f>
        <v>2</v>
      </c>
      <c r="C96" s="1461"/>
      <c r="D96" s="1515">
        <f t="shared" ref="D96" si="34">F96*325900</f>
        <v>151804.22</v>
      </c>
      <c r="E96" s="1495"/>
      <c r="F96" s="1515">
        <v>0.46579999999999999</v>
      </c>
      <c r="G96" s="1495"/>
      <c r="H96" s="1074">
        <f>F96*7.5</f>
        <v>3.4935</v>
      </c>
      <c r="I96" s="1052">
        <f>(B96*958)*0.5</f>
        <v>958</v>
      </c>
      <c r="J96" s="1052">
        <f>(B96*958)*0.02</f>
        <v>38.32</v>
      </c>
      <c r="K96" s="1052">
        <f>(B96*958)*0.48</f>
        <v>919.68</v>
      </c>
      <c r="L96" s="1054">
        <f t="shared" ref="L96:L98" si="35">K96+J96+I96</f>
        <v>1916</v>
      </c>
      <c r="M96" s="1507">
        <f>IF(ISERROR(L96/(F96*771)),0,L96/(F96*771))</f>
        <v>5.335088677750063</v>
      </c>
      <c r="N96" s="1508"/>
    </row>
    <row r="97" spans="1:21" s="1087" customFormat="1">
      <c r="A97" s="1057" t="s">
        <v>373</v>
      </c>
      <c r="B97" s="1503">
        <f>MVWD!N370</f>
        <v>43</v>
      </c>
      <c r="C97" s="1461"/>
      <c r="D97" s="1515">
        <f>F97*325900</f>
        <v>674613</v>
      </c>
      <c r="E97" s="1495"/>
      <c r="F97" s="1515">
        <f>0.0414*50</f>
        <v>2.0699999999999998</v>
      </c>
      <c r="G97" s="1495"/>
      <c r="H97" s="1074">
        <f>F97*10</f>
        <v>20.7</v>
      </c>
      <c r="I97" s="1052">
        <v>0</v>
      </c>
      <c r="J97" s="1052">
        <f>(B97*705)*0.84</f>
        <v>25464.6</v>
      </c>
      <c r="K97" s="1052">
        <f>(B97*705)*0.16</f>
        <v>4850.4000000000005</v>
      </c>
      <c r="L97" s="1054">
        <f t="shared" si="35"/>
        <v>30315</v>
      </c>
      <c r="M97" s="1507">
        <f>IF(ISERROR(L97/(F97*771)),0,L97/(F97*771))</f>
        <v>18.99471794582605</v>
      </c>
      <c r="N97" s="1508"/>
    </row>
    <row r="98" spans="1:21" s="1087" customFormat="1" ht="14" thickBot="1">
      <c r="A98" s="1057" t="s">
        <v>266</v>
      </c>
      <c r="B98" s="1965">
        <f>MVWD!N371</f>
        <v>3</v>
      </c>
      <c r="C98" s="1505"/>
      <c r="D98" s="1516">
        <f>F98*325900</f>
        <v>115368.59999999999</v>
      </c>
      <c r="E98" s="1517"/>
      <c r="F98" s="1516">
        <f>B98*0.118</f>
        <v>0.35399999999999998</v>
      </c>
      <c r="G98" s="1517"/>
      <c r="H98" s="1074">
        <f>F98*10</f>
        <v>3.54</v>
      </c>
      <c r="I98" s="1052">
        <v>0</v>
      </c>
      <c r="J98" s="1088">
        <f>(B98*461)*0.53</f>
        <v>732.99</v>
      </c>
      <c r="K98" s="1088">
        <f>(B98*461)*0.47</f>
        <v>650.01</v>
      </c>
      <c r="L98" s="1054">
        <f t="shared" si="35"/>
        <v>1383</v>
      </c>
      <c r="M98" s="1966">
        <f>IF(ISERROR(L98/(F98*771)),0,L98/(F98*771))</f>
        <v>5.0671590934071977</v>
      </c>
      <c r="N98" s="1967"/>
    </row>
    <row r="99" spans="1:21" s="1055" customFormat="1" ht="14" thickBot="1">
      <c r="A99" s="1060" t="s">
        <v>60</v>
      </c>
      <c r="B99" s="1968">
        <f>SUM(B86:C98)</f>
        <v>1109</v>
      </c>
      <c r="C99" s="1969"/>
      <c r="D99" s="1970">
        <f>SUM(D86:E98)</f>
        <v>2954381.2700000005</v>
      </c>
      <c r="E99" s="1969"/>
      <c r="F99" s="1970">
        <f>SUM(F86:G98)</f>
        <v>9.0653000000000006</v>
      </c>
      <c r="G99" s="1969"/>
      <c r="H99" s="1075">
        <f>SUM(H86:H98)</f>
        <v>77.848500000000016</v>
      </c>
      <c r="I99" s="1062">
        <f>SUM(I86:I98)</f>
        <v>958</v>
      </c>
      <c r="J99" s="1062">
        <f>SUM(J86:J98)</f>
        <v>31884.91</v>
      </c>
      <c r="K99" s="1062">
        <f t="shared" ref="K99:L99" si="36">SUM(K86:K98)</f>
        <v>12957.090000000002</v>
      </c>
      <c r="L99" s="1062">
        <f t="shared" si="36"/>
        <v>45800</v>
      </c>
      <c r="M99" s="1971"/>
      <c r="N99" s="1523"/>
    </row>
    <row r="100" spans="1:21" s="1228" customFormat="1" ht="17" thickBot="1">
      <c r="A100" s="1224" t="s">
        <v>194</v>
      </c>
      <c r="B100" s="1524"/>
      <c r="C100" s="1502"/>
      <c r="D100" s="1502"/>
      <c r="E100" s="1502"/>
      <c r="F100" s="1502"/>
      <c r="G100" s="1502"/>
      <c r="H100" s="1225"/>
      <c r="I100" s="1229"/>
      <c r="J100" s="1229"/>
      <c r="K100" s="1229"/>
      <c r="L100" s="1229"/>
      <c r="M100" s="1229"/>
      <c r="N100" s="1230"/>
    </row>
    <row r="101" spans="1:21" s="1055" customFormat="1">
      <c r="A101" s="1049" t="s">
        <v>29</v>
      </c>
      <c r="B101" s="1959">
        <f>MVWD!N374</f>
        <v>0</v>
      </c>
      <c r="C101" s="1960"/>
      <c r="D101" s="1961">
        <f>F101*325900</f>
        <v>0</v>
      </c>
      <c r="E101" s="1960"/>
      <c r="F101" s="1961">
        <f>0.0246*B101</f>
        <v>0</v>
      </c>
      <c r="G101" s="1960"/>
      <c r="H101" s="1072">
        <f>F101*20</f>
        <v>0</v>
      </c>
      <c r="I101" s="1051">
        <v>0</v>
      </c>
      <c r="J101" s="1053">
        <f>B101*60</f>
        <v>0</v>
      </c>
      <c r="K101" s="1053">
        <f>B101*40</f>
        <v>0</v>
      </c>
      <c r="L101" s="1054">
        <f t="shared" ref="L101:L109" si="37">K101+J101+I101</f>
        <v>0</v>
      </c>
      <c r="M101" s="1962">
        <f t="shared" ref="M101:M112" si="38">IF(ISERROR(L101/(F101*771)),0,L101/(F101*771))</f>
        <v>0</v>
      </c>
      <c r="N101" s="1963"/>
      <c r="U101" s="1063"/>
    </row>
    <row r="102" spans="1:21" s="1055" customFormat="1">
      <c r="A102" s="1049" t="s">
        <v>51</v>
      </c>
      <c r="B102" s="1491">
        <f>MVWD!N375</f>
        <v>0</v>
      </c>
      <c r="C102" s="1426"/>
      <c r="D102" s="1500">
        <f>F102*325900</f>
        <v>0</v>
      </c>
      <c r="E102" s="1426"/>
      <c r="F102" s="1500">
        <f>0.1227*B102</f>
        <v>0</v>
      </c>
      <c r="G102" s="1426"/>
      <c r="H102" s="1072">
        <f>F102*20</f>
        <v>0</v>
      </c>
      <c r="I102" s="1051">
        <v>0</v>
      </c>
      <c r="J102" s="1053">
        <f>B102*200</f>
        <v>0</v>
      </c>
      <c r="K102" s="1053">
        <f>B102*200</f>
        <v>0</v>
      </c>
      <c r="L102" s="1054">
        <f t="shared" si="37"/>
        <v>0</v>
      </c>
      <c r="M102" s="1496">
        <f t="shared" si="38"/>
        <v>0</v>
      </c>
      <c r="N102" s="1497"/>
    </row>
    <row r="103" spans="1:21" s="1055" customFormat="1">
      <c r="A103" s="1064" t="s">
        <v>204</v>
      </c>
      <c r="B103" s="1491">
        <f>MVWD!N376</f>
        <v>0</v>
      </c>
      <c r="C103" s="1426"/>
      <c r="D103" s="1500">
        <f>F103*325851</f>
        <v>0</v>
      </c>
      <c r="E103" s="1426"/>
      <c r="F103" s="1500">
        <f>0.644*B103</f>
        <v>0</v>
      </c>
      <c r="G103" s="1426"/>
      <c r="H103" s="1072">
        <f>F103*5</f>
        <v>0</v>
      </c>
      <c r="I103" s="1051">
        <v>0</v>
      </c>
      <c r="J103" s="1053">
        <f>B103*0</f>
        <v>0</v>
      </c>
      <c r="K103" s="1053">
        <f>B103*0</f>
        <v>0</v>
      </c>
      <c r="L103" s="1054">
        <f t="shared" si="37"/>
        <v>0</v>
      </c>
      <c r="M103" s="1496">
        <f t="shared" si="38"/>
        <v>0</v>
      </c>
      <c r="N103" s="1497"/>
    </row>
    <row r="104" spans="1:21" s="1055" customFormat="1">
      <c r="A104" s="1057" t="s">
        <v>30</v>
      </c>
      <c r="B104" s="1491">
        <f>MVWD!N377</f>
        <v>0</v>
      </c>
      <c r="C104" s="1426"/>
      <c r="D104" s="1500">
        <f t="shared" ref="D104:D112" si="39">F104*325900</f>
        <v>0</v>
      </c>
      <c r="E104" s="1426"/>
      <c r="F104" s="1964">
        <f>0.0129*B104</f>
        <v>0</v>
      </c>
      <c r="G104" s="1514"/>
      <c r="H104" s="1072">
        <f>F104*10</f>
        <v>0</v>
      </c>
      <c r="I104" s="1051">
        <v>0</v>
      </c>
      <c r="J104" s="1053">
        <f>B104*0</f>
        <v>0</v>
      </c>
      <c r="K104" s="1053">
        <f>B104*0</f>
        <v>0</v>
      </c>
      <c r="L104" s="1054">
        <f t="shared" si="37"/>
        <v>0</v>
      </c>
      <c r="M104" s="1496">
        <f t="shared" si="38"/>
        <v>0</v>
      </c>
      <c r="N104" s="1497"/>
    </row>
    <row r="105" spans="1:21" s="1055" customFormat="1">
      <c r="A105" s="1057" t="s">
        <v>363</v>
      </c>
      <c r="B105" s="1491">
        <f>MVWD!N378</f>
        <v>0</v>
      </c>
      <c r="C105" s="1426"/>
      <c r="D105" s="1500">
        <f t="shared" si="39"/>
        <v>0</v>
      </c>
      <c r="E105" s="1426"/>
      <c r="F105" s="1500">
        <f>0.0044*B105</f>
        <v>0</v>
      </c>
      <c r="G105" s="1426"/>
      <c r="H105" s="1072">
        <f>F105*5</f>
        <v>0</v>
      </c>
      <c r="I105" s="1051">
        <v>0</v>
      </c>
      <c r="J105" s="1053">
        <f>B105*2</f>
        <v>0</v>
      </c>
      <c r="K105" s="1053">
        <f>B105*2</f>
        <v>0</v>
      </c>
      <c r="L105" s="1054">
        <f t="shared" si="37"/>
        <v>0</v>
      </c>
      <c r="M105" s="1496">
        <f t="shared" si="38"/>
        <v>0</v>
      </c>
      <c r="N105" s="1497"/>
    </row>
    <row r="106" spans="1:21" s="1055" customFormat="1">
      <c r="A106" s="1057" t="s">
        <v>122</v>
      </c>
      <c r="B106" s="1491">
        <f>MVWD!N379</f>
        <v>0</v>
      </c>
      <c r="C106" s="1426"/>
      <c r="D106" s="1500">
        <f t="shared" si="39"/>
        <v>0</v>
      </c>
      <c r="E106" s="1426"/>
      <c r="F106" s="1500">
        <f>0.018*B106</f>
        <v>0</v>
      </c>
      <c r="G106" s="1426"/>
      <c r="H106" s="1072">
        <f>F106*10</f>
        <v>0</v>
      </c>
      <c r="I106" s="1051">
        <v>0</v>
      </c>
      <c r="J106" s="1053">
        <f>B106*2</f>
        <v>0</v>
      </c>
      <c r="K106" s="1053">
        <f>B106*13</f>
        <v>0</v>
      </c>
      <c r="L106" s="1054">
        <f t="shared" si="37"/>
        <v>0</v>
      </c>
      <c r="M106" s="1496">
        <f t="shared" si="38"/>
        <v>0</v>
      </c>
      <c r="N106" s="1497"/>
    </row>
    <row r="107" spans="1:21" s="1055" customFormat="1">
      <c r="A107" s="1049" t="s">
        <v>184</v>
      </c>
      <c r="B107" s="1491">
        <f>MVWD!N380</f>
        <v>0</v>
      </c>
      <c r="C107" s="1426"/>
      <c r="D107" s="1500">
        <f t="shared" si="39"/>
        <v>0</v>
      </c>
      <c r="E107" s="1426"/>
      <c r="F107" s="1500">
        <f>0.0129*B107</f>
        <v>0</v>
      </c>
      <c r="G107" s="1426"/>
      <c r="H107" s="1072">
        <f>F107*10</f>
        <v>0</v>
      </c>
      <c r="I107" s="1051">
        <v>0</v>
      </c>
      <c r="J107" s="1053">
        <f>B107*0</f>
        <v>0</v>
      </c>
      <c r="K107" s="1053">
        <f>B107*0</f>
        <v>0</v>
      </c>
      <c r="L107" s="1054">
        <f t="shared" si="37"/>
        <v>0</v>
      </c>
      <c r="M107" s="1496">
        <f t="shared" si="38"/>
        <v>0</v>
      </c>
      <c r="N107" s="1497"/>
    </row>
    <row r="108" spans="1:21" s="1065" customFormat="1">
      <c r="A108" s="1059" t="s">
        <v>187</v>
      </c>
      <c r="B108" s="1491">
        <f>MVWD!N381</f>
        <v>0</v>
      </c>
      <c r="C108" s="1426"/>
      <c r="D108" s="1500">
        <f t="shared" si="39"/>
        <v>0</v>
      </c>
      <c r="E108" s="1426"/>
      <c r="F108" s="1500">
        <f>0.023*B108</f>
        <v>0</v>
      </c>
      <c r="G108" s="1426"/>
      <c r="H108" s="1072">
        <f>F108*5</f>
        <v>0</v>
      </c>
      <c r="I108" s="1051">
        <v>0</v>
      </c>
      <c r="J108" s="1053">
        <f>B108*10</f>
        <v>0</v>
      </c>
      <c r="K108" s="1053">
        <f>B108*10</f>
        <v>0</v>
      </c>
      <c r="L108" s="1054">
        <f t="shared" si="37"/>
        <v>0</v>
      </c>
      <c r="M108" s="1496">
        <f t="shared" si="38"/>
        <v>0</v>
      </c>
      <c r="N108" s="1497"/>
    </row>
    <row r="109" spans="1:21" s="1065" customFormat="1">
      <c r="A109" s="1059" t="s">
        <v>188</v>
      </c>
      <c r="B109" s="1491">
        <f>MVWD!N382</f>
        <v>0</v>
      </c>
      <c r="C109" s="1426"/>
      <c r="D109" s="1500">
        <f t="shared" si="39"/>
        <v>0</v>
      </c>
      <c r="E109" s="1426"/>
      <c r="F109" s="1958">
        <f>0.154*B109</f>
        <v>0</v>
      </c>
      <c r="G109" s="1510"/>
      <c r="H109" s="1076">
        <f>F109*10</f>
        <v>0</v>
      </c>
      <c r="I109" s="1051">
        <v>0</v>
      </c>
      <c r="J109" s="1053">
        <f>B109*1000</f>
        <v>0</v>
      </c>
      <c r="K109" s="1053">
        <f>B109*1000</f>
        <v>0</v>
      </c>
      <c r="L109" s="1054">
        <f t="shared" si="37"/>
        <v>0</v>
      </c>
      <c r="M109" s="1496">
        <f t="shared" si="38"/>
        <v>0</v>
      </c>
      <c r="N109" s="1497"/>
    </row>
    <row r="110" spans="1:21" s="1065" customFormat="1">
      <c r="A110" s="1059" t="s">
        <v>323</v>
      </c>
      <c r="B110" s="1491">
        <f>MVWD!N383</f>
        <v>0</v>
      </c>
      <c r="C110" s="1426"/>
      <c r="D110" s="1492">
        <f t="shared" ref="D110" si="40">F110*325900</f>
        <v>0</v>
      </c>
      <c r="E110" s="1493"/>
      <c r="F110" s="1515">
        <v>0</v>
      </c>
      <c r="G110" s="1495"/>
      <c r="H110" s="1074">
        <f>F110*10</f>
        <v>0</v>
      </c>
      <c r="I110" s="1051">
        <v>0</v>
      </c>
      <c r="J110" s="1053">
        <f>B110*0</f>
        <v>0</v>
      </c>
      <c r="K110" s="1053">
        <f>B110*0</f>
        <v>0</v>
      </c>
      <c r="L110" s="1054">
        <f>K110+J110+I110</f>
        <v>0</v>
      </c>
      <c r="M110" s="1496">
        <f t="shared" si="38"/>
        <v>0</v>
      </c>
      <c r="N110" s="1497"/>
    </row>
    <row r="111" spans="1:21" s="1065" customFormat="1">
      <c r="A111" s="1059" t="s">
        <v>269</v>
      </c>
      <c r="B111" s="1491">
        <f>MVWD!N384</f>
        <v>0</v>
      </c>
      <c r="C111" s="1426"/>
      <c r="D111" s="1492">
        <f t="shared" si="39"/>
        <v>0</v>
      </c>
      <c r="E111" s="1493"/>
      <c r="F111" s="1948">
        <f>B111*0.0129</f>
        <v>0</v>
      </c>
      <c r="G111" s="1499"/>
      <c r="H111" s="1077">
        <v>0</v>
      </c>
      <c r="I111" s="1051">
        <v>0</v>
      </c>
      <c r="J111" s="1053">
        <f>B111*0</f>
        <v>0</v>
      </c>
      <c r="K111" s="1053">
        <f>B111*0</f>
        <v>0</v>
      </c>
      <c r="L111" s="1054">
        <f t="shared" ref="L111:L112" si="41">K111+J111+I111</f>
        <v>0</v>
      </c>
      <c r="M111" s="1496">
        <f t="shared" si="38"/>
        <v>0</v>
      </c>
      <c r="N111" s="1497"/>
    </row>
    <row r="112" spans="1:21" s="1065" customFormat="1" ht="14" thickBot="1">
      <c r="A112" s="1059" t="s">
        <v>268</v>
      </c>
      <c r="B112" s="1949">
        <f>MVWD!N385</f>
        <v>0</v>
      </c>
      <c r="C112" s="1950"/>
      <c r="D112" s="1951">
        <f t="shared" si="39"/>
        <v>0</v>
      </c>
      <c r="E112" s="1950"/>
      <c r="F112" s="1506">
        <f>(B112*0.0084)/2</f>
        <v>0</v>
      </c>
      <c r="G112" s="1505"/>
      <c r="H112" s="1073">
        <f>F112*10</f>
        <v>0</v>
      </c>
      <c r="I112" s="1051">
        <v>0</v>
      </c>
      <c r="J112" s="1053">
        <f>B112*10</f>
        <v>0</v>
      </c>
      <c r="K112" s="1053">
        <f>B112*5</f>
        <v>0</v>
      </c>
      <c r="L112" s="1054">
        <f t="shared" si="41"/>
        <v>0</v>
      </c>
      <c r="M112" s="1952">
        <f t="shared" si="38"/>
        <v>0</v>
      </c>
      <c r="N112" s="1953"/>
    </row>
    <row r="113" spans="1:14" s="1228" customFormat="1" ht="17" thickBot="1">
      <c r="A113" s="1224" t="s">
        <v>192</v>
      </c>
      <c r="B113" s="1502"/>
      <c r="C113" s="1502"/>
      <c r="D113" s="1502"/>
      <c r="E113" s="1502"/>
      <c r="F113" s="1502"/>
      <c r="G113" s="1502"/>
      <c r="H113" s="1225"/>
      <c r="I113" s="1229"/>
      <c r="J113" s="1229"/>
      <c r="K113" s="1229"/>
      <c r="L113" s="1229"/>
      <c r="M113" s="1229"/>
      <c r="N113" s="1230"/>
    </row>
    <row r="114" spans="1:14" s="1087" customFormat="1" ht="14" thickBot="1">
      <c r="A114" s="1068" t="s">
        <v>385</v>
      </c>
      <c r="B114" s="1954">
        <f>MVWD!N387</f>
        <v>8933</v>
      </c>
      <c r="C114" s="1955"/>
      <c r="D114" s="1956">
        <f>F114*325900</f>
        <v>12809564.68</v>
      </c>
      <c r="E114" s="1955"/>
      <c r="F114" s="1956">
        <f>0.0044*B114</f>
        <v>39.305199999999999</v>
      </c>
      <c r="G114" s="1955"/>
      <c r="H114" s="1073">
        <f>F114*5</f>
        <v>196.52600000000001</v>
      </c>
      <c r="I114" s="1089">
        <v>0</v>
      </c>
      <c r="J114" s="1089">
        <f>L114-K114</f>
        <v>25289.5</v>
      </c>
      <c r="K114" s="1089">
        <f>B114*2</f>
        <v>17866</v>
      </c>
      <c r="L114" s="1054">
        <v>43155.5</v>
      </c>
      <c r="M114" s="1957">
        <f>IF(ISERROR(L114/(F114*771)),0,L114/(F114*771))</f>
        <v>1.4240713990603027</v>
      </c>
      <c r="N114" s="1701"/>
    </row>
    <row r="115" spans="1:14" ht="14" thickBot="1">
      <c r="A115" s="256" t="s">
        <v>60</v>
      </c>
      <c r="B115" s="1438">
        <f>SUM(B101:B114)</f>
        <v>8933</v>
      </c>
      <c r="C115" s="1439"/>
      <c r="D115" s="1441">
        <f>SUM(D101:E114)</f>
        <v>12809564.68</v>
      </c>
      <c r="E115" s="1439"/>
      <c r="F115" s="1441">
        <f>SUM(F101:G114)</f>
        <v>39.305199999999999</v>
      </c>
      <c r="G115" s="1439"/>
      <c r="H115" s="56">
        <f>SUM(H101:H114)</f>
        <v>196.52600000000001</v>
      </c>
      <c r="I115" s="160">
        <f>SUM(I101:I114)</f>
        <v>0</v>
      </c>
      <c r="J115" s="160">
        <f>SUM(J101:J114)</f>
        <v>25289.5</v>
      </c>
      <c r="K115" s="160">
        <f>SUM(K101:K114)</f>
        <v>17866</v>
      </c>
      <c r="L115" s="160">
        <f>SUM(L101:L114)</f>
        <v>43155.5</v>
      </c>
      <c r="M115" s="1442"/>
      <c r="N115" s="1443"/>
    </row>
    <row r="116" spans="1:14" s="1161" customFormat="1" ht="17" thickBot="1">
      <c r="A116" s="1182" t="s">
        <v>17</v>
      </c>
      <c r="B116" s="1414">
        <f>SUM(,B99,B115)</f>
        <v>10042</v>
      </c>
      <c r="C116" s="1415"/>
      <c r="D116" s="1416">
        <f>SUM(,D99,D115)</f>
        <v>15763945.949999999</v>
      </c>
      <c r="E116" s="1415"/>
      <c r="F116" s="1416">
        <f>SUM(,F99,F115)</f>
        <v>48.3705</v>
      </c>
      <c r="G116" s="1415"/>
      <c r="H116" s="1179">
        <f>SUM(H99,H115)</f>
        <v>274.37450000000001</v>
      </c>
      <c r="I116" s="1234">
        <f>SUM(,I99,I115)</f>
        <v>958</v>
      </c>
      <c r="J116" s="1235">
        <f>SUM(,J99,J115)</f>
        <v>57174.41</v>
      </c>
      <c r="K116" s="1234">
        <f>SUM(,K99,K115)</f>
        <v>30823.090000000004</v>
      </c>
      <c r="L116" s="1236">
        <f>SUM(,L99,L115)</f>
        <v>88955.5</v>
      </c>
      <c r="M116" s="1417"/>
      <c r="N116" s="1418"/>
    </row>
    <row r="117" spans="1:14">
      <c r="A117" s="50"/>
      <c r="B117" s="1080"/>
      <c r="C117" s="1080"/>
      <c r="D117" s="1080"/>
      <c r="E117" s="1080"/>
      <c r="F117" s="1080"/>
      <c r="G117" s="1080"/>
      <c r="H117" s="1080"/>
      <c r="I117" s="21"/>
      <c r="J117" s="21"/>
      <c r="K117" s="21"/>
      <c r="L117" s="21"/>
      <c r="M117" s="1079"/>
      <c r="N117" s="1079"/>
    </row>
    <row r="118" spans="1:14" ht="15">
      <c r="A118" s="9" t="s">
        <v>18</v>
      </c>
      <c r="B118" s="1695" t="s">
        <v>59</v>
      </c>
      <c r="C118" s="1695"/>
      <c r="D118" s="1695"/>
      <c r="E118" s="1695"/>
      <c r="F118" s="1080"/>
      <c r="G118" s="1080"/>
      <c r="H118" s="1080"/>
      <c r="I118" s="21"/>
      <c r="J118" s="21"/>
      <c r="K118" s="21"/>
      <c r="L118" s="21"/>
      <c r="M118" s="1079"/>
      <c r="N118" s="1079"/>
    </row>
    <row r="119" spans="1:14">
      <c r="B119" s="1420" t="s">
        <v>19</v>
      </c>
      <c r="C119" s="1420"/>
      <c r="D119" s="1420"/>
      <c r="E119" s="1420"/>
      <c r="F119" s="1080"/>
      <c r="G119" s="1080"/>
      <c r="H119" s="1080"/>
      <c r="I119" s="21"/>
      <c r="J119" s="21"/>
      <c r="K119" s="21"/>
      <c r="L119" s="21"/>
      <c r="M119" s="1079"/>
      <c r="N119" s="1079"/>
    </row>
    <row r="120" spans="1:14" ht="14" thickBot="1">
      <c r="B120" s="1079"/>
      <c r="C120" s="1079"/>
      <c r="D120" s="1079"/>
      <c r="E120" s="1079"/>
      <c r="F120" s="1080"/>
      <c r="G120" s="1080"/>
      <c r="H120" s="1080"/>
      <c r="I120" s="21"/>
      <c r="J120" s="21"/>
      <c r="K120" s="21"/>
      <c r="L120" s="21"/>
      <c r="M120" s="1079"/>
      <c r="N120" s="1079"/>
    </row>
    <row r="121" spans="1:14" s="363" customFormat="1" ht="16">
      <c r="A121" s="98"/>
      <c r="B121" s="99"/>
      <c r="C121" s="99"/>
      <c r="D121" s="99"/>
      <c r="E121" s="99"/>
      <c r="F121" s="736"/>
      <c r="G121" s="736"/>
      <c r="H121" s="736"/>
      <c r="I121" s="1468" t="s">
        <v>0</v>
      </c>
      <c r="J121" s="1468"/>
      <c r="K121" s="1468"/>
      <c r="L121" s="1468"/>
      <c r="M121" s="99"/>
      <c r="N121" s="101"/>
    </row>
    <row r="122" spans="1:14" ht="16">
      <c r="A122" s="97"/>
      <c r="B122" s="1469" t="s">
        <v>1</v>
      </c>
      <c r="C122" s="1469"/>
      <c r="D122" s="1469" t="s">
        <v>2</v>
      </c>
      <c r="E122" s="1469"/>
      <c r="F122" s="1977" t="s">
        <v>3</v>
      </c>
      <c r="G122" s="1977"/>
      <c r="H122" s="925" t="s">
        <v>3</v>
      </c>
      <c r="I122" s="127" t="s">
        <v>195</v>
      </c>
      <c r="J122" s="102"/>
      <c r="K122" s="102"/>
      <c r="L122" s="128"/>
      <c r="M122" s="1525" t="s">
        <v>4</v>
      </c>
      <c r="N122" s="1526"/>
    </row>
    <row r="123" spans="1:14" ht="19" thickBot="1">
      <c r="A123" s="103" t="s">
        <v>5</v>
      </c>
      <c r="B123" s="1473" t="s">
        <v>6</v>
      </c>
      <c r="C123" s="1473"/>
      <c r="D123" s="1473" t="s">
        <v>7</v>
      </c>
      <c r="E123" s="1473"/>
      <c r="F123" s="1978" t="s">
        <v>7</v>
      </c>
      <c r="G123" s="1978"/>
      <c r="H123" s="926" t="s">
        <v>58</v>
      </c>
      <c r="I123" s="910" t="s">
        <v>196</v>
      </c>
      <c r="J123" s="909" t="s">
        <v>8</v>
      </c>
      <c r="K123" s="909" t="s">
        <v>9</v>
      </c>
      <c r="L123" s="401" t="s">
        <v>10</v>
      </c>
      <c r="M123" s="1527" t="s">
        <v>145</v>
      </c>
      <c r="N123" s="1475"/>
    </row>
    <row r="124" spans="1:14" ht="24" thickBot="1">
      <c r="A124" s="88" t="s">
        <v>318</v>
      </c>
      <c r="B124" s="1702"/>
      <c r="C124" s="1703"/>
      <c r="D124" s="1704"/>
      <c r="E124" s="1705"/>
      <c r="F124" s="1704"/>
      <c r="G124" s="1705"/>
      <c r="H124" s="920"/>
      <c r="I124" s="304"/>
      <c r="J124" s="304"/>
      <c r="K124" s="304"/>
      <c r="L124" s="305"/>
      <c r="M124" s="1708"/>
      <c r="N124" s="1709"/>
    </row>
    <row r="125" spans="1:14" s="1161" customFormat="1" ht="17" thickBot="1">
      <c r="A125" s="110" t="s">
        <v>189</v>
      </c>
      <c r="B125" s="1456"/>
      <c r="C125" s="1457"/>
      <c r="D125" s="1457"/>
      <c r="E125" s="1457"/>
      <c r="F125" s="1457"/>
      <c r="G125" s="1457"/>
      <c r="H125" s="1141"/>
      <c r="I125" s="1141"/>
      <c r="J125" s="1141"/>
      <c r="K125" s="1141"/>
      <c r="L125" s="1141"/>
      <c r="M125" s="1485"/>
      <c r="N125" s="1486"/>
    </row>
    <row r="126" spans="1:14">
      <c r="A126" s="122" t="s">
        <v>29</v>
      </c>
      <c r="B126" s="1444">
        <f>MVWD!N324</f>
        <v>23</v>
      </c>
      <c r="C126" s="1422"/>
      <c r="D126" s="1444">
        <f>F126*325900</f>
        <v>184394.22</v>
      </c>
      <c r="E126" s="1444"/>
      <c r="F126" s="1431">
        <f>0.0246*B126</f>
        <v>0.56579999999999997</v>
      </c>
      <c r="G126" s="1422"/>
      <c r="H126" s="917">
        <f>F126*20</f>
        <v>11.315999999999999</v>
      </c>
      <c r="I126" s="151">
        <v>0</v>
      </c>
      <c r="J126" s="172">
        <v>1858</v>
      </c>
      <c r="K126" s="150">
        <v>920</v>
      </c>
      <c r="L126" s="174">
        <f>K126+J126+I126</f>
        <v>2778</v>
      </c>
      <c r="M126" s="1539">
        <f t="shared" ref="M126" si="42">IF(ISERROR(L126/(F126*744)),0,L126/(F126*744))</f>
        <v>6.5992770727146262</v>
      </c>
      <c r="N126" s="1540"/>
    </row>
    <row r="127" spans="1:14">
      <c r="A127" s="32" t="s">
        <v>33</v>
      </c>
      <c r="B127" s="1444">
        <f>MVWD!N325</f>
        <v>44</v>
      </c>
      <c r="C127" s="1422"/>
      <c r="D127" s="1444">
        <f>F127*325900</f>
        <v>494716.20000000007</v>
      </c>
      <c r="E127" s="1444"/>
      <c r="F127" s="1431">
        <f>B127*0.0345</f>
        <v>1.5180000000000002</v>
      </c>
      <c r="G127" s="1422"/>
      <c r="H127" s="917">
        <f>F127*14</f>
        <v>21.252000000000002</v>
      </c>
      <c r="I127" s="150">
        <f>0*B127</f>
        <v>0</v>
      </c>
      <c r="J127" s="172">
        <v>585</v>
      </c>
      <c r="K127" s="150">
        <v>3740</v>
      </c>
      <c r="L127" s="174">
        <f t="shared" ref="L127:L154" si="43">K127+J127+I127</f>
        <v>4325</v>
      </c>
      <c r="M127" s="1539">
        <f t="shared" ref="M127:M133" si="44">IF(ISERROR(L127/(F127*744)),0,L127/(F127*744))</f>
        <v>3.8294940994800735</v>
      </c>
      <c r="N127" s="1540"/>
    </row>
    <row r="128" spans="1:14">
      <c r="A128" s="32" t="s">
        <v>56</v>
      </c>
      <c r="B128" s="1444">
        <f>MVWD!N326</f>
        <v>0</v>
      </c>
      <c r="C128" s="1422"/>
      <c r="D128" s="1444">
        <f>F128*325851</f>
        <v>0</v>
      </c>
      <c r="E128" s="1444"/>
      <c r="F128" s="1431">
        <f>0.0044*B128</f>
        <v>0</v>
      </c>
      <c r="G128" s="1422"/>
      <c r="H128" s="917">
        <f>F128*5</f>
        <v>0</v>
      </c>
      <c r="I128" s="150">
        <f>0*B128</f>
        <v>0</v>
      </c>
      <c r="J128" s="172">
        <v>0</v>
      </c>
      <c r="K128" s="150">
        <v>0</v>
      </c>
      <c r="L128" s="174">
        <f t="shared" si="43"/>
        <v>0</v>
      </c>
      <c r="M128" s="1539">
        <f t="shared" si="44"/>
        <v>0</v>
      </c>
      <c r="N128" s="1540"/>
    </row>
    <row r="129" spans="1:14">
      <c r="A129" s="32" t="s">
        <v>52</v>
      </c>
      <c r="B129" s="1444">
        <f>MVWD!N327</f>
        <v>4</v>
      </c>
      <c r="C129" s="1422"/>
      <c r="D129" s="1444">
        <f>F129*325900</f>
        <v>53969.04</v>
      </c>
      <c r="E129" s="1444"/>
      <c r="F129" s="1876">
        <f>0.0414*B129</f>
        <v>0.1656</v>
      </c>
      <c r="G129" s="1877"/>
      <c r="H129" s="915">
        <f>F129*10</f>
        <v>1.6559999999999999</v>
      </c>
      <c r="I129" s="151">
        <v>0</v>
      </c>
      <c r="J129" s="174">
        <v>210</v>
      </c>
      <c r="K129" s="173">
        <v>320</v>
      </c>
      <c r="L129" s="174">
        <f t="shared" si="43"/>
        <v>530</v>
      </c>
      <c r="M129" s="1539">
        <f t="shared" si="44"/>
        <v>4.3017245857358057</v>
      </c>
      <c r="N129" s="1540"/>
    </row>
    <row r="130" spans="1:14" ht="12.75" customHeight="1">
      <c r="A130" s="76" t="s">
        <v>330</v>
      </c>
      <c r="B130" s="1536">
        <f>MVWD!N328</f>
        <v>8</v>
      </c>
      <c r="C130" s="1424"/>
      <c r="D130" s="1536">
        <f>F130*325900</f>
        <v>503235.22600000002</v>
      </c>
      <c r="E130" s="1536"/>
      <c r="F130" s="1447">
        <v>1.5441400000000001</v>
      </c>
      <c r="G130" s="1448"/>
      <c r="H130" s="904">
        <f>F130*10</f>
        <v>15.441400000000002</v>
      </c>
      <c r="I130" s="151">
        <v>0</v>
      </c>
      <c r="J130" s="174">
        <v>0</v>
      </c>
      <c r="K130" s="173">
        <v>23756</v>
      </c>
      <c r="L130" s="174">
        <f t="shared" si="43"/>
        <v>23756</v>
      </c>
      <c r="M130" s="1539">
        <f t="shared" si="44"/>
        <v>20.678246484698096</v>
      </c>
      <c r="N130" s="1540"/>
    </row>
    <row r="131" spans="1:14" ht="12.75" customHeight="1">
      <c r="A131" s="76" t="s">
        <v>214</v>
      </c>
      <c r="B131" s="1444">
        <f>MVWD!N329</f>
        <v>15</v>
      </c>
      <c r="C131" s="1422"/>
      <c r="D131" s="1444">
        <f>F131*325900</f>
        <v>9288.15</v>
      </c>
      <c r="E131" s="1444"/>
      <c r="F131" s="1876">
        <f>0.0019*B131</f>
        <v>2.8500000000000001E-2</v>
      </c>
      <c r="G131" s="1877"/>
      <c r="H131" s="924">
        <f>F131*5</f>
        <v>0.14250000000000002</v>
      </c>
      <c r="I131" s="151">
        <v>0</v>
      </c>
      <c r="J131" s="174">
        <v>0</v>
      </c>
      <c r="K131" s="173">
        <v>1099.6199999999999</v>
      </c>
      <c r="L131" s="174">
        <f t="shared" si="43"/>
        <v>1099.6199999999999</v>
      </c>
      <c r="M131" s="1539">
        <f t="shared" si="44"/>
        <v>51.859083191850587</v>
      </c>
      <c r="N131" s="1540"/>
    </row>
    <row r="132" spans="1:14" ht="12.75" customHeight="1">
      <c r="A132" s="76" t="s">
        <v>331</v>
      </c>
      <c r="B132" s="1444">
        <f>MVWD!N330</f>
        <v>0</v>
      </c>
      <c r="C132" s="1422"/>
      <c r="D132" s="1444">
        <f>F132*325900</f>
        <v>0</v>
      </c>
      <c r="E132" s="1444"/>
      <c r="F132" s="1467">
        <v>0</v>
      </c>
      <c r="G132" s="1433"/>
      <c r="H132" s="915">
        <v>0</v>
      </c>
      <c r="I132" s="151">
        <v>0</v>
      </c>
      <c r="J132" s="174">
        <v>0</v>
      </c>
      <c r="K132" s="173">
        <v>0</v>
      </c>
      <c r="L132" s="174">
        <f t="shared" si="43"/>
        <v>0</v>
      </c>
      <c r="M132" s="1539">
        <f t="shared" si="44"/>
        <v>0</v>
      </c>
      <c r="N132" s="1540"/>
    </row>
    <row r="133" spans="1:14" ht="12.75" customHeight="1" thickBot="1">
      <c r="A133" s="107" t="s">
        <v>269</v>
      </c>
      <c r="B133" s="1444">
        <f>MVWD!N331</f>
        <v>0</v>
      </c>
      <c r="C133" s="1422"/>
      <c r="D133" s="1444">
        <f>F133*0.0095</f>
        <v>0</v>
      </c>
      <c r="E133" s="1444"/>
      <c r="F133" s="1467">
        <v>0</v>
      </c>
      <c r="G133" s="1433"/>
      <c r="H133" s="915">
        <f>F133*10</f>
        <v>0</v>
      </c>
      <c r="I133" s="151">
        <v>0</v>
      </c>
      <c r="J133" s="174">
        <v>0</v>
      </c>
      <c r="K133" s="173">
        <v>0</v>
      </c>
      <c r="L133" s="174">
        <f t="shared" si="43"/>
        <v>0</v>
      </c>
      <c r="M133" s="1539">
        <f t="shared" si="44"/>
        <v>0</v>
      </c>
      <c r="N133" s="1540"/>
    </row>
    <row r="134" spans="1:14" s="1161" customFormat="1" ht="17" thickBot="1">
      <c r="A134" s="110" t="s">
        <v>190</v>
      </c>
      <c r="B134" s="1456"/>
      <c r="C134" s="1457"/>
      <c r="D134" s="1457"/>
      <c r="E134" s="1457"/>
      <c r="F134" s="1457"/>
      <c r="G134" s="1457"/>
      <c r="H134" s="1141"/>
      <c r="I134" s="195"/>
      <c r="J134" s="195"/>
      <c r="K134" s="195"/>
      <c r="L134" s="195"/>
      <c r="M134" s="1541"/>
      <c r="N134" s="1542"/>
    </row>
    <row r="135" spans="1:14">
      <c r="A135" s="76" t="s">
        <v>205</v>
      </c>
      <c r="B135" s="1444">
        <f>MVWD!N333</f>
        <v>1064</v>
      </c>
      <c r="C135" s="1422"/>
      <c r="D135" s="1444">
        <f>F135*325900</f>
        <v>1525733.4400000002</v>
      </c>
      <c r="E135" s="1444"/>
      <c r="F135" s="1467">
        <f>B135*0.0044</f>
        <v>4.6816000000000004</v>
      </c>
      <c r="G135" s="1433"/>
      <c r="H135" s="915">
        <f>F135*5</f>
        <v>23.408000000000001</v>
      </c>
      <c r="I135" s="151">
        <v>0</v>
      </c>
      <c r="J135" s="174">
        <v>1755.2</v>
      </c>
      <c r="K135" s="173">
        <v>2128</v>
      </c>
      <c r="L135" s="174">
        <f t="shared" si="43"/>
        <v>3883.2</v>
      </c>
      <c r="M135" s="1539">
        <f t="shared" ref="M135" si="45">IF(ISERROR(L135/(F135*744)),0,L135/(F135*744))</f>
        <v>1.1148656097722309</v>
      </c>
      <c r="N135" s="1540"/>
    </row>
    <row r="136" spans="1:14" s="121" customFormat="1">
      <c r="A136" s="76" t="s">
        <v>343</v>
      </c>
      <c r="B136" s="1536">
        <f>MVWD!N334</f>
        <v>15</v>
      </c>
      <c r="C136" s="1424"/>
      <c r="D136" s="1981">
        <f>F136*325900</f>
        <v>656492.96000000008</v>
      </c>
      <c r="E136" s="1981"/>
      <c r="F136" s="1447">
        <v>2.0144000000000002</v>
      </c>
      <c r="G136" s="1448"/>
      <c r="H136" s="904">
        <v>15.04</v>
      </c>
      <c r="I136" s="173">
        <v>7112.57</v>
      </c>
      <c r="J136" s="174">
        <v>103.39</v>
      </c>
      <c r="K136" s="173">
        <v>7009.1</v>
      </c>
      <c r="L136" s="174">
        <f t="shared" si="43"/>
        <v>14225.060000000001</v>
      </c>
      <c r="M136" s="1539">
        <f t="shared" ref="M136:M138" si="46">IF(ISERROR(L136/(F136*744)),0,L136/(F136*744))</f>
        <v>9.4915132551009087</v>
      </c>
      <c r="N136" s="1540"/>
    </row>
    <row r="137" spans="1:14" s="121" customFormat="1">
      <c r="A137" s="76" t="s">
        <v>349</v>
      </c>
      <c r="B137" s="1536">
        <f>MVWD!N335</f>
        <v>41</v>
      </c>
      <c r="C137" s="1424"/>
      <c r="D137" s="1981">
        <f>F137*325900</f>
        <v>553182.66</v>
      </c>
      <c r="E137" s="1981"/>
      <c r="F137" s="1447">
        <v>1.6974</v>
      </c>
      <c r="G137" s="1448"/>
      <c r="H137" s="904">
        <v>16.974</v>
      </c>
      <c r="I137" s="173">
        <v>0</v>
      </c>
      <c r="J137" s="174">
        <v>17340</v>
      </c>
      <c r="K137" s="173">
        <v>7745</v>
      </c>
      <c r="L137" s="174">
        <f t="shared" si="43"/>
        <v>25085</v>
      </c>
      <c r="M137" s="1539">
        <f t="shared" si="46"/>
        <v>19.863554759904773</v>
      </c>
      <c r="N137" s="1540"/>
    </row>
    <row r="138" spans="1:14" ht="14" thickBot="1">
      <c r="A138" s="76" t="s">
        <v>266</v>
      </c>
      <c r="B138" s="1536">
        <f>MVWD!N336</f>
        <v>1</v>
      </c>
      <c r="C138" s="1424"/>
      <c r="D138" s="1536">
        <v>0</v>
      </c>
      <c r="E138" s="1536"/>
      <c r="F138" s="1423">
        <v>0</v>
      </c>
      <c r="G138" s="1424"/>
      <c r="H138" s="904">
        <f>F138*10</f>
        <v>0</v>
      </c>
      <c r="I138" s="151">
        <v>0</v>
      </c>
      <c r="J138" s="174">
        <v>145</v>
      </c>
      <c r="K138" s="173">
        <v>0</v>
      </c>
      <c r="L138" s="174">
        <f t="shared" si="43"/>
        <v>145</v>
      </c>
      <c r="M138" s="1539">
        <f t="shared" si="46"/>
        <v>0</v>
      </c>
      <c r="N138" s="1540"/>
    </row>
    <row r="139" spans="1:14" ht="14" thickBot="1">
      <c r="A139" s="53" t="s">
        <v>60</v>
      </c>
      <c r="B139" s="1564">
        <f>SUM(B126:C138)</f>
        <v>1215</v>
      </c>
      <c r="C139" s="1453"/>
      <c r="D139" s="1452">
        <f>SUM(D126:E138)</f>
        <v>3981011.8960000006</v>
      </c>
      <c r="E139" s="1452"/>
      <c r="F139" s="1694">
        <f>SUM(F126:G138)</f>
        <v>12.215440000000001</v>
      </c>
      <c r="G139" s="1453"/>
      <c r="H139" s="987">
        <f>SUM(H126:H138)</f>
        <v>105.2299</v>
      </c>
      <c r="I139" s="860">
        <f>SUM(I126:I138)</f>
        <v>7112.57</v>
      </c>
      <c r="J139" s="860">
        <f>SUM(J126:J138)</f>
        <v>21996.59</v>
      </c>
      <c r="K139" s="860">
        <f t="shared" ref="K139" si="47">SUM(K126:K138)</f>
        <v>46717.72</v>
      </c>
      <c r="L139" s="860">
        <f t="shared" ref="L139" si="48">SUM(L126:L138)</f>
        <v>75826.880000000005</v>
      </c>
      <c r="M139" s="1452"/>
      <c r="N139" s="1603"/>
    </row>
    <row r="140" spans="1:14" s="1161" customFormat="1" ht="17" thickBot="1">
      <c r="A140" s="110" t="s">
        <v>194</v>
      </c>
      <c r="B140" s="1456"/>
      <c r="C140" s="1457"/>
      <c r="D140" s="1457"/>
      <c r="E140" s="1457"/>
      <c r="F140" s="1457"/>
      <c r="G140" s="1457"/>
      <c r="H140" s="1141"/>
      <c r="I140" s="997"/>
      <c r="J140" s="997"/>
      <c r="K140" s="997"/>
      <c r="L140" s="997"/>
      <c r="M140" s="1541"/>
      <c r="N140" s="1542"/>
    </row>
    <row r="141" spans="1:14">
      <c r="A141" s="122" t="s">
        <v>29</v>
      </c>
      <c r="B141" s="1444">
        <f>MVWD!N340</f>
        <v>0</v>
      </c>
      <c r="C141" s="1422"/>
      <c r="D141" s="1444">
        <f>F141*325900</f>
        <v>0</v>
      </c>
      <c r="E141" s="1444"/>
      <c r="F141" s="1431">
        <f>0.0246*B141</f>
        <v>0</v>
      </c>
      <c r="G141" s="1422"/>
      <c r="H141" s="917">
        <f>F141*20</f>
        <v>0</v>
      </c>
      <c r="I141" s="151">
        <v>0</v>
      </c>
      <c r="J141" s="172">
        <v>0</v>
      </c>
      <c r="K141" s="150">
        <v>0</v>
      </c>
      <c r="L141" s="174">
        <f t="shared" si="43"/>
        <v>0</v>
      </c>
      <c r="M141" s="1539">
        <f t="shared" ref="M141" si="49">IF(ISERROR(L141/(F141*744)),0,L141/(F141*744))</f>
        <v>0</v>
      </c>
      <c r="N141" s="1540"/>
    </row>
    <row r="142" spans="1:14">
      <c r="A142" s="32" t="s">
        <v>51</v>
      </c>
      <c r="B142" s="1444">
        <f>MVWD!N341</f>
        <v>0</v>
      </c>
      <c r="C142" s="1422"/>
      <c r="D142" s="1444">
        <f>F142*325900</f>
        <v>0</v>
      </c>
      <c r="E142" s="1444"/>
      <c r="F142" s="1431">
        <f>0.1227*B142</f>
        <v>0</v>
      </c>
      <c r="G142" s="1422"/>
      <c r="H142" s="917">
        <f>F142*20</f>
        <v>0</v>
      </c>
      <c r="I142" s="151">
        <v>0</v>
      </c>
      <c r="J142" s="172">
        <v>0</v>
      </c>
      <c r="K142" s="150">
        <v>0</v>
      </c>
      <c r="L142" s="174">
        <f t="shared" si="43"/>
        <v>0</v>
      </c>
      <c r="M142" s="1539">
        <f t="shared" ref="M142:M152" si="50">IF(ISERROR(L142/(F142*744)),0,L142/(F142*744))</f>
        <v>0</v>
      </c>
      <c r="N142" s="1540"/>
    </row>
    <row r="143" spans="1:14">
      <c r="A143" s="34" t="s">
        <v>204</v>
      </c>
      <c r="B143" s="1444">
        <f>MVWD!N342</f>
        <v>0</v>
      </c>
      <c r="C143" s="1422"/>
      <c r="D143" s="1444">
        <f>F143*325851</f>
        <v>0</v>
      </c>
      <c r="E143" s="1444"/>
      <c r="F143" s="1431">
        <f>0.644*B143</f>
        <v>0</v>
      </c>
      <c r="G143" s="1422"/>
      <c r="H143" s="917">
        <f>F143*5</f>
        <v>0</v>
      </c>
      <c r="I143" s="151">
        <v>0</v>
      </c>
      <c r="J143" s="172">
        <v>0</v>
      </c>
      <c r="K143" s="150">
        <v>0</v>
      </c>
      <c r="L143" s="174">
        <f t="shared" si="43"/>
        <v>0</v>
      </c>
      <c r="M143" s="1539">
        <f t="shared" si="50"/>
        <v>0</v>
      </c>
      <c r="N143" s="1540"/>
    </row>
    <row r="144" spans="1:14">
      <c r="A144" s="76" t="s">
        <v>30</v>
      </c>
      <c r="B144" s="1444">
        <f>MVWD!N343</f>
        <v>0</v>
      </c>
      <c r="C144" s="1422"/>
      <c r="D144" s="1444">
        <f t="shared" ref="D144:D152" si="51">F144*325900</f>
        <v>0</v>
      </c>
      <c r="E144" s="1444"/>
      <c r="F144" s="1431">
        <f>0.0129*B144</f>
        <v>0</v>
      </c>
      <c r="G144" s="1422"/>
      <c r="H144" s="917">
        <f>F144*10</f>
        <v>0</v>
      </c>
      <c r="I144" s="151">
        <v>0</v>
      </c>
      <c r="J144" s="170">
        <v>0</v>
      </c>
      <c r="K144" s="151">
        <v>0</v>
      </c>
      <c r="L144" s="174">
        <f t="shared" si="43"/>
        <v>0</v>
      </c>
      <c r="M144" s="1539">
        <f t="shared" si="50"/>
        <v>0</v>
      </c>
      <c r="N144" s="1540"/>
    </row>
    <row r="145" spans="1:18">
      <c r="A145" s="33" t="s">
        <v>56</v>
      </c>
      <c r="B145" s="1444">
        <f>MVWD!N344</f>
        <v>0</v>
      </c>
      <c r="C145" s="1422"/>
      <c r="D145" s="1444">
        <f t="shared" si="51"/>
        <v>0</v>
      </c>
      <c r="E145" s="1444"/>
      <c r="F145" s="1431">
        <f>0.0044*B145</f>
        <v>0</v>
      </c>
      <c r="G145" s="1422"/>
      <c r="H145" s="917">
        <f>F145*5</f>
        <v>0</v>
      </c>
      <c r="I145" s="151">
        <v>0</v>
      </c>
      <c r="J145" s="172">
        <v>0</v>
      </c>
      <c r="K145" s="150">
        <v>0</v>
      </c>
      <c r="L145" s="174">
        <f t="shared" si="43"/>
        <v>0</v>
      </c>
      <c r="M145" s="1539">
        <f t="shared" si="50"/>
        <v>0</v>
      </c>
      <c r="N145" s="1540"/>
    </row>
    <row r="146" spans="1:18" ht="12.75" customHeight="1">
      <c r="A146" s="76" t="s">
        <v>122</v>
      </c>
      <c r="B146" s="1444">
        <f>MVWD!N345</f>
        <v>0</v>
      </c>
      <c r="C146" s="1422"/>
      <c r="D146" s="1444">
        <f t="shared" si="51"/>
        <v>0</v>
      </c>
      <c r="E146" s="1444"/>
      <c r="F146" s="1431">
        <f>0.018*B146</f>
        <v>0</v>
      </c>
      <c r="G146" s="1422"/>
      <c r="H146" s="917">
        <f>F146*10</f>
        <v>0</v>
      </c>
      <c r="I146" s="151">
        <v>0</v>
      </c>
      <c r="J146" s="172">
        <v>0</v>
      </c>
      <c r="K146" s="150">
        <v>0</v>
      </c>
      <c r="L146" s="174">
        <f t="shared" si="43"/>
        <v>0</v>
      </c>
      <c r="M146" s="1539">
        <f t="shared" si="50"/>
        <v>0</v>
      </c>
      <c r="N146" s="1540"/>
    </row>
    <row r="147" spans="1:18">
      <c r="A147" s="78" t="s">
        <v>184</v>
      </c>
      <c r="B147" s="1444">
        <f>MVWD!N346</f>
        <v>0</v>
      </c>
      <c r="C147" s="1422"/>
      <c r="D147" s="1444">
        <f t="shared" si="51"/>
        <v>0</v>
      </c>
      <c r="E147" s="1444"/>
      <c r="F147" s="1431">
        <f>0.0129*B147</f>
        <v>0</v>
      </c>
      <c r="G147" s="1422"/>
      <c r="H147" s="917">
        <f>F147*10</f>
        <v>0</v>
      </c>
      <c r="I147" s="151">
        <v>0</v>
      </c>
      <c r="J147" s="172">
        <v>0</v>
      </c>
      <c r="K147" s="150">
        <v>0</v>
      </c>
      <c r="L147" s="174">
        <f t="shared" si="43"/>
        <v>0</v>
      </c>
      <c r="M147" s="1539">
        <f t="shared" si="50"/>
        <v>0</v>
      </c>
      <c r="N147" s="1540"/>
    </row>
    <row r="148" spans="1:18" s="57" customFormat="1">
      <c r="A148" s="107" t="s">
        <v>187</v>
      </c>
      <c r="B148" s="1444">
        <f>MVWD!N347</f>
        <v>0</v>
      </c>
      <c r="C148" s="1422"/>
      <c r="D148" s="1445">
        <f t="shared" si="51"/>
        <v>0</v>
      </c>
      <c r="E148" s="1445"/>
      <c r="F148" s="1431">
        <f>0.023*B148</f>
        <v>0</v>
      </c>
      <c r="G148" s="1422"/>
      <c r="H148" s="921">
        <f>F148*5</f>
        <v>0</v>
      </c>
      <c r="I148" s="151">
        <v>0</v>
      </c>
      <c r="J148" s="174">
        <v>0</v>
      </c>
      <c r="K148" s="173">
        <v>0</v>
      </c>
      <c r="L148" s="174">
        <f t="shared" si="43"/>
        <v>0</v>
      </c>
      <c r="M148" s="1539">
        <f t="shared" si="50"/>
        <v>0</v>
      </c>
      <c r="N148" s="1540"/>
      <c r="Q148" s="66"/>
    </row>
    <row r="149" spans="1:18" s="57" customFormat="1">
      <c r="A149" s="107" t="s">
        <v>188</v>
      </c>
      <c r="B149" s="1444">
        <f>MVWD!N348</f>
        <v>0</v>
      </c>
      <c r="C149" s="1422"/>
      <c r="D149" s="1445">
        <f t="shared" si="51"/>
        <v>0</v>
      </c>
      <c r="E149" s="1445"/>
      <c r="F149" s="1736">
        <f>0.154*B149</f>
        <v>0</v>
      </c>
      <c r="G149" s="1446"/>
      <c r="H149" s="921">
        <f>F149*10</f>
        <v>0</v>
      </c>
      <c r="I149" s="151">
        <v>0</v>
      </c>
      <c r="J149" s="170">
        <v>0</v>
      </c>
      <c r="K149" s="151">
        <v>0</v>
      </c>
      <c r="L149" s="174">
        <f t="shared" si="43"/>
        <v>0</v>
      </c>
      <c r="M149" s="1539">
        <f t="shared" si="50"/>
        <v>0</v>
      </c>
      <c r="N149" s="1540"/>
    </row>
    <row r="150" spans="1:18" s="57" customFormat="1">
      <c r="A150" s="107" t="s">
        <v>335</v>
      </c>
      <c r="B150" s="1536">
        <f>MVWD!N349</f>
        <v>2</v>
      </c>
      <c r="C150" s="1424"/>
      <c r="D150" s="1451">
        <f t="shared" si="51"/>
        <v>953596.43599999999</v>
      </c>
      <c r="E150" s="1451"/>
      <c r="F150" s="1447">
        <v>2.92604</v>
      </c>
      <c r="G150" s="1448"/>
      <c r="H150" s="913">
        <f>F150*10</f>
        <v>29.260400000000001</v>
      </c>
      <c r="I150" s="151">
        <v>0</v>
      </c>
      <c r="J150" s="174">
        <v>5379</v>
      </c>
      <c r="K150" s="173">
        <v>22508</v>
      </c>
      <c r="L150" s="174">
        <f>K150+J150+I150</f>
        <v>27887</v>
      </c>
      <c r="M150" s="1539">
        <f t="shared" si="50"/>
        <v>12.809984443726139</v>
      </c>
      <c r="N150" s="1540"/>
    </row>
    <row r="151" spans="1:18" s="57" customFormat="1">
      <c r="A151" s="107" t="s">
        <v>269</v>
      </c>
      <c r="B151" s="1444">
        <f>MVWD!N350</f>
        <v>0</v>
      </c>
      <c r="C151" s="1422"/>
      <c r="D151" s="1445">
        <f t="shared" si="51"/>
        <v>0</v>
      </c>
      <c r="E151" s="1445"/>
      <c r="F151" s="1736">
        <f>B151*0.0129</f>
        <v>0</v>
      </c>
      <c r="G151" s="1446"/>
      <c r="H151" s="921">
        <v>0</v>
      </c>
      <c r="I151" s="151">
        <v>0</v>
      </c>
      <c r="J151" s="170">
        <v>0</v>
      </c>
      <c r="K151" s="151">
        <v>0</v>
      </c>
      <c r="L151" s="174">
        <f t="shared" si="43"/>
        <v>0</v>
      </c>
      <c r="M151" s="1539">
        <f t="shared" si="50"/>
        <v>0</v>
      </c>
      <c r="N151" s="1540"/>
      <c r="Q151" s="66"/>
      <c r="R151" s="66"/>
    </row>
    <row r="152" spans="1:18" s="57" customFormat="1" ht="14" thickBot="1">
      <c r="A152" s="107" t="s">
        <v>268</v>
      </c>
      <c r="B152" s="1444">
        <f>MVWD!N351</f>
        <v>641</v>
      </c>
      <c r="C152" s="1422"/>
      <c r="D152" s="1445">
        <f t="shared" si="51"/>
        <v>877387.97999999986</v>
      </c>
      <c r="E152" s="1445"/>
      <c r="F152" s="1736">
        <f>(B152*0.0084)/2</f>
        <v>2.6921999999999997</v>
      </c>
      <c r="G152" s="1446"/>
      <c r="H152" s="921">
        <f>F152*10</f>
        <v>26.921999999999997</v>
      </c>
      <c r="I152" s="151">
        <v>0</v>
      </c>
      <c r="J152" s="170">
        <v>3205</v>
      </c>
      <c r="K152" s="151">
        <v>3205</v>
      </c>
      <c r="L152" s="174">
        <f t="shared" si="43"/>
        <v>6410</v>
      </c>
      <c r="M152" s="1539">
        <f t="shared" si="50"/>
        <v>3.2002048131080389</v>
      </c>
      <c r="N152" s="1540"/>
    </row>
    <row r="153" spans="1:18" s="1161" customFormat="1" ht="17" thickBot="1">
      <c r="A153" s="110" t="s">
        <v>192</v>
      </c>
      <c r="B153" s="1456"/>
      <c r="C153" s="1457"/>
      <c r="D153" s="1457"/>
      <c r="E153" s="1457"/>
      <c r="F153" s="1457"/>
      <c r="G153" s="1457"/>
      <c r="H153" s="1141"/>
      <c r="I153" s="997"/>
      <c r="J153" s="997"/>
      <c r="K153" s="997"/>
      <c r="L153" s="997"/>
      <c r="M153" s="1541"/>
      <c r="N153" s="1542"/>
    </row>
    <row r="154" spans="1:18" ht="14" thickBot="1">
      <c r="A154" s="84" t="s">
        <v>165</v>
      </c>
      <c r="B154" s="1444">
        <f>MVWD!N353</f>
        <v>0</v>
      </c>
      <c r="C154" s="1422"/>
      <c r="D154" s="1431">
        <f>F154*325900</f>
        <v>0</v>
      </c>
      <c r="E154" s="1422"/>
      <c r="F154" s="1431">
        <f>0.0044*B154</f>
        <v>0</v>
      </c>
      <c r="G154" s="1422"/>
      <c r="H154" s="4">
        <f>F154*5</f>
        <v>0</v>
      </c>
      <c r="I154" s="215">
        <v>0</v>
      </c>
      <c r="J154" s="140">
        <v>0</v>
      </c>
      <c r="K154" s="140">
        <f>(B154*2)</f>
        <v>0</v>
      </c>
      <c r="L154" s="174">
        <f t="shared" si="43"/>
        <v>0</v>
      </c>
      <c r="M154" s="1539">
        <f t="shared" ref="M154" si="52">IF(ISERROR(L154/(F154*744)),0,L154/(F154*744))</f>
        <v>0</v>
      </c>
      <c r="N154" s="1540"/>
    </row>
    <row r="155" spans="1:18" ht="14" thickBot="1">
      <c r="A155" s="256" t="s">
        <v>60</v>
      </c>
      <c r="B155" s="1438">
        <f>SUM(B141:B154)</f>
        <v>643</v>
      </c>
      <c r="C155" s="1439"/>
      <c r="D155" s="1441">
        <f>SUM(D141:E154)</f>
        <v>1830984.4159999997</v>
      </c>
      <c r="E155" s="1439"/>
      <c r="F155" s="1441">
        <f>SUM(F141:G154)</f>
        <v>5.6182400000000001</v>
      </c>
      <c r="G155" s="1439"/>
      <c r="H155" s="56">
        <f>SUM(H141:H154)</f>
        <v>56.182400000000001</v>
      </c>
      <c r="I155" s="160">
        <f>SUM(I141:I154)</f>
        <v>0</v>
      </c>
      <c r="J155" s="160">
        <f>SUM(J141:J154)</f>
        <v>8584</v>
      </c>
      <c r="K155" s="160">
        <f>SUM(K141:K154)</f>
        <v>25713</v>
      </c>
      <c r="L155" s="160">
        <f>SUM(L141:L154)</f>
        <v>34297</v>
      </c>
      <c r="M155" s="1979"/>
      <c r="N155" s="1443"/>
    </row>
    <row r="156" spans="1:18" s="1161" customFormat="1" ht="17" thickBot="1">
      <c r="A156" s="1182" t="s">
        <v>17</v>
      </c>
      <c r="B156" s="1980">
        <f>SUM(,B139,B155)</f>
        <v>1858</v>
      </c>
      <c r="C156" s="1663"/>
      <c r="D156" s="1416">
        <f>SUM(,D139,D155)</f>
        <v>5811996.3120000008</v>
      </c>
      <c r="E156" s="1612"/>
      <c r="F156" s="1416">
        <f>SUM(,F139,F155)</f>
        <v>17.833680000000001</v>
      </c>
      <c r="G156" s="1612"/>
      <c r="H156" s="1179">
        <f>SUM(H139,H155)</f>
        <v>161.41230000000002</v>
      </c>
      <c r="I156" s="1234">
        <f>SUM(,I139,I155)</f>
        <v>7112.57</v>
      </c>
      <c r="J156" s="1235">
        <f>SUM(,J139,J155)</f>
        <v>30580.59</v>
      </c>
      <c r="K156" s="1234">
        <f>SUM(,K139,K155)</f>
        <v>72430.720000000001</v>
      </c>
      <c r="L156" s="1236">
        <f>SUM(,L139,L155)</f>
        <v>110123.88</v>
      </c>
      <c r="M156" s="1417"/>
      <c r="N156" s="1418"/>
    </row>
    <row r="157" spans="1:18">
      <c r="A157" s="50"/>
      <c r="B157" s="770"/>
      <c r="C157" s="770"/>
      <c r="D157" s="770"/>
      <c r="E157" s="770"/>
      <c r="F157" s="770"/>
      <c r="G157" s="770"/>
      <c r="H157" s="770"/>
      <c r="I157" s="21"/>
      <c r="J157" s="21"/>
      <c r="K157" s="21"/>
      <c r="L157" s="21"/>
      <c r="M157" s="767"/>
      <c r="N157" s="767"/>
    </row>
    <row r="158" spans="1:18" ht="15">
      <c r="A158" s="9" t="s">
        <v>18</v>
      </c>
      <c r="B158" s="1695" t="s">
        <v>59</v>
      </c>
      <c r="C158" s="1695"/>
      <c r="D158" s="1695"/>
      <c r="E158" s="1695"/>
      <c r="F158" s="770"/>
      <c r="G158" s="770"/>
      <c r="H158" s="770"/>
      <c r="I158" s="21"/>
      <c r="J158" s="21"/>
      <c r="K158" s="21"/>
      <c r="L158" s="21"/>
      <c r="M158" s="767"/>
      <c r="N158" s="767"/>
    </row>
    <row r="159" spans="1:18">
      <c r="B159" s="1420" t="s">
        <v>19</v>
      </c>
      <c r="C159" s="1420"/>
      <c r="D159" s="1420"/>
      <c r="E159" s="1420"/>
      <c r="F159" s="770"/>
      <c r="G159" s="770"/>
      <c r="H159" s="770"/>
      <c r="I159" s="21"/>
      <c r="J159" s="21"/>
      <c r="K159" s="21"/>
      <c r="L159" s="21"/>
      <c r="M159" s="767"/>
      <c r="N159" s="767"/>
    </row>
    <row r="160" spans="1:18" ht="14" thickBot="1">
      <c r="B160" s="767"/>
      <c r="C160" s="767"/>
      <c r="D160" s="767"/>
      <c r="E160" s="767"/>
      <c r="F160" s="770"/>
      <c r="G160" s="770"/>
      <c r="H160" s="770"/>
      <c r="I160" s="21"/>
      <c r="J160" s="21"/>
      <c r="K160" s="21"/>
      <c r="L160" s="21"/>
      <c r="M160" s="767"/>
      <c r="N160" s="767"/>
    </row>
    <row r="161" spans="1:14" s="363" customFormat="1" ht="16">
      <c r="A161" s="98"/>
      <c r="B161" s="99"/>
      <c r="C161" s="99"/>
      <c r="D161" s="99"/>
      <c r="E161" s="99"/>
      <c r="F161" s="736"/>
      <c r="G161" s="736"/>
      <c r="H161" s="736"/>
      <c r="I161" s="1468" t="s">
        <v>0</v>
      </c>
      <c r="J161" s="1468"/>
      <c r="K161" s="1468"/>
      <c r="L161" s="1468"/>
      <c r="M161" s="99"/>
      <c r="N161" s="101"/>
    </row>
    <row r="162" spans="1:14" ht="16">
      <c r="A162" s="97"/>
      <c r="B162" s="1469" t="s">
        <v>1</v>
      </c>
      <c r="C162" s="1469"/>
      <c r="D162" s="1469" t="s">
        <v>2</v>
      </c>
      <c r="E162" s="1469"/>
      <c r="F162" s="1977" t="s">
        <v>3</v>
      </c>
      <c r="G162" s="1977"/>
      <c r="H162" s="841" t="s">
        <v>3</v>
      </c>
      <c r="I162" s="127" t="s">
        <v>195</v>
      </c>
      <c r="J162" s="102"/>
      <c r="K162" s="102"/>
      <c r="L162" s="128"/>
      <c r="M162" s="1525" t="s">
        <v>4</v>
      </c>
      <c r="N162" s="1526"/>
    </row>
    <row r="163" spans="1:14" ht="19" thickBot="1">
      <c r="A163" s="103" t="s">
        <v>5</v>
      </c>
      <c r="B163" s="1473" t="s">
        <v>6</v>
      </c>
      <c r="C163" s="1473"/>
      <c r="D163" s="1473" t="s">
        <v>7</v>
      </c>
      <c r="E163" s="1473"/>
      <c r="F163" s="1978" t="s">
        <v>7</v>
      </c>
      <c r="G163" s="1978"/>
      <c r="H163" s="842" t="s">
        <v>58</v>
      </c>
      <c r="I163" s="797" t="s">
        <v>196</v>
      </c>
      <c r="J163" s="795" t="s">
        <v>8</v>
      </c>
      <c r="K163" s="795" t="s">
        <v>9</v>
      </c>
      <c r="L163" s="401" t="s">
        <v>10</v>
      </c>
      <c r="M163" s="1527" t="s">
        <v>145</v>
      </c>
      <c r="N163" s="1475"/>
    </row>
    <row r="164" spans="1:14" ht="24" thickBot="1">
      <c r="A164" s="88" t="s">
        <v>265</v>
      </c>
      <c r="B164" s="1702"/>
      <c r="C164" s="1703"/>
      <c r="D164" s="1704"/>
      <c r="E164" s="1705"/>
      <c r="F164" s="1704"/>
      <c r="G164" s="1705"/>
      <c r="H164" s="815"/>
      <c r="I164" s="304"/>
      <c r="J164" s="304"/>
      <c r="K164" s="304"/>
      <c r="L164" s="305"/>
      <c r="M164" s="1708"/>
      <c r="N164" s="1709"/>
    </row>
    <row r="165" spans="1:14" s="1161" customFormat="1" ht="17" thickBot="1">
      <c r="A165" s="110" t="s">
        <v>189</v>
      </c>
      <c r="B165" s="1647"/>
      <c r="C165" s="1989"/>
      <c r="D165" s="1567"/>
      <c r="E165" s="1457"/>
      <c r="F165" s="1567"/>
      <c r="G165" s="1586"/>
      <c r="H165" s="1160"/>
      <c r="I165" s="1148"/>
      <c r="J165" s="1148"/>
      <c r="K165" s="1148"/>
      <c r="L165" s="1148"/>
      <c r="M165" s="1617"/>
      <c r="N165" s="1486"/>
    </row>
    <row r="166" spans="1:14">
      <c r="A166" s="68" t="s">
        <v>29</v>
      </c>
      <c r="B166" s="1731">
        <f>MVWD!N290</f>
        <v>839</v>
      </c>
      <c r="C166" s="1732"/>
      <c r="D166" s="1767">
        <f>F166*325900</f>
        <v>11620779.250000002</v>
      </c>
      <c r="E166" s="1767"/>
      <c r="F166" s="1855">
        <f>0.0425*B166</f>
        <v>35.657500000000006</v>
      </c>
      <c r="G166" s="1732"/>
      <c r="H166" s="822">
        <f>F166*20</f>
        <v>713.15000000000009</v>
      </c>
      <c r="I166" s="310">
        <v>0</v>
      </c>
      <c r="J166" s="314">
        <v>53130.43</v>
      </c>
      <c r="K166" s="311">
        <v>81913.98</v>
      </c>
      <c r="L166" s="311">
        <f t="shared" ref="L166:L172" si="53">I166+J166+K166</f>
        <v>135044.41</v>
      </c>
      <c r="M166" s="1988">
        <f>IF(ISERROR(L166/(F166*721)),0,L166/(F166*721))</f>
        <v>5.25279505092709</v>
      </c>
      <c r="N166" s="1600"/>
    </row>
    <row r="167" spans="1:14">
      <c r="A167" s="68" t="s">
        <v>33</v>
      </c>
      <c r="B167" s="1421">
        <f>MVWD!N291</f>
        <v>68</v>
      </c>
      <c r="C167" s="1422"/>
      <c r="D167" s="1444">
        <f>F167*325900</f>
        <v>764561.4</v>
      </c>
      <c r="E167" s="1444"/>
      <c r="F167" s="1431">
        <f>B167*0.0345</f>
        <v>2.3460000000000001</v>
      </c>
      <c r="G167" s="1422"/>
      <c r="H167" s="806">
        <f>F167*14</f>
        <v>32.844000000000001</v>
      </c>
      <c r="I167" s="150">
        <f>0*B167</f>
        <v>0</v>
      </c>
      <c r="J167" s="172">
        <v>585</v>
      </c>
      <c r="K167" s="150">
        <v>5695.4</v>
      </c>
      <c r="L167" s="150">
        <f t="shared" si="53"/>
        <v>6280.4</v>
      </c>
      <c r="M167" s="1634">
        <f t="shared" ref="M167:M172" si="54">IF(ISERROR(L167/(F167*721)),0,L167/(F167*721))</f>
        <v>3.7129921618288511</v>
      </c>
      <c r="N167" s="1540"/>
    </row>
    <row r="168" spans="1:14">
      <c r="A168" s="68" t="s">
        <v>56</v>
      </c>
      <c r="B168" s="1421">
        <f>MVWD!N292</f>
        <v>0</v>
      </c>
      <c r="C168" s="1422"/>
      <c r="D168" s="1444">
        <f>F168*325851</f>
        <v>0</v>
      </c>
      <c r="E168" s="1444"/>
      <c r="F168" s="1431">
        <f>0.0044*B168</f>
        <v>0</v>
      </c>
      <c r="G168" s="1422"/>
      <c r="H168" s="806">
        <f>F168*5</f>
        <v>0</v>
      </c>
      <c r="I168" s="150">
        <f>0*B168</f>
        <v>0</v>
      </c>
      <c r="J168" s="172">
        <f>1*B168</f>
        <v>0</v>
      </c>
      <c r="K168" s="150">
        <f>B168*4</f>
        <v>0</v>
      </c>
      <c r="L168" s="150">
        <f t="shared" si="53"/>
        <v>0</v>
      </c>
      <c r="M168" s="1634">
        <f t="shared" si="54"/>
        <v>0</v>
      </c>
      <c r="N168" s="1540"/>
    </row>
    <row r="169" spans="1:14">
      <c r="A169" s="68" t="s">
        <v>52</v>
      </c>
      <c r="B169" s="1421">
        <f>MVWD!N293</f>
        <v>7</v>
      </c>
      <c r="C169" s="1422"/>
      <c r="D169" s="1444">
        <f>F169*325900</f>
        <v>741422.5</v>
      </c>
      <c r="E169" s="1444"/>
      <c r="F169" s="1467">
        <f>0.325*B169</f>
        <v>2.2749999999999999</v>
      </c>
      <c r="G169" s="1433"/>
      <c r="H169" s="813">
        <f>F169*10</f>
        <v>22.75</v>
      </c>
      <c r="I169" s="151">
        <v>0</v>
      </c>
      <c r="J169" s="174">
        <v>219.4</v>
      </c>
      <c r="K169" s="173">
        <f>B169*80</f>
        <v>560</v>
      </c>
      <c r="L169" s="173">
        <f t="shared" si="53"/>
        <v>779.4</v>
      </c>
      <c r="M169" s="1634">
        <f t="shared" si="54"/>
        <v>0.47516422551096615</v>
      </c>
      <c r="N169" s="1540"/>
    </row>
    <row r="170" spans="1:14" ht="12.75" customHeight="1">
      <c r="A170" s="254" t="s">
        <v>299</v>
      </c>
      <c r="B170" s="1421">
        <f>MVWD!N294</f>
        <v>43</v>
      </c>
      <c r="C170" s="1422"/>
      <c r="D170" s="1444">
        <f>F170*325900</f>
        <v>5232027.9309999999</v>
      </c>
      <c r="E170" s="1444"/>
      <c r="F170" s="1467">
        <f>(123493*0.00013)</f>
        <v>16.054089999999999</v>
      </c>
      <c r="G170" s="1433"/>
      <c r="H170" s="813">
        <f>F170*10</f>
        <v>160.54089999999999</v>
      </c>
      <c r="I170" s="151">
        <v>0</v>
      </c>
      <c r="J170" s="174">
        <v>0</v>
      </c>
      <c r="K170" s="173">
        <v>201306</v>
      </c>
      <c r="L170" s="173">
        <f>I170+J170+K170</f>
        <v>201306</v>
      </c>
      <c r="M170" s="1634">
        <f t="shared" si="54"/>
        <v>17.391448752009342</v>
      </c>
      <c r="N170" s="1540"/>
    </row>
    <row r="171" spans="1:14" ht="12.75" customHeight="1">
      <c r="A171" s="254" t="s">
        <v>214</v>
      </c>
      <c r="B171" s="1421">
        <f>MVWD!N295</f>
        <v>21</v>
      </c>
      <c r="C171" s="1422"/>
      <c r="D171" s="1444">
        <f>F171*325900</f>
        <v>13003.41</v>
      </c>
      <c r="E171" s="1444"/>
      <c r="F171" s="1876">
        <f>0.0019*B171</f>
        <v>3.9899999999999998E-2</v>
      </c>
      <c r="G171" s="1877"/>
      <c r="H171" s="833">
        <f>F171*5</f>
        <v>0.19949999999999998</v>
      </c>
      <c r="I171" s="151">
        <v>0</v>
      </c>
      <c r="J171" s="174">
        <f>0*B171</f>
        <v>0</v>
      </c>
      <c r="K171" s="173">
        <v>1564.16</v>
      </c>
      <c r="L171" s="173">
        <f>I171+J171+K171</f>
        <v>1564.16</v>
      </c>
      <c r="M171" s="1634">
        <f t="shared" si="54"/>
        <v>54.371712916132225</v>
      </c>
      <c r="N171" s="1540"/>
    </row>
    <row r="172" spans="1:14" ht="12.75" customHeight="1" thickBot="1">
      <c r="A172" s="258" t="s">
        <v>269</v>
      </c>
      <c r="B172" s="1421">
        <f>MVWD!N296</f>
        <v>0</v>
      </c>
      <c r="C172" s="1422"/>
      <c r="D172" s="1444">
        <f>F172*0.0095</f>
        <v>0</v>
      </c>
      <c r="E172" s="1444"/>
      <c r="F172" s="1467">
        <f>0.0019*B172</f>
        <v>0</v>
      </c>
      <c r="G172" s="1433"/>
      <c r="H172" s="813">
        <f>F172*10</f>
        <v>0</v>
      </c>
      <c r="I172" s="151">
        <v>0</v>
      </c>
      <c r="J172" s="174">
        <f>0*B172</f>
        <v>0</v>
      </c>
      <c r="K172" s="173">
        <f>B172*75</f>
        <v>0</v>
      </c>
      <c r="L172" s="173">
        <f t="shared" si="53"/>
        <v>0</v>
      </c>
      <c r="M172" s="1634">
        <f t="shared" si="54"/>
        <v>0</v>
      </c>
      <c r="N172" s="1540"/>
    </row>
    <row r="173" spans="1:14" s="1161" customFormat="1" ht="17" thickBot="1">
      <c r="A173" s="110" t="s">
        <v>190</v>
      </c>
      <c r="B173" s="1456"/>
      <c r="C173" s="1586"/>
      <c r="D173" s="1457"/>
      <c r="E173" s="1457"/>
      <c r="F173" s="1567"/>
      <c r="G173" s="1586"/>
      <c r="H173" s="1141"/>
      <c r="I173" s="194"/>
      <c r="J173" s="195"/>
      <c r="K173" s="194"/>
      <c r="L173" s="194"/>
      <c r="M173" s="1541"/>
      <c r="N173" s="1542"/>
    </row>
    <row r="174" spans="1:14">
      <c r="A174" s="254" t="s">
        <v>205</v>
      </c>
      <c r="B174" s="1421">
        <f>MVWD!N298</f>
        <v>1154</v>
      </c>
      <c r="C174" s="1422"/>
      <c r="D174" s="1444">
        <f>F174*325900</f>
        <v>1654789.84</v>
      </c>
      <c r="E174" s="1444"/>
      <c r="F174" s="1467">
        <f>B174*0.0044</f>
        <v>5.0776000000000003</v>
      </c>
      <c r="G174" s="1433"/>
      <c r="H174" s="813">
        <f>F174*5</f>
        <v>25.388000000000002</v>
      </c>
      <c r="I174" s="151">
        <v>0</v>
      </c>
      <c r="J174" s="174">
        <f>(B174*1.6)</f>
        <v>1846.4</v>
      </c>
      <c r="K174" s="173">
        <f>(B174*2)</f>
        <v>2308</v>
      </c>
      <c r="L174" s="173">
        <f>I174+J174+K174</f>
        <v>4154.3999999999996</v>
      </c>
      <c r="M174" s="1634">
        <f>IF(ISERROR(L174/(F174*721)),0,L174/(F174*721))</f>
        <v>1.1347875425545326</v>
      </c>
      <c r="N174" s="1540"/>
    </row>
    <row r="175" spans="1:14" s="121" customFormat="1">
      <c r="A175" s="254" t="s">
        <v>308</v>
      </c>
      <c r="B175" s="1435">
        <f>MVWD!N299</f>
        <v>81</v>
      </c>
      <c r="C175" s="1433"/>
      <c r="D175" s="1848">
        <f>F175*325900</f>
        <v>14937822.039999999</v>
      </c>
      <c r="E175" s="1848"/>
      <c r="F175" s="1467">
        <v>45.835599999999999</v>
      </c>
      <c r="G175" s="1433"/>
      <c r="H175" s="791">
        <v>417.678</v>
      </c>
      <c r="I175" s="173">
        <v>37312.83</v>
      </c>
      <c r="J175" s="174">
        <v>0</v>
      </c>
      <c r="K175" s="173">
        <v>37312.83</v>
      </c>
      <c r="L175" s="173">
        <f>I175+J175+K175</f>
        <v>74625.66</v>
      </c>
      <c r="M175" s="1634">
        <f>IF(ISERROR(L175/(F175*721)),0,L175/(F175*721))</f>
        <v>2.2581355068792024</v>
      </c>
      <c r="N175" s="1540"/>
    </row>
    <row r="176" spans="1:14">
      <c r="A176" s="254" t="s">
        <v>300</v>
      </c>
      <c r="B176" s="1421">
        <f>MVWD!N300</f>
        <v>1</v>
      </c>
      <c r="C176" s="1422"/>
      <c r="D176" s="1432">
        <f>F176*325900</f>
        <v>42366.999999999993</v>
      </c>
      <c r="E176" s="1432"/>
      <c r="F176" s="1876">
        <f>(1000*0.00013)</f>
        <v>0.12999999999999998</v>
      </c>
      <c r="G176" s="1877"/>
      <c r="H176" s="791">
        <f>F176*10</f>
        <v>1.2999999999999998</v>
      </c>
      <c r="I176" s="173">
        <v>300</v>
      </c>
      <c r="J176" s="174">
        <v>2950</v>
      </c>
      <c r="K176" s="173">
        <v>0</v>
      </c>
      <c r="L176" s="173">
        <f>I176+J176+K176</f>
        <v>3250</v>
      </c>
      <c r="M176" s="1634">
        <f>IF(ISERROR(L176/(F176*721)),0,L176/(F176*721))</f>
        <v>34.674063800277395</v>
      </c>
      <c r="N176" s="1540"/>
    </row>
    <row r="177" spans="1:18" ht="14" thickBot="1">
      <c r="A177" s="254" t="s">
        <v>266</v>
      </c>
      <c r="B177" s="1421">
        <f>MVWD!N301</f>
        <v>0</v>
      </c>
      <c r="C177" s="1422"/>
      <c r="D177" s="1444">
        <v>0</v>
      </c>
      <c r="E177" s="1444"/>
      <c r="F177" s="1431">
        <v>0</v>
      </c>
      <c r="G177" s="1422"/>
      <c r="H177" s="791">
        <f>F177*10</f>
        <v>0</v>
      </c>
      <c r="I177" s="151">
        <v>0</v>
      </c>
      <c r="J177" s="174">
        <v>0</v>
      </c>
      <c r="K177" s="173">
        <v>0</v>
      </c>
      <c r="L177" s="151">
        <f>J177+K177</f>
        <v>0</v>
      </c>
      <c r="M177" s="1634">
        <f>IF(ISERROR(L177/(F177*721)),0,L177/(F177*721))</f>
        <v>0</v>
      </c>
      <c r="N177" s="1540"/>
    </row>
    <row r="178" spans="1:18" ht="14" thickBot="1">
      <c r="A178" s="256" t="s">
        <v>60</v>
      </c>
      <c r="B178" s="1645">
        <f>SUM(B166:B177)</f>
        <v>2214</v>
      </c>
      <c r="C178" s="1646"/>
      <c r="D178" s="1986">
        <f>SUM(D166:E177)</f>
        <v>35006773.370999999</v>
      </c>
      <c r="E178" s="1986"/>
      <c r="F178" s="1987">
        <f>SUM(F166:G177)</f>
        <v>107.41569</v>
      </c>
      <c r="G178" s="1646"/>
      <c r="H178" s="840">
        <f>SUM(H166:H177)</f>
        <v>1373.8504</v>
      </c>
      <c r="I178" s="330">
        <f>SUM(I166:I177)</f>
        <v>37612.83</v>
      </c>
      <c r="J178" s="329">
        <f>SUM(J166:J177)</f>
        <v>58731.23</v>
      </c>
      <c r="K178" s="330">
        <f>SUM(K166:K177)</f>
        <v>330660.37</v>
      </c>
      <c r="L178" s="330">
        <f>SUM(L166:L177)</f>
        <v>427004.42999999993</v>
      </c>
      <c r="M178" s="1440"/>
      <c r="N178" s="1730"/>
    </row>
    <row r="179" spans="1:18" s="1161" customFormat="1" ht="17" thickBot="1">
      <c r="A179" s="110" t="s">
        <v>194</v>
      </c>
      <c r="B179" s="1456"/>
      <c r="C179" s="1586"/>
      <c r="D179" s="1457"/>
      <c r="E179" s="1457"/>
      <c r="F179" s="1567"/>
      <c r="G179" s="1586"/>
      <c r="H179" s="1141"/>
      <c r="I179" s="184"/>
      <c r="J179" s="997"/>
      <c r="K179" s="184"/>
      <c r="L179" s="184"/>
      <c r="M179" s="1541"/>
      <c r="N179" s="1542"/>
    </row>
    <row r="180" spans="1:18">
      <c r="A180" s="68" t="s">
        <v>29</v>
      </c>
      <c r="B180" s="1421">
        <f>MVWD!N305</f>
        <v>497</v>
      </c>
      <c r="C180" s="1422"/>
      <c r="D180" s="1444">
        <f>F180*325900</f>
        <v>6883822.7500000009</v>
      </c>
      <c r="E180" s="1444"/>
      <c r="F180" s="1431">
        <f>0.0425*B180</f>
        <v>21.122500000000002</v>
      </c>
      <c r="G180" s="1422"/>
      <c r="H180" s="806">
        <f>F180*20</f>
        <v>422.45000000000005</v>
      </c>
      <c r="I180" s="151">
        <v>0</v>
      </c>
      <c r="J180" s="172">
        <v>22550</v>
      </c>
      <c r="K180" s="150">
        <v>61370</v>
      </c>
      <c r="L180" s="150">
        <f t="shared" ref="L180:L191" si="55">SUM(I180:K180)</f>
        <v>83920</v>
      </c>
      <c r="M180" s="1634">
        <f>IF(ISERROR(L180/(F180*721)),0,L180/(F180*721))</f>
        <v>5.5104224104519419</v>
      </c>
      <c r="N180" s="1540"/>
    </row>
    <row r="181" spans="1:18">
      <c r="A181" s="68" t="s">
        <v>51</v>
      </c>
      <c r="B181" s="1421">
        <f>MVWD!N306</f>
        <v>17</v>
      </c>
      <c r="C181" s="1422"/>
      <c r="D181" s="1444">
        <f>F181*325900</f>
        <v>679794.81</v>
      </c>
      <c r="E181" s="1444"/>
      <c r="F181" s="1431">
        <f>0.1227*B181</f>
        <v>2.0859000000000001</v>
      </c>
      <c r="G181" s="1422"/>
      <c r="H181" s="806">
        <f>F181*20</f>
        <v>41.718000000000004</v>
      </c>
      <c r="I181" s="151">
        <v>0</v>
      </c>
      <c r="J181" s="172">
        <v>490.82</v>
      </c>
      <c r="K181" s="150">
        <v>3400</v>
      </c>
      <c r="L181" s="150">
        <f t="shared" si="55"/>
        <v>3890.82</v>
      </c>
      <c r="M181" s="1634">
        <f t="shared" ref="M181:M191" si="56">IF(ISERROR(L181/(F181*721)),0,L181/(F181*721))</f>
        <v>2.5870950844315699</v>
      </c>
      <c r="N181" s="1540"/>
    </row>
    <row r="182" spans="1:18">
      <c r="A182" s="2" t="s">
        <v>204</v>
      </c>
      <c r="B182" s="1421">
        <f>MVWD!N307</f>
        <v>0</v>
      </c>
      <c r="C182" s="1422"/>
      <c r="D182" s="1444">
        <f>F182*325851</f>
        <v>0</v>
      </c>
      <c r="E182" s="1444"/>
      <c r="F182" s="1431">
        <f>0.644*B182</f>
        <v>0</v>
      </c>
      <c r="G182" s="1422"/>
      <c r="H182" s="806">
        <f>F182*5</f>
        <v>0</v>
      </c>
      <c r="I182" s="151">
        <v>0</v>
      </c>
      <c r="J182" s="172">
        <v>0</v>
      </c>
      <c r="K182" s="150">
        <v>0</v>
      </c>
      <c r="L182" s="150">
        <f t="shared" si="55"/>
        <v>0</v>
      </c>
      <c r="M182" s="1634">
        <f t="shared" si="56"/>
        <v>0</v>
      </c>
      <c r="N182" s="1540"/>
    </row>
    <row r="183" spans="1:18">
      <c r="A183" s="254" t="s">
        <v>30</v>
      </c>
      <c r="B183" s="1421">
        <f>MVWD!N308</f>
        <v>8</v>
      </c>
      <c r="C183" s="1422"/>
      <c r="D183" s="1444">
        <f t="shared" ref="D183:D191" si="57">F183*325900</f>
        <v>847340</v>
      </c>
      <c r="E183" s="1444"/>
      <c r="F183" s="1431">
        <f>0.325*B183</f>
        <v>2.6</v>
      </c>
      <c r="G183" s="1422"/>
      <c r="H183" s="806">
        <f>F183*10</f>
        <v>26</v>
      </c>
      <c r="I183" s="151">
        <v>0</v>
      </c>
      <c r="J183" s="170">
        <v>504</v>
      </c>
      <c r="K183" s="151">
        <v>3080</v>
      </c>
      <c r="L183" s="150">
        <f t="shared" si="55"/>
        <v>3584</v>
      </c>
      <c r="M183" s="1634">
        <f t="shared" si="56"/>
        <v>1.9118745332337563</v>
      </c>
      <c r="N183" s="1540"/>
    </row>
    <row r="184" spans="1:18">
      <c r="A184" s="69" t="s">
        <v>56</v>
      </c>
      <c r="B184" s="1421">
        <f>MVWD!N309</f>
        <v>0</v>
      </c>
      <c r="C184" s="1422"/>
      <c r="D184" s="1444">
        <f t="shared" si="57"/>
        <v>0</v>
      </c>
      <c r="E184" s="1444"/>
      <c r="F184" s="1431">
        <f>0.0044*B184</f>
        <v>0</v>
      </c>
      <c r="G184" s="1422"/>
      <c r="H184" s="806">
        <f>F184*5</f>
        <v>0</v>
      </c>
      <c r="I184" s="151">
        <v>0</v>
      </c>
      <c r="J184" s="172">
        <v>0</v>
      </c>
      <c r="K184" s="150">
        <v>0</v>
      </c>
      <c r="L184" s="150">
        <f t="shared" si="55"/>
        <v>0</v>
      </c>
      <c r="M184" s="1634">
        <f t="shared" si="56"/>
        <v>0</v>
      </c>
      <c r="N184" s="1540"/>
    </row>
    <row r="185" spans="1:18" ht="12.75" customHeight="1">
      <c r="A185" s="254" t="s">
        <v>122</v>
      </c>
      <c r="B185" s="1421">
        <f>MVWD!N310</f>
        <v>0</v>
      </c>
      <c r="C185" s="1422"/>
      <c r="D185" s="1444">
        <f t="shared" si="57"/>
        <v>0</v>
      </c>
      <c r="E185" s="1444"/>
      <c r="F185" s="1431">
        <f>0.018*B185</f>
        <v>0</v>
      </c>
      <c r="G185" s="1422"/>
      <c r="H185" s="806">
        <f>F185*10</f>
        <v>0</v>
      </c>
      <c r="I185" s="151">
        <v>0</v>
      </c>
      <c r="J185" s="172">
        <v>0</v>
      </c>
      <c r="K185" s="150">
        <v>0</v>
      </c>
      <c r="L185" s="150">
        <f t="shared" si="55"/>
        <v>0</v>
      </c>
      <c r="M185" s="1634">
        <f t="shared" si="56"/>
        <v>0</v>
      </c>
      <c r="N185" s="1540"/>
    </row>
    <row r="186" spans="1:18">
      <c r="A186" s="257" t="s">
        <v>184</v>
      </c>
      <c r="B186" s="1421">
        <f>MVWD!N311</f>
        <v>0</v>
      </c>
      <c r="C186" s="1422"/>
      <c r="D186" s="1444">
        <f t="shared" si="57"/>
        <v>0</v>
      </c>
      <c r="E186" s="1444"/>
      <c r="F186" s="1431">
        <f>0.0129*B186</f>
        <v>0</v>
      </c>
      <c r="G186" s="1422"/>
      <c r="H186" s="806">
        <f>F186*10</f>
        <v>0</v>
      </c>
      <c r="I186" s="151">
        <v>0</v>
      </c>
      <c r="J186" s="172">
        <v>0</v>
      </c>
      <c r="K186" s="150">
        <v>0</v>
      </c>
      <c r="L186" s="150">
        <f t="shared" si="55"/>
        <v>0</v>
      </c>
      <c r="M186" s="1634">
        <f t="shared" si="56"/>
        <v>0</v>
      </c>
      <c r="N186" s="1540"/>
    </row>
    <row r="187" spans="1:18" s="57" customFormat="1">
      <c r="A187" s="258" t="s">
        <v>187</v>
      </c>
      <c r="B187" s="1421">
        <v>0</v>
      </c>
      <c r="C187" s="1422"/>
      <c r="D187" s="1445">
        <f t="shared" si="57"/>
        <v>0</v>
      </c>
      <c r="E187" s="1445"/>
      <c r="F187" s="1431">
        <f>0.023*B187</f>
        <v>0</v>
      </c>
      <c r="G187" s="1422"/>
      <c r="H187" s="808">
        <f>F187*5</f>
        <v>0</v>
      </c>
      <c r="I187" s="151">
        <v>0</v>
      </c>
      <c r="J187" s="174">
        <v>0</v>
      </c>
      <c r="K187" s="173">
        <v>0</v>
      </c>
      <c r="L187" s="151">
        <f t="shared" si="55"/>
        <v>0</v>
      </c>
      <c r="M187" s="1634">
        <f t="shared" si="56"/>
        <v>0</v>
      </c>
      <c r="N187" s="1540"/>
      <c r="Q187" s="66"/>
    </row>
    <row r="188" spans="1:18" s="57" customFormat="1">
      <c r="A188" s="258" t="s">
        <v>188</v>
      </c>
      <c r="B188" s="1421">
        <f>MVWD!N313</f>
        <v>0</v>
      </c>
      <c r="C188" s="1422"/>
      <c r="D188" s="1445">
        <f t="shared" si="57"/>
        <v>0</v>
      </c>
      <c r="E188" s="1445"/>
      <c r="F188" s="1736">
        <f>0.154*B188</f>
        <v>0</v>
      </c>
      <c r="G188" s="1446"/>
      <c r="H188" s="808">
        <f>F188*10</f>
        <v>0</v>
      </c>
      <c r="I188" s="151">
        <v>0</v>
      </c>
      <c r="J188" s="170">
        <v>0</v>
      </c>
      <c r="K188" s="151">
        <v>0</v>
      </c>
      <c r="L188" s="151">
        <f t="shared" si="55"/>
        <v>0</v>
      </c>
      <c r="M188" s="1634">
        <f t="shared" si="56"/>
        <v>0</v>
      </c>
      <c r="N188" s="1540"/>
    </row>
    <row r="189" spans="1:18" s="57" customFormat="1">
      <c r="A189" s="258" t="s">
        <v>285</v>
      </c>
      <c r="B189" s="1421">
        <f>MVWD!N314</f>
        <v>11</v>
      </c>
      <c r="C189" s="1422"/>
      <c r="D189" s="1432">
        <f t="shared" si="57"/>
        <v>10428128.645999998</v>
      </c>
      <c r="E189" s="1432"/>
      <c r="F189" s="1467">
        <f>(246138*0.00013)</f>
        <v>31.997939999999996</v>
      </c>
      <c r="G189" s="1433"/>
      <c r="H189" s="808">
        <f>F189*10</f>
        <v>319.97939999999994</v>
      </c>
      <c r="I189" s="151">
        <v>0</v>
      </c>
      <c r="J189" s="174">
        <v>137463</v>
      </c>
      <c r="K189" s="173">
        <v>448906</v>
      </c>
      <c r="L189" s="151">
        <f t="shared" si="55"/>
        <v>586369</v>
      </c>
      <c r="M189" s="1634">
        <f t="shared" si="56"/>
        <v>25.416381325178879</v>
      </c>
      <c r="N189" s="1540"/>
    </row>
    <row r="190" spans="1:18" s="57" customFormat="1">
      <c r="A190" s="258" t="s">
        <v>269</v>
      </c>
      <c r="B190" s="1421">
        <f>MVWD!N315</f>
        <v>0</v>
      </c>
      <c r="C190" s="1422"/>
      <c r="D190" s="1445">
        <f t="shared" si="57"/>
        <v>0</v>
      </c>
      <c r="E190" s="1445"/>
      <c r="F190" s="1736">
        <f>B190*0.0129</f>
        <v>0</v>
      </c>
      <c r="G190" s="1446"/>
      <c r="H190" s="808">
        <v>0</v>
      </c>
      <c r="I190" s="151">
        <v>0</v>
      </c>
      <c r="J190" s="170">
        <v>0</v>
      </c>
      <c r="K190" s="151">
        <v>0</v>
      </c>
      <c r="L190" s="151">
        <f t="shared" si="55"/>
        <v>0</v>
      </c>
      <c r="M190" s="1634">
        <f t="shared" si="56"/>
        <v>0</v>
      </c>
      <c r="N190" s="1540"/>
      <c r="Q190" s="66"/>
      <c r="R190" s="66"/>
    </row>
    <row r="191" spans="1:18" s="57" customFormat="1" ht="14" thickBot="1">
      <c r="A191" s="258" t="s">
        <v>268</v>
      </c>
      <c r="B191" s="1429">
        <v>2259</v>
      </c>
      <c r="C191" s="1430"/>
      <c r="D191" s="1725">
        <f t="shared" si="57"/>
        <v>3092074.02</v>
      </c>
      <c r="E191" s="1725"/>
      <c r="F191" s="1737">
        <f>(B191*0.0084)/2</f>
        <v>9.4878</v>
      </c>
      <c r="G191" s="1726"/>
      <c r="H191" s="804">
        <f>F191*10</f>
        <v>94.878</v>
      </c>
      <c r="I191" s="219">
        <v>0</v>
      </c>
      <c r="J191" s="306">
        <v>4650</v>
      </c>
      <c r="K191" s="219">
        <v>4650</v>
      </c>
      <c r="L191" s="219">
        <f t="shared" si="55"/>
        <v>9300</v>
      </c>
      <c r="M191" s="1638">
        <f t="shared" si="56"/>
        <v>1.3595092364618973</v>
      </c>
      <c r="N191" s="1562"/>
    </row>
    <row r="192" spans="1:18" s="1161" customFormat="1" ht="17" thickBot="1">
      <c r="A192" s="110" t="s">
        <v>192</v>
      </c>
      <c r="B192" s="1982"/>
      <c r="C192" s="1983"/>
      <c r="D192" s="1983"/>
      <c r="E192" s="1983"/>
      <c r="F192" s="1983"/>
      <c r="G192" s="1983"/>
      <c r="H192" s="683"/>
      <c r="I192" s="1237"/>
      <c r="J192" s="1237"/>
      <c r="K192" s="1237"/>
      <c r="L192" s="1237"/>
      <c r="M192" s="1984"/>
      <c r="N192" s="1985"/>
    </row>
    <row r="193" spans="1:14" ht="14" thickBot="1">
      <c r="A193" s="254" t="s">
        <v>165</v>
      </c>
      <c r="B193" s="1731">
        <f>MVWD!N318</f>
        <v>100</v>
      </c>
      <c r="C193" s="1732"/>
      <c r="D193" s="1855">
        <f>F193*325900</f>
        <v>143396</v>
      </c>
      <c r="E193" s="1732"/>
      <c r="F193" s="1899">
        <f>0.0044*B193</f>
        <v>0.44</v>
      </c>
      <c r="G193" s="1885"/>
      <c r="H193" s="420">
        <f>F193*5</f>
        <v>2.2000000000000002</v>
      </c>
      <c r="I193" s="315">
        <v>0</v>
      </c>
      <c r="J193" s="316">
        <f>100*1.6</f>
        <v>160</v>
      </c>
      <c r="K193" s="316">
        <f>(B193*2)</f>
        <v>200</v>
      </c>
      <c r="L193" s="316">
        <f>SUM(I193:K193)</f>
        <v>360</v>
      </c>
      <c r="M193" s="1634">
        <f>IF(ISERROR(L193/(F193*721)),0,L193/(F193*721))</f>
        <v>1.1347875425545328</v>
      </c>
      <c r="N193" s="1540"/>
    </row>
    <row r="194" spans="1:14" ht="14" thickBot="1">
      <c r="A194" s="256" t="s">
        <v>60</v>
      </c>
      <c r="B194" s="1438">
        <f>SUM(B180:B193)</f>
        <v>2892</v>
      </c>
      <c r="C194" s="1439"/>
      <c r="D194" s="1441">
        <f>SUM(D180:E193)</f>
        <v>22074556.226</v>
      </c>
      <c r="E194" s="1439"/>
      <c r="F194" s="1441">
        <f>SUM(F180:G193)</f>
        <v>67.734139999999996</v>
      </c>
      <c r="G194" s="1439"/>
      <c r="H194" s="56">
        <f>SUM(H180:H193)</f>
        <v>907.22540000000015</v>
      </c>
      <c r="I194" s="160">
        <f>SUM(I180:I193)</f>
        <v>0</v>
      </c>
      <c r="J194" s="160">
        <f>SUM(J180:J193)</f>
        <v>165817.82</v>
      </c>
      <c r="K194" s="160">
        <f>SUM(K180:K193)</f>
        <v>521606</v>
      </c>
      <c r="L194" s="160">
        <f>SUM(L180:L193)</f>
        <v>687423.82000000007</v>
      </c>
      <c r="M194" s="1979"/>
      <c r="N194" s="1443"/>
    </row>
    <row r="195" spans="1:14" s="1161" customFormat="1" ht="17" thickBot="1">
      <c r="A195" s="1182" t="s">
        <v>17</v>
      </c>
      <c r="B195" s="1980">
        <f>SUM(,B178,B194)</f>
        <v>5106</v>
      </c>
      <c r="C195" s="1663"/>
      <c r="D195" s="1416">
        <f>SUM(,D178,D194)</f>
        <v>57081329.597000003</v>
      </c>
      <c r="E195" s="1612"/>
      <c r="F195" s="1416">
        <f>SUM(,F178,F194)</f>
        <v>175.14983000000001</v>
      </c>
      <c r="G195" s="1612"/>
      <c r="H195" s="1179">
        <f>SUM(H178,H194)</f>
        <v>2281.0758000000001</v>
      </c>
      <c r="I195" s="1234">
        <f>SUM(,I178,I194)</f>
        <v>37612.83</v>
      </c>
      <c r="J195" s="1235">
        <f>SUM(,J178,J194)</f>
        <v>224549.05000000002</v>
      </c>
      <c r="K195" s="1234">
        <f>SUM(,K178,K194)</f>
        <v>852266.37</v>
      </c>
      <c r="L195" s="1236">
        <f>SUM(,L178,L194)</f>
        <v>1114428.25</v>
      </c>
      <c r="M195" s="1417"/>
      <c r="N195" s="1418"/>
    </row>
    <row r="196" spans="1:14">
      <c r="A196" s="50"/>
      <c r="B196" s="20"/>
      <c r="C196" s="20"/>
      <c r="D196" s="20"/>
      <c r="E196" s="20"/>
      <c r="F196" s="390"/>
      <c r="G196" s="390"/>
      <c r="H196" s="390"/>
      <c r="I196" s="21"/>
      <c r="J196" s="21"/>
      <c r="K196" s="21"/>
      <c r="L196" s="21"/>
      <c r="M196" s="270"/>
      <c r="N196" s="270"/>
    </row>
    <row r="197" spans="1:14" ht="15">
      <c r="A197" s="9" t="s">
        <v>18</v>
      </c>
      <c r="B197" s="1695" t="s">
        <v>59</v>
      </c>
      <c r="C197" s="1695"/>
      <c r="D197" s="1695"/>
      <c r="E197" s="1695"/>
      <c r="F197" s="390"/>
      <c r="G197" s="390"/>
      <c r="H197" s="390"/>
      <c r="I197" s="21"/>
      <c r="J197" s="21"/>
      <c r="K197" s="21"/>
      <c r="L197" s="21"/>
      <c r="M197" s="270"/>
      <c r="N197" s="270"/>
    </row>
    <row r="198" spans="1:14">
      <c r="B198" s="1420" t="s">
        <v>19</v>
      </c>
      <c r="C198" s="1420"/>
      <c r="D198" s="1420"/>
      <c r="E198" s="1420"/>
      <c r="F198" s="390"/>
      <c r="G198" s="390"/>
      <c r="H198" s="390"/>
      <c r="I198" s="21"/>
      <c r="J198" s="21"/>
      <c r="K198" s="21"/>
      <c r="L198" s="21"/>
      <c r="M198" s="270"/>
      <c r="N198" s="270"/>
    </row>
    <row r="199" spans="1:14" ht="14" thickBot="1">
      <c r="B199" s="729"/>
      <c r="C199" s="729"/>
      <c r="D199" s="729"/>
      <c r="E199" s="729"/>
      <c r="F199" s="575"/>
      <c r="G199" s="575"/>
      <c r="H199" s="575"/>
      <c r="I199" s="21"/>
      <c r="J199" s="21"/>
      <c r="K199" s="21"/>
      <c r="L199" s="21"/>
      <c r="M199" s="568"/>
      <c r="N199" s="568"/>
    </row>
    <row r="200" spans="1:14" s="363" customFormat="1" ht="16">
      <c r="A200" s="98"/>
      <c r="B200" s="99"/>
      <c r="C200" s="99"/>
      <c r="D200" s="99"/>
      <c r="E200" s="99"/>
      <c r="F200" s="736"/>
      <c r="G200" s="736"/>
      <c r="H200" s="736"/>
      <c r="I200" s="1468" t="s">
        <v>0</v>
      </c>
      <c r="J200" s="1468"/>
      <c r="K200" s="1468"/>
      <c r="L200" s="1468"/>
      <c r="M200" s="99"/>
      <c r="N200" s="101"/>
    </row>
    <row r="201" spans="1:14" ht="16">
      <c r="A201" s="97"/>
      <c r="B201" s="1469" t="s">
        <v>1</v>
      </c>
      <c r="C201" s="1469"/>
      <c r="D201" s="1469" t="s">
        <v>2</v>
      </c>
      <c r="E201" s="1469"/>
      <c r="F201" s="1977" t="s">
        <v>3</v>
      </c>
      <c r="G201" s="1977"/>
      <c r="H201" s="841" t="s">
        <v>3</v>
      </c>
      <c r="I201" s="127" t="s">
        <v>197</v>
      </c>
      <c r="J201" s="102"/>
      <c r="K201" s="102"/>
      <c r="L201" s="128"/>
      <c r="M201" s="1469" t="s">
        <v>4</v>
      </c>
      <c r="N201" s="1526"/>
    </row>
    <row r="202" spans="1:14" ht="19" thickBot="1">
      <c r="A202" s="103" t="s">
        <v>5</v>
      </c>
      <c r="B202" s="1473" t="s">
        <v>6</v>
      </c>
      <c r="C202" s="1473"/>
      <c r="D202" s="1473" t="s">
        <v>7</v>
      </c>
      <c r="E202" s="1473"/>
      <c r="F202" s="1978" t="s">
        <v>7</v>
      </c>
      <c r="G202" s="1978"/>
      <c r="H202" s="842" t="s">
        <v>58</v>
      </c>
      <c r="I202" s="797" t="s">
        <v>196</v>
      </c>
      <c r="J202" s="795" t="s">
        <v>8</v>
      </c>
      <c r="K202" s="795" t="s">
        <v>9</v>
      </c>
      <c r="L202" s="401" t="s">
        <v>10</v>
      </c>
      <c r="M202" s="1473" t="s">
        <v>145</v>
      </c>
      <c r="N202" s="1475"/>
    </row>
    <row r="203" spans="1:14" ht="24" thickBot="1">
      <c r="A203" s="88" t="s">
        <v>232</v>
      </c>
      <c r="B203" s="1764"/>
      <c r="C203" s="1477"/>
      <c r="D203" s="1478"/>
      <c r="E203" s="1479"/>
      <c r="F203" s="1478"/>
      <c r="G203" s="1479"/>
      <c r="H203" s="818"/>
      <c r="I203" s="213"/>
      <c r="J203" s="213"/>
      <c r="K203" s="213"/>
      <c r="L203" s="214"/>
      <c r="M203" s="1482"/>
      <c r="N203" s="1483"/>
    </row>
    <row r="204" spans="1:14" s="1161" customFormat="1" ht="15.75" customHeight="1" thickBot="1">
      <c r="A204" s="108" t="str">
        <f>'Ontario Total'!A204</f>
        <v>SoCal Water$mart Residential Rebates</v>
      </c>
      <c r="B204" s="1567"/>
      <c r="C204" s="1586"/>
      <c r="D204" s="1567"/>
      <c r="E204" s="1586"/>
      <c r="F204" s="1567"/>
      <c r="G204" s="1586"/>
      <c r="H204" s="1142"/>
      <c r="I204" s="179"/>
      <c r="J204" s="179"/>
      <c r="K204" s="179"/>
      <c r="L204" s="180"/>
      <c r="M204" s="1617"/>
      <c r="N204" s="1486"/>
    </row>
    <row r="205" spans="1:14">
      <c r="A205" s="32" t="str">
        <f>'Ontario Total'!A205</f>
        <v>High Efficiency Toilets (HET)</v>
      </c>
      <c r="B205" s="1431">
        <f>MVWD!N251</f>
        <v>66</v>
      </c>
      <c r="C205" s="1422"/>
      <c r="D205" s="1431">
        <f>F205*325900</f>
        <v>914149.5</v>
      </c>
      <c r="E205" s="1422"/>
      <c r="F205" s="1431">
        <f>0.0425*B205</f>
        <v>2.8050000000000002</v>
      </c>
      <c r="G205" s="1422"/>
      <c r="H205" s="805">
        <f>F205*20</f>
        <v>56.1</v>
      </c>
      <c r="I205" s="151">
        <v>0</v>
      </c>
      <c r="J205" s="150">
        <f>50*B205</f>
        <v>3300</v>
      </c>
      <c r="K205" s="150">
        <f>B205*50</f>
        <v>3300</v>
      </c>
      <c r="L205" s="172">
        <f t="shared" ref="L205:L210" si="58">I205+J205+K205</f>
        <v>6600</v>
      </c>
      <c r="M205" s="1539">
        <f t="shared" ref="M205:M210" si="59">IF(ISERROR(L205/(F205*752)),0,L205/(F205*752))</f>
        <v>3.1289111389236544</v>
      </c>
      <c r="N205" s="1540"/>
    </row>
    <row r="206" spans="1:14">
      <c r="A206" s="32" t="str">
        <f>'Ontario Total'!A206</f>
        <v>High Efficiency Clothes Washers (HECW)</v>
      </c>
      <c r="B206" s="1431">
        <f>MVWD!N252</f>
        <v>51</v>
      </c>
      <c r="C206" s="1422"/>
      <c r="D206" s="1431">
        <f>F206*325900</f>
        <v>458736.83999999997</v>
      </c>
      <c r="E206" s="1422"/>
      <c r="F206" s="1431">
        <f>0.0276*B206</f>
        <v>1.4076</v>
      </c>
      <c r="G206" s="1422"/>
      <c r="H206" s="805">
        <f>F206*15</f>
        <v>21.114000000000001</v>
      </c>
      <c r="I206" s="150">
        <f>0*B206</f>
        <v>0</v>
      </c>
      <c r="J206" s="150">
        <f>B206*65</f>
        <v>3315</v>
      </c>
      <c r="K206" s="150">
        <f>B206*85</f>
        <v>4335</v>
      </c>
      <c r="L206" s="172">
        <f t="shared" si="58"/>
        <v>7650</v>
      </c>
      <c r="M206" s="1539">
        <f t="shared" si="59"/>
        <v>7.227104532839963</v>
      </c>
      <c r="N206" s="1540"/>
    </row>
    <row r="207" spans="1:14">
      <c r="A207" s="32" t="str">
        <f>'Ontario Total'!A207</f>
        <v>Rotating Nozzles for Pop-up Spray Heads</v>
      </c>
      <c r="B207" s="1431">
        <f>MVWD!N253</f>
        <v>15</v>
      </c>
      <c r="C207" s="1422"/>
      <c r="D207" s="1431">
        <f>F207*325851</f>
        <v>19551.059999999998</v>
      </c>
      <c r="E207" s="1422"/>
      <c r="F207" s="1871">
        <f>0.004*B207</f>
        <v>0.06</v>
      </c>
      <c r="G207" s="1450"/>
      <c r="H207" s="834">
        <f>F207*5</f>
        <v>0.3</v>
      </c>
      <c r="I207" s="150">
        <f>0*B207</f>
        <v>0</v>
      </c>
      <c r="J207" s="150">
        <f>1*B207</f>
        <v>15</v>
      </c>
      <c r="K207" s="150">
        <f>B207*4</f>
        <v>60</v>
      </c>
      <c r="L207" s="172">
        <f t="shared" si="58"/>
        <v>75</v>
      </c>
      <c r="M207" s="1539">
        <f t="shared" si="59"/>
        <v>1.6622340425531916</v>
      </c>
      <c r="N207" s="1540"/>
    </row>
    <row r="208" spans="1:14">
      <c r="A208" s="32" t="str">
        <f>'Ontario Total'!A208</f>
        <v>Weather based Irrigation Controllers (WBIC)</v>
      </c>
      <c r="B208" s="1431">
        <f>MVWD!N254</f>
        <v>3</v>
      </c>
      <c r="C208" s="1422"/>
      <c r="D208" s="1431">
        <f>F208*325900</f>
        <v>317752.5</v>
      </c>
      <c r="E208" s="1422"/>
      <c r="F208" s="1467">
        <f>0.325*B208</f>
        <v>0.97500000000000009</v>
      </c>
      <c r="G208" s="1433"/>
      <c r="H208" s="812">
        <f>F208*10</f>
        <v>9.75</v>
      </c>
      <c r="I208" s="151">
        <v>0</v>
      </c>
      <c r="J208" s="173">
        <f>70*B208</f>
        <v>210</v>
      </c>
      <c r="K208" s="173">
        <f>B208*80</f>
        <v>240</v>
      </c>
      <c r="L208" s="172">
        <f t="shared" si="58"/>
        <v>450</v>
      </c>
      <c r="M208" s="1539">
        <f t="shared" si="59"/>
        <v>0.61374795417348604</v>
      </c>
      <c r="N208" s="1540"/>
    </row>
    <row r="209" spans="1:14" ht="12.75" customHeight="1">
      <c r="A209" s="76" t="s">
        <v>258</v>
      </c>
      <c r="B209" s="1431">
        <v>3</v>
      </c>
      <c r="C209" s="1422"/>
      <c r="D209" s="1431">
        <v>977700</v>
      </c>
      <c r="E209" s="1422"/>
      <c r="F209" s="1994">
        <v>0.89</v>
      </c>
      <c r="G209" s="1995"/>
      <c r="H209" s="812">
        <f>F209*10</f>
        <v>8.9</v>
      </c>
      <c r="I209" s="151">
        <v>0</v>
      </c>
      <c r="J209" s="173">
        <v>0</v>
      </c>
      <c r="K209" s="173">
        <v>12770</v>
      </c>
      <c r="L209" s="172">
        <f t="shared" si="58"/>
        <v>12770</v>
      </c>
      <c r="M209" s="1539">
        <f t="shared" si="59"/>
        <v>19.080205594071241</v>
      </c>
      <c r="N209" s="1540"/>
    </row>
    <row r="210" spans="1:14" ht="12.75" customHeight="1" thickBot="1">
      <c r="A210" s="76" t="s">
        <v>214</v>
      </c>
      <c r="B210" s="1431">
        <f>MVWD!N256</f>
        <v>5</v>
      </c>
      <c r="C210" s="1422"/>
      <c r="D210" s="1431">
        <v>529508</v>
      </c>
      <c r="E210" s="1422"/>
      <c r="F210" s="1467">
        <v>2</v>
      </c>
      <c r="G210" s="1433"/>
      <c r="H210" s="942">
        <v>16</v>
      </c>
      <c r="I210" s="151">
        <v>0</v>
      </c>
      <c r="J210" s="173">
        <f>0*B210</f>
        <v>0</v>
      </c>
      <c r="K210" s="173">
        <f>B210*75</f>
        <v>375</v>
      </c>
      <c r="L210" s="172">
        <f t="shared" si="58"/>
        <v>375</v>
      </c>
      <c r="M210" s="1539">
        <f t="shared" si="59"/>
        <v>0.24933510638297873</v>
      </c>
      <c r="N210" s="1540"/>
    </row>
    <row r="211" spans="1:14" s="1161" customFormat="1" ht="15.75" customHeight="1" thickBot="1">
      <c r="A211" s="108" t="str">
        <f>'Ontario Total'!A211</f>
        <v>IEUA Locally Implemented Residential Programs</v>
      </c>
      <c r="B211" s="1567"/>
      <c r="C211" s="1586"/>
      <c r="D211" s="1567"/>
      <c r="E211" s="1586"/>
      <c r="F211" s="1567"/>
      <c r="G211" s="1586"/>
      <c r="H211" s="1142"/>
      <c r="I211" s="179"/>
      <c r="J211" s="179"/>
      <c r="K211" s="179"/>
      <c r="L211" s="180"/>
      <c r="M211" s="1593"/>
      <c r="N211" s="1542"/>
    </row>
    <row r="212" spans="1:14">
      <c r="A212" s="78" t="s">
        <v>205</v>
      </c>
      <c r="B212" s="1431">
        <f>MVWD!N258</f>
        <v>2426</v>
      </c>
      <c r="C212" s="1422"/>
      <c r="D212" s="1431">
        <f>F212*325851</f>
        <v>3162058.1040000003</v>
      </c>
      <c r="E212" s="1422"/>
      <c r="F212" s="1431">
        <f>B212*0.004</f>
        <v>9.7040000000000006</v>
      </c>
      <c r="G212" s="1422"/>
      <c r="H212" s="812">
        <f>F212*5</f>
        <v>48.52</v>
      </c>
      <c r="I212" s="151">
        <v>0</v>
      </c>
      <c r="J212" s="151">
        <v>0</v>
      </c>
      <c r="K212" s="173">
        <v>8190</v>
      </c>
      <c r="L212" s="172">
        <f>I212+J212+K212</f>
        <v>8190</v>
      </c>
      <c r="M212" s="1539">
        <f>IF(ISERROR(L212/(F212*752)),0,L212/(F212*752))</f>
        <v>1.1223163073792777</v>
      </c>
      <c r="N212" s="1540"/>
    </row>
    <row r="213" spans="1:14">
      <c r="A213" s="78" t="s">
        <v>246</v>
      </c>
      <c r="B213" s="1431">
        <f>MVWD!N259</f>
        <v>72</v>
      </c>
      <c r="C213" s="1422"/>
      <c r="D213" s="1431">
        <f>F213*325900</f>
        <v>14339600</v>
      </c>
      <c r="E213" s="1743"/>
      <c r="F213" s="1868">
        <v>44</v>
      </c>
      <c r="G213" s="1579"/>
      <c r="H213" s="783">
        <v>403</v>
      </c>
      <c r="I213" s="151">
        <v>64912.36</v>
      </c>
      <c r="J213" s="151">
        <v>0</v>
      </c>
      <c r="K213" s="151">
        <v>64912.36</v>
      </c>
      <c r="L213" s="172">
        <f>I213+J213+K213</f>
        <v>129824.72</v>
      </c>
      <c r="M213" s="1539">
        <f>IF(ISERROR(L213/(F213*752)),0,L213/(F213*752))</f>
        <v>3.9236194390715666</v>
      </c>
      <c r="N213" s="1540"/>
    </row>
    <row r="214" spans="1:14" ht="14" thickBot="1">
      <c r="A214" s="78" t="s">
        <v>239</v>
      </c>
      <c r="B214" s="1431">
        <f>MVWD!N260</f>
        <v>21</v>
      </c>
      <c r="C214" s="1422"/>
      <c r="D214" s="1431">
        <v>306607</v>
      </c>
      <c r="E214" s="1743"/>
      <c r="F214" s="1736">
        <v>1</v>
      </c>
      <c r="G214" s="1446"/>
      <c r="H214" s="809">
        <v>9</v>
      </c>
      <c r="I214" s="151">
        <v>0</v>
      </c>
      <c r="J214" s="151">
        <f>63472.54-K214</f>
        <v>25416.54</v>
      </c>
      <c r="K214" s="151">
        <f>19028*2</f>
        <v>38056</v>
      </c>
      <c r="L214" s="172">
        <f>I214+J214+K214</f>
        <v>63472.54</v>
      </c>
      <c r="M214" s="1539">
        <f>IF(ISERROR(L214/(F214*752)),0,L214/(F214*752))</f>
        <v>84.404973404255315</v>
      </c>
      <c r="N214" s="1540"/>
    </row>
    <row r="215" spans="1:14" ht="14" thickBot="1">
      <c r="A215" s="53" t="s">
        <v>60</v>
      </c>
      <c r="B215" s="1438">
        <f>SUM(B205:B214)</f>
        <v>2662</v>
      </c>
      <c r="C215" s="1609"/>
      <c r="D215" s="1440">
        <f>SUM(D205:E214)</f>
        <v>21025663.004000001</v>
      </c>
      <c r="E215" s="1621"/>
      <c r="F215" s="1441">
        <f>SUM(F205:G214)</f>
        <v>62.8416</v>
      </c>
      <c r="G215" s="1439"/>
      <c r="H215" s="786">
        <f>SUM(H205:H214)</f>
        <v>572.68399999999997</v>
      </c>
      <c r="I215" s="136">
        <f>SUM(I205:I214)</f>
        <v>64912.36</v>
      </c>
      <c r="J215" s="136">
        <f>SUM(J205:J214)</f>
        <v>32256.54</v>
      </c>
      <c r="K215" s="136">
        <f>SUM(K205:K214)</f>
        <v>132238.35999999999</v>
      </c>
      <c r="L215" s="136">
        <f>SUM(L205:L214)</f>
        <v>229407.26</v>
      </c>
      <c r="M215" s="1438"/>
      <c r="N215" s="1622"/>
    </row>
    <row r="216" spans="1:14" s="91" customFormat="1" ht="17" hidden="1" thickBot="1">
      <c r="A216" s="108" t="str">
        <f>'Ontario Total'!A216</f>
        <v xml:space="preserve">IEUA High Efficiency Toilet (HET) Installation Prog. </v>
      </c>
      <c r="B216" s="1567"/>
      <c r="C216" s="1586"/>
      <c r="D216" s="1567"/>
      <c r="E216" s="1586"/>
      <c r="F216" s="1567"/>
      <c r="G216" s="1586"/>
      <c r="H216" s="799"/>
      <c r="I216" s="179"/>
      <c r="J216" s="179"/>
      <c r="K216" s="179"/>
      <c r="L216" s="180"/>
      <c r="M216" s="1593"/>
      <c r="N216" s="1542"/>
    </row>
    <row r="217" spans="1:14" ht="14" hidden="1" thickBot="1">
      <c r="A217" s="32" t="str">
        <f>'Ontario Total'!A217</f>
        <v>IEUA Multi-Family Direct Install Prog. (HET)</v>
      </c>
      <c r="B217" s="1431"/>
      <c r="C217" s="1422"/>
      <c r="D217" s="1431">
        <f>F217*325851</f>
        <v>0</v>
      </c>
      <c r="E217" s="1422"/>
      <c r="F217" s="1431">
        <f>0.0425*B217</f>
        <v>0</v>
      </c>
      <c r="G217" s="1422"/>
      <c r="H217" s="805">
        <f>F217*20</f>
        <v>0</v>
      </c>
      <c r="I217" s="181">
        <f>73.34*B217</f>
        <v>0</v>
      </c>
      <c r="J217" s="181">
        <f>35.66*B217</f>
        <v>0</v>
      </c>
      <c r="K217" s="181">
        <f>B217*50</f>
        <v>0</v>
      </c>
      <c r="L217" s="182">
        <f>I217+J217+K217</f>
        <v>0</v>
      </c>
      <c r="M217" s="1990">
        <f>IF(ISERROR(L217/(F217*727)),0,L217/(F217*727))</f>
        <v>0</v>
      </c>
      <c r="N217" s="1991"/>
    </row>
    <row r="218" spans="1:14" ht="14" hidden="1" thickBot="1">
      <c r="A218" s="32" t="str">
        <f>'Ontario Total'!A218</f>
        <v>IEUA Single-Family Direct Install Prog. (HET)</v>
      </c>
      <c r="B218" s="1431"/>
      <c r="C218" s="1422"/>
      <c r="D218" s="1431">
        <f>F218*325851</f>
        <v>0</v>
      </c>
      <c r="E218" s="1422"/>
      <c r="F218" s="1431">
        <f>0.0425*B218</f>
        <v>0</v>
      </c>
      <c r="G218" s="1422"/>
      <c r="H218" s="805">
        <f>F218*20</f>
        <v>0</v>
      </c>
      <c r="I218" s="181">
        <f>73.34*B218</f>
        <v>0</v>
      </c>
      <c r="J218" s="181">
        <f>35.66*B218</f>
        <v>0</v>
      </c>
      <c r="K218" s="181">
        <f>B218*50</f>
        <v>0</v>
      </c>
      <c r="L218" s="182">
        <f>I218+J218+K218</f>
        <v>0</v>
      </c>
      <c r="M218" s="1990">
        <f>IF(ISERROR(L218/(F218*727)),0,L218/(F218*727))</f>
        <v>0</v>
      </c>
      <c r="N218" s="1991"/>
    </row>
    <row r="219" spans="1:14" ht="14" hidden="1" thickBot="1">
      <c r="A219" s="53" t="s">
        <v>60</v>
      </c>
      <c r="B219" s="1438"/>
      <c r="C219" s="1609"/>
      <c r="D219" s="1438">
        <f>SUM(D217:D218)</f>
        <v>0</v>
      </c>
      <c r="E219" s="1609"/>
      <c r="F219" s="1438">
        <f>SUM(F217:F218)</f>
        <v>0</v>
      </c>
      <c r="G219" s="1439"/>
      <c r="H219" s="786">
        <f>SUM(H217:H218)</f>
        <v>0</v>
      </c>
      <c r="I219" s="186">
        <f>SUM(I217:I218)</f>
        <v>0</v>
      </c>
      <c r="J219" s="187">
        <f>SUM(J217:J218)</f>
        <v>0</v>
      </c>
      <c r="K219" s="187">
        <f>SUM(K217:K218)</f>
        <v>0</v>
      </c>
      <c r="L219" s="186">
        <f>SUM(L217:L218)</f>
        <v>0</v>
      </c>
      <c r="M219" s="1442"/>
      <c r="N219" s="1735"/>
    </row>
    <row r="220" spans="1:14" s="1161" customFormat="1" ht="17" thickBot="1">
      <c r="A220" s="108" t="str">
        <f>'Ontario Total'!A220</f>
        <v>SoCal Water$mart Commercial Rebates</v>
      </c>
      <c r="B220" s="1567"/>
      <c r="C220" s="1586"/>
      <c r="D220" s="1567"/>
      <c r="E220" s="1586"/>
      <c r="F220" s="1567"/>
      <c r="G220" s="1586"/>
      <c r="H220" s="1142"/>
      <c r="I220" s="179"/>
      <c r="J220" s="179"/>
      <c r="K220" s="179"/>
      <c r="L220" s="180"/>
      <c r="M220" s="1593"/>
      <c r="N220" s="1542"/>
    </row>
    <row r="221" spans="1:14">
      <c r="A221" s="32" t="str">
        <f>'Ontario Total'!A221</f>
        <v>High Efficiency Toilets (HET)</v>
      </c>
      <c r="B221" s="1431">
        <f>MVWD!N268</f>
        <v>0</v>
      </c>
      <c r="C221" s="1422"/>
      <c r="D221" s="1431">
        <f>F221*325900</f>
        <v>0</v>
      </c>
      <c r="E221" s="1422"/>
      <c r="F221" s="1431">
        <f>0.0425*B221</f>
        <v>0</v>
      </c>
      <c r="G221" s="1422"/>
      <c r="H221" s="383">
        <f>F221*20</f>
        <v>0</v>
      </c>
      <c r="I221" s="215">
        <v>0</v>
      </c>
      <c r="J221" s="140">
        <v>90</v>
      </c>
      <c r="K221" s="140">
        <v>200</v>
      </c>
      <c r="L221" s="217">
        <f>SUM(I221:K221)</f>
        <v>290</v>
      </c>
      <c r="M221" s="1539">
        <f>IF(ISERROR(L221/(F221*752)),0,L221/(F221*752))</f>
        <v>0</v>
      </c>
      <c r="N221" s="1540"/>
    </row>
    <row r="222" spans="1:14">
      <c r="A222" s="32" t="str">
        <f>'Ontario Total'!A222</f>
        <v>Waterless Urinals</v>
      </c>
      <c r="B222" s="1431">
        <f>MVWD!N269</f>
        <v>0</v>
      </c>
      <c r="C222" s="1422"/>
      <c r="D222" s="1431">
        <f>F222*325900</f>
        <v>0</v>
      </c>
      <c r="E222" s="1422"/>
      <c r="F222" s="1431">
        <f>0.1227*B222</f>
        <v>0</v>
      </c>
      <c r="G222" s="1422"/>
      <c r="H222" s="383">
        <f>F222*20</f>
        <v>0</v>
      </c>
      <c r="I222" s="215">
        <v>0</v>
      </c>
      <c r="J222" s="140">
        <f>50*B222</f>
        <v>0</v>
      </c>
      <c r="K222" s="140">
        <f>200*B222</f>
        <v>0</v>
      </c>
      <c r="L222" s="217">
        <f>SUM(I222:K222)</f>
        <v>0</v>
      </c>
      <c r="M222" s="1539">
        <f t="shared" ref="M222:M234" si="60">IF(ISERROR(L222/(F222*752)),0,L222/(F222*752))</f>
        <v>0</v>
      </c>
      <c r="N222" s="1540"/>
    </row>
    <row r="223" spans="1:14" ht="12" customHeight="1">
      <c r="A223" s="32" t="s">
        <v>204</v>
      </c>
      <c r="B223" s="1431">
        <f>MVWD!N270</f>
        <v>0</v>
      </c>
      <c r="C223" s="1422"/>
      <c r="D223" s="1431">
        <f t="shared" ref="D223:D233" si="61">F223*325900</f>
        <v>0</v>
      </c>
      <c r="E223" s="1422"/>
      <c r="F223" s="1431">
        <f>0.644*B223</f>
        <v>0</v>
      </c>
      <c r="G223" s="1422"/>
      <c r="H223" s="383">
        <f>F223*5</f>
        <v>0</v>
      </c>
      <c r="I223" s="215">
        <v>0</v>
      </c>
      <c r="J223" s="140">
        <f>43.75*B223</f>
        <v>0</v>
      </c>
      <c r="K223" s="140">
        <f>625*B223</f>
        <v>0</v>
      </c>
      <c r="L223" s="217">
        <f>SUM(I223:K223)</f>
        <v>0</v>
      </c>
      <c r="M223" s="1539">
        <f t="shared" si="60"/>
        <v>0</v>
      </c>
      <c r="N223" s="1540"/>
    </row>
    <row r="224" spans="1:14" ht="12.75" hidden="1" customHeight="1">
      <c r="A224" s="32" t="str">
        <f>'Ontario Total'!A224</f>
        <v>High Efficiency Clothes Washers</v>
      </c>
      <c r="B224" s="1431">
        <f>MVWD!N271</f>
        <v>0</v>
      </c>
      <c r="C224" s="1422"/>
      <c r="D224" s="1431">
        <f t="shared" si="61"/>
        <v>0</v>
      </c>
      <c r="E224" s="1422"/>
      <c r="F224" s="1431">
        <f>0.0276*B224</f>
        <v>0</v>
      </c>
      <c r="G224" s="1422"/>
      <c r="H224" s="383">
        <f>F224*10</f>
        <v>0</v>
      </c>
      <c r="I224" s="215">
        <v>0</v>
      </c>
      <c r="J224" s="192">
        <f>100*B224</f>
        <v>0</v>
      </c>
      <c r="K224" s="192">
        <f>80*B224</f>
        <v>0</v>
      </c>
      <c r="L224" s="193">
        <f>SUM(I224:K224)</f>
        <v>0</v>
      </c>
      <c r="M224" s="1539">
        <f t="shared" si="60"/>
        <v>0</v>
      </c>
      <c r="N224" s="1540"/>
    </row>
    <row r="225" spans="1:14" ht="12.75" hidden="1" customHeight="1">
      <c r="A225" s="35" t="s">
        <v>47</v>
      </c>
      <c r="B225" s="1431">
        <f>MVWD!N272</f>
        <v>0</v>
      </c>
      <c r="C225" s="1422"/>
      <c r="D225" s="1431">
        <f t="shared" si="61"/>
        <v>0</v>
      </c>
      <c r="E225" s="1422"/>
      <c r="F225" s="1431">
        <f>0.1534*B225</f>
        <v>0</v>
      </c>
      <c r="G225" s="1422"/>
      <c r="H225" s="383">
        <f>F225*5</f>
        <v>0</v>
      </c>
      <c r="I225" s="215">
        <v>0</v>
      </c>
      <c r="J225" s="192">
        <f>0*B225</f>
        <v>0</v>
      </c>
      <c r="K225" s="192">
        <f>150*B225</f>
        <v>0</v>
      </c>
      <c r="L225" s="193">
        <f>SUM(I225:K225)</f>
        <v>0</v>
      </c>
      <c r="M225" s="1539">
        <f t="shared" si="60"/>
        <v>0</v>
      </c>
      <c r="N225" s="1540"/>
    </row>
    <row r="226" spans="1:14">
      <c r="A226" s="32" t="str">
        <f>'Ontario Total'!A226</f>
        <v>Weather Based Irrigation Controllers (WBIC)</v>
      </c>
      <c r="B226" s="1431">
        <f>MVWD!N273</f>
        <v>0</v>
      </c>
      <c r="C226" s="1422"/>
      <c r="D226" s="1431">
        <f t="shared" si="61"/>
        <v>0</v>
      </c>
      <c r="E226" s="1422"/>
      <c r="F226" s="1431">
        <f>0.325*B226</f>
        <v>0</v>
      </c>
      <c r="G226" s="1422"/>
      <c r="H226" s="383">
        <f>F226*10</f>
        <v>0</v>
      </c>
      <c r="I226" s="215">
        <v>0</v>
      </c>
      <c r="J226" s="140">
        <v>0</v>
      </c>
      <c r="K226" s="140">
        <v>184</v>
      </c>
      <c r="L226" s="217">
        <v>0</v>
      </c>
      <c r="M226" s="1539">
        <f t="shared" si="60"/>
        <v>0</v>
      </c>
      <c r="N226" s="1540"/>
    </row>
    <row r="227" spans="1:14" ht="12.75" hidden="1" customHeight="1">
      <c r="A227" s="76" t="s">
        <v>150</v>
      </c>
      <c r="B227" s="1431">
        <f>MVWD!N274</f>
        <v>0</v>
      </c>
      <c r="C227" s="1422"/>
      <c r="D227" s="1431">
        <f t="shared" si="61"/>
        <v>0</v>
      </c>
      <c r="E227" s="1422"/>
      <c r="F227" s="1431">
        <f>0.00014*0</f>
        <v>0</v>
      </c>
      <c r="G227" s="1422"/>
      <c r="H227" s="383">
        <f>F227*10</f>
        <v>0</v>
      </c>
      <c r="I227" s="215">
        <v>0</v>
      </c>
      <c r="J227" s="192">
        <f>0.45*0</f>
        <v>0</v>
      </c>
      <c r="K227" s="192">
        <f>0.3*0</f>
        <v>0</v>
      </c>
      <c r="L227" s="193">
        <f t="shared" ref="L227:L234" si="62">SUM(I227:K227)</f>
        <v>0</v>
      </c>
      <c r="M227" s="1539">
        <f t="shared" si="60"/>
        <v>0</v>
      </c>
      <c r="N227" s="1540"/>
    </row>
    <row r="228" spans="1:14">
      <c r="A228" s="32" t="str">
        <f>'Ontario Total'!A228</f>
        <v>Rotating Nozzles for Pop-up Spray Heads</v>
      </c>
      <c r="B228" s="1431">
        <f>MVWD!N275</f>
        <v>0</v>
      </c>
      <c r="C228" s="1422"/>
      <c r="D228" s="1431">
        <f t="shared" si="61"/>
        <v>0</v>
      </c>
      <c r="E228" s="1422"/>
      <c r="F228" s="1431">
        <f>0.004*B228</f>
        <v>0</v>
      </c>
      <c r="G228" s="1422"/>
      <c r="H228" s="383">
        <f>F228*5</f>
        <v>0</v>
      </c>
      <c r="I228" s="215">
        <v>0</v>
      </c>
      <c r="J228" s="140">
        <f>1*B228</f>
        <v>0</v>
      </c>
      <c r="K228" s="140">
        <f>4*B228</f>
        <v>0</v>
      </c>
      <c r="L228" s="217">
        <f t="shared" si="62"/>
        <v>0</v>
      </c>
      <c r="M228" s="1539">
        <f t="shared" si="60"/>
        <v>0</v>
      </c>
      <c r="N228" s="1540"/>
    </row>
    <row r="229" spans="1:14">
      <c r="A229" s="32" t="str">
        <f>'Ontario Total'!A229</f>
        <v>Large Rotary Nozzles</v>
      </c>
      <c r="B229" s="1431">
        <f>MVWD!N276</f>
        <v>0</v>
      </c>
      <c r="C229" s="1422"/>
      <c r="D229" s="1431">
        <f t="shared" si="61"/>
        <v>0</v>
      </c>
      <c r="E229" s="1422"/>
      <c r="F229" s="1431">
        <f>0.018*B229</f>
        <v>0</v>
      </c>
      <c r="G229" s="1422"/>
      <c r="H229" s="383">
        <f>F229*10</f>
        <v>0</v>
      </c>
      <c r="I229" s="215">
        <v>0</v>
      </c>
      <c r="J229" s="140">
        <f>0*B229</f>
        <v>0</v>
      </c>
      <c r="K229" s="140">
        <f>13*B229</f>
        <v>0</v>
      </c>
      <c r="L229" s="217">
        <f t="shared" si="62"/>
        <v>0</v>
      </c>
      <c r="M229" s="1539">
        <f t="shared" si="60"/>
        <v>0</v>
      </c>
      <c r="N229" s="1540"/>
    </row>
    <row r="230" spans="1:14" ht="13.5" hidden="1" customHeight="1">
      <c r="A230" s="33" t="s">
        <v>102</v>
      </c>
      <c r="B230" s="1431">
        <f>MVWD!N277</f>
        <v>0</v>
      </c>
      <c r="C230" s="1422"/>
      <c r="D230" s="1431">
        <f t="shared" si="61"/>
        <v>0</v>
      </c>
      <c r="E230" s="1422"/>
      <c r="F230" s="1431">
        <f>0.018*B230</f>
        <v>0</v>
      </c>
      <c r="G230" s="1422"/>
      <c r="H230" s="383">
        <f>F230*10</f>
        <v>0</v>
      </c>
      <c r="I230" s="215">
        <v>1</v>
      </c>
      <c r="J230" s="140">
        <f>0*B230</f>
        <v>0</v>
      </c>
      <c r="K230" s="140">
        <f>13*B230</f>
        <v>0</v>
      </c>
      <c r="L230" s="217">
        <f t="shared" si="62"/>
        <v>1</v>
      </c>
      <c r="M230" s="1539">
        <f t="shared" si="60"/>
        <v>0</v>
      </c>
      <c r="N230" s="1540"/>
    </row>
    <row r="231" spans="1:14">
      <c r="A231" s="32" t="str">
        <f>'Ontario Total'!A231</f>
        <v xml:space="preserve">Central Computerized Irrigation Controller </v>
      </c>
      <c r="B231" s="1431">
        <f>MVWD!N278</f>
        <v>0</v>
      </c>
      <c r="C231" s="1422"/>
      <c r="D231" s="1431">
        <f t="shared" si="61"/>
        <v>0</v>
      </c>
      <c r="E231" s="1422"/>
      <c r="F231" s="1431">
        <f>0.018*B231</f>
        <v>0</v>
      </c>
      <c r="G231" s="1422"/>
      <c r="H231" s="383">
        <f>F231*10</f>
        <v>0</v>
      </c>
      <c r="I231" s="215">
        <v>0</v>
      </c>
      <c r="J231" s="215">
        <v>0</v>
      </c>
      <c r="K231" s="215">
        <v>0</v>
      </c>
      <c r="L231" s="217">
        <f t="shared" si="62"/>
        <v>0</v>
      </c>
      <c r="M231" s="1539">
        <f t="shared" si="60"/>
        <v>0</v>
      </c>
      <c r="N231" s="1540"/>
    </row>
    <row r="232" spans="1:14" s="57" customFormat="1">
      <c r="A232" s="144" t="str">
        <f>'Ontario Total'!A232</f>
        <v>Laminar Flow Restrictor</v>
      </c>
      <c r="B232" s="1431">
        <f>MVWD!N279</f>
        <v>0</v>
      </c>
      <c r="C232" s="1422"/>
      <c r="D232" s="1431">
        <f t="shared" si="61"/>
        <v>0</v>
      </c>
      <c r="E232" s="1422"/>
      <c r="F232" s="1736">
        <f>0.023*B232</f>
        <v>0</v>
      </c>
      <c r="G232" s="1446"/>
      <c r="H232" s="382">
        <f>F232*5</f>
        <v>0</v>
      </c>
      <c r="I232" s="215">
        <v>0</v>
      </c>
      <c r="J232" s="215">
        <f>B232*10</f>
        <v>0</v>
      </c>
      <c r="K232" s="215">
        <f>B232*10</f>
        <v>0</v>
      </c>
      <c r="L232" s="218">
        <f t="shared" si="62"/>
        <v>0</v>
      </c>
      <c r="M232" s="1539">
        <f t="shared" si="60"/>
        <v>0</v>
      </c>
      <c r="N232" s="1540"/>
    </row>
    <row r="233" spans="1:14" s="57" customFormat="1">
      <c r="A233" s="144" t="str">
        <f>'Ontario Total'!A233</f>
        <v>Air-Cooled Ice Machine</v>
      </c>
      <c r="B233" s="1431">
        <f>MVWD!N280</f>
        <v>1</v>
      </c>
      <c r="C233" s="1422"/>
      <c r="D233" s="1431">
        <f t="shared" si="61"/>
        <v>65180</v>
      </c>
      <c r="E233" s="1422"/>
      <c r="F233" s="1992">
        <v>0.2</v>
      </c>
      <c r="G233" s="1993"/>
      <c r="H233" s="382">
        <f>F233*7</f>
        <v>1.4000000000000001</v>
      </c>
      <c r="I233" s="215">
        <v>0</v>
      </c>
      <c r="J233" s="215">
        <f>B233*930</f>
        <v>930</v>
      </c>
      <c r="K233" s="215">
        <f>B233*1000</f>
        <v>1000</v>
      </c>
      <c r="L233" s="218">
        <f t="shared" si="62"/>
        <v>1930</v>
      </c>
      <c r="M233" s="1539">
        <f t="shared" si="60"/>
        <v>12.832446808510637</v>
      </c>
      <c r="N233" s="1540"/>
    </row>
    <row r="234" spans="1:14" s="57" customFormat="1" ht="14" thickBot="1">
      <c r="A234" s="107" t="s">
        <v>255</v>
      </c>
      <c r="B234" s="1431">
        <f>MVWD!N281</f>
        <v>5</v>
      </c>
      <c r="C234" s="1422"/>
      <c r="D234" s="1431">
        <f>F234*325900</f>
        <v>636352.34</v>
      </c>
      <c r="E234" s="1422"/>
      <c r="F234" s="1737">
        <f>15020*0.00013</f>
        <v>1.9525999999999999</v>
      </c>
      <c r="G234" s="1726"/>
      <c r="H234" s="382">
        <f>F234*10</f>
        <v>19.526</v>
      </c>
      <c r="I234" s="215">
        <v>0</v>
      </c>
      <c r="J234" s="215">
        <v>15020</v>
      </c>
      <c r="K234" s="215">
        <v>30040</v>
      </c>
      <c r="L234" s="218">
        <f t="shared" si="62"/>
        <v>45060</v>
      </c>
      <c r="M234" s="1539">
        <f t="shared" si="60"/>
        <v>30.687397708674304</v>
      </c>
      <c r="N234" s="1540"/>
    </row>
    <row r="235" spans="1:14" s="57" customFormat="1" ht="14" hidden="1" thickBot="1">
      <c r="A235" s="107"/>
      <c r="B235" s="571"/>
      <c r="C235" s="570"/>
      <c r="D235" s="571"/>
      <c r="E235" s="570"/>
      <c r="F235" s="577"/>
      <c r="G235" s="578"/>
      <c r="H235" s="572"/>
      <c r="I235" s="215"/>
      <c r="J235" s="215"/>
      <c r="K235" s="215"/>
      <c r="L235" s="218"/>
      <c r="M235" s="563"/>
      <c r="N235" s="564"/>
    </row>
    <row r="236" spans="1:14" s="1161" customFormat="1" ht="17" thickBot="1">
      <c r="A236" s="108" t="str">
        <f>'Ontario Total'!A236</f>
        <v>IEUA Locally Implemented Commercial Programs</v>
      </c>
      <c r="B236" s="1567"/>
      <c r="C236" s="1586"/>
      <c r="D236" s="1567"/>
      <c r="E236" s="1586"/>
      <c r="F236" s="1567"/>
      <c r="G236" s="1586"/>
      <c r="H236" s="1142"/>
      <c r="I236" s="179"/>
      <c r="J236" s="179"/>
      <c r="K236" s="179"/>
      <c r="L236" s="180"/>
      <c r="M236" s="1593"/>
      <c r="N236" s="1542"/>
    </row>
    <row r="237" spans="1:14" ht="13.5" hidden="1" customHeight="1">
      <c r="A237" s="32" t="str">
        <f>'Ontario Total'!A237</f>
        <v>Fontana Unified School Retrofit Program</v>
      </c>
      <c r="B237" s="1431"/>
      <c r="C237" s="1422"/>
      <c r="D237" s="1431">
        <f>F237*325851</f>
        <v>0</v>
      </c>
      <c r="E237" s="1422"/>
      <c r="F237" s="1431">
        <f>0.018*B237</f>
        <v>0</v>
      </c>
      <c r="G237" s="1422"/>
      <c r="H237" s="383">
        <f>F237*10</f>
        <v>0</v>
      </c>
      <c r="I237" s="188">
        <v>0</v>
      </c>
      <c r="J237" s="181">
        <v>0</v>
      </c>
      <c r="K237" s="181">
        <v>0</v>
      </c>
      <c r="L237" s="182">
        <f>SUM(I237:K237)</f>
        <v>0</v>
      </c>
      <c r="M237" s="1990">
        <f>IF(ISERROR(L237/(F237*727)),0,L237/(F237*727))</f>
        <v>0</v>
      </c>
      <c r="N237" s="1991"/>
    </row>
    <row r="238" spans="1:14" ht="14" thickBot="1">
      <c r="A238" s="32" t="s">
        <v>165</v>
      </c>
      <c r="B238" s="1431">
        <f>MVWD!N284</f>
        <v>200</v>
      </c>
      <c r="C238" s="1422"/>
      <c r="D238" s="1431">
        <f>F238*325900</f>
        <v>260720</v>
      </c>
      <c r="E238" s="1422"/>
      <c r="F238" s="1431">
        <f>0.004*B238</f>
        <v>0.8</v>
      </c>
      <c r="G238" s="1422"/>
      <c r="H238" s="383">
        <f>F238*5</f>
        <v>4</v>
      </c>
      <c r="I238" s="151">
        <v>0</v>
      </c>
      <c r="J238" s="150">
        <f>0*B238</f>
        <v>0</v>
      </c>
      <c r="K238" s="150">
        <f>3.25*B238</f>
        <v>650</v>
      </c>
      <c r="L238" s="172">
        <f>SUM(I238:K238)</f>
        <v>650</v>
      </c>
      <c r="M238" s="1539">
        <f>IF(ISERROR(L238/(F238*752)),0,L238/(F238*752))</f>
        <v>1.0804521276595744</v>
      </c>
      <c r="N238" s="1540"/>
    </row>
    <row r="239" spans="1:14" ht="14" thickBot="1">
      <c r="A239" s="53" t="s">
        <v>60</v>
      </c>
      <c r="B239" s="1438">
        <f>SUM(B221:C238)</f>
        <v>206</v>
      </c>
      <c r="C239" s="1621"/>
      <c r="D239" s="1441">
        <f>SUM(D221:E238)</f>
        <v>962252.34</v>
      </c>
      <c r="E239" s="1621"/>
      <c r="F239" s="1441">
        <f>SUM(F221:G238)</f>
        <v>2.9526000000000003</v>
      </c>
      <c r="G239" s="1439"/>
      <c r="H239" s="388">
        <f>SUM(H221:H238)</f>
        <v>24.925999999999998</v>
      </c>
      <c r="I239" s="136">
        <v>0</v>
      </c>
      <c r="J239" s="136">
        <f>SUM(J221:J238)</f>
        <v>16040</v>
      </c>
      <c r="K239" s="136">
        <f>SUM(K221:K238)</f>
        <v>32074</v>
      </c>
      <c r="L239" s="136">
        <f>SUM(L221:L238)</f>
        <v>47931</v>
      </c>
      <c r="M239" s="1442"/>
      <c r="N239" s="1735"/>
    </row>
    <row r="240" spans="1:14" s="1168" customFormat="1" ht="17" thickBot="1">
      <c r="A240" s="1182" t="s">
        <v>17</v>
      </c>
      <c r="B240" s="1416">
        <f>SUM(B215+B219+B239)</f>
        <v>2868</v>
      </c>
      <c r="C240" s="1415"/>
      <c r="D240" s="1416">
        <f>D239+D215</f>
        <v>21987915.344000001</v>
      </c>
      <c r="E240" s="1415"/>
      <c r="F240" s="1416">
        <f>63+3</f>
        <v>66</v>
      </c>
      <c r="G240" s="1415"/>
      <c r="H240" s="1164">
        <f>H239+H215</f>
        <v>597.61</v>
      </c>
      <c r="I240" s="1169">
        <f>SUM(I215+I219+I239)</f>
        <v>64912.36</v>
      </c>
      <c r="J240" s="1169">
        <f>SUM(J215+J219+J239)</f>
        <v>48296.54</v>
      </c>
      <c r="K240" s="1169">
        <f>SUM(K215+K219+K239)</f>
        <v>164312.35999999999</v>
      </c>
      <c r="L240" s="1169">
        <f>SUM(L215+L219+L239)</f>
        <v>277338.26</v>
      </c>
      <c r="M240" s="1417"/>
      <c r="N240" s="1614"/>
    </row>
    <row r="241" spans="1:14" ht="16">
      <c r="A241" s="60"/>
      <c r="B241" s="61"/>
      <c r="C241" s="61"/>
      <c r="D241" s="61"/>
      <c r="E241" s="61"/>
      <c r="F241" s="61"/>
      <c r="G241" s="61"/>
      <c r="H241" s="61"/>
      <c r="I241" s="62"/>
      <c r="J241" s="62"/>
      <c r="K241" s="62"/>
      <c r="L241" s="62"/>
      <c r="M241" s="64"/>
      <c r="N241" s="65"/>
    </row>
    <row r="242" spans="1:14" ht="16">
      <c r="A242" s="9" t="s">
        <v>18</v>
      </c>
      <c r="B242" s="1419" t="s">
        <v>59</v>
      </c>
      <c r="C242" s="1419"/>
      <c r="D242" s="1419"/>
      <c r="E242" s="1419"/>
      <c r="F242" s="61"/>
      <c r="G242" s="61"/>
      <c r="H242" s="61"/>
      <c r="I242" s="62"/>
      <c r="J242" s="62"/>
      <c r="K242" s="62"/>
      <c r="L242" s="62"/>
      <c r="M242" s="64"/>
      <c r="N242" s="65"/>
    </row>
    <row r="243" spans="1:14" ht="16">
      <c r="A243" s="57"/>
      <c r="B243" s="1420" t="s">
        <v>19</v>
      </c>
      <c r="C243" s="1420"/>
      <c r="D243" s="1420"/>
      <c r="E243" s="1420"/>
      <c r="F243" s="61"/>
      <c r="G243" s="61"/>
      <c r="H243" s="61"/>
      <c r="I243" s="62"/>
      <c r="J243" s="62"/>
      <c r="K243" s="62"/>
      <c r="L243" s="62"/>
      <c r="M243" s="64"/>
      <c r="N243" s="65"/>
    </row>
    <row r="244" spans="1:14" ht="17" thickBot="1">
      <c r="A244" s="57"/>
      <c r="B244" s="820"/>
      <c r="C244" s="820"/>
      <c r="D244" s="820"/>
      <c r="E244" s="820"/>
      <c r="F244" s="61"/>
      <c r="G244" s="61"/>
      <c r="H244" s="61"/>
      <c r="I244" s="62"/>
      <c r="J244" s="62"/>
      <c r="K244" s="62"/>
      <c r="L244" s="62"/>
      <c r="M244" s="64"/>
      <c r="N244" s="65"/>
    </row>
    <row r="245" spans="1:14" s="363" customFormat="1" ht="16">
      <c r="A245" s="98"/>
      <c r="B245" s="99"/>
      <c r="C245" s="99"/>
      <c r="D245" s="99"/>
      <c r="E245" s="99"/>
      <c r="F245" s="736"/>
      <c r="G245" s="736"/>
      <c r="H245" s="736"/>
      <c r="I245" s="1468" t="s">
        <v>0</v>
      </c>
      <c r="J245" s="1468"/>
      <c r="K245" s="1468"/>
      <c r="L245" s="1468"/>
      <c r="M245" s="99"/>
      <c r="N245" s="101"/>
    </row>
    <row r="246" spans="1:14" ht="16">
      <c r="A246" s="97"/>
      <c r="B246" s="1469" t="s">
        <v>1</v>
      </c>
      <c r="C246" s="1469"/>
      <c r="D246" s="1469" t="s">
        <v>2</v>
      </c>
      <c r="E246" s="1469"/>
      <c r="F246" s="1977" t="s">
        <v>3</v>
      </c>
      <c r="G246" s="1977"/>
      <c r="H246" s="841" t="s">
        <v>3</v>
      </c>
      <c r="I246" s="127" t="s">
        <v>197</v>
      </c>
      <c r="J246" s="102"/>
      <c r="K246" s="102"/>
      <c r="L246" s="128"/>
      <c r="M246" s="1469" t="s">
        <v>4</v>
      </c>
      <c r="N246" s="1526"/>
    </row>
    <row r="247" spans="1:14" ht="19" thickBot="1">
      <c r="A247" s="103" t="s">
        <v>5</v>
      </c>
      <c r="B247" s="1473" t="s">
        <v>6</v>
      </c>
      <c r="C247" s="1473"/>
      <c r="D247" s="1473" t="s">
        <v>7</v>
      </c>
      <c r="E247" s="1473"/>
      <c r="F247" s="1978" t="s">
        <v>7</v>
      </c>
      <c r="G247" s="1978"/>
      <c r="H247" s="842" t="s">
        <v>58</v>
      </c>
      <c r="I247" s="797" t="s">
        <v>196</v>
      </c>
      <c r="J247" s="795" t="s">
        <v>8</v>
      </c>
      <c r="K247" s="795" t="s">
        <v>9</v>
      </c>
      <c r="L247" s="401" t="s">
        <v>10</v>
      </c>
      <c r="M247" s="1473" t="s">
        <v>145</v>
      </c>
      <c r="N247" s="1475"/>
    </row>
    <row r="248" spans="1:14" ht="24" thickBot="1">
      <c r="A248" s="88" t="s">
        <v>211</v>
      </c>
      <c r="B248" s="1764"/>
      <c r="C248" s="1477"/>
      <c r="D248" s="1478"/>
      <c r="E248" s="1479"/>
      <c r="F248" s="1478"/>
      <c r="G248" s="1479"/>
      <c r="H248" s="818"/>
      <c r="I248" s="213"/>
      <c r="J248" s="213"/>
      <c r="K248" s="213"/>
      <c r="L248" s="214"/>
      <c r="M248" s="1482"/>
      <c r="N248" s="1483"/>
    </row>
    <row r="249" spans="1:14" s="1161" customFormat="1" ht="15.75" customHeight="1" thickBot="1">
      <c r="A249" s="108" t="str">
        <f>'Ontario Total'!A249</f>
        <v>SoCal Water$mart Residential Rebates</v>
      </c>
      <c r="B249" s="1567"/>
      <c r="C249" s="1586"/>
      <c r="D249" s="1567"/>
      <c r="E249" s="1586"/>
      <c r="F249" s="1567"/>
      <c r="G249" s="1586"/>
      <c r="H249" s="1142"/>
      <c r="I249" s="179"/>
      <c r="J249" s="179"/>
      <c r="K249" s="179"/>
      <c r="L249" s="180"/>
      <c r="M249" s="1617"/>
      <c r="N249" s="1486"/>
    </row>
    <row r="250" spans="1:14">
      <c r="A250" s="32" t="str">
        <f>'Ontario Total'!A250</f>
        <v>High Efficiency Toilets (HET)</v>
      </c>
      <c r="B250" s="1431">
        <f>MVWD!N213</f>
        <v>39</v>
      </c>
      <c r="C250" s="1422"/>
      <c r="D250" s="1431">
        <f t="shared" ref="D250:D255" si="63">F250*325851</f>
        <v>540098.03250000009</v>
      </c>
      <c r="E250" s="1422"/>
      <c r="F250" s="1431">
        <f>0.0425*B250</f>
        <v>1.6575000000000002</v>
      </c>
      <c r="G250" s="1422"/>
      <c r="H250" s="805">
        <f>F250*20</f>
        <v>33.150000000000006</v>
      </c>
      <c r="I250" s="151">
        <v>0</v>
      </c>
      <c r="J250" s="150">
        <f>50*B250</f>
        <v>1950</v>
      </c>
      <c r="K250" s="150">
        <f>B250*50</f>
        <v>1950</v>
      </c>
      <c r="L250" s="172">
        <f t="shared" ref="L250:L255" si="64">I250+J250+K250</f>
        <v>3900</v>
      </c>
      <c r="M250" s="1539">
        <f t="shared" ref="M250:M255" si="65">IF(ISERROR(L250/(F250*752)),0,L250/(F250*752))</f>
        <v>3.1289111389236544</v>
      </c>
      <c r="N250" s="1540"/>
    </row>
    <row r="251" spans="1:14">
      <c r="A251" s="32" t="str">
        <f>'Ontario Total'!A251</f>
        <v>High Efficiency Clothes Washers (HECW)</v>
      </c>
      <c r="B251" s="1431">
        <f>MVWD!N214</f>
        <v>38</v>
      </c>
      <c r="C251" s="1422"/>
      <c r="D251" s="1431">
        <f t="shared" si="63"/>
        <v>341752.52879999997</v>
      </c>
      <c r="E251" s="1422"/>
      <c r="F251" s="1431">
        <f>0.0276*B251</f>
        <v>1.0488</v>
      </c>
      <c r="G251" s="1422"/>
      <c r="H251" s="805">
        <f>F251*15</f>
        <v>15.731999999999999</v>
      </c>
      <c r="I251" s="150">
        <f>0*B251</f>
        <v>0</v>
      </c>
      <c r="J251" s="150">
        <f>B251*65</f>
        <v>2470</v>
      </c>
      <c r="K251" s="150">
        <f>B251*85</f>
        <v>3230</v>
      </c>
      <c r="L251" s="172">
        <f t="shared" si="64"/>
        <v>5700</v>
      </c>
      <c r="M251" s="1539">
        <f t="shared" si="65"/>
        <v>7.227104532839963</v>
      </c>
      <c r="N251" s="1540"/>
    </row>
    <row r="252" spans="1:14">
      <c r="A252" s="32" t="str">
        <f>'Ontario Total'!A252</f>
        <v>Rotating Nozzles for Pop-up Spray Heads</v>
      </c>
      <c r="B252" s="1431">
        <f>MVWD!N215</f>
        <v>2</v>
      </c>
      <c r="C252" s="1422"/>
      <c r="D252" s="1431">
        <f t="shared" si="63"/>
        <v>2606.808</v>
      </c>
      <c r="E252" s="1422"/>
      <c r="F252" s="1431">
        <f>0.004*B252</f>
        <v>8.0000000000000002E-3</v>
      </c>
      <c r="G252" s="1422"/>
      <c r="H252" s="805">
        <f>F252*5</f>
        <v>0.04</v>
      </c>
      <c r="I252" s="150">
        <f>0*B252</f>
        <v>0</v>
      </c>
      <c r="J252" s="150">
        <f>1*B252</f>
        <v>2</v>
      </c>
      <c r="K252" s="150">
        <f>B252*4</f>
        <v>8</v>
      </c>
      <c r="L252" s="172">
        <f t="shared" si="64"/>
        <v>10</v>
      </c>
      <c r="M252" s="1539">
        <f t="shared" si="65"/>
        <v>1.6622340425531914</v>
      </c>
      <c r="N252" s="1540"/>
    </row>
    <row r="253" spans="1:14">
      <c r="A253" s="32" t="str">
        <f>'Ontario Total'!A253</f>
        <v>Weather based Irrigation Controllers (WBIC)</v>
      </c>
      <c r="B253" s="1421">
        <f>MVWD!N216</f>
        <v>2</v>
      </c>
      <c r="C253" s="1422"/>
      <c r="D253" s="1431">
        <f t="shared" si="63"/>
        <v>211803.15</v>
      </c>
      <c r="E253" s="1422"/>
      <c r="F253" s="1467">
        <f>0.325*B253</f>
        <v>0.65</v>
      </c>
      <c r="G253" s="1433"/>
      <c r="H253" s="812">
        <f>F253*10</f>
        <v>6.5</v>
      </c>
      <c r="I253" s="151">
        <v>0</v>
      </c>
      <c r="J253" s="173">
        <f>70*B253</f>
        <v>140</v>
      </c>
      <c r="K253" s="173">
        <f>B253*80</f>
        <v>160</v>
      </c>
      <c r="L253" s="172">
        <f t="shared" si="64"/>
        <v>300</v>
      </c>
      <c r="M253" s="1539">
        <f t="shared" si="65"/>
        <v>0.61374795417348604</v>
      </c>
      <c r="N253" s="1540"/>
    </row>
    <row r="254" spans="1:14" ht="12.75" hidden="1" customHeight="1">
      <c r="A254" s="76" t="s">
        <v>150</v>
      </c>
      <c r="B254" s="1421">
        <f>MVWD!N217</f>
        <v>0</v>
      </c>
      <c r="C254" s="1422"/>
      <c r="D254" s="1431">
        <f t="shared" si="63"/>
        <v>0</v>
      </c>
      <c r="E254" s="1422"/>
      <c r="F254" s="1467">
        <f>0.325*B254</f>
        <v>0</v>
      </c>
      <c r="G254" s="1433"/>
      <c r="H254" s="812">
        <f>F254*10</f>
        <v>0</v>
      </c>
      <c r="I254" s="151">
        <v>0</v>
      </c>
      <c r="J254" s="173">
        <f>70*B254</f>
        <v>0</v>
      </c>
      <c r="K254" s="173">
        <f>B254*80</f>
        <v>0</v>
      </c>
      <c r="L254" s="172">
        <f t="shared" si="64"/>
        <v>0</v>
      </c>
      <c r="M254" s="1539">
        <f t="shared" si="65"/>
        <v>0</v>
      </c>
      <c r="N254" s="1540"/>
    </row>
    <row r="255" spans="1:14" ht="12.75" customHeight="1" thickBot="1">
      <c r="A255" s="76" t="s">
        <v>214</v>
      </c>
      <c r="B255" s="1421">
        <f>MVWD!N218</f>
        <v>0</v>
      </c>
      <c r="C255" s="1422"/>
      <c r="D255" s="1431">
        <f t="shared" si="63"/>
        <v>0</v>
      </c>
      <c r="E255" s="1422"/>
      <c r="F255" s="1467">
        <f>0.325*B255</f>
        <v>0</v>
      </c>
      <c r="G255" s="1433"/>
      <c r="H255" s="812">
        <f>F255*5</f>
        <v>0</v>
      </c>
      <c r="I255" s="151">
        <v>0</v>
      </c>
      <c r="J255" s="173">
        <f>0*B255</f>
        <v>0</v>
      </c>
      <c r="K255" s="173">
        <f>B255*75</f>
        <v>0</v>
      </c>
      <c r="L255" s="172">
        <f t="shared" si="64"/>
        <v>0</v>
      </c>
      <c r="M255" s="1539">
        <f t="shared" si="65"/>
        <v>0</v>
      </c>
      <c r="N255" s="1540"/>
    </row>
    <row r="256" spans="1:14" s="1161" customFormat="1" ht="15.75" customHeight="1" thickBot="1">
      <c r="A256" s="108" t="str">
        <f>'Ontario Total'!A256</f>
        <v>IEUA Locally Implemented Residential Programs</v>
      </c>
      <c r="B256" s="1567"/>
      <c r="C256" s="1586"/>
      <c r="D256" s="1567"/>
      <c r="E256" s="1586"/>
      <c r="F256" s="1567"/>
      <c r="G256" s="1586"/>
      <c r="H256" s="1142"/>
      <c r="I256" s="179"/>
      <c r="J256" s="179"/>
      <c r="K256" s="179"/>
      <c r="L256" s="180"/>
      <c r="M256" s="1593"/>
      <c r="N256" s="1542"/>
    </row>
    <row r="257" spans="1:14">
      <c r="A257" s="78" t="s">
        <v>205</v>
      </c>
      <c r="B257" s="1431">
        <f>MVWD!N220</f>
        <v>712</v>
      </c>
      <c r="C257" s="1422"/>
      <c r="D257" s="1431">
        <f>F257*325851</f>
        <v>928023.64799999993</v>
      </c>
      <c r="E257" s="1422"/>
      <c r="F257" s="1431">
        <f>B257*0.004</f>
        <v>2.8479999999999999</v>
      </c>
      <c r="G257" s="1422"/>
      <c r="H257" s="812">
        <f>F257*5</f>
        <v>14.239999999999998</v>
      </c>
      <c r="I257" s="151">
        <v>0</v>
      </c>
      <c r="J257" s="151">
        <v>0</v>
      </c>
      <c r="K257" s="173">
        <f>2275*3.25</f>
        <v>7393.75</v>
      </c>
      <c r="L257" s="172">
        <f>I257+J257+K257</f>
        <v>7393.75</v>
      </c>
      <c r="M257" s="1539">
        <f>IF(ISERROR(L257/(F257*752)),0,L257/(F257*752))</f>
        <v>3.4522873461032755</v>
      </c>
      <c r="N257" s="1540"/>
    </row>
    <row r="258" spans="1:14">
      <c r="A258" s="78" t="s">
        <v>228</v>
      </c>
      <c r="B258" s="1431">
        <f>MVWD!N221</f>
        <v>32</v>
      </c>
      <c r="C258" s="1422"/>
      <c r="D258" s="1431">
        <f>F258*325900</f>
        <v>6192100</v>
      </c>
      <c r="E258" s="1743"/>
      <c r="F258" s="1868">
        <v>19</v>
      </c>
      <c r="G258" s="1579"/>
      <c r="H258" s="783">
        <v>188</v>
      </c>
      <c r="I258" s="151">
        <v>15309.5</v>
      </c>
      <c r="J258" s="151">
        <v>0</v>
      </c>
      <c r="K258" s="151">
        <v>15309.5</v>
      </c>
      <c r="L258" s="172">
        <f>I258+J258+K258</f>
        <v>30619</v>
      </c>
      <c r="M258" s="1539">
        <f>IF(ISERROR(L258/(F258*752)),0,L258/(F258*752))</f>
        <v>2.1429871220604704</v>
      </c>
      <c r="N258" s="1540"/>
    </row>
    <row r="259" spans="1:14" ht="14" thickBot="1">
      <c r="A259" s="78" t="s">
        <v>221</v>
      </c>
      <c r="B259" s="1431">
        <f>MVWD!N222</f>
        <v>7</v>
      </c>
      <c r="C259" s="1422"/>
      <c r="D259" s="1431">
        <f>F259*325900</f>
        <v>306606.71999999997</v>
      </c>
      <c r="E259" s="1743"/>
      <c r="F259" s="1736">
        <f>6720*0.00014</f>
        <v>0.94079999999999997</v>
      </c>
      <c r="G259" s="1446"/>
      <c r="H259" s="809">
        <f>F259*10</f>
        <v>9.4079999999999995</v>
      </c>
      <c r="I259" s="151">
        <v>0</v>
      </c>
      <c r="J259" s="151">
        <v>13413.6</v>
      </c>
      <c r="K259" s="151">
        <v>6720</v>
      </c>
      <c r="L259" s="172">
        <f>I259+J259+K259</f>
        <v>20133.599999999999</v>
      </c>
      <c r="M259" s="1539">
        <f>IF(ISERROR(L259/(F259*752)),0,L259/(F259*752))</f>
        <v>28.45812527138515</v>
      </c>
      <c r="N259" s="1540"/>
    </row>
    <row r="260" spans="1:14" ht="14" thickBot="1">
      <c r="A260" s="53" t="s">
        <v>60</v>
      </c>
      <c r="B260" s="1438">
        <f>SUM(B250:C259)</f>
        <v>832</v>
      </c>
      <c r="C260" s="1609"/>
      <c r="D260" s="1440">
        <f>SUM(D250:E259)</f>
        <v>8522990.8872999996</v>
      </c>
      <c r="E260" s="1621"/>
      <c r="F260" s="1441">
        <f>SUM(F250:G259)</f>
        <v>26.153099999999998</v>
      </c>
      <c r="G260" s="1439"/>
      <c r="H260" s="786">
        <f>SUM(H250:H259)</f>
        <v>267.07000000000005</v>
      </c>
      <c r="I260" s="136">
        <f>SUM(I250:I259)</f>
        <v>15309.5</v>
      </c>
      <c r="J260" s="136">
        <f>SUM(J250:J259)</f>
        <v>17975.599999999999</v>
      </c>
      <c r="K260" s="136">
        <f>SUM(K250:K259)</f>
        <v>34771.25</v>
      </c>
      <c r="L260" s="152">
        <f>SUM(L250:L259)</f>
        <v>68056.350000000006</v>
      </c>
      <c r="M260" s="1441"/>
      <c r="N260" s="1622"/>
    </row>
    <row r="261" spans="1:14" s="91" customFormat="1" ht="17" hidden="1" thickBot="1">
      <c r="A261" s="108" t="str">
        <f>'Ontario Total'!A261</f>
        <v xml:space="preserve">IEUA High Efficiency Toilet (HET) Installation Prog. </v>
      </c>
      <c r="B261" s="1567"/>
      <c r="C261" s="1586"/>
      <c r="D261" s="1567"/>
      <c r="E261" s="1586"/>
      <c r="F261" s="1567"/>
      <c r="G261" s="1586"/>
      <c r="H261" s="799"/>
      <c r="I261" s="179"/>
      <c r="J261" s="179"/>
      <c r="K261" s="179"/>
      <c r="L261" s="180"/>
      <c r="M261" s="1593"/>
      <c r="N261" s="1542"/>
    </row>
    <row r="262" spans="1:14" ht="14" hidden="1" thickBot="1">
      <c r="A262" s="32" t="str">
        <f>'Ontario Total'!A262</f>
        <v>IEUA Multi-Family Direct Install Prog. (HET)</v>
      </c>
      <c r="B262" s="1431">
        <f>MVWD!N225</f>
        <v>0</v>
      </c>
      <c r="C262" s="1422"/>
      <c r="D262" s="1431">
        <f>F262*325851</f>
        <v>0</v>
      </c>
      <c r="E262" s="1422"/>
      <c r="F262" s="1431">
        <f>0.0425*B262</f>
        <v>0</v>
      </c>
      <c r="G262" s="1422"/>
      <c r="H262" s="805">
        <f>F262*20</f>
        <v>0</v>
      </c>
      <c r="I262" s="181">
        <f>73.34*B262</f>
        <v>0</v>
      </c>
      <c r="J262" s="181">
        <f>35.66*B262</f>
        <v>0</v>
      </c>
      <c r="K262" s="181">
        <f>B262*50</f>
        <v>0</v>
      </c>
      <c r="L262" s="182">
        <f>I262+J262+K262</f>
        <v>0</v>
      </c>
      <c r="M262" s="1990">
        <f>IF(ISERROR(L262/(F262*727)),0,L262/(F262*727))</f>
        <v>0</v>
      </c>
      <c r="N262" s="1991"/>
    </row>
    <row r="263" spans="1:14" ht="14" hidden="1" thickBot="1">
      <c r="A263" s="32" t="str">
        <f>'Ontario Total'!A263</f>
        <v>IEUA Single-Family Direct Install Prog. (HET)</v>
      </c>
      <c r="B263" s="1431">
        <f>MVWD!N226</f>
        <v>0</v>
      </c>
      <c r="C263" s="1422"/>
      <c r="D263" s="1431">
        <f>F263*325851</f>
        <v>0</v>
      </c>
      <c r="E263" s="1422"/>
      <c r="F263" s="1431">
        <f>0.0425*B263</f>
        <v>0</v>
      </c>
      <c r="G263" s="1422"/>
      <c r="H263" s="805">
        <f>F263*20</f>
        <v>0</v>
      </c>
      <c r="I263" s="181">
        <f>73.34*B263</f>
        <v>0</v>
      </c>
      <c r="J263" s="181">
        <f>35.66*B263</f>
        <v>0</v>
      </c>
      <c r="K263" s="181">
        <f>B263*50</f>
        <v>0</v>
      </c>
      <c r="L263" s="182">
        <f>I263+J263+K263</f>
        <v>0</v>
      </c>
      <c r="M263" s="1990">
        <f>IF(ISERROR(L263/(F263*727)),0,L263/(F263*727))</f>
        <v>0</v>
      </c>
      <c r="N263" s="1991"/>
    </row>
    <row r="264" spans="1:14" ht="14" hidden="1" thickBot="1">
      <c r="A264" s="53" t="s">
        <v>60</v>
      </c>
      <c r="B264" s="1438">
        <f>SUM(B262:B263)</f>
        <v>0</v>
      </c>
      <c r="C264" s="1609"/>
      <c r="D264" s="1438">
        <f>SUM(D262:D263)</f>
        <v>0</v>
      </c>
      <c r="E264" s="1609"/>
      <c r="F264" s="1438">
        <f>SUM(F262:F263)</f>
        <v>0</v>
      </c>
      <c r="G264" s="1439"/>
      <c r="H264" s="786">
        <f>SUM(H262:H263)</f>
        <v>0</v>
      </c>
      <c r="I264" s="186">
        <f>SUM(I262:I263)</f>
        <v>0</v>
      </c>
      <c r="J264" s="187">
        <f>SUM(J262:J263)</f>
        <v>0</v>
      </c>
      <c r="K264" s="187">
        <f>SUM(K262:K263)</f>
        <v>0</v>
      </c>
      <c r="L264" s="186">
        <f>SUM(L262:L263)</f>
        <v>0</v>
      </c>
      <c r="M264" s="1442"/>
      <c r="N264" s="1735"/>
    </row>
    <row r="265" spans="1:14" s="1161" customFormat="1" ht="17" thickBot="1">
      <c r="A265" s="108" t="str">
        <f>'Ontario Total'!A265</f>
        <v>SoCal Water$mart Commercial Rebates</v>
      </c>
      <c r="B265" s="1567"/>
      <c r="C265" s="1586"/>
      <c r="D265" s="1567"/>
      <c r="E265" s="1586"/>
      <c r="F265" s="1567"/>
      <c r="G265" s="1586"/>
      <c r="H265" s="1142"/>
      <c r="I265" s="179"/>
      <c r="J265" s="179"/>
      <c r="K265" s="179"/>
      <c r="L265" s="180"/>
      <c r="M265" s="1593"/>
      <c r="N265" s="1542"/>
    </row>
    <row r="266" spans="1:14">
      <c r="A266" s="32" t="str">
        <f>'Ontario Total'!A266</f>
        <v>High Efficiency Toilets (HET)</v>
      </c>
      <c r="B266" s="1431">
        <f>MVWD!N229</f>
        <v>2</v>
      </c>
      <c r="C266" s="1422"/>
      <c r="D266" s="1431">
        <f t="shared" ref="D266:D278" si="66">F266*325851</f>
        <v>27697.335000000003</v>
      </c>
      <c r="E266" s="1422"/>
      <c r="F266" s="1871">
        <f>0.0425*B266</f>
        <v>8.5000000000000006E-2</v>
      </c>
      <c r="G266" s="1450"/>
      <c r="H266" s="805">
        <f>F266*20</f>
        <v>1.7000000000000002</v>
      </c>
      <c r="I266" s="215">
        <v>0</v>
      </c>
      <c r="J266" s="140">
        <v>90</v>
      </c>
      <c r="K266" s="140">
        <v>200</v>
      </c>
      <c r="L266" s="217">
        <f>SUM(I266:K266)</f>
        <v>290</v>
      </c>
      <c r="M266" s="1539">
        <f>IF(ISERROR(L266/(F266*752)),0,L266/(F266*752))</f>
        <v>4.5369211514392989</v>
      </c>
      <c r="N266" s="1540"/>
    </row>
    <row r="267" spans="1:14">
      <c r="A267" s="32" t="str">
        <f>'Ontario Total'!A267</f>
        <v>Waterless Urinals</v>
      </c>
      <c r="B267" s="1431">
        <f>MVWD!N230</f>
        <v>0</v>
      </c>
      <c r="C267" s="1422"/>
      <c r="D267" s="1431">
        <f t="shared" si="66"/>
        <v>0</v>
      </c>
      <c r="E267" s="1422"/>
      <c r="F267" s="1431">
        <f>0.1227*B267</f>
        <v>0</v>
      </c>
      <c r="G267" s="1422"/>
      <c r="H267" s="805">
        <f>F267*20</f>
        <v>0</v>
      </c>
      <c r="I267" s="215">
        <v>0</v>
      </c>
      <c r="J267" s="140">
        <f>50*B267</f>
        <v>0</v>
      </c>
      <c r="K267" s="140">
        <f>200*B267</f>
        <v>0</v>
      </c>
      <c r="L267" s="217">
        <f>SUM(I267:K267)</f>
        <v>0</v>
      </c>
      <c r="M267" s="1539">
        <f t="shared" ref="M267:M279" si="67">IF(ISERROR(L267/(F267*752)),0,L267/(F267*752))</f>
        <v>0</v>
      </c>
      <c r="N267" s="1540"/>
    </row>
    <row r="268" spans="1:14">
      <c r="A268" s="32" t="s">
        <v>204</v>
      </c>
      <c r="B268" s="1431">
        <f>MVWD!N231</f>
        <v>0</v>
      </c>
      <c r="C268" s="1422"/>
      <c r="D268" s="1431">
        <f t="shared" si="66"/>
        <v>0</v>
      </c>
      <c r="E268" s="1422"/>
      <c r="F268" s="1431">
        <f>0.644*B268</f>
        <v>0</v>
      </c>
      <c r="G268" s="1422"/>
      <c r="H268" s="805">
        <f>F268*5</f>
        <v>0</v>
      </c>
      <c r="I268" s="215">
        <v>0</v>
      </c>
      <c r="J268" s="140">
        <f>43.75*B268</f>
        <v>0</v>
      </c>
      <c r="K268" s="140">
        <f>625*B268</f>
        <v>0</v>
      </c>
      <c r="L268" s="217">
        <f>SUM(I268:K268)</f>
        <v>0</v>
      </c>
      <c r="M268" s="1539">
        <f t="shared" si="67"/>
        <v>0</v>
      </c>
      <c r="N268" s="1540"/>
    </row>
    <row r="269" spans="1:14" ht="12.75" hidden="1" customHeight="1">
      <c r="A269" s="32" t="str">
        <f>'Ontario Total'!A269</f>
        <v>High Efficiency Clothes Washers</v>
      </c>
      <c r="B269" s="1431">
        <f>MVWD!N232</f>
        <v>0</v>
      </c>
      <c r="C269" s="1422"/>
      <c r="D269" s="1431">
        <f t="shared" si="66"/>
        <v>0</v>
      </c>
      <c r="E269" s="1422"/>
      <c r="F269" s="1431">
        <f>0.0276*B269</f>
        <v>0</v>
      </c>
      <c r="G269" s="1422"/>
      <c r="H269" s="805">
        <f>F269*10</f>
        <v>0</v>
      </c>
      <c r="I269" s="215">
        <v>0</v>
      </c>
      <c r="J269" s="192">
        <f>100*B269</f>
        <v>0</v>
      </c>
      <c r="K269" s="192">
        <f>80*B269</f>
        <v>0</v>
      </c>
      <c r="L269" s="193">
        <f>SUM(I269:K269)</f>
        <v>0</v>
      </c>
      <c r="M269" s="1539">
        <f t="shared" si="67"/>
        <v>0</v>
      </c>
      <c r="N269" s="1540"/>
    </row>
    <row r="270" spans="1:14" ht="12.75" hidden="1" customHeight="1">
      <c r="A270" s="35" t="s">
        <v>47</v>
      </c>
      <c r="B270" s="1431">
        <f>MVWD!N233</f>
        <v>0</v>
      </c>
      <c r="C270" s="1422"/>
      <c r="D270" s="1431">
        <f t="shared" si="66"/>
        <v>0</v>
      </c>
      <c r="E270" s="1422"/>
      <c r="F270" s="1431">
        <f>0.1534*B270</f>
        <v>0</v>
      </c>
      <c r="G270" s="1422"/>
      <c r="H270" s="805">
        <f>F270*5</f>
        <v>0</v>
      </c>
      <c r="I270" s="215">
        <v>0</v>
      </c>
      <c r="J270" s="192">
        <f>0*B270</f>
        <v>0</v>
      </c>
      <c r="K270" s="192">
        <f>150*B270</f>
        <v>0</v>
      </c>
      <c r="L270" s="193">
        <f>SUM(I270:K270)</f>
        <v>0</v>
      </c>
      <c r="M270" s="1539">
        <f t="shared" si="67"/>
        <v>0</v>
      </c>
      <c r="N270" s="1540"/>
    </row>
    <row r="271" spans="1:14">
      <c r="A271" s="32" t="str">
        <f>'Ontario Total'!A271</f>
        <v>Weather Based Irrigation Controllers (WBIC)</v>
      </c>
      <c r="B271" s="1431">
        <f>MVWD!N234</f>
        <v>2</v>
      </c>
      <c r="C271" s="1422"/>
      <c r="D271" s="1431">
        <f t="shared" si="66"/>
        <v>211803.15</v>
      </c>
      <c r="E271" s="1422"/>
      <c r="F271" s="1431">
        <f>0.325*B271</f>
        <v>0.65</v>
      </c>
      <c r="G271" s="1422"/>
      <c r="H271" s="805">
        <f>F271*10</f>
        <v>6.5</v>
      </c>
      <c r="I271" s="215">
        <v>0</v>
      </c>
      <c r="J271" s="140">
        <v>0</v>
      </c>
      <c r="K271" s="140">
        <v>184</v>
      </c>
      <c r="L271" s="217">
        <v>0</v>
      </c>
      <c r="M271" s="1539">
        <f t="shared" si="67"/>
        <v>0</v>
      </c>
      <c r="N271" s="1540"/>
    </row>
    <row r="272" spans="1:14" ht="12.75" hidden="1" customHeight="1">
      <c r="A272" s="76" t="s">
        <v>150</v>
      </c>
      <c r="B272" s="1431">
        <f>MVWD!N235</f>
        <v>0</v>
      </c>
      <c r="C272" s="1422"/>
      <c r="D272" s="1431">
        <f t="shared" si="66"/>
        <v>0</v>
      </c>
      <c r="E272" s="1422"/>
      <c r="F272" s="1431">
        <f>0.00014*0</f>
        <v>0</v>
      </c>
      <c r="G272" s="1422"/>
      <c r="H272" s="805">
        <f>F272*10</f>
        <v>0</v>
      </c>
      <c r="I272" s="215">
        <v>0</v>
      </c>
      <c r="J272" s="192">
        <f>0.45*0</f>
        <v>0</v>
      </c>
      <c r="K272" s="192">
        <f>0.3*0</f>
        <v>0</v>
      </c>
      <c r="L272" s="193">
        <f t="shared" ref="L272:L278" si="68">SUM(I272:K272)</f>
        <v>0</v>
      </c>
      <c r="M272" s="1539">
        <f t="shared" si="67"/>
        <v>0</v>
      </c>
      <c r="N272" s="1540"/>
    </row>
    <row r="273" spans="1:14">
      <c r="A273" s="32" t="str">
        <f>'Ontario Total'!A273</f>
        <v>Rotating Nozzles for Pop-up Spray Heads</v>
      </c>
      <c r="B273" s="1431">
        <f>MVWD!N236</f>
        <v>48</v>
      </c>
      <c r="C273" s="1422"/>
      <c r="D273" s="1431">
        <f t="shared" si="66"/>
        <v>62563.392</v>
      </c>
      <c r="E273" s="1422"/>
      <c r="F273" s="1871">
        <f>0.004*B273</f>
        <v>0.192</v>
      </c>
      <c r="G273" s="1450"/>
      <c r="H273" s="805">
        <f>F273*5</f>
        <v>0.96</v>
      </c>
      <c r="I273" s="215">
        <v>0</v>
      </c>
      <c r="J273" s="140">
        <f>1*B273</f>
        <v>48</v>
      </c>
      <c r="K273" s="140">
        <f>4*B273</f>
        <v>192</v>
      </c>
      <c r="L273" s="217">
        <f t="shared" si="68"/>
        <v>240</v>
      </c>
      <c r="M273" s="1539">
        <f t="shared" si="67"/>
        <v>1.6622340425531914</v>
      </c>
      <c r="N273" s="1540"/>
    </row>
    <row r="274" spans="1:14">
      <c r="A274" s="32" t="str">
        <f>'Ontario Total'!A274</f>
        <v>Large Rotary Nozzles</v>
      </c>
      <c r="B274" s="1431">
        <f>MVWD!N237</f>
        <v>0</v>
      </c>
      <c r="C274" s="1422"/>
      <c r="D274" s="1431">
        <f t="shared" si="66"/>
        <v>0</v>
      </c>
      <c r="E274" s="1422"/>
      <c r="F274" s="1431">
        <f>0.018*B274</f>
        <v>0</v>
      </c>
      <c r="G274" s="1422"/>
      <c r="H274" s="805">
        <f>F274*10</f>
        <v>0</v>
      </c>
      <c r="I274" s="215">
        <v>0</v>
      </c>
      <c r="J274" s="140">
        <f>0*B274</f>
        <v>0</v>
      </c>
      <c r="K274" s="140">
        <f>13*B274</f>
        <v>0</v>
      </c>
      <c r="L274" s="217">
        <f t="shared" si="68"/>
        <v>0</v>
      </c>
      <c r="M274" s="1539">
        <f t="shared" si="67"/>
        <v>0</v>
      </c>
      <c r="N274" s="1540"/>
    </row>
    <row r="275" spans="1:14" ht="13.5" hidden="1" customHeight="1">
      <c r="A275" s="33" t="s">
        <v>102</v>
      </c>
      <c r="B275" s="1431">
        <f>MVWD!N238</f>
        <v>0</v>
      </c>
      <c r="C275" s="1422"/>
      <c r="D275" s="1431">
        <f t="shared" si="66"/>
        <v>0</v>
      </c>
      <c r="E275" s="1422"/>
      <c r="F275" s="1431">
        <f>0.018*B275</f>
        <v>0</v>
      </c>
      <c r="G275" s="1422"/>
      <c r="H275" s="805">
        <f>F275*10</f>
        <v>0</v>
      </c>
      <c r="I275" s="215">
        <v>1</v>
      </c>
      <c r="J275" s="140">
        <f>0*B275</f>
        <v>0</v>
      </c>
      <c r="K275" s="140">
        <f>13*B275</f>
        <v>0</v>
      </c>
      <c r="L275" s="217">
        <f t="shared" si="68"/>
        <v>1</v>
      </c>
      <c r="M275" s="1539">
        <f t="shared" si="67"/>
        <v>0</v>
      </c>
      <c r="N275" s="1540"/>
    </row>
    <row r="276" spans="1:14">
      <c r="A276" s="32" t="str">
        <f>'Ontario Total'!A276</f>
        <v xml:space="preserve">Central Computerized Irrigation Controller </v>
      </c>
      <c r="B276" s="1431">
        <f>MVWD!N239</f>
        <v>0</v>
      </c>
      <c r="C276" s="1422"/>
      <c r="D276" s="1431">
        <f t="shared" si="66"/>
        <v>0</v>
      </c>
      <c r="E276" s="1422"/>
      <c r="F276" s="1431">
        <f>0.018*B276</f>
        <v>0</v>
      </c>
      <c r="G276" s="1422"/>
      <c r="H276" s="805">
        <f>F276*10</f>
        <v>0</v>
      </c>
      <c r="I276" s="215">
        <v>0</v>
      </c>
      <c r="J276" s="215">
        <v>0</v>
      </c>
      <c r="K276" s="215">
        <v>0</v>
      </c>
      <c r="L276" s="217">
        <f t="shared" si="68"/>
        <v>0</v>
      </c>
      <c r="M276" s="1539">
        <f t="shared" si="67"/>
        <v>0</v>
      </c>
      <c r="N276" s="1540"/>
    </row>
    <row r="277" spans="1:14" s="57" customFormat="1">
      <c r="A277" s="144" t="str">
        <f>'Ontario Total'!A277</f>
        <v>Laminar Flow Restrictor</v>
      </c>
      <c r="B277" s="1431">
        <f>MVWD!N240</f>
        <v>0</v>
      </c>
      <c r="C277" s="1422"/>
      <c r="D277" s="1736">
        <f t="shared" si="66"/>
        <v>0</v>
      </c>
      <c r="E277" s="1446"/>
      <c r="F277" s="1736">
        <f>0.023*B277</f>
        <v>0</v>
      </c>
      <c r="G277" s="1446"/>
      <c r="H277" s="809">
        <f>F277*5</f>
        <v>0</v>
      </c>
      <c r="I277" s="215">
        <v>0</v>
      </c>
      <c r="J277" s="215">
        <f>B277*10</f>
        <v>0</v>
      </c>
      <c r="K277" s="215">
        <f>B277*10</f>
        <v>0</v>
      </c>
      <c r="L277" s="218">
        <f t="shared" si="68"/>
        <v>0</v>
      </c>
      <c r="M277" s="1539">
        <f t="shared" si="67"/>
        <v>0</v>
      </c>
      <c r="N277" s="1540"/>
    </row>
    <row r="278" spans="1:14" s="57" customFormat="1">
      <c r="A278" s="144" t="str">
        <f>'Ontario Total'!A278</f>
        <v>Air-Cooled Ice Machine</v>
      </c>
      <c r="B278" s="1431">
        <f>MVWD!N241</f>
        <v>0</v>
      </c>
      <c r="C278" s="1422"/>
      <c r="D278" s="1736">
        <f t="shared" si="66"/>
        <v>65170.200000000004</v>
      </c>
      <c r="E278" s="1446"/>
      <c r="F278" s="1736">
        <v>0.2</v>
      </c>
      <c r="G278" s="1446"/>
      <c r="H278" s="809">
        <f>F278*7</f>
        <v>1.4000000000000001</v>
      </c>
      <c r="I278" s="215">
        <v>0</v>
      </c>
      <c r="J278" s="215">
        <f>B278*930</f>
        <v>0</v>
      </c>
      <c r="K278" s="215">
        <f>B278*1000</f>
        <v>0</v>
      </c>
      <c r="L278" s="218">
        <f t="shared" si="68"/>
        <v>0</v>
      </c>
      <c r="M278" s="1539">
        <f t="shared" si="67"/>
        <v>0</v>
      </c>
      <c r="N278" s="1540"/>
    </row>
    <row r="279" spans="1:14" s="57" customFormat="1" ht="14" thickBot="1">
      <c r="A279" s="144" t="s">
        <v>213</v>
      </c>
      <c r="B279" s="1429">
        <f>MVWD!N242</f>
        <v>0</v>
      </c>
      <c r="C279" s="1430"/>
      <c r="D279" s="1737">
        <f>F279*325851</f>
        <v>0</v>
      </c>
      <c r="E279" s="1726"/>
      <c r="F279" s="1737">
        <v>0</v>
      </c>
      <c r="G279" s="1726"/>
      <c r="H279" s="809">
        <v>0</v>
      </c>
      <c r="I279" s="215">
        <v>0</v>
      </c>
      <c r="J279" s="215">
        <f>B279*930</f>
        <v>0</v>
      </c>
      <c r="K279" s="215">
        <f>B279*1000</f>
        <v>0</v>
      </c>
      <c r="L279" s="218">
        <f>SUM(I279:K279)</f>
        <v>0</v>
      </c>
      <c r="M279" s="1539">
        <f t="shared" si="67"/>
        <v>0</v>
      </c>
      <c r="N279" s="1540"/>
    </row>
    <row r="280" spans="1:14" s="1161" customFormat="1" ht="17" thickBot="1">
      <c r="A280" s="108" t="str">
        <f>'Ontario Total'!A280</f>
        <v>IEUA Locally Implemented Commercial Programs</v>
      </c>
      <c r="B280" s="1567"/>
      <c r="C280" s="1586"/>
      <c r="D280" s="1567"/>
      <c r="E280" s="1586"/>
      <c r="F280" s="1567"/>
      <c r="G280" s="1586"/>
      <c r="H280" s="1142"/>
      <c r="I280" s="179"/>
      <c r="J280" s="179"/>
      <c r="K280" s="179"/>
      <c r="L280" s="180"/>
      <c r="M280" s="1593"/>
      <c r="N280" s="1542"/>
    </row>
    <row r="281" spans="1:14" ht="13.5" hidden="1" customHeight="1">
      <c r="A281" s="32" t="str">
        <f>'Ontario Total'!A281</f>
        <v>Fontana Unified School Retrofit Program</v>
      </c>
      <c r="B281" s="1431">
        <f>MVWD!N244</f>
        <v>0</v>
      </c>
      <c r="C281" s="1422"/>
      <c r="D281" s="1431">
        <f>F281*325851</f>
        <v>0</v>
      </c>
      <c r="E281" s="1422"/>
      <c r="F281" s="1431">
        <f>0.018*B281</f>
        <v>0</v>
      </c>
      <c r="G281" s="1422"/>
      <c r="H281" s="805">
        <f>F281*10</f>
        <v>0</v>
      </c>
      <c r="I281" s="188">
        <v>0</v>
      </c>
      <c r="J281" s="181">
        <v>0</v>
      </c>
      <c r="K281" s="181">
        <v>0</v>
      </c>
      <c r="L281" s="182">
        <f>SUM(I281:K281)</f>
        <v>0</v>
      </c>
      <c r="M281" s="1990">
        <f>IF(ISERROR(L281/(F281*727)),0,L281/(F281*727))</f>
        <v>0</v>
      </c>
      <c r="N281" s="1991"/>
    </row>
    <row r="282" spans="1:14" ht="14" thickBot="1">
      <c r="A282" s="32" t="s">
        <v>165</v>
      </c>
      <c r="B282" s="1431">
        <f>MVWD!N245</f>
        <v>1460</v>
      </c>
      <c r="C282" s="1422"/>
      <c r="D282" s="1431">
        <f>F282*325851</f>
        <v>1902969.8399999999</v>
      </c>
      <c r="E282" s="1422"/>
      <c r="F282" s="1431">
        <f>0.004*B282</f>
        <v>5.84</v>
      </c>
      <c r="G282" s="1422"/>
      <c r="H282" s="805">
        <f>F282*5</f>
        <v>29.2</v>
      </c>
      <c r="I282" s="151">
        <v>0</v>
      </c>
      <c r="J282" s="150">
        <f>0*B282</f>
        <v>0</v>
      </c>
      <c r="K282" s="150">
        <f>3.25*B282</f>
        <v>4745</v>
      </c>
      <c r="L282" s="172">
        <f>SUM(I282:K282)</f>
        <v>4745</v>
      </c>
      <c r="M282" s="1539">
        <f>IF(ISERROR(L282/(F282*752)),0,L282/(F282*752))</f>
        <v>1.0804521276595744</v>
      </c>
      <c r="N282" s="1540"/>
    </row>
    <row r="283" spans="1:14" ht="14" thickBot="1">
      <c r="A283" s="53" t="s">
        <v>60</v>
      </c>
      <c r="B283" s="1438">
        <f>SUM(B266:C282)</f>
        <v>1512</v>
      </c>
      <c r="C283" s="1621"/>
      <c r="D283" s="1441">
        <f>SUM(D266:E282)</f>
        <v>2270203.9169999999</v>
      </c>
      <c r="E283" s="1609"/>
      <c r="F283" s="1440">
        <f>SUM(F266:G282)</f>
        <v>6.9669999999999996</v>
      </c>
      <c r="G283" s="1439"/>
      <c r="H283" s="786">
        <f>SUM(H266:H282)</f>
        <v>39.76</v>
      </c>
      <c r="I283" s="136">
        <v>0</v>
      </c>
      <c r="J283" s="136">
        <f>SUM(J266:J282)</f>
        <v>138</v>
      </c>
      <c r="K283" s="136">
        <f>SUM(K266:K282)</f>
        <v>5321</v>
      </c>
      <c r="L283" s="136">
        <f>SUM(L266:L282)</f>
        <v>5276</v>
      </c>
      <c r="M283" s="1442"/>
      <c r="N283" s="1735"/>
    </row>
    <row r="284" spans="1:14" s="1168" customFormat="1" ht="17" thickBot="1">
      <c r="A284" s="1182" t="s">
        <v>17</v>
      </c>
      <c r="B284" s="1665">
        <f>SUM(B260+B264+B283)</f>
        <v>2344</v>
      </c>
      <c r="C284" s="1664"/>
      <c r="D284" s="1665">
        <f>SUM(D260+D264+D283)</f>
        <v>10793194.804299999</v>
      </c>
      <c r="E284" s="1664"/>
      <c r="F284" s="1665">
        <f>SUM(F260+F264+F283)</f>
        <v>33.120100000000001</v>
      </c>
      <c r="G284" s="1664"/>
      <c r="H284" s="1187">
        <f>SUM(H260,H264,H283)</f>
        <v>306.83000000000004</v>
      </c>
      <c r="I284" s="1238">
        <f>SUM(I260+I264+I283)</f>
        <v>15309.5</v>
      </c>
      <c r="J284" s="1238">
        <f>SUM(J260+J264+J283)</f>
        <v>18113.599999999999</v>
      </c>
      <c r="K284" s="1238">
        <f>SUM(K260+K264+K283)</f>
        <v>40092.25</v>
      </c>
      <c r="L284" s="1238">
        <f>SUM(L260+L264+L283)</f>
        <v>73332.350000000006</v>
      </c>
      <c r="M284" s="1996"/>
      <c r="N284" s="1997"/>
    </row>
    <row r="285" spans="1:14" ht="16">
      <c r="A285" s="60"/>
      <c r="B285" s="61"/>
      <c r="C285" s="61"/>
      <c r="D285" s="61"/>
      <c r="E285" s="61"/>
      <c r="F285" s="61"/>
      <c r="G285" s="61"/>
      <c r="H285" s="61"/>
      <c r="I285" s="62"/>
      <c r="J285" s="62"/>
      <c r="K285" s="62"/>
      <c r="L285" s="62"/>
      <c r="M285" s="64"/>
      <c r="N285" s="65"/>
    </row>
    <row r="286" spans="1:14" ht="16">
      <c r="A286" s="9" t="s">
        <v>18</v>
      </c>
      <c r="B286" s="1419" t="s">
        <v>59</v>
      </c>
      <c r="C286" s="1419"/>
      <c r="D286" s="1419"/>
      <c r="E286" s="1419"/>
      <c r="F286" s="61"/>
      <c r="G286" s="61"/>
      <c r="H286" s="61"/>
      <c r="I286" s="62"/>
      <c r="J286" s="62"/>
      <c r="K286" s="62"/>
      <c r="L286" s="62"/>
      <c r="M286" s="64"/>
      <c r="N286" s="65"/>
    </row>
    <row r="287" spans="1:14" ht="16">
      <c r="A287" s="57"/>
      <c r="B287" s="1420" t="s">
        <v>19</v>
      </c>
      <c r="C287" s="1420"/>
      <c r="D287" s="1420"/>
      <c r="E287" s="1420"/>
      <c r="F287" s="61"/>
      <c r="G287" s="61"/>
      <c r="H287" s="61"/>
      <c r="I287" s="62"/>
      <c r="J287" s="62"/>
      <c r="K287" s="62"/>
      <c r="L287" s="62"/>
      <c r="M287" s="64"/>
      <c r="N287" s="65"/>
    </row>
    <row r="288" spans="1:14" ht="17" thickBot="1">
      <c r="A288" s="57"/>
      <c r="B288" s="820"/>
      <c r="C288" s="820"/>
      <c r="D288" s="820"/>
      <c r="E288" s="820"/>
      <c r="F288" s="61"/>
      <c r="G288" s="61"/>
      <c r="H288" s="61"/>
      <c r="I288" s="62"/>
      <c r="J288" s="62"/>
      <c r="K288" s="62"/>
      <c r="L288" s="62"/>
      <c r="M288" s="64"/>
      <c r="N288" s="65"/>
    </row>
    <row r="289" spans="1:14" s="363" customFormat="1" ht="16">
      <c r="A289" s="98"/>
      <c r="B289" s="99"/>
      <c r="C289" s="99"/>
      <c r="D289" s="99"/>
      <c r="E289" s="99"/>
      <c r="F289" s="736"/>
      <c r="G289" s="736"/>
      <c r="H289" s="736"/>
      <c r="I289" s="1468" t="s">
        <v>0</v>
      </c>
      <c r="J289" s="1468"/>
      <c r="K289" s="1468"/>
      <c r="L289" s="1468"/>
      <c r="M289" s="99"/>
      <c r="N289" s="101"/>
    </row>
    <row r="290" spans="1:14" ht="16">
      <c r="A290" s="97"/>
      <c r="B290" s="1469" t="s">
        <v>1</v>
      </c>
      <c r="C290" s="1469"/>
      <c r="D290" s="1469" t="s">
        <v>2</v>
      </c>
      <c r="E290" s="1469"/>
      <c r="F290" s="1977" t="s">
        <v>3</v>
      </c>
      <c r="G290" s="1977"/>
      <c r="H290" s="841" t="s">
        <v>3</v>
      </c>
      <c r="I290" s="127" t="s">
        <v>197</v>
      </c>
      <c r="J290" s="102"/>
      <c r="K290" s="102"/>
      <c r="L290" s="128"/>
      <c r="M290" s="1469" t="s">
        <v>4</v>
      </c>
      <c r="N290" s="1526"/>
    </row>
    <row r="291" spans="1:14" ht="19" thickBot="1">
      <c r="A291" s="103" t="s">
        <v>5</v>
      </c>
      <c r="B291" s="1473" t="s">
        <v>6</v>
      </c>
      <c r="C291" s="1473"/>
      <c r="D291" s="1473" t="s">
        <v>7</v>
      </c>
      <c r="E291" s="1473"/>
      <c r="F291" s="1978" t="s">
        <v>7</v>
      </c>
      <c r="G291" s="1978"/>
      <c r="H291" s="842" t="s">
        <v>58</v>
      </c>
      <c r="I291" s="797" t="s">
        <v>196</v>
      </c>
      <c r="J291" s="795" t="s">
        <v>8</v>
      </c>
      <c r="K291" s="795" t="s">
        <v>9</v>
      </c>
      <c r="L291" s="401" t="s">
        <v>10</v>
      </c>
      <c r="M291" s="1473" t="s">
        <v>145</v>
      </c>
      <c r="N291" s="1475"/>
    </row>
    <row r="292" spans="1:14" ht="24" thickBot="1">
      <c r="A292" s="88" t="s">
        <v>185</v>
      </c>
      <c r="B292" s="1764"/>
      <c r="C292" s="1477"/>
      <c r="D292" s="1478"/>
      <c r="E292" s="1479"/>
      <c r="F292" s="1478"/>
      <c r="G292" s="1479"/>
      <c r="H292" s="818"/>
      <c r="I292" s="7"/>
      <c r="J292" s="7"/>
      <c r="K292" s="7"/>
      <c r="L292" s="8"/>
      <c r="M292" s="1764"/>
      <c r="N292" s="1765"/>
    </row>
    <row r="293" spans="1:14" s="1161" customFormat="1" ht="15.75" customHeight="1" thickBot="1">
      <c r="A293" s="108" t="str">
        <f>'Ontario Total'!A293</f>
        <v>SoCal Water$mart Residential Rebates</v>
      </c>
      <c r="B293" s="1567"/>
      <c r="C293" s="1586"/>
      <c r="D293" s="1567"/>
      <c r="E293" s="1586"/>
      <c r="F293" s="1567"/>
      <c r="G293" s="1586"/>
      <c r="H293" s="1142"/>
      <c r="I293" s="109"/>
      <c r="J293" s="109"/>
      <c r="K293" s="109"/>
      <c r="L293" s="1141"/>
      <c r="M293" s="1617"/>
      <c r="N293" s="1486"/>
    </row>
    <row r="294" spans="1:14">
      <c r="A294" s="32" t="str">
        <f>'Ontario Total'!A294</f>
        <v>High Efficiency Toilets (HET)</v>
      </c>
      <c r="B294" s="1431">
        <f>MVWD!N177</f>
        <v>0</v>
      </c>
      <c r="C294" s="1422"/>
      <c r="D294" s="1431">
        <f t="shared" ref="D294:D300" si="69">F294*325851</f>
        <v>0</v>
      </c>
      <c r="E294" s="1422"/>
      <c r="F294" s="1871">
        <f>0.0425*B294</f>
        <v>0</v>
      </c>
      <c r="G294" s="1450"/>
      <c r="H294" s="957">
        <f>F294*20</f>
        <v>0</v>
      </c>
      <c r="I294" s="130">
        <v>0</v>
      </c>
      <c r="J294" s="131">
        <f>50*B294</f>
        <v>0</v>
      </c>
      <c r="K294" s="131">
        <f>B294*50</f>
        <v>0</v>
      </c>
      <c r="L294" s="132">
        <f t="shared" ref="L294:L301" si="70">I294+J294+K294</f>
        <v>0</v>
      </c>
      <c r="M294" s="1758">
        <f>IF(ISERROR(L294/(F294*727)),0,L294/(F294*727))</f>
        <v>0</v>
      </c>
      <c r="N294" s="1759"/>
    </row>
    <row r="295" spans="1:14">
      <c r="A295" s="32" t="str">
        <f>'Ontario Total'!A295</f>
        <v>High Efficiency Clothes Washers (HECW)</v>
      </c>
      <c r="B295" s="1431">
        <f>MVWD!N178</f>
        <v>50</v>
      </c>
      <c r="C295" s="1422"/>
      <c r="D295" s="1431">
        <f t="shared" si="69"/>
        <v>449674.37999999995</v>
      </c>
      <c r="E295" s="1422"/>
      <c r="F295" s="1871">
        <f>0.0276*B295</f>
        <v>1.38</v>
      </c>
      <c r="G295" s="1450"/>
      <c r="H295" s="957">
        <f>F295*15</f>
        <v>20.7</v>
      </c>
      <c r="I295" s="131">
        <f>0*B295</f>
        <v>0</v>
      </c>
      <c r="J295" s="131">
        <f>B295*65</f>
        <v>3250</v>
      </c>
      <c r="K295" s="131">
        <f>B295*85</f>
        <v>4250</v>
      </c>
      <c r="L295" s="132">
        <f t="shared" si="70"/>
        <v>7500</v>
      </c>
      <c r="M295" s="1758">
        <f t="shared" ref="M295:M301" si="71">IF(ISERROR(L295/(F295*727)),0,L295/(F295*727))</f>
        <v>7.4756294479995224</v>
      </c>
      <c r="N295" s="1759"/>
    </row>
    <row r="296" spans="1:14">
      <c r="A296" s="32" t="str">
        <f>'Ontario Total'!A296</f>
        <v>Rotating Nozzles for Pop-up Spray Heads</v>
      </c>
      <c r="B296" s="1431">
        <f>MVWD!N179</f>
        <v>0</v>
      </c>
      <c r="C296" s="1422"/>
      <c r="D296" s="1431">
        <f t="shared" si="69"/>
        <v>0</v>
      </c>
      <c r="E296" s="1422"/>
      <c r="F296" s="1871">
        <f>0.004*B296</f>
        <v>0</v>
      </c>
      <c r="G296" s="1450"/>
      <c r="H296" s="957">
        <f>F296*5</f>
        <v>0</v>
      </c>
      <c r="I296" s="131">
        <f>0*B296</f>
        <v>0</v>
      </c>
      <c r="J296" s="131">
        <f>1*B296</f>
        <v>0</v>
      </c>
      <c r="K296" s="131">
        <f>B296*4</f>
        <v>0</v>
      </c>
      <c r="L296" s="132">
        <f t="shared" si="70"/>
        <v>0</v>
      </c>
      <c r="M296" s="1758">
        <f t="shared" si="71"/>
        <v>0</v>
      </c>
      <c r="N296" s="1759"/>
    </row>
    <row r="297" spans="1:14" s="121" customFormat="1" ht="14" thickBot="1">
      <c r="A297" s="33" t="str">
        <f>'Ontario Total'!A297</f>
        <v>Weather based Irrigation Controllers (WBIC)</v>
      </c>
      <c r="B297" s="1467">
        <f>MVWD!N180</f>
        <v>5</v>
      </c>
      <c r="C297" s="1433"/>
      <c r="D297" s="1467">
        <f t="shared" si="69"/>
        <v>529507.875</v>
      </c>
      <c r="E297" s="1433"/>
      <c r="F297" s="1876">
        <f>0.325*B297</f>
        <v>1.625</v>
      </c>
      <c r="G297" s="1877"/>
      <c r="H297" s="956">
        <f>F297*10</f>
        <v>16.25</v>
      </c>
      <c r="I297" s="133">
        <v>0</v>
      </c>
      <c r="J297" s="133">
        <f>70*B297</f>
        <v>350</v>
      </c>
      <c r="K297" s="133">
        <f>B297*80</f>
        <v>400</v>
      </c>
      <c r="L297" s="134">
        <f t="shared" si="70"/>
        <v>750</v>
      </c>
      <c r="M297" s="1748">
        <f t="shared" si="71"/>
        <v>0.6348534546608825</v>
      </c>
      <c r="N297" s="1815"/>
    </row>
    <row r="298" spans="1:14" ht="12.75" hidden="1" customHeight="1" thickBot="1">
      <c r="A298" s="272" t="s">
        <v>150</v>
      </c>
      <c r="B298" s="2002">
        <f>MVWD!N181</f>
        <v>0</v>
      </c>
      <c r="C298" s="2003"/>
      <c r="D298" s="2002">
        <f t="shared" si="69"/>
        <v>0</v>
      </c>
      <c r="E298" s="2003"/>
      <c r="F298" s="2002">
        <f>0.00014*0</f>
        <v>0</v>
      </c>
      <c r="G298" s="2003"/>
      <c r="H298" s="843">
        <f>F298*10</f>
        <v>0</v>
      </c>
      <c r="I298" s="271">
        <v>0</v>
      </c>
      <c r="J298" s="271">
        <f>0.45*0</f>
        <v>0</v>
      </c>
      <c r="K298" s="271">
        <f>0*0.3</f>
        <v>0</v>
      </c>
      <c r="L298" s="273">
        <f t="shared" si="70"/>
        <v>0</v>
      </c>
      <c r="M298" s="2004">
        <f t="shared" si="71"/>
        <v>0</v>
      </c>
      <c r="N298" s="2005"/>
    </row>
    <row r="299" spans="1:14" s="1161" customFormat="1" ht="15.75" customHeight="1" thickBot="1">
      <c r="A299" s="108" t="str">
        <f>'Ontario Total'!A299</f>
        <v>IEUA Locally Implemented Residential Programs</v>
      </c>
      <c r="B299" s="1567"/>
      <c r="C299" s="1586"/>
      <c r="D299" s="1567"/>
      <c r="E299" s="1586"/>
      <c r="F299" s="1567"/>
      <c r="G299" s="1586"/>
      <c r="H299" s="1142"/>
      <c r="I299" s="109"/>
      <c r="J299" s="109"/>
      <c r="K299" s="109"/>
      <c r="L299" s="1141"/>
      <c r="M299" s="1617"/>
      <c r="N299" s="1486"/>
    </row>
    <row r="300" spans="1:14">
      <c r="A300" s="78" t="s">
        <v>205</v>
      </c>
      <c r="B300" s="1431">
        <f>MVWD!N183</f>
        <v>1575</v>
      </c>
      <c r="C300" s="1422"/>
      <c r="D300" s="1431">
        <f t="shared" si="69"/>
        <v>2052861.3</v>
      </c>
      <c r="E300" s="1422"/>
      <c r="F300" s="1871">
        <f>B300*0.004</f>
        <v>6.3</v>
      </c>
      <c r="G300" s="1450"/>
      <c r="H300" s="956">
        <f>F300*10</f>
        <v>63</v>
      </c>
      <c r="I300" s="130">
        <v>0</v>
      </c>
      <c r="J300" s="130">
        <v>0</v>
      </c>
      <c r="K300" s="133">
        <f>2275*3.25</f>
        <v>7393.75</v>
      </c>
      <c r="L300" s="132">
        <f t="shared" si="70"/>
        <v>7393.75</v>
      </c>
      <c r="M300" s="1758">
        <f t="shared" si="71"/>
        <v>1.6143206480207857</v>
      </c>
      <c r="N300" s="1759"/>
    </row>
    <row r="301" spans="1:14">
      <c r="A301" s="32" t="s">
        <v>166</v>
      </c>
      <c r="B301" s="1431">
        <f>MVWD!N184</f>
        <v>20</v>
      </c>
      <c r="C301" s="1422"/>
      <c r="D301" s="1431">
        <f>F301*325900</f>
        <v>5214400</v>
      </c>
      <c r="E301" s="1743"/>
      <c r="F301" s="1897">
        <v>16</v>
      </c>
      <c r="G301" s="1898"/>
      <c r="H301" s="966">
        <v>145</v>
      </c>
      <c r="I301" s="130">
        <v>10305</v>
      </c>
      <c r="J301" s="130">
        <v>1678</v>
      </c>
      <c r="K301" s="130">
        <v>11982</v>
      </c>
      <c r="L301" s="132">
        <f t="shared" si="70"/>
        <v>23965</v>
      </c>
      <c r="M301" s="1758">
        <f t="shared" si="71"/>
        <v>2.0602647867950483</v>
      </c>
      <c r="N301" s="1759"/>
    </row>
    <row r="302" spans="1:14" ht="14" thickBot="1">
      <c r="A302" s="78" t="s">
        <v>202</v>
      </c>
      <c r="B302" s="1431">
        <f>MVWD!N185</f>
        <v>6</v>
      </c>
      <c r="C302" s="1422"/>
      <c r="D302" s="1431">
        <f>F302*325900</f>
        <v>199476.87199999997</v>
      </c>
      <c r="E302" s="1743"/>
      <c r="F302" s="1897">
        <f>4372*0.00014</f>
        <v>0.61207999999999996</v>
      </c>
      <c r="G302" s="1898"/>
      <c r="H302" s="966">
        <f>F302*10</f>
        <v>6.1207999999999991</v>
      </c>
      <c r="I302" s="130">
        <f>0.25*4732</f>
        <v>1183</v>
      </c>
      <c r="J302" s="130">
        <f>4372*0.83</f>
        <v>3628.7599999999998</v>
      </c>
      <c r="K302" s="130">
        <f>4732*1</f>
        <v>4732</v>
      </c>
      <c r="L302" s="132">
        <f>I302+J302+K302</f>
        <v>9543.76</v>
      </c>
      <c r="M302" s="1758">
        <f>IF(ISERROR(L302/(F302*727)),0,L302/(F302*727))</f>
        <v>21.447511513720013</v>
      </c>
      <c r="N302" s="1759"/>
    </row>
    <row r="303" spans="1:14" ht="14" thickBot="1">
      <c r="A303" s="53" t="s">
        <v>60</v>
      </c>
      <c r="B303" s="1438">
        <f>SUM(B294:C302)</f>
        <v>1656</v>
      </c>
      <c r="C303" s="1621"/>
      <c r="D303" s="1441">
        <f>SUM(D294:E302)</f>
        <v>8445920.4269999992</v>
      </c>
      <c r="E303" s="1609"/>
      <c r="F303" s="1440">
        <f>SUM(F294:G302)</f>
        <v>25.917079999999999</v>
      </c>
      <c r="G303" s="1439"/>
      <c r="H303" s="786">
        <f>SUM(H294:H302)</f>
        <v>251.07079999999999</v>
      </c>
      <c r="I303" s="136">
        <f>SUM(I294:I302)</f>
        <v>11488</v>
      </c>
      <c r="J303" s="136">
        <f>SUM(J294:J302)</f>
        <v>8906.76</v>
      </c>
      <c r="K303" s="136">
        <f>SUM(K294:K302)</f>
        <v>28757.75</v>
      </c>
      <c r="L303" s="143">
        <f>SUM(L294:L302)</f>
        <v>49152.51</v>
      </c>
      <c r="M303" s="1440"/>
      <c r="N303" s="1622"/>
    </row>
    <row r="304" spans="1:14" s="1161" customFormat="1" ht="17" thickBot="1">
      <c r="A304" s="108" t="str">
        <f>'Ontario Total'!A304</f>
        <v xml:space="preserve">IEUA High Efficiency Toilet (HET) Installation Prog. </v>
      </c>
      <c r="B304" s="1567"/>
      <c r="C304" s="1586"/>
      <c r="D304" s="1567"/>
      <c r="E304" s="1586"/>
      <c r="F304" s="1567"/>
      <c r="G304" s="1586"/>
      <c r="H304" s="1142"/>
      <c r="I304" s="109"/>
      <c r="J304" s="109"/>
      <c r="K304" s="109"/>
      <c r="L304" s="1141"/>
      <c r="M304" s="1617"/>
      <c r="N304" s="1486"/>
    </row>
    <row r="305" spans="1:14">
      <c r="A305" s="32" t="str">
        <f>'Ontario Total'!A305</f>
        <v>IEUA Multi-Family Direct Install Prog. (HET)</v>
      </c>
      <c r="B305" s="1431">
        <f>MVWD!N188</f>
        <v>4</v>
      </c>
      <c r="C305" s="1422"/>
      <c r="D305" s="1431">
        <f>F305*325851</f>
        <v>55394.670000000006</v>
      </c>
      <c r="E305" s="1422"/>
      <c r="F305" s="2006">
        <f>0.0425*B305</f>
        <v>0.17</v>
      </c>
      <c r="G305" s="2007"/>
      <c r="H305" s="978">
        <f>F305*20</f>
        <v>3.4000000000000004</v>
      </c>
      <c r="I305" s="131">
        <f>73.34*B305</f>
        <v>293.36</v>
      </c>
      <c r="J305" s="131">
        <f>35.66*B305</f>
        <v>142.63999999999999</v>
      </c>
      <c r="K305" s="131">
        <f>B305*50</f>
        <v>200</v>
      </c>
      <c r="L305" s="132">
        <f>I305+J305+K305</f>
        <v>636</v>
      </c>
      <c r="M305" s="1758">
        <f>IF(ISERROR(L305/(F305*727)),0,L305/(F305*727))</f>
        <v>5.146047414839388</v>
      </c>
      <c r="N305" s="1759"/>
    </row>
    <row r="306" spans="1:14" ht="14" thickBot="1">
      <c r="A306" s="32" t="str">
        <f>'Ontario Total'!A306</f>
        <v>IEUA Single-Family Direct Install Prog. (HET)</v>
      </c>
      <c r="B306" s="1431">
        <f>MVWD!N189</f>
        <v>96</v>
      </c>
      <c r="C306" s="1422"/>
      <c r="D306" s="1431">
        <f>F306*325851</f>
        <v>1329472.08</v>
      </c>
      <c r="E306" s="1422"/>
      <c r="F306" s="2006">
        <f>0.0425*B306</f>
        <v>4.08</v>
      </c>
      <c r="G306" s="2007"/>
      <c r="H306" s="978">
        <f>F306*20</f>
        <v>81.599999999999994</v>
      </c>
      <c r="I306" s="131">
        <f>73.34*B306</f>
        <v>7040.64</v>
      </c>
      <c r="J306" s="131">
        <f>35.66*B306</f>
        <v>3423.3599999999997</v>
      </c>
      <c r="K306" s="131">
        <f>B306*50</f>
        <v>4800</v>
      </c>
      <c r="L306" s="132">
        <f>I306+J306+K306</f>
        <v>15264</v>
      </c>
      <c r="M306" s="1758">
        <f>IF(ISERROR(L306/(F306*727)),0,L306/(F306*727))</f>
        <v>5.1460474148393889</v>
      </c>
      <c r="N306" s="1759"/>
    </row>
    <row r="307" spans="1:14" ht="14" thickBot="1">
      <c r="A307" s="53" t="s">
        <v>60</v>
      </c>
      <c r="B307" s="1438">
        <f>SUM(B305:B306)</f>
        <v>100</v>
      </c>
      <c r="C307" s="1609"/>
      <c r="D307" s="1440">
        <f>SUM(D305:D306)</f>
        <v>1384866.75</v>
      </c>
      <c r="E307" s="1621"/>
      <c r="F307" s="1441">
        <f>SUM(F305:F306)</f>
        <v>4.25</v>
      </c>
      <c r="G307" s="1439"/>
      <c r="H307" s="786">
        <f>SUM(H305:H306)</f>
        <v>85</v>
      </c>
      <c r="I307" s="136">
        <f>SUM(I305:I306)</f>
        <v>7334</v>
      </c>
      <c r="J307" s="143">
        <f>SUM(J305:J306)</f>
        <v>3565.9999999999995</v>
      </c>
      <c r="K307" s="143">
        <f>SUM(K305:K306)</f>
        <v>5000</v>
      </c>
      <c r="L307" s="136">
        <f>SUM(L305:L306)</f>
        <v>15900</v>
      </c>
      <c r="M307" s="1610"/>
      <c r="N307" s="1611"/>
    </row>
    <row r="308" spans="1:14" s="1161" customFormat="1" ht="17" thickBot="1">
      <c r="A308" s="108" t="str">
        <f>'Ontario Total'!A308</f>
        <v>SoCal Water$mart Commercial Rebates</v>
      </c>
      <c r="B308" s="1567"/>
      <c r="C308" s="1586"/>
      <c r="D308" s="1567"/>
      <c r="E308" s="1586"/>
      <c r="F308" s="1567"/>
      <c r="G308" s="1586"/>
      <c r="H308" s="1142"/>
      <c r="I308" s="109"/>
      <c r="J308" s="109"/>
      <c r="K308" s="109"/>
      <c r="L308" s="1141"/>
      <c r="M308" s="1617"/>
      <c r="N308" s="1486"/>
    </row>
    <row r="309" spans="1:14">
      <c r="A309" s="32" t="str">
        <f>'Ontario Total'!A309</f>
        <v>High Efficiency Toilets (HET)</v>
      </c>
      <c r="B309" s="1467">
        <v>11</v>
      </c>
      <c r="C309" s="1433"/>
      <c r="D309" s="1431">
        <f>F309*325851</f>
        <v>152335.3425</v>
      </c>
      <c r="E309" s="1422"/>
      <c r="F309" s="1871">
        <f>0.0425*B309</f>
        <v>0.46750000000000003</v>
      </c>
      <c r="G309" s="1450"/>
      <c r="H309" s="957">
        <f>F309*20</f>
        <v>9.3500000000000014</v>
      </c>
      <c r="I309" s="137">
        <v>0</v>
      </c>
      <c r="J309" s="138">
        <f>50*B309</f>
        <v>550</v>
      </c>
      <c r="K309" s="138">
        <f>50*B309</f>
        <v>550</v>
      </c>
      <c r="L309" s="139">
        <f>SUM(I309:K309)</f>
        <v>1100</v>
      </c>
      <c r="M309" s="1758">
        <f>IF(ISERROR(L309/(F309*727)),0,L309/(F309*727))</f>
        <v>3.2365078080750869</v>
      </c>
      <c r="N309" s="1759"/>
    </row>
    <row r="310" spans="1:14">
      <c r="A310" s="32" t="str">
        <f>'Ontario Total'!A310</f>
        <v>Waterless Urinals</v>
      </c>
      <c r="B310" s="1467">
        <f>MVWD!N193</f>
        <v>0</v>
      </c>
      <c r="C310" s="1433"/>
      <c r="D310" s="1431">
        <f t="shared" ref="D310:D324" si="72">F310*325851</f>
        <v>0</v>
      </c>
      <c r="E310" s="1422"/>
      <c r="F310" s="1871">
        <f>0.1227*B310</f>
        <v>0</v>
      </c>
      <c r="G310" s="1450"/>
      <c r="H310" s="957">
        <f>F310*20</f>
        <v>0</v>
      </c>
      <c r="I310" s="137">
        <v>0</v>
      </c>
      <c r="J310" s="138">
        <f>50*B310</f>
        <v>0</v>
      </c>
      <c r="K310" s="138">
        <f>200*B310</f>
        <v>0</v>
      </c>
      <c r="L310" s="139">
        <f t="shared" ref="L310:L324" si="73">SUM(I310:K310)</f>
        <v>0</v>
      </c>
      <c r="M310" s="1758">
        <f t="shared" ref="M310:M324" si="74">IF(ISERROR(L310/(F310*727)),0,L310/(F310*727))</f>
        <v>0</v>
      </c>
      <c r="N310" s="1759"/>
    </row>
    <row r="311" spans="1:14">
      <c r="A311" s="32" t="s">
        <v>204</v>
      </c>
      <c r="B311" s="1467">
        <f>MVWD!N194</f>
        <v>0</v>
      </c>
      <c r="C311" s="1433"/>
      <c r="D311" s="1431">
        <f t="shared" si="72"/>
        <v>0</v>
      </c>
      <c r="E311" s="1422"/>
      <c r="F311" s="1871">
        <f>0.644*B311</f>
        <v>0</v>
      </c>
      <c r="G311" s="1450"/>
      <c r="H311" s="957">
        <f>F311*5</f>
        <v>0</v>
      </c>
      <c r="I311" s="137">
        <v>0</v>
      </c>
      <c r="J311" s="138">
        <f>43.75*B311</f>
        <v>0</v>
      </c>
      <c r="K311" s="138">
        <f>625*B311</f>
        <v>0</v>
      </c>
      <c r="L311" s="139">
        <f t="shared" si="73"/>
        <v>0</v>
      </c>
      <c r="M311" s="1758">
        <f t="shared" si="74"/>
        <v>0</v>
      </c>
      <c r="N311" s="1759"/>
    </row>
    <row r="312" spans="1:14">
      <c r="A312" s="32" t="str">
        <f>'Ontario Total'!A312</f>
        <v>High Efficiency Clothes Washers</v>
      </c>
      <c r="B312" s="1467">
        <f>MVWD!N195</f>
        <v>0</v>
      </c>
      <c r="C312" s="1433"/>
      <c r="D312" s="1431">
        <f t="shared" si="72"/>
        <v>0</v>
      </c>
      <c r="E312" s="1422"/>
      <c r="F312" s="1871">
        <f>0.0276*B312</f>
        <v>0</v>
      </c>
      <c r="G312" s="1450"/>
      <c r="H312" s="957">
        <f>F312*10</f>
        <v>0</v>
      </c>
      <c r="I312" s="137">
        <v>0</v>
      </c>
      <c r="J312" s="138">
        <f>100*B312</f>
        <v>0</v>
      </c>
      <c r="K312" s="138">
        <f>80*B312</f>
        <v>0</v>
      </c>
      <c r="L312" s="139">
        <f t="shared" si="73"/>
        <v>0</v>
      </c>
      <c r="M312" s="1758">
        <f t="shared" si="74"/>
        <v>0</v>
      </c>
      <c r="N312" s="1759"/>
    </row>
    <row r="313" spans="1:14" ht="12.75" hidden="1" customHeight="1">
      <c r="A313" s="35" t="s">
        <v>47</v>
      </c>
      <c r="B313" s="1467">
        <f>MVWD!N196</f>
        <v>0</v>
      </c>
      <c r="C313" s="1433"/>
      <c r="D313" s="1431">
        <f t="shared" si="72"/>
        <v>0</v>
      </c>
      <c r="E313" s="1422"/>
      <c r="F313" s="1871">
        <f>0.1534*B313</f>
        <v>0</v>
      </c>
      <c r="G313" s="1450"/>
      <c r="H313" s="957">
        <f>F313*5</f>
        <v>0</v>
      </c>
      <c r="I313" s="137">
        <v>0</v>
      </c>
      <c r="J313" s="138">
        <f>0*B313</f>
        <v>0</v>
      </c>
      <c r="K313" s="138">
        <f>150*B313</f>
        <v>0</v>
      </c>
      <c r="L313" s="139">
        <f t="shared" si="73"/>
        <v>0</v>
      </c>
      <c r="M313" s="1758">
        <f t="shared" si="74"/>
        <v>0</v>
      </c>
      <c r="N313" s="1759"/>
    </row>
    <row r="314" spans="1:14">
      <c r="A314" s="32" t="str">
        <f>'Ontario Total'!A314</f>
        <v>Weather based Irrigation Controllers (WBIC)</v>
      </c>
      <c r="B314" s="1467">
        <f>MVWD!N197</f>
        <v>0</v>
      </c>
      <c r="C314" s="1433"/>
      <c r="D314" s="1431">
        <f t="shared" si="72"/>
        <v>0</v>
      </c>
      <c r="E314" s="1422"/>
      <c r="F314" s="1871">
        <f>0.325*B314</f>
        <v>0</v>
      </c>
      <c r="G314" s="1450"/>
      <c r="H314" s="957">
        <f>F314*10</f>
        <v>0</v>
      </c>
      <c r="I314" s="137">
        <v>0</v>
      </c>
      <c r="J314" s="138">
        <v>0</v>
      </c>
      <c r="K314" s="138">
        <v>0</v>
      </c>
      <c r="L314" s="139">
        <v>0</v>
      </c>
      <c r="M314" s="1758">
        <f t="shared" si="74"/>
        <v>0</v>
      </c>
      <c r="N314" s="1759"/>
    </row>
    <row r="315" spans="1:14" ht="12.75" hidden="1" customHeight="1">
      <c r="A315" s="76" t="s">
        <v>150</v>
      </c>
      <c r="B315" s="1467">
        <f>MVWD!N198</f>
        <v>0</v>
      </c>
      <c r="C315" s="1433"/>
      <c r="D315" s="1431">
        <f t="shared" si="72"/>
        <v>0</v>
      </c>
      <c r="E315" s="1422"/>
      <c r="F315" s="1871">
        <f>0.00014*0</f>
        <v>0</v>
      </c>
      <c r="G315" s="1450"/>
      <c r="H315" s="957">
        <f>F315*10</f>
        <v>0</v>
      </c>
      <c r="I315" s="137">
        <v>0</v>
      </c>
      <c r="J315" s="138">
        <f>0.45*0</f>
        <v>0</v>
      </c>
      <c r="K315" s="138">
        <f>0.3*0</f>
        <v>0</v>
      </c>
      <c r="L315" s="139">
        <f t="shared" si="73"/>
        <v>0</v>
      </c>
      <c r="M315" s="1758">
        <f t="shared" si="74"/>
        <v>0</v>
      </c>
      <c r="N315" s="1759"/>
    </row>
    <row r="316" spans="1:14">
      <c r="A316" s="32" t="str">
        <f>'Ontario Total'!A316</f>
        <v>Rotating Nozzles for Pop-up Spray Heads</v>
      </c>
      <c r="B316" s="1467">
        <f>MVWD!N199</f>
        <v>0</v>
      </c>
      <c r="C316" s="1433"/>
      <c r="D316" s="1431">
        <f t="shared" si="72"/>
        <v>0</v>
      </c>
      <c r="E316" s="1422"/>
      <c r="F316" s="1871">
        <f>0.004*B316</f>
        <v>0</v>
      </c>
      <c r="G316" s="1450"/>
      <c r="H316" s="957">
        <f>F316*5</f>
        <v>0</v>
      </c>
      <c r="I316" s="137">
        <v>0</v>
      </c>
      <c r="J316" s="138">
        <f>0*B316</f>
        <v>0</v>
      </c>
      <c r="K316" s="138">
        <f>4*B316</f>
        <v>0</v>
      </c>
      <c r="L316" s="139">
        <f t="shared" si="73"/>
        <v>0</v>
      </c>
      <c r="M316" s="1758">
        <f t="shared" si="74"/>
        <v>0</v>
      </c>
      <c r="N316" s="1759"/>
    </row>
    <row r="317" spans="1:14">
      <c r="A317" s="32" t="str">
        <f>'Ontario Total'!A317</f>
        <v>Large Rotary Nozzles</v>
      </c>
      <c r="B317" s="1467">
        <f>MVWD!N200</f>
        <v>0</v>
      </c>
      <c r="C317" s="1433"/>
      <c r="D317" s="1431">
        <f t="shared" si="72"/>
        <v>0</v>
      </c>
      <c r="E317" s="1422"/>
      <c r="F317" s="1871">
        <f>0.018*B317</f>
        <v>0</v>
      </c>
      <c r="G317" s="1450"/>
      <c r="H317" s="957">
        <f>F317*10</f>
        <v>0</v>
      </c>
      <c r="I317" s="137">
        <v>0</v>
      </c>
      <c r="J317" s="138">
        <f>0*B317</f>
        <v>0</v>
      </c>
      <c r="K317" s="138">
        <f>13*B317</f>
        <v>0</v>
      </c>
      <c r="L317" s="139">
        <f t="shared" si="73"/>
        <v>0</v>
      </c>
      <c r="M317" s="1758">
        <f t="shared" si="74"/>
        <v>0</v>
      </c>
      <c r="N317" s="1759"/>
    </row>
    <row r="318" spans="1:14" ht="13.5" hidden="1" customHeight="1">
      <c r="A318" s="33" t="s">
        <v>102</v>
      </c>
      <c r="B318" s="1467">
        <f>MVWD!N201</f>
        <v>0</v>
      </c>
      <c r="C318" s="1433"/>
      <c r="D318" s="1431">
        <f t="shared" si="72"/>
        <v>0</v>
      </c>
      <c r="E318" s="1422"/>
      <c r="F318" s="1871">
        <f>0.018*B318</f>
        <v>0</v>
      </c>
      <c r="G318" s="1450"/>
      <c r="H318" s="957">
        <f>F318*10</f>
        <v>0</v>
      </c>
      <c r="I318" s="137">
        <v>1</v>
      </c>
      <c r="J318" s="138">
        <f>0*B318</f>
        <v>0</v>
      </c>
      <c r="K318" s="138">
        <f>13*B318</f>
        <v>0</v>
      </c>
      <c r="L318" s="139">
        <f t="shared" si="73"/>
        <v>1</v>
      </c>
      <c r="M318" s="1758">
        <f t="shared" si="74"/>
        <v>0</v>
      </c>
      <c r="N318" s="1759"/>
    </row>
    <row r="319" spans="1:14">
      <c r="A319" s="32" t="str">
        <f>'Ontario Total'!A319</f>
        <v xml:space="preserve">Central Computerized Irrigation Controller </v>
      </c>
      <c r="B319" s="1467">
        <f>MVWD!N202</f>
        <v>0</v>
      </c>
      <c r="C319" s="1433"/>
      <c r="D319" s="1431">
        <f t="shared" si="72"/>
        <v>0</v>
      </c>
      <c r="E319" s="1422"/>
      <c r="F319" s="1871">
        <f>0.018*B319</f>
        <v>0</v>
      </c>
      <c r="G319" s="1450"/>
      <c r="H319" s="957">
        <f>F319*10</f>
        <v>0</v>
      </c>
      <c r="I319" s="137">
        <v>0</v>
      </c>
      <c r="J319" s="137">
        <v>0</v>
      </c>
      <c r="K319" s="137">
        <v>0</v>
      </c>
      <c r="L319" s="139">
        <f t="shared" si="73"/>
        <v>0</v>
      </c>
      <c r="M319" s="1758">
        <f t="shared" si="74"/>
        <v>0</v>
      </c>
      <c r="N319" s="1759"/>
    </row>
    <row r="320" spans="1:14" s="57" customFormat="1">
      <c r="A320" s="144" t="str">
        <f>'Ontario Total'!A320</f>
        <v>Laminar Flow Restrictor</v>
      </c>
      <c r="B320" s="1467">
        <v>30</v>
      </c>
      <c r="C320" s="1433"/>
      <c r="D320" s="1736">
        <f t="shared" si="72"/>
        <v>224837.18999999997</v>
      </c>
      <c r="E320" s="1446"/>
      <c r="F320" s="1897">
        <f>0.023*B320</f>
        <v>0.69</v>
      </c>
      <c r="G320" s="1898"/>
      <c r="H320" s="966">
        <f>F320*5</f>
        <v>3.4499999999999997</v>
      </c>
      <c r="I320" s="137">
        <v>0</v>
      </c>
      <c r="J320" s="137">
        <f>B320*10</f>
        <v>300</v>
      </c>
      <c r="K320" s="137">
        <f>B320*10</f>
        <v>300</v>
      </c>
      <c r="L320" s="142">
        <f t="shared" si="73"/>
        <v>600</v>
      </c>
      <c r="M320" s="1859">
        <f t="shared" si="74"/>
        <v>1.1961007116799236</v>
      </c>
      <c r="N320" s="1860"/>
    </row>
    <row r="321" spans="1:14" s="57" customFormat="1" ht="14" thickBot="1">
      <c r="A321" s="144" t="str">
        <f>'Ontario Total'!A321</f>
        <v>Air-Cooled Ice Machine</v>
      </c>
      <c r="B321" s="1736">
        <f>MVWD!N204</f>
        <v>1</v>
      </c>
      <c r="C321" s="1446"/>
      <c r="D321" s="1736">
        <f t="shared" si="72"/>
        <v>65170.200000000004</v>
      </c>
      <c r="E321" s="1446"/>
      <c r="F321" s="1897">
        <v>0.2</v>
      </c>
      <c r="G321" s="1898"/>
      <c r="H321" s="966">
        <f>F321*7</f>
        <v>1.4000000000000001</v>
      </c>
      <c r="I321" s="137">
        <v>0</v>
      </c>
      <c r="J321" s="137">
        <f>B321*930</f>
        <v>930</v>
      </c>
      <c r="K321" s="137">
        <f>B321*1000</f>
        <v>1000</v>
      </c>
      <c r="L321" s="142">
        <f t="shared" si="73"/>
        <v>1930</v>
      </c>
      <c r="M321" s="1859">
        <f t="shared" si="74"/>
        <v>13.27372764786795</v>
      </c>
      <c r="N321" s="1860"/>
    </row>
    <row r="322" spans="1:14" s="1161" customFormat="1" ht="17" thickBot="1">
      <c r="A322" s="108" t="str">
        <f>'Ontario Total'!A322</f>
        <v>IEUA Locally Implemented Commercial Programs</v>
      </c>
      <c r="B322" s="1567"/>
      <c r="C322" s="1586"/>
      <c r="D322" s="1567"/>
      <c r="E322" s="1586"/>
      <c r="F322" s="1567"/>
      <c r="G322" s="1586"/>
      <c r="H322" s="1142"/>
      <c r="I322" s="109"/>
      <c r="J322" s="109"/>
      <c r="K322" s="109"/>
      <c r="L322" s="1141"/>
      <c r="M322" s="1617"/>
      <c r="N322" s="1486"/>
    </row>
    <row r="323" spans="1:14" ht="13.5" customHeight="1">
      <c r="A323" s="32" t="str">
        <f>'Ontario Total'!A323</f>
        <v>Fontana Unified School Retrofit Program</v>
      </c>
      <c r="B323" s="1431">
        <f>MVWD!N206</f>
        <v>0</v>
      </c>
      <c r="C323" s="1422"/>
      <c r="D323" s="1431">
        <f t="shared" si="72"/>
        <v>0</v>
      </c>
      <c r="E323" s="1422"/>
      <c r="F323" s="1871">
        <f>0.018*B323</f>
        <v>0</v>
      </c>
      <c r="G323" s="1450"/>
      <c r="H323" s="957">
        <f>F323*10</f>
        <v>0</v>
      </c>
      <c r="I323" s="149">
        <v>0</v>
      </c>
      <c r="J323" s="131">
        <v>0</v>
      </c>
      <c r="K323" s="131">
        <v>0</v>
      </c>
      <c r="L323" s="132">
        <f t="shared" si="73"/>
        <v>0</v>
      </c>
      <c r="M323" s="1758">
        <f t="shared" si="74"/>
        <v>0</v>
      </c>
      <c r="N323" s="1759"/>
    </row>
    <row r="324" spans="1:14" ht="14" thickBot="1">
      <c r="A324" s="32" t="s">
        <v>165</v>
      </c>
      <c r="B324" s="1431">
        <f>MVWD!N207</f>
        <v>282</v>
      </c>
      <c r="C324" s="1422"/>
      <c r="D324" s="1431">
        <f t="shared" si="72"/>
        <v>367559.92800000001</v>
      </c>
      <c r="E324" s="1422"/>
      <c r="F324" s="1871">
        <f>0.004*B324</f>
        <v>1.1280000000000001</v>
      </c>
      <c r="G324" s="1450"/>
      <c r="H324" s="957">
        <f>F324*5</f>
        <v>5.6400000000000006</v>
      </c>
      <c r="I324" s="130">
        <v>0</v>
      </c>
      <c r="J324" s="131">
        <f>0*B324</f>
        <v>0</v>
      </c>
      <c r="K324" s="131">
        <f>3.25*B324</f>
        <v>916.5</v>
      </c>
      <c r="L324" s="132">
        <f t="shared" si="73"/>
        <v>916.5</v>
      </c>
      <c r="M324" s="1758">
        <f t="shared" si="74"/>
        <v>1.1176066024759284</v>
      </c>
      <c r="N324" s="1759"/>
    </row>
    <row r="325" spans="1:14" ht="14" thickBot="1">
      <c r="A325" s="53" t="s">
        <v>60</v>
      </c>
      <c r="B325" s="1438">
        <f>SUM(B309:C324)</f>
        <v>324</v>
      </c>
      <c r="C325" s="1609"/>
      <c r="D325" s="1440">
        <f>SUM(D309:E324)</f>
        <v>809902.6605</v>
      </c>
      <c r="E325" s="1621"/>
      <c r="F325" s="1441">
        <f>SUM(F309:G324)</f>
        <v>2.4855</v>
      </c>
      <c r="G325" s="1439"/>
      <c r="H325" s="388">
        <f>SUM(H309:H324)</f>
        <v>19.840000000000003</v>
      </c>
      <c r="I325" s="136">
        <v>0</v>
      </c>
      <c r="J325" s="136">
        <f>SUM(J309:J324)</f>
        <v>1780</v>
      </c>
      <c r="K325" s="136">
        <f>SUM(K309:K324)</f>
        <v>2766.5</v>
      </c>
      <c r="L325" s="136">
        <f>SUM(L309:L324)</f>
        <v>4547.5</v>
      </c>
      <c r="M325" s="1610"/>
      <c r="N325" s="1611"/>
    </row>
    <row r="326" spans="1:14" s="1168" customFormat="1" ht="17" thickBot="1">
      <c r="A326" s="1182" t="s">
        <v>17</v>
      </c>
      <c r="B326" s="1416">
        <f>SUM(B303+B307+B325)</f>
        <v>2080</v>
      </c>
      <c r="C326" s="1415"/>
      <c r="D326" s="1416">
        <f>SUM(D303+D307+D325)</f>
        <v>10640689.837499999</v>
      </c>
      <c r="E326" s="1415"/>
      <c r="F326" s="1416">
        <f>SUM(F303+F307+F325)</f>
        <v>32.65258</v>
      </c>
      <c r="G326" s="1415"/>
      <c r="H326" s="1164">
        <f>SUM(H303,H307,H325)</f>
        <v>355.91079999999999</v>
      </c>
      <c r="I326" s="1169">
        <f>SUM(I303+I307+I325)</f>
        <v>18822</v>
      </c>
      <c r="J326" s="1169">
        <f>SUM(J303+J307+J325)</f>
        <v>14252.76</v>
      </c>
      <c r="K326" s="1169">
        <f>SUM(K303+K307+K325)</f>
        <v>36524.25</v>
      </c>
      <c r="L326" s="1169">
        <f>SUM(L303+L307+L325)</f>
        <v>69600.010000000009</v>
      </c>
      <c r="M326" s="1631"/>
      <c r="N326" s="1640"/>
    </row>
    <row r="327" spans="1:14" ht="16">
      <c r="A327" s="60"/>
      <c r="B327" s="61"/>
      <c r="C327" s="61"/>
      <c r="D327" s="61"/>
      <c r="E327" s="61"/>
      <c r="F327" s="61"/>
      <c r="G327" s="61"/>
      <c r="H327" s="61"/>
      <c r="I327" s="62"/>
      <c r="J327" s="62"/>
      <c r="K327" s="62"/>
      <c r="L327" s="62"/>
      <c r="M327" s="64"/>
      <c r="N327" s="65"/>
    </row>
    <row r="328" spans="1:14" ht="16">
      <c r="A328" s="9" t="s">
        <v>18</v>
      </c>
      <c r="B328" s="1419" t="s">
        <v>59</v>
      </c>
      <c r="C328" s="1419"/>
      <c r="D328" s="1419"/>
      <c r="E328" s="1419"/>
      <c r="F328" s="61"/>
      <c r="G328" s="61"/>
      <c r="H328" s="61"/>
      <c r="I328" s="62"/>
      <c r="J328" s="62"/>
      <c r="K328" s="62"/>
      <c r="L328" s="62"/>
      <c r="M328" s="64"/>
      <c r="N328" s="65"/>
    </row>
    <row r="329" spans="1:14" ht="16">
      <c r="A329" s="57"/>
      <c r="B329" s="1420" t="s">
        <v>19</v>
      </c>
      <c r="C329" s="1420"/>
      <c r="D329" s="1420"/>
      <c r="E329" s="1420"/>
      <c r="F329" s="61"/>
      <c r="G329" s="61"/>
      <c r="H329" s="61"/>
      <c r="I329" s="62"/>
      <c r="J329" s="62"/>
      <c r="K329" s="62"/>
      <c r="L329" s="62"/>
      <c r="M329" s="64"/>
      <c r="N329" s="65"/>
    </row>
    <row r="330" spans="1:14" ht="17" thickBot="1">
      <c r="A330" s="57"/>
      <c r="B330" s="820"/>
      <c r="C330" s="820"/>
      <c r="D330" s="820"/>
      <c r="E330" s="820"/>
      <c r="F330" s="61"/>
      <c r="G330" s="61"/>
      <c r="H330" s="61"/>
      <c r="I330" s="62"/>
      <c r="J330" s="62"/>
      <c r="K330" s="62"/>
      <c r="L330" s="62"/>
      <c r="M330" s="64"/>
      <c r="N330" s="65"/>
    </row>
    <row r="331" spans="1:14" s="363" customFormat="1" ht="16">
      <c r="A331" s="98"/>
      <c r="B331" s="99"/>
      <c r="C331" s="99"/>
      <c r="D331" s="99"/>
      <c r="E331" s="99"/>
      <c r="F331" s="736"/>
      <c r="G331" s="736"/>
      <c r="H331" s="736"/>
      <c r="I331" s="1468" t="s">
        <v>0</v>
      </c>
      <c r="J331" s="1468"/>
      <c r="K331" s="1468"/>
      <c r="L331" s="1468"/>
      <c r="M331" s="99"/>
      <c r="N331" s="101"/>
    </row>
    <row r="332" spans="1:14" ht="16">
      <c r="A332" s="97"/>
      <c r="B332" s="1469" t="s">
        <v>1</v>
      </c>
      <c r="C332" s="1469"/>
      <c r="D332" s="1469" t="s">
        <v>2</v>
      </c>
      <c r="E332" s="1469"/>
      <c r="F332" s="1977" t="s">
        <v>3</v>
      </c>
      <c r="G332" s="1977"/>
      <c r="H332" s="841" t="s">
        <v>3</v>
      </c>
      <c r="I332" s="127" t="s">
        <v>195</v>
      </c>
      <c r="J332" s="102"/>
      <c r="K332" s="102"/>
      <c r="L332" s="128"/>
      <c r="M332" s="1469" t="s">
        <v>4</v>
      </c>
      <c r="N332" s="1526"/>
    </row>
    <row r="333" spans="1:14" ht="19" thickBot="1">
      <c r="A333" s="103" t="s">
        <v>5</v>
      </c>
      <c r="B333" s="1473" t="s">
        <v>6</v>
      </c>
      <c r="C333" s="1473"/>
      <c r="D333" s="1473" t="s">
        <v>7</v>
      </c>
      <c r="E333" s="1473"/>
      <c r="F333" s="1978" t="s">
        <v>7</v>
      </c>
      <c r="G333" s="1978"/>
      <c r="H333" s="842" t="s">
        <v>58</v>
      </c>
      <c r="I333" s="797" t="s">
        <v>196</v>
      </c>
      <c r="J333" s="795" t="s">
        <v>8</v>
      </c>
      <c r="K333" s="795" t="s">
        <v>9</v>
      </c>
      <c r="L333" s="401" t="s">
        <v>10</v>
      </c>
      <c r="M333" s="1473" t="s">
        <v>145</v>
      </c>
      <c r="N333" s="1475"/>
    </row>
    <row r="334" spans="1:14" ht="24" thickBot="1">
      <c r="A334" s="88" t="s">
        <v>180</v>
      </c>
      <c r="B334" s="1764"/>
      <c r="C334" s="1477"/>
      <c r="D334" s="1478"/>
      <c r="E334" s="1479"/>
      <c r="F334" s="1478"/>
      <c r="G334" s="1479"/>
      <c r="H334" s="818"/>
      <c r="I334" s="7"/>
      <c r="J334" s="7"/>
      <c r="K334" s="7"/>
      <c r="L334" s="8"/>
      <c r="M334" s="1764"/>
      <c r="N334" s="1765"/>
    </row>
    <row r="335" spans="1:14" s="1161" customFormat="1" ht="15.75" customHeight="1" thickBot="1">
      <c r="A335" s="108" t="s">
        <v>48</v>
      </c>
      <c r="B335" s="1567"/>
      <c r="C335" s="1586"/>
      <c r="D335" s="1567"/>
      <c r="E335" s="1586"/>
      <c r="F335" s="1567"/>
      <c r="G335" s="1586"/>
      <c r="H335" s="1142"/>
      <c r="I335" s="109"/>
      <c r="J335" s="109"/>
      <c r="K335" s="109"/>
      <c r="L335" s="1141"/>
      <c r="M335" s="1617"/>
      <c r="N335" s="1486"/>
    </row>
    <row r="336" spans="1:14" hidden="1">
      <c r="A336" s="32" t="s">
        <v>29</v>
      </c>
      <c r="B336" s="1431">
        <f>MVWD!N146</f>
        <v>0</v>
      </c>
      <c r="C336" s="1422"/>
      <c r="D336" s="1431">
        <f t="shared" ref="D336:D341" si="75">F336*325851</f>
        <v>0</v>
      </c>
      <c r="E336" s="1422"/>
      <c r="F336" s="1431">
        <f>0.0425*B336</f>
        <v>0</v>
      </c>
      <c r="G336" s="1422"/>
      <c r="H336" s="383">
        <f>F336*20</f>
        <v>0</v>
      </c>
      <c r="I336" s="4">
        <v>0</v>
      </c>
      <c r="J336" s="4">
        <f>35*B336</f>
        <v>0</v>
      </c>
      <c r="K336" s="4">
        <f>B336*50</f>
        <v>0</v>
      </c>
      <c r="L336" s="6">
        <f t="shared" ref="L336:L342" si="76">I336+J336+K336</f>
        <v>0</v>
      </c>
      <c r="M336" s="1758" t="e">
        <f>L336/(F336*498.5)</f>
        <v>#DIV/0!</v>
      </c>
      <c r="N336" s="1759"/>
    </row>
    <row r="337" spans="1:14">
      <c r="A337" s="32" t="s">
        <v>33</v>
      </c>
      <c r="B337" s="1431">
        <f>MVWD!N147</f>
        <v>54</v>
      </c>
      <c r="C337" s="1422"/>
      <c r="D337" s="1431">
        <f t="shared" si="75"/>
        <v>485648.33039999998</v>
      </c>
      <c r="E337" s="1422"/>
      <c r="F337" s="1871">
        <f>0.0276*B337</f>
        <v>1.4903999999999999</v>
      </c>
      <c r="G337" s="1450"/>
      <c r="H337" s="957">
        <f>F337*15</f>
        <v>22.355999999999998</v>
      </c>
      <c r="I337" s="131">
        <f>0*B337</f>
        <v>0</v>
      </c>
      <c r="J337" s="131">
        <v>0</v>
      </c>
      <c r="K337" s="131">
        <f>B337*85</f>
        <v>4590</v>
      </c>
      <c r="L337" s="132">
        <f t="shared" si="76"/>
        <v>4590</v>
      </c>
      <c r="M337" s="1758">
        <f t="shared" ref="M337:M342" si="77">L337/(F337*681)</f>
        <v>4.5223350145778802</v>
      </c>
      <c r="N337" s="1759"/>
    </row>
    <row r="338" spans="1:14">
      <c r="A338" s="32" t="s">
        <v>56</v>
      </c>
      <c r="B338" s="1431">
        <f>MVWD!N148</f>
        <v>40</v>
      </c>
      <c r="C338" s="1422"/>
      <c r="D338" s="1431">
        <f t="shared" si="75"/>
        <v>52136.160000000003</v>
      </c>
      <c r="E338" s="1422"/>
      <c r="F338" s="1871">
        <f>0.004*B338</f>
        <v>0.16</v>
      </c>
      <c r="G338" s="1450"/>
      <c r="H338" s="957">
        <f>F338*5</f>
        <v>0.8</v>
      </c>
      <c r="I338" s="131">
        <f>0*B338</f>
        <v>0</v>
      </c>
      <c r="J338" s="131">
        <f>2*B338</f>
        <v>80</v>
      </c>
      <c r="K338" s="131">
        <f>B338*3</f>
        <v>120</v>
      </c>
      <c r="L338" s="132">
        <f t="shared" si="76"/>
        <v>200</v>
      </c>
      <c r="M338" s="1758">
        <f t="shared" si="77"/>
        <v>1.8355359765051393</v>
      </c>
      <c r="N338" s="1759"/>
    </row>
    <row r="339" spans="1:14">
      <c r="A339" s="78" t="s">
        <v>30</v>
      </c>
      <c r="B339" s="1431">
        <f>MVWD!N149</f>
        <v>1</v>
      </c>
      <c r="C339" s="1422"/>
      <c r="D339" s="1431">
        <f t="shared" si="75"/>
        <v>105901.575</v>
      </c>
      <c r="E339" s="1422"/>
      <c r="F339" s="1876">
        <f>0.325*B339</f>
        <v>0.32500000000000001</v>
      </c>
      <c r="G339" s="1877"/>
      <c r="H339" s="956">
        <f>F339*10</f>
        <v>3.25</v>
      </c>
      <c r="I339" s="133">
        <v>0</v>
      </c>
      <c r="J339" s="133">
        <f>45*B339</f>
        <v>45</v>
      </c>
      <c r="K339" s="133">
        <f>B339*80</f>
        <v>80</v>
      </c>
      <c r="L339" s="132">
        <f t="shared" si="76"/>
        <v>125</v>
      </c>
      <c r="M339" s="1758">
        <f t="shared" si="77"/>
        <v>0.56478030046311978</v>
      </c>
      <c r="N339" s="1759"/>
    </row>
    <row r="340" spans="1:14" ht="12.75" hidden="1" customHeight="1">
      <c r="A340" s="76" t="s">
        <v>150</v>
      </c>
      <c r="B340" s="1431">
        <f>MVWD!N150</f>
        <v>0</v>
      </c>
      <c r="C340" s="1422"/>
      <c r="D340" s="1431">
        <f t="shared" si="75"/>
        <v>0</v>
      </c>
      <c r="E340" s="1422"/>
      <c r="F340" s="1876">
        <f>0.00014*0</f>
        <v>0</v>
      </c>
      <c r="G340" s="1877"/>
      <c r="H340" s="956">
        <f>F340*10</f>
        <v>0</v>
      </c>
      <c r="I340" s="133">
        <v>0</v>
      </c>
      <c r="J340" s="133">
        <f>0.45*0</f>
        <v>0</v>
      </c>
      <c r="K340" s="133">
        <f>0*0.3</f>
        <v>0</v>
      </c>
      <c r="L340" s="132">
        <f t="shared" si="76"/>
        <v>0</v>
      </c>
      <c r="M340" s="1758" t="e">
        <f t="shared" si="77"/>
        <v>#DIV/0!</v>
      </c>
      <c r="N340" s="1759"/>
    </row>
    <row r="341" spans="1:14">
      <c r="A341" s="76" t="s">
        <v>165</v>
      </c>
      <c r="B341" s="1431">
        <f>MVWD!N151</f>
        <v>2197</v>
      </c>
      <c r="C341" s="1422"/>
      <c r="D341" s="1431">
        <f t="shared" si="75"/>
        <v>2863578.588</v>
      </c>
      <c r="E341" s="1422"/>
      <c r="F341" s="1871">
        <f>B341*0.004</f>
        <v>8.7880000000000003</v>
      </c>
      <c r="G341" s="1450"/>
      <c r="H341" s="956">
        <f>F341*10</f>
        <v>87.88</v>
      </c>
      <c r="I341" s="133">
        <v>0</v>
      </c>
      <c r="J341" s="133">
        <v>0</v>
      </c>
      <c r="K341" s="133">
        <f>2275*3</f>
        <v>6825</v>
      </c>
      <c r="L341" s="132">
        <f t="shared" si="76"/>
        <v>6825</v>
      </c>
      <c r="M341" s="1758">
        <f t="shared" si="77"/>
        <v>1.1404217605505302</v>
      </c>
      <c r="N341" s="1759"/>
    </row>
    <row r="342" spans="1:14" ht="14" thickBot="1">
      <c r="A342" s="76" t="s">
        <v>166</v>
      </c>
      <c r="B342" s="1431">
        <v>3</v>
      </c>
      <c r="C342" s="1422"/>
      <c r="D342" s="1431">
        <f>F342*325900</f>
        <v>977700</v>
      </c>
      <c r="E342" s="1743"/>
      <c r="F342" s="1871">
        <v>3</v>
      </c>
      <c r="G342" s="1450"/>
      <c r="H342" s="956">
        <v>25</v>
      </c>
      <c r="I342" s="133">
        <v>0</v>
      </c>
      <c r="J342" s="133">
        <v>2167</v>
      </c>
      <c r="K342" s="133">
        <v>1858.37</v>
      </c>
      <c r="L342" s="132">
        <f t="shared" si="76"/>
        <v>4025.37</v>
      </c>
      <c r="M342" s="1758">
        <f t="shared" si="77"/>
        <v>1.9703230543318648</v>
      </c>
      <c r="N342" s="1759"/>
    </row>
    <row r="343" spans="1:14" ht="14" thickBot="1">
      <c r="A343" s="53" t="s">
        <v>60</v>
      </c>
      <c r="B343" s="1438">
        <f>SUM(B336:C342)</f>
        <v>2295</v>
      </c>
      <c r="C343" s="1609"/>
      <c r="D343" s="1440">
        <f>SUM(D336:E342)</f>
        <v>4484964.6534000002</v>
      </c>
      <c r="E343" s="1621"/>
      <c r="F343" s="1441">
        <f>SUM(F336:G342)</f>
        <v>13.763400000000001</v>
      </c>
      <c r="G343" s="1439"/>
      <c r="H343" s="619">
        <f>SUM(H336:H342)</f>
        <v>139.286</v>
      </c>
      <c r="I343" s="136">
        <f>SUM(I336:I342)</f>
        <v>0</v>
      </c>
      <c r="J343" s="136">
        <f>SUM(J336:J342)</f>
        <v>2292</v>
      </c>
      <c r="K343" s="136">
        <f>SUM(K336:K342)</f>
        <v>13473.369999999999</v>
      </c>
      <c r="L343" s="136">
        <f>SUM(L336:L342)</f>
        <v>15765.369999999999</v>
      </c>
      <c r="M343" s="1610"/>
      <c r="N343" s="1611"/>
    </row>
    <row r="344" spans="1:14" s="1161" customFormat="1" ht="17" thickBot="1">
      <c r="A344" s="1239" t="s">
        <v>146</v>
      </c>
      <c r="B344" s="1567"/>
      <c r="C344" s="1586"/>
      <c r="D344" s="1567"/>
      <c r="E344" s="1586"/>
      <c r="F344" s="1567"/>
      <c r="G344" s="1586"/>
      <c r="H344" s="1142"/>
      <c r="I344" s="161"/>
      <c r="J344" s="161"/>
      <c r="K344" s="161"/>
      <c r="L344" s="162"/>
      <c r="M344" s="1617"/>
      <c r="N344" s="1486"/>
    </row>
    <row r="345" spans="1:14">
      <c r="A345" s="76" t="s">
        <v>146</v>
      </c>
      <c r="B345" s="1431">
        <f>MVWD!N155</f>
        <v>9</v>
      </c>
      <c r="C345" s="1422"/>
      <c r="D345" s="1431">
        <f>F345*325851</f>
        <v>124638.00750000001</v>
      </c>
      <c r="E345" s="1422"/>
      <c r="F345" s="1871">
        <f>0.0425*B345</f>
        <v>0.38250000000000001</v>
      </c>
      <c r="G345" s="1450"/>
      <c r="H345" s="957">
        <f>F345*20</f>
        <v>7.65</v>
      </c>
      <c r="I345" s="131">
        <f>73.34*B345</f>
        <v>660.06000000000006</v>
      </c>
      <c r="J345" s="131">
        <f>35.66*B345</f>
        <v>320.93999999999994</v>
      </c>
      <c r="K345" s="131">
        <f>B345*50</f>
        <v>450</v>
      </c>
      <c r="L345" s="132">
        <f>I345+J345+K345</f>
        <v>1431</v>
      </c>
      <c r="M345" s="1758">
        <f>L345/(F345*498.5)</f>
        <v>7.5048675438078938</v>
      </c>
      <c r="N345" s="1759"/>
    </row>
    <row r="346" spans="1:14" ht="14" thickBot="1">
      <c r="A346" s="76" t="s">
        <v>181</v>
      </c>
      <c r="B346" s="1431">
        <f>MVWD!N156</f>
        <v>143</v>
      </c>
      <c r="C346" s="1422"/>
      <c r="D346" s="1431">
        <f>F346*325851</f>
        <v>1980359.4525000001</v>
      </c>
      <c r="E346" s="1422"/>
      <c r="F346" s="1871">
        <f>0.0425*B346</f>
        <v>6.0775000000000006</v>
      </c>
      <c r="G346" s="1450"/>
      <c r="H346" s="957">
        <f>F346*20</f>
        <v>121.55000000000001</v>
      </c>
      <c r="I346" s="131">
        <f>73.34*B346</f>
        <v>10487.62</v>
      </c>
      <c r="J346" s="131">
        <f>35.66*B346</f>
        <v>5099.3799999999992</v>
      </c>
      <c r="K346" s="131">
        <f>B346*50</f>
        <v>7150</v>
      </c>
      <c r="L346" s="132">
        <f>I346+J346+K346</f>
        <v>22737</v>
      </c>
      <c r="M346" s="1758">
        <f>L346/(F346*498.5)</f>
        <v>7.5048675438078929</v>
      </c>
      <c r="N346" s="1759"/>
    </row>
    <row r="347" spans="1:14" ht="14" thickBot="1">
      <c r="A347" s="53" t="s">
        <v>60</v>
      </c>
      <c r="B347" s="1438">
        <f>SUM(B345:B346)</f>
        <v>152</v>
      </c>
      <c r="C347" s="1621"/>
      <c r="D347" s="1441">
        <f>SUM(D345:D346)</f>
        <v>2104997.46</v>
      </c>
      <c r="E347" s="1621"/>
      <c r="F347" s="1441">
        <f>SUM(F345:F346)</f>
        <v>6.4600000000000009</v>
      </c>
      <c r="G347" s="1439"/>
      <c r="H347" s="619">
        <f>SUM(H345:H346)</f>
        <v>129.20000000000002</v>
      </c>
      <c r="I347" s="136">
        <f>SUM(I345:I346)</f>
        <v>11147.68</v>
      </c>
      <c r="J347" s="143">
        <f>SUM(J345:J346)</f>
        <v>5420.3199999999988</v>
      </c>
      <c r="K347" s="143">
        <f>SUM(K345:K346)</f>
        <v>7600</v>
      </c>
      <c r="L347" s="136">
        <f>SUM(L345:L346)</f>
        <v>24168</v>
      </c>
      <c r="M347" s="1610"/>
      <c r="N347" s="1611"/>
    </row>
    <row r="348" spans="1:14" s="1161" customFormat="1" ht="17" thickBot="1">
      <c r="A348" s="108" t="s">
        <v>50</v>
      </c>
      <c r="B348" s="1567"/>
      <c r="C348" s="1586"/>
      <c r="D348" s="1567"/>
      <c r="E348" s="1586"/>
      <c r="F348" s="1567"/>
      <c r="G348" s="1586"/>
      <c r="H348" s="1142"/>
      <c r="I348" s="161"/>
      <c r="J348" s="161"/>
      <c r="K348" s="161"/>
      <c r="L348" s="162"/>
      <c r="M348" s="1617"/>
      <c r="N348" s="1486"/>
    </row>
    <row r="349" spans="1:14">
      <c r="A349" s="32" t="s">
        <v>29</v>
      </c>
      <c r="B349" s="1431">
        <f>MVWD!N159</f>
        <v>0</v>
      </c>
      <c r="C349" s="1422"/>
      <c r="D349" s="1431">
        <f t="shared" ref="D349:D355" si="78">F349*325851</f>
        <v>0</v>
      </c>
      <c r="E349" s="1422"/>
      <c r="F349" s="1871">
        <f>0.0425*B349</f>
        <v>0</v>
      </c>
      <c r="G349" s="1450"/>
      <c r="H349" s="957">
        <f>F349*20</f>
        <v>0</v>
      </c>
      <c r="I349" s="131">
        <v>0</v>
      </c>
      <c r="J349" s="131">
        <f>135*B349</f>
        <v>0</v>
      </c>
      <c r="K349" s="131">
        <f>165*B349</f>
        <v>0</v>
      </c>
      <c r="L349" s="132">
        <f>SUM(I349:K349)</f>
        <v>0</v>
      </c>
      <c r="M349" s="1758">
        <v>0</v>
      </c>
      <c r="N349" s="1759"/>
    </row>
    <row r="350" spans="1:14">
      <c r="A350" s="32" t="s">
        <v>51</v>
      </c>
      <c r="B350" s="1431">
        <f>MVWD!N160</f>
        <v>5</v>
      </c>
      <c r="C350" s="1422"/>
      <c r="D350" s="1431">
        <f t="shared" si="78"/>
        <v>199909.58850000001</v>
      </c>
      <c r="E350" s="1422"/>
      <c r="F350" s="1871">
        <f>0.1227*B350</f>
        <v>0.61350000000000005</v>
      </c>
      <c r="G350" s="1450"/>
      <c r="H350" s="957">
        <f>F350*20</f>
        <v>12.270000000000001</v>
      </c>
      <c r="I350" s="131">
        <v>0</v>
      </c>
      <c r="J350" s="131">
        <f>50*B350</f>
        <v>250</v>
      </c>
      <c r="K350" s="131">
        <f>200*B350</f>
        <v>1000</v>
      </c>
      <c r="L350" s="132">
        <f>SUM(I350:K350)</f>
        <v>1250</v>
      </c>
      <c r="M350" s="1758">
        <f>L350/(F350*681)</f>
        <v>2.9919086821599663</v>
      </c>
      <c r="N350" s="1759"/>
    </row>
    <row r="351" spans="1:14">
      <c r="A351" s="34" t="s">
        <v>20</v>
      </c>
      <c r="B351" s="1431">
        <f>MVWD!N161</f>
        <v>0</v>
      </c>
      <c r="C351" s="1422"/>
      <c r="D351" s="1431">
        <f t="shared" si="78"/>
        <v>0</v>
      </c>
      <c r="E351" s="1422"/>
      <c r="F351" s="1871">
        <f>0.644*B351</f>
        <v>0</v>
      </c>
      <c r="G351" s="1450"/>
      <c r="H351" s="957">
        <f>F351*5</f>
        <v>0</v>
      </c>
      <c r="I351" s="131">
        <v>0</v>
      </c>
      <c r="J351" s="131">
        <f>43.75*B351</f>
        <v>0</v>
      </c>
      <c r="K351" s="131">
        <f>625*B351</f>
        <v>0</v>
      </c>
      <c r="L351" s="132">
        <f>SUM(I351:K351)</f>
        <v>0</v>
      </c>
      <c r="M351" s="1758">
        <v>0</v>
      </c>
      <c r="N351" s="1759"/>
    </row>
    <row r="352" spans="1:14">
      <c r="A352" s="34" t="s">
        <v>13</v>
      </c>
      <c r="B352" s="1431">
        <f>MVWD!N162</f>
        <v>0</v>
      </c>
      <c r="C352" s="1422"/>
      <c r="D352" s="1431">
        <f t="shared" si="78"/>
        <v>0</v>
      </c>
      <c r="E352" s="1422"/>
      <c r="F352" s="1871">
        <f>0.0276*B352</f>
        <v>0</v>
      </c>
      <c r="G352" s="1450"/>
      <c r="H352" s="957">
        <f>F352*10</f>
        <v>0</v>
      </c>
      <c r="I352" s="131">
        <v>0</v>
      </c>
      <c r="J352" s="131">
        <f>100*B352</f>
        <v>0</v>
      </c>
      <c r="K352" s="131">
        <f>80*B352</f>
        <v>0</v>
      </c>
      <c r="L352" s="132">
        <f>SUM(I352:K352)</f>
        <v>0</v>
      </c>
      <c r="M352" s="1758">
        <v>0</v>
      </c>
      <c r="N352" s="1759"/>
    </row>
    <row r="353" spans="1:14" hidden="1">
      <c r="A353" s="35" t="s">
        <v>47</v>
      </c>
      <c r="B353" s="1431">
        <f>MVWD!N163</f>
        <v>0</v>
      </c>
      <c r="C353" s="1422"/>
      <c r="D353" s="1431">
        <f t="shared" si="78"/>
        <v>0</v>
      </c>
      <c r="E353" s="1422"/>
      <c r="F353" s="1871">
        <f>0.1534*B353</f>
        <v>0</v>
      </c>
      <c r="G353" s="1450"/>
      <c r="H353" s="957">
        <f>F353*5</f>
        <v>0</v>
      </c>
      <c r="I353" s="131">
        <v>0</v>
      </c>
      <c r="J353" s="131">
        <f>0*B353</f>
        <v>0</v>
      </c>
      <c r="K353" s="131">
        <f>150*B353</f>
        <v>0</v>
      </c>
      <c r="L353" s="132">
        <f>SUM(I353:K353)</f>
        <v>0</v>
      </c>
      <c r="M353" s="1758">
        <v>0</v>
      </c>
      <c r="N353" s="1759"/>
    </row>
    <row r="354" spans="1:14">
      <c r="A354" s="76" t="s">
        <v>30</v>
      </c>
      <c r="B354" s="1431">
        <f>MVWD!N164</f>
        <v>17</v>
      </c>
      <c r="C354" s="1422"/>
      <c r="D354" s="1431">
        <f t="shared" si="78"/>
        <v>1800326.7750000001</v>
      </c>
      <c r="E354" s="1422"/>
      <c r="F354" s="1871">
        <f>0.325*B354</f>
        <v>5.5250000000000004</v>
      </c>
      <c r="G354" s="1450"/>
      <c r="H354" s="957">
        <f>F354*10</f>
        <v>55.25</v>
      </c>
      <c r="I354" s="131">
        <v>0</v>
      </c>
      <c r="J354" s="131">
        <v>6120</v>
      </c>
      <c r="K354" s="131">
        <v>10200</v>
      </c>
      <c r="L354" s="132">
        <f>I354+J354+K354</f>
        <v>16320</v>
      </c>
      <c r="M354" s="1758">
        <f>L354/(F354*681)</f>
        <v>4.3375127075567601</v>
      </c>
      <c r="N354" s="1759"/>
    </row>
    <row r="355" spans="1:14" hidden="1">
      <c r="A355" s="76" t="s">
        <v>150</v>
      </c>
      <c r="B355" s="1431">
        <f>MVWD!N165</f>
        <v>0</v>
      </c>
      <c r="C355" s="1422"/>
      <c r="D355" s="1431">
        <f t="shared" si="78"/>
        <v>0</v>
      </c>
      <c r="E355" s="1422"/>
      <c r="F355" s="1871">
        <f>0.00014*0</f>
        <v>0</v>
      </c>
      <c r="G355" s="1450"/>
      <c r="H355" s="957">
        <f>F355*10</f>
        <v>0</v>
      </c>
      <c r="I355" s="131">
        <v>0</v>
      </c>
      <c r="J355" s="131">
        <f>0.45*0</f>
        <v>0</v>
      </c>
      <c r="K355" s="131">
        <f>0.3*0</f>
        <v>0</v>
      </c>
      <c r="L355" s="132">
        <f>SUM(I355:K355)</f>
        <v>0</v>
      </c>
      <c r="M355" s="1758">
        <v>0</v>
      </c>
      <c r="N355" s="1759"/>
    </row>
    <row r="356" spans="1:14">
      <c r="A356" s="33" t="s">
        <v>56</v>
      </c>
      <c r="B356" s="1431">
        <f>MVWD!N166</f>
        <v>0</v>
      </c>
      <c r="C356" s="1422"/>
      <c r="D356" s="1431">
        <f>F356*325851</f>
        <v>0</v>
      </c>
      <c r="E356" s="1422"/>
      <c r="F356" s="1871">
        <f>0.004*B356</f>
        <v>0</v>
      </c>
      <c r="G356" s="1450"/>
      <c r="H356" s="957">
        <f>F356*5</f>
        <v>0</v>
      </c>
      <c r="I356" s="131">
        <v>0</v>
      </c>
      <c r="J356" s="131">
        <f>0*B356</f>
        <v>0</v>
      </c>
      <c r="K356" s="131">
        <f>4*B356</f>
        <v>0</v>
      </c>
      <c r="L356" s="132">
        <f>SUM(I356:K356)</f>
        <v>0</v>
      </c>
      <c r="M356" s="1758">
        <v>0</v>
      </c>
      <c r="N356" s="1759"/>
    </row>
    <row r="357" spans="1:14">
      <c r="A357" s="76" t="s">
        <v>122</v>
      </c>
      <c r="B357" s="1431">
        <f>MVWD!N167</f>
        <v>0</v>
      </c>
      <c r="C357" s="1422"/>
      <c r="D357" s="1431">
        <f>F357*325851</f>
        <v>0</v>
      </c>
      <c r="E357" s="1422"/>
      <c r="F357" s="1871">
        <f>0.018*B357</f>
        <v>0</v>
      </c>
      <c r="G357" s="1450"/>
      <c r="H357" s="957">
        <f>F357*10</f>
        <v>0</v>
      </c>
      <c r="I357" s="131">
        <v>0</v>
      </c>
      <c r="J357" s="131">
        <f>0*B357</f>
        <v>0</v>
      </c>
      <c r="K357" s="131">
        <f>13*B357</f>
        <v>0</v>
      </c>
      <c r="L357" s="132">
        <f>SUM(I357:K357)</f>
        <v>0</v>
      </c>
      <c r="M357" s="1758">
        <v>0</v>
      </c>
      <c r="N357" s="1759"/>
    </row>
    <row r="358" spans="1:14" ht="13.5" hidden="1" customHeight="1">
      <c r="A358" s="33" t="s">
        <v>102</v>
      </c>
      <c r="B358" s="1431">
        <f>MVWD!N168</f>
        <v>0</v>
      </c>
      <c r="C358" s="1422"/>
      <c r="D358" s="1431">
        <f>F358*325851</f>
        <v>0</v>
      </c>
      <c r="E358" s="1422"/>
      <c r="F358" s="1871">
        <f>0.018*B358</f>
        <v>0</v>
      </c>
      <c r="G358" s="1450"/>
      <c r="H358" s="957">
        <f>F358*10</f>
        <v>0</v>
      </c>
      <c r="I358" s="131">
        <v>1</v>
      </c>
      <c r="J358" s="131">
        <f>0*B358</f>
        <v>0</v>
      </c>
      <c r="K358" s="131">
        <f>13*B358</f>
        <v>0</v>
      </c>
      <c r="L358" s="132">
        <f>SUM(I358:K358)</f>
        <v>1</v>
      </c>
      <c r="M358" s="1758">
        <v>1</v>
      </c>
      <c r="N358" s="1759"/>
    </row>
    <row r="359" spans="1:14" ht="13.5" hidden="1" customHeight="1" thickBot="1">
      <c r="A359" s="33" t="s">
        <v>167</v>
      </c>
      <c r="B359" s="1431"/>
      <c r="C359" s="1422"/>
      <c r="D359" s="1431"/>
      <c r="E359" s="1422"/>
      <c r="F359" s="1901"/>
      <c r="G359" s="1887"/>
      <c r="H359" s="957"/>
      <c r="I359" s="169"/>
      <c r="J359" s="131"/>
      <c r="K359" s="131"/>
      <c r="L359" s="132"/>
      <c r="M359" s="1758"/>
      <c r="N359" s="1759"/>
    </row>
    <row r="360" spans="1:14">
      <c r="A360" s="33" t="s">
        <v>165</v>
      </c>
      <c r="B360" s="1431">
        <f>MVWD!N170</f>
        <v>2889</v>
      </c>
      <c r="C360" s="1422"/>
      <c r="D360" s="1431">
        <f>F360*325851</f>
        <v>3765534.1560000004</v>
      </c>
      <c r="E360" s="1422"/>
      <c r="F360" s="1871">
        <f>0.004*B360</f>
        <v>11.556000000000001</v>
      </c>
      <c r="G360" s="1450"/>
      <c r="H360" s="957">
        <f>F360*10</f>
        <v>115.56</v>
      </c>
      <c r="I360" s="131">
        <v>0</v>
      </c>
      <c r="J360" s="131">
        <f>0*B360</f>
        <v>0</v>
      </c>
      <c r="K360" s="131">
        <f>13*B360</f>
        <v>37557</v>
      </c>
      <c r="L360" s="132">
        <f>SUM(I360:K360)</f>
        <v>37557</v>
      </c>
      <c r="M360" s="1758">
        <f>L360/(F360*681)</f>
        <v>4.772393538913362</v>
      </c>
      <c r="N360" s="1759"/>
    </row>
    <row r="361" spans="1:14" ht="14" thickBot="1">
      <c r="A361" s="78" t="s">
        <v>184</v>
      </c>
      <c r="B361" s="1444">
        <f>MVWD!N171</f>
        <v>0</v>
      </c>
      <c r="C361" s="1422"/>
      <c r="D361" s="1444">
        <f>MVWD!P171</f>
        <v>0</v>
      </c>
      <c r="E361" s="1422"/>
      <c r="F361" s="1449">
        <f>MVWD!R171</f>
        <v>0</v>
      </c>
      <c r="G361" s="1450"/>
      <c r="H361" s="957">
        <f>F361*10</f>
        <v>0</v>
      </c>
      <c r="I361" s="131">
        <v>0</v>
      </c>
      <c r="J361" s="131">
        <v>0</v>
      </c>
      <c r="K361" s="131">
        <v>0</v>
      </c>
      <c r="L361" s="132">
        <v>0</v>
      </c>
      <c r="M361" s="1758">
        <v>0</v>
      </c>
      <c r="N361" s="1759"/>
    </row>
    <row r="362" spans="1:14" ht="14" thickBot="1">
      <c r="A362" s="53" t="s">
        <v>60</v>
      </c>
      <c r="B362" s="1438">
        <f>SUM(B349:C361)</f>
        <v>2911</v>
      </c>
      <c r="C362" s="1621"/>
      <c r="D362" s="1441">
        <f>SUM(D349:E361)</f>
        <v>5765770.5195000004</v>
      </c>
      <c r="E362" s="1609"/>
      <c r="F362" s="1440">
        <f>SUM(F349:G361)</f>
        <v>17.694500000000001</v>
      </c>
      <c r="G362" s="1439"/>
      <c r="H362" s="388">
        <f>SUM(H349:H361)</f>
        <v>183.07999999999998</v>
      </c>
      <c r="I362" s="136">
        <f>SUM(I349:I361)</f>
        <v>1</v>
      </c>
      <c r="J362" s="136">
        <f>SUM(J349:J361)</f>
        <v>6370</v>
      </c>
      <c r="K362" s="136">
        <f>SUM(K349:K361)</f>
        <v>48757</v>
      </c>
      <c r="L362" s="136">
        <f>SUM(L349:L361)</f>
        <v>55128</v>
      </c>
      <c r="M362" s="1610"/>
      <c r="N362" s="1611"/>
    </row>
    <row r="363" spans="1:14" s="1168" customFormat="1" ht="17" thickBot="1">
      <c r="A363" s="1182" t="s">
        <v>17</v>
      </c>
      <c r="B363" s="1416">
        <f>SUM(B343+B347+B362)</f>
        <v>5358</v>
      </c>
      <c r="C363" s="1415"/>
      <c r="D363" s="1416">
        <f>SUM(D343+D347+D362)</f>
        <v>12355732.6329</v>
      </c>
      <c r="E363" s="1415"/>
      <c r="F363" s="1416">
        <f>SUM(F343+F347+F362)</f>
        <v>37.917900000000003</v>
      </c>
      <c r="G363" s="1415"/>
      <c r="H363" s="1164">
        <f>SUM(H343,H347,H362)</f>
        <v>451.56599999999997</v>
      </c>
      <c r="I363" s="1169">
        <f>SUM(I343+I347+I362)</f>
        <v>11148.68</v>
      </c>
      <c r="J363" s="1169">
        <f>SUM(J343+J347+J362)</f>
        <v>14082.32</v>
      </c>
      <c r="K363" s="1169">
        <f>SUM(K343+K347+K362)</f>
        <v>69830.37</v>
      </c>
      <c r="L363" s="1169">
        <f>SUM(L343+L347+L362)</f>
        <v>95061.37</v>
      </c>
      <c r="M363" s="1631"/>
      <c r="N363" s="1640"/>
    </row>
    <row r="364" spans="1:14" ht="16">
      <c r="A364" s="60"/>
      <c r="B364" s="61"/>
      <c r="C364" s="61"/>
      <c r="D364" s="61"/>
      <c r="E364" s="61"/>
      <c r="F364" s="61"/>
      <c r="G364" s="61"/>
      <c r="H364" s="61"/>
      <c r="I364" s="62"/>
      <c r="J364" s="62"/>
      <c r="K364" s="62"/>
      <c r="L364" s="62"/>
      <c r="M364" s="64"/>
      <c r="N364" s="65"/>
    </row>
    <row r="365" spans="1:14" ht="16">
      <c r="A365" s="9" t="s">
        <v>18</v>
      </c>
      <c r="B365" s="1419" t="s">
        <v>59</v>
      </c>
      <c r="C365" s="1419"/>
      <c r="D365" s="1419"/>
      <c r="E365" s="1419"/>
      <c r="F365" s="61"/>
      <c r="G365" s="61"/>
      <c r="H365" s="61"/>
      <c r="I365" s="62"/>
      <c r="J365" s="62"/>
      <c r="K365" s="62"/>
      <c r="L365" s="62"/>
      <c r="M365" s="64"/>
      <c r="N365" s="65"/>
    </row>
    <row r="366" spans="1:14" ht="16">
      <c r="A366" s="57"/>
      <c r="B366" s="1420" t="s">
        <v>19</v>
      </c>
      <c r="C366" s="1420"/>
      <c r="D366" s="1420"/>
      <c r="E366" s="1420"/>
      <c r="F366" s="61"/>
      <c r="G366" s="61"/>
      <c r="H366" s="61"/>
      <c r="I366" s="62"/>
      <c r="J366" s="62"/>
      <c r="K366" s="62"/>
      <c r="L366" s="62"/>
      <c r="M366" s="64"/>
      <c r="N366" s="65"/>
    </row>
    <row r="367" spans="1:14" ht="17" thickBot="1">
      <c r="A367" s="57"/>
      <c r="B367" s="820"/>
      <c r="C367" s="820"/>
      <c r="D367" s="820"/>
      <c r="E367" s="820"/>
      <c r="F367" s="61"/>
      <c r="G367" s="61"/>
      <c r="H367" s="61"/>
      <c r="I367" s="62"/>
      <c r="J367" s="62"/>
      <c r="K367" s="62"/>
      <c r="L367" s="62"/>
      <c r="M367" s="64"/>
      <c r="N367" s="65"/>
    </row>
    <row r="368" spans="1:14" s="363" customFormat="1" ht="16">
      <c r="A368" s="98"/>
      <c r="B368" s="99"/>
      <c r="C368" s="99"/>
      <c r="D368" s="99"/>
      <c r="E368" s="99"/>
      <c r="F368" s="736"/>
      <c r="G368" s="736"/>
      <c r="H368" s="736"/>
      <c r="I368" s="1468" t="s">
        <v>0</v>
      </c>
      <c r="J368" s="1468"/>
      <c r="K368" s="1468"/>
      <c r="L368" s="1468"/>
      <c r="M368" s="99"/>
      <c r="N368" s="101"/>
    </row>
    <row r="369" spans="1:14" ht="16">
      <c r="A369" s="97"/>
      <c r="B369" s="1469" t="s">
        <v>1</v>
      </c>
      <c r="C369" s="1469"/>
      <c r="D369" s="1469" t="s">
        <v>2</v>
      </c>
      <c r="E369" s="1469"/>
      <c r="F369" s="1977" t="s">
        <v>3</v>
      </c>
      <c r="G369" s="1977"/>
      <c r="H369" s="841" t="s">
        <v>3</v>
      </c>
      <c r="I369" s="127" t="s">
        <v>195</v>
      </c>
      <c r="J369" s="102"/>
      <c r="K369" s="102"/>
      <c r="L369" s="128"/>
      <c r="M369" s="1469" t="s">
        <v>4</v>
      </c>
      <c r="N369" s="1526"/>
    </row>
    <row r="370" spans="1:14" ht="19" thickBot="1">
      <c r="A370" s="103" t="s">
        <v>5</v>
      </c>
      <c r="B370" s="1473" t="s">
        <v>6</v>
      </c>
      <c r="C370" s="1473"/>
      <c r="D370" s="1473" t="s">
        <v>7</v>
      </c>
      <c r="E370" s="1473"/>
      <c r="F370" s="1978" t="s">
        <v>7</v>
      </c>
      <c r="G370" s="1978"/>
      <c r="H370" s="842" t="s">
        <v>58</v>
      </c>
      <c r="I370" s="797" t="s">
        <v>196</v>
      </c>
      <c r="J370" s="795" t="s">
        <v>8</v>
      </c>
      <c r="K370" s="795" t="s">
        <v>9</v>
      </c>
      <c r="L370" s="401" t="s">
        <v>10</v>
      </c>
      <c r="M370" s="1473" t="s">
        <v>145</v>
      </c>
      <c r="N370" s="1475"/>
    </row>
    <row r="371" spans="1:14" ht="24" thickBot="1">
      <c r="A371" s="88" t="s">
        <v>163</v>
      </c>
      <c r="B371" s="1764"/>
      <c r="C371" s="1477"/>
      <c r="D371" s="1478"/>
      <c r="E371" s="1479"/>
      <c r="F371" s="1478"/>
      <c r="G371" s="1479"/>
      <c r="H371" s="818"/>
      <c r="I371" s="7"/>
      <c r="J371" s="7"/>
      <c r="K371" s="7"/>
      <c r="L371" s="8"/>
      <c r="M371" s="1764"/>
      <c r="N371" s="1765"/>
    </row>
    <row r="372" spans="1:14" s="1161" customFormat="1" ht="15.75" customHeight="1" thickBot="1">
      <c r="A372" s="108" t="s">
        <v>48</v>
      </c>
      <c r="B372" s="1567"/>
      <c r="C372" s="1586"/>
      <c r="D372" s="1567"/>
      <c r="E372" s="1586"/>
      <c r="F372" s="1567"/>
      <c r="G372" s="1586"/>
      <c r="H372" s="1142"/>
      <c r="I372" s="109"/>
      <c r="J372" s="109"/>
      <c r="K372" s="109"/>
      <c r="L372" s="1141"/>
      <c r="M372" s="1617"/>
      <c r="N372" s="1486"/>
    </row>
    <row r="373" spans="1:14">
      <c r="A373" s="32" t="s">
        <v>29</v>
      </c>
      <c r="B373" s="1431">
        <f>MVWD!N117</f>
        <v>2</v>
      </c>
      <c r="C373" s="1422"/>
      <c r="D373" s="1431">
        <f t="shared" ref="D373:D378" si="79">F373*325851</f>
        <v>27697.335000000003</v>
      </c>
      <c r="E373" s="1422"/>
      <c r="F373" s="1871">
        <f>0.0425*B373</f>
        <v>8.5000000000000006E-2</v>
      </c>
      <c r="G373" s="1450"/>
      <c r="H373" s="957">
        <f>F373*20</f>
        <v>1.7000000000000002</v>
      </c>
      <c r="I373" s="131">
        <v>0</v>
      </c>
      <c r="J373" s="131">
        <f>35*B373</f>
        <v>70</v>
      </c>
      <c r="K373" s="131">
        <f>B373*50</f>
        <v>100</v>
      </c>
      <c r="L373" s="132">
        <f t="shared" ref="L373:L379" si="80">I373+J373+K373</f>
        <v>170</v>
      </c>
      <c r="M373" s="1758">
        <f>L373/(F373*498.5)</f>
        <v>4.0120361083249749</v>
      </c>
      <c r="N373" s="1759"/>
    </row>
    <row r="374" spans="1:14">
      <c r="A374" s="32" t="s">
        <v>33</v>
      </c>
      <c r="B374" s="1431">
        <f>MVWD!N118</f>
        <v>94</v>
      </c>
      <c r="C374" s="1422"/>
      <c r="D374" s="1431">
        <f t="shared" si="79"/>
        <v>845387.83439999993</v>
      </c>
      <c r="E374" s="1422"/>
      <c r="F374" s="1871">
        <f>0.0276*B374</f>
        <v>2.5943999999999998</v>
      </c>
      <c r="G374" s="1450"/>
      <c r="H374" s="957">
        <f>F374*15</f>
        <v>38.915999999999997</v>
      </c>
      <c r="I374" s="131">
        <f>0*B374</f>
        <v>0</v>
      </c>
      <c r="J374" s="131">
        <v>0</v>
      </c>
      <c r="K374" s="131">
        <f>B374*85</f>
        <v>7990</v>
      </c>
      <c r="L374" s="132">
        <f t="shared" si="80"/>
        <v>7990</v>
      </c>
      <c r="M374" s="1758">
        <f>L374/(F374*498.5)</f>
        <v>6.177954152312009</v>
      </c>
      <c r="N374" s="1759"/>
    </row>
    <row r="375" spans="1:14">
      <c r="A375" s="32" t="s">
        <v>56</v>
      </c>
      <c r="B375" s="1431">
        <f>MVWD!N119</f>
        <v>150</v>
      </c>
      <c r="C375" s="1422"/>
      <c r="D375" s="1431">
        <f t="shared" si="79"/>
        <v>195510.6</v>
      </c>
      <c r="E375" s="1422"/>
      <c r="F375" s="1871">
        <f>0.004*B375</f>
        <v>0.6</v>
      </c>
      <c r="G375" s="1450"/>
      <c r="H375" s="957">
        <f>F375*5</f>
        <v>3</v>
      </c>
      <c r="I375" s="131">
        <f>0*B375</f>
        <v>0</v>
      </c>
      <c r="J375" s="131">
        <f>2*B375</f>
        <v>300</v>
      </c>
      <c r="K375" s="131">
        <f>B375*3</f>
        <v>450</v>
      </c>
      <c r="L375" s="132">
        <f t="shared" si="80"/>
        <v>750</v>
      </c>
      <c r="M375" s="1758">
        <f>L375/(F375*498.5)</f>
        <v>2.5075225677031097</v>
      </c>
      <c r="N375" s="1759"/>
    </row>
    <row r="376" spans="1:14">
      <c r="A376" s="78" t="s">
        <v>30</v>
      </c>
      <c r="B376" s="1431">
        <f>MVWD!N120</f>
        <v>4</v>
      </c>
      <c r="C376" s="1422"/>
      <c r="D376" s="1431">
        <f t="shared" si="79"/>
        <v>423606.3</v>
      </c>
      <c r="E376" s="1422"/>
      <c r="F376" s="1876">
        <f>0.325*B376</f>
        <v>1.3</v>
      </c>
      <c r="G376" s="1877"/>
      <c r="H376" s="956">
        <f>F376*10</f>
        <v>13</v>
      </c>
      <c r="I376" s="133">
        <v>0</v>
      </c>
      <c r="J376" s="133">
        <f>45*B376</f>
        <v>180</v>
      </c>
      <c r="K376" s="133">
        <f>B376*80</f>
        <v>320</v>
      </c>
      <c r="L376" s="132">
        <f t="shared" si="80"/>
        <v>500</v>
      </c>
      <c r="M376" s="1758">
        <f>L376/(F376*498.5)</f>
        <v>0.77154540544711048</v>
      </c>
      <c r="N376" s="1759"/>
    </row>
    <row r="377" spans="1:14">
      <c r="A377" s="76" t="s">
        <v>53</v>
      </c>
      <c r="B377" s="1431">
        <f>MVWD!N121</f>
        <v>0</v>
      </c>
      <c r="C377" s="1422"/>
      <c r="D377" s="1431">
        <f t="shared" si="79"/>
        <v>0</v>
      </c>
      <c r="E377" s="1422"/>
      <c r="F377" s="1876">
        <f>0.00014*0</f>
        <v>0</v>
      </c>
      <c r="G377" s="1877"/>
      <c r="H377" s="956">
        <f>F377*10</f>
        <v>0</v>
      </c>
      <c r="I377" s="133">
        <v>0</v>
      </c>
      <c r="J377" s="133">
        <f>0.45*0</f>
        <v>0</v>
      </c>
      <c r="K377" s="133">
        <f>0*0.3</f>
        <v>0</v>
      </c>
      <c r="L377" s="132">
        <f t="shared" si="80"/>
        <v>0</v>
      </c>
      <c r="M377" s="1758">
        <v>0</v>
      </c>
      <c r="N377" s="1759"/>
    </row>
    <row r="378" spans="1:14">
      <c r="A378" s="76" t="s">
        <v>165</v>
      </c>
      <c r="B378" s="1431">
        <f>MVWD!N122</f>
        <v>91</v>
      </c>
      <c r="C378" s="1422"/>
      <c r="D378" s="1431">
        <f t="shared" si="79"/>
        <v>118609.764</v>
      </c>
      <c r="E378" s="1422"/>
      <c r="F378" s="1871">
        <f>B378*0.004</f>
        <v>0.36399999999999999</v>
      </c>
      <c r="G378" s="1450"/>
      <c r="H378" s="956">
        <f>F378*10</f>
        <v>3.6399999999999997</v>
      </c>
      <c r="I378" s="133">
        <v>0</v>
      </c>
      <c r="J378" s="133">
        <v>0</v>
      </c>
      <c r="K378" s="133">
        <f>2275*3</f>
        <v>6825</v>
      </c>
      <c r="L378" s="132">
        <f t="shared" si="80"/>
        <v>6825</v>
      </c>
      <c r="M378" s="1758">
        <f>L378/(F378*498.5)</f>
        <v>37.612838515546642</v>
      </c>
      <c r="N378" s="1759"/>
    </row>
    <row r="379" spans="1:14" ht="14" thickBot="1">
      <c r="A379" s="104" t="s">
        <v>166</v>
      </c>
      <c r="B379" s="1734">
        <f>MVWD!N123</f>
        <v>10</v>
      </c>
      <c r="C379" s="1430"/>
      <c r="D379" s="1734">
        <f>F379*325900</f>
        <v>2933100</v>
      </c>
      <c r="E379" s="1745"/>
      <c r="F379" s="1901">
        <v>9</v>
      </c>
      <c r="G379" s="1887"/>
      <c r="H379" s="951">
        <v>85</v>
      </c>
      <c r="I379" s="529">
        <v>0</v>
      </c>
      <c r="J379" s="529">
        <v>5662.39</v>
      </c>
      <c r="K379" s="529">
        <v>5481.89</v>
      </c>
      <c r="L379" s="884">
        <f t="shared" si="80"/>
        <v>11144.28</v>
      </c>
      <c r="M379" s="1754">
        <f>L379/(F379*498.5)</f>
        <v>2.4839585422935473</v>
      </c>
      <c r="N379" s="1755"/>
    </row>
    <row r="380" spans="1:14" ht="14" thickBot="1">
      <c r="A380" s="53" t="s">
        <v>60</v>
      </c>
      <c r="B380" s="1438">
        <f>SUM(B373:C379)</f>
        <v>351</v>
      </c>
      <c r="C380" s="1621"/>
      <c r="D380" s="1441">
        <f>SUM(D373:E379)</f>
        <v>4543911.8333999999</v>
      </c>
      <c r="E380" s="1609"/>
      <c r="F380" s="1440">
        <f>SUM(F373:G379)</f>
        <v>13.9434</v>
      </c>
      <c r="G380" s="1439"/>
      <c r="H380" s="619">
        <f>SUM(H373:H379)</f>
        <v>145.256</v>
      </c>
      <c r="I380" s="136">
        <f>SUM(I373:I379)</f>
        <v>0</v>
      </c>
      <c r="J380" s="136">
        <f>SUM(J373:J379)</f>
        <v>6212.39</v>
      </c>
      <c r="K380" s="136">
        <f>SUM(K373:K379)</f>
        <v>21166.89</v>
      </c>
      <c r="L380" s="136">
        <f>SUM(L373:L379)</f>
        <v>27379.279999999999</v>
      </c>
      <c r="M380" s="1610"/>
      <c r="N380" s="1611"/>
    </row>
    <row r="381" spans="1:14" s="1161" customFormat="1" ht="17" thickBot="1">
      <c r="A381" s="1239" t="s">
        <v>146</v>
      </c>
      <c r="B381" s="1567"/>
      <c r="C381" s="1586"/>
      <c r="D381" s="1567"/>
      <c r="E381" s="1586"/>
      <c r="F381" s="1567"/>
      <c r="G381" s="1586"/>
      <c r="H381" s="1142"/>
      <c r="I381" s="161"/>
      <c r="J381" s="161"/>
      <c r="K381" s="161"/>
      <c r="L381" s="162"/>
      <c r="M381" s="1617"/>
      <c r="N381" s="1486"/>
    </row>
    <row r="382" spans="1:14" ht="14" thickBot="1">
      <c r="A382" s="76" t="s">
        <v>146</v>
      </c>
      <c r="B382" s="1431">
        <f>MVWD!N126</f>
        <v>11</v>
      </c>
      <c r="C382" s="1422"/>
      <c r="D382" s="1872">
        <v>152335.3425</v>
      </c>
      <c r="E382" s="1770"/>
      <c r="F382" s="2001">
        <v>0.46750000000000003</v>
      </c>
      <c r="G382" s="1935"/>
      <c r="H382" s="712">
        <v>9.3500000000000014</v>
      </c>
      <c r="I382" s="4">
        <v>806.74</v>
      </c>
      <c r="J382" s="4">
        <v>392.26</v>
      </c>
      <c r="K382" s="4">
        <v>550</v>
      </c>
      <c r="L382" s="715">
        <v>1749</v>
      </c>
      <c r="M382" s="1936">
        <v>7.5048675438078938</v>
      </c>
      <c r="N382" s="1937"/>
    </row>
    <row r="383" spans="1:14" ht="14" thickBot="1">
      <c r="A383" s="53" t="s">
        <v>60</v>
      </c>
      <c r="B383" s="1438">
        <f>SUM(B382)</f>
        <v>11</v>
      </c>
      <c r="C383" s="1440"/>
      <c r="D383" s="1441">
        <f>SUM(D382)</f>
        <v>152335.3425</v>
      </c>
      <c r="E383" s="1621"/>
      <c r="F383" s="1441">
        <f>SUM(F382)</f>
        <v>0.46750000000000003</v>
      </c>
      <c r="G383" s="1439"/>
      <c r="H383" s="619">
        <f>SUM(H382)</f>
        <v>9.3500000000000014</v>
      </c>
      <c r="I383" s="136">
        <f>SUM(I382)</f>
        <v>806.74</v>
      </c>
      <c r="J383" s="143">
        <f>SUM(J382)</f>
        <v>392.26</v>
      </c>
      <c r="K383" s="143">
        <f>SUM(K382)</f>
        <v>550</v>
      </c>
      <c r="L383" s="136">
        <f>SUM(L382)</f>
        <v>1749</v>
      </c>
      <c r="M383" s="1610"/>
      <c r="N383" s="1611"/>
    </row>
    <row r="384" spans="1:14" s="1161" customFormat="1" ht="17" thickBot="1">
      <c r="A384" s="108" t="s">
        <v>50</v>
      </c>
      <c r="B384" s="1456"/>
      <c r="C384" s="1586"/>
      <c r="D384" s="1567"/>
      <c r="E384" s="1586"/>
      <c r="F384" s="1567"/>
      <c r="G384" s="1586"/>
      <c r="H384" s="1142"/>
      <c r="I384" s="161"/>
      <c r="J384" s="161"/>
      <c r="K384" s="161"/>
      <c r="L384" s="162"/>
      <c r="M384" s="1617"/>
      <c r="N384" s="1486"/>
    </row>
    <row r="385" spans="1:14">
      <c r="A385" s="32" t="s">
        <v>29</v>
      </c>
      <c r="B385" s="1731">
        <f>MVWD!N129</f>
        <v>1</v>
      </c>
      <c r="C385" s="1732"/>
      <c r="D385" s="1431">
        <f t="shared" ref="D385:D391" si="81">F385*325851</f>
        <v>13848.667500000001</v>
      </c>
      <c r="E385" s="1422"/>
      <c r="F385" s="1871">
        <f>0.0425*B385</f>
        <v>4.2500000000000003E-2</v>
      </c>
      <c r="G385" s="1450"/>
      <c r="H385" s="957">
        <f>F385*20</f>
        <v>0.85000000000000009</v>
      </c>
      <c r="I385" s="131">
        <v>0</v>
      </c>
      <c r="J385" s="131">
        <f>135*B385</f>
        <v>135</v>
      </c>
      <c r="K385" s="131">
        <f>165*B385</f>
        <v>165</v>
      </c>
      <c r="L385" s="132">
        <f t="shared" ref="L385:L392" si="82">SUM(I385:K385)</f>
        <v>300</v>
      </c>
      <c r="M385" s="1758">
        <f>L385/(F385*498.5)</f>
        <v>14.160127441146969</v>
      </c>
      <c r="N385" s="1759"/>
    </row>
    <row r="386" spans="1:14">
      <c r="A386" s="32" t="s">
        <v>51</v>
      </c>
      <c r="B386" s="1421">
        <f>MVWD!N130</f>
        <v>14</v>
      </c>
      <c r="C386" s="1422"/>
      <c r="D386" s="1431">
        <f t="shared" si="81"/>
        <v>559746.84779999999</v>
      </c>
      <c r="E386" s="1422"/>
      <c r="F386" s="1871">
        <f>0.1227*B386</f>
        <v>1.7178</v>
      </c>
      <c r="G386" s="1450"/>
      <c r="H386" s="957">
        <f>F386*20</f>
        <v>34.356000000000002</v>
      </c>
      <c r="I386" s="131">
        <v>0</v>
      </c>
      <c r="J386" s="131">
        <f>50*B386</f>
        <v>700</v>
      </c>
      <c r="K386" s="131">
        <f>200*B386</f>
        <v>2800</v>
      </c>
      <c r="L386" s="132">
        <f t="shared" si="82"/>
        <v>3500</v>
      </c>
      <c r="M386" s="1758">
        <f>L386/(F386*498.5)</f>
        <v>4.0872413491493225</v>
      </c>
      <c r="N386" s="1759"/>
    </row>
    <row r="387" spans="1:14">
      <c r="A387" s="34" t="s">
        <v>20</v>
      </c>
      <c r="B387" s="1421">
        <f>MVWD!N131</f>
        <v>0</v>
      </c>
      <c r="C387" s="1422"/>
      <c r="D387" s="1431">
        <f t="shared" si="81"/>
        <v>0</v>
      </c>
      <c r="E387" s="1422"/>
      <c r="F387" s="1871">
        <f>0.644*B387</f>
        <v>0</v>
      </c>
      <c r="G387" s="1450"/>
      <c r="H387" s="957">
        <f>F387*5</f>
        <v>0</v>
      </c>
      <c r="I387" s="131">
        <v>0</v>
      </c>
      <c r="J387" s="131">
        <f>43.75*B387</f>
        <v>0</v>
      </c>
      <c r="K387" s="131">
        <f>625*B387</f>
        <v>0</v>
      </c>
      <c r="L387" s="132">
        <f t="shared" si="82"/>
        <v>0</v>
      </c>
      <c r="M387" s="1758">
        <v>0</v>
      </c>
      <c r="N387" s="1759"/>
    </row>
    <row r="388" spans="1:14" ht="12.75" hidden="1" customHeight="1">
      <c r="A388" s="34" t="s">
        <v>13</v>
      </c>
      <c r="B388" s="1421">
        <f>MVWD!N132</f>
        <v>0</v>
      </c>
      <c r="C388" s="1422"/>
      <c r="D388" s="1431">
        <f t="shared" si="81"/>
        <v>0</v>
      </c>
      <c r="E388" s="1422"/>
      <c r="F388" s="1871">
        <f>0.0276*B388</f>
        <v>0</v>
      </c>
      <c r="G388" s="1450"/>
      <c r="H388" s="957">
        <f>F388*10</f>
        <v>0</v>
      </c>
      <c r="I388" s="131">
        <v>0</v>
      </c>
      <c r="J388" s="131">
        <f>100*B388</f>
        <v>0</v>
      </c>
      <c r="K388" s="131">
        <f>80*B388</f>
        <v>0</v>
      </c>
      <c r="L388" s="132">
        <f t="shared" si="82"/>
        <v>0</v>
      </c>
      <c r="M388" s="1758">
        <v>0</v>
      </c>
      <c r="N388" s="1759"/>
    </row>
    <row r="389" spans="1:14" ht="12.75" hidden="1" customHeight="1">
      <c r="A389" s="35" t="s">
        <v>47</v>
      </c>
      <c r="B389" s="1421">
        <f>MVWD!N133</f>
        <v>0</v>
      </c>
      <c r="C389" s="1422"/>
      <c r="D389" s="1431">
        <f t="shared" si="81"/>
        <v>0</v>
      </c>
      <c r="E389" s="1422"/>
      <c r="F389" s="1871">
        <f>0.1534*B389</f>
        <v>0</v>
      </c>
      <c r="G389" s="1450"/>
      <c r="H389" s="957">
        <f>F389*5</f>
        <v>0</v>
      </c>
      <c r="I389" s="131">
        <v>0</v>
      </c>
      <c r="J389" s="131">
        <f>0*B389</f>
        <v>0</v>
      </c>
      <c r="K389" s="131">
        <f>150*B389</f>
        <v>0</v>
      </c>
      <c r="L389" s="132">
        <f t="shared" si="82"/>
        <v>0</v>
      </c>
      <c r="M389" s="1758">
        <v>0</v>
      </c>
      <c r="N389" s="1759"/>
    </row>
    <row r="390" spans="1:14">
      <c r="A390" s="76" t="s">
        <v>30</v>
      </c>
      <c r="B390" s="1421">
        <f>MVWD!N134</f>
        <v>0</v>
      </c>
      <c r="C390" s="1422"/>
      <c r="D390" s="1431">
        <f t="shared" si="81"/>
        <v>0</v>
      </c>
      <c r="E390" s="1422"/>
      <c r="F390" s="1871">
        <f>0.325*B390</f>
        <v>0</v>
      </c>
      <c r="G390" s="1450"/>
      <c r="H390" s="957">
        <f>F390*10</f>
        <v>0</v>
      </c>
      <c r="I390" s="131">
        <v>0</v>
      </c>
      <c r="J390" s="131">
        <v>0</v>
      </c>
      <c r="K390" s="131">
        <v>0</v>
      </c>
      <c r="L390" s="132">
        <v>0</v>
      </c>
      <c r="M390" s="1758">
        <v>0</v>
      </c>
      <c r="N390" s="1759"/>
    </row>
    <row r="391" spans="1:14">
      <c r="A391" s="76" t="s">
        <v>53</v>
      </c>
      <c r="B391" s="1421">
        <f>MVWD!N135</f>
        <v>0</v>
      </c>
      <c r="C391" s="1422"/>
      <c r="D391" s="1431">
        <f t="shared" si="81"/>
        <v>0</v>
      </c>
      <c r="E391" s="1422"/>
      <c r="F391" s="1871">
        <f>0.00014*0</f>
        <v>0</v>
      </c>
      <c r="G391" s="1450"/>
      <c r="H391" s="957">
        <f>F391*10</f>
        <v>0</v>
      </c>
      <c r="I391" s="131">
        <v>0</v>
      </c>
      <c r="J391" s="131">
        <f>0.45*0</f>
        <v>0</v>
      </c>
      <c r="K391" s="131">
        <f>0.3*0</f>
        <v>0</v>
      </c>
      <c r="L391" s="132">
        <f t="shared" si="82"/>
        <v>0</v>
      </c>
      <c r="M391" s="1758">
        <v>0</v>
      </c>
      <c r="N391" s="1759"/>
    </row>
    <row r="392" spans="1:14">
      <c r="A392" s="33" t="s">
        <v>56</v>
      </c>
      <c r="B392" s="1421">
        <f>MVWD!N136</f>
        <v>0</v>
      </c>
      <c r="C392" s="1422"/>
      <c r="D392" s="1431">
        <f>F392*325851</f>
        <v>0</v>
      </c>
      <c r="E392" s="1422"/>
      <c r="F392" s="1871">
        <f>0.004*B392</f>
        <v>0</v>
      </c>
      <c r="G392" s="1450"/>
      <c r="H392" s="957">
        <f>F392*5</f>
        <v>0</v>
      </c>
      <c r="I392" s="131">
        <v>0</v>
      </c>
      <c r="J392" s="131">
        <f>0*B392</f>
        <v>0</v>
      </c>
      <c r="K392" s="131">
        <f>4*B392</f>
        <v>0</v>
      </c>
      <c r="L392" s="132">
        <f t="shared" si="82"/>
        <v>0</v>
      </c>
      <c r="M392" s="1758">
        <v>0</v>
      </c>
      <c r="N392" s="1759"/>
    </row>
    <row r="393" spans="1:14" ht="14" thickBot="1">
      <c r="A393" s="76" t="s">
        <v>122</v>
      </c>
      <c r="B393" s="1421">
        <f>MVWD!N137</f>
        <v>0</v>
      </c>
      <c r="C393" s="1422"/>
      <c r="D393" s="1431">
        <f>F393*325851</f>
        <v>0</v>
      </c>
      <c r="E393" s="1422"/>
      <c r="F393" s="1871">
        <f>0.018*B393</f>
        <v>0</v>
      </c>
      <c r="G393" s="1450"/>
      <c r="H393" s="957">
        <f>F393*10</f>
        <v>0</v>
      </c>
      <c r="I393" s="131">
        <v>0</v>
      </c>
      <c r="J393" s="131">
        <f>0*B393</f>
        <v>0</v>
      </c>
      <c r="K393" s="131">
        <f>13*B393</f>
        <v>0</v>
      </c>
      <c r="L393" s="132">
        <f>SUM(I393:K393)</f>
        <v>0</v>
      </c>
      <c r="M393" s="1758">
        <v>0</v>
      </c>
      <c r="N393" s="1759"/>
    </row>
    <row r="394" spans="1:14" ht="13.5" hidden="1" customHeight="1" thickBot="1">
      <c r="A394" s="33" t="s">
        <v>102</v>
      </c>
      <c r="B394" s="1421">
        <f>MVWD!N138</f>
        <v>0</v>
      </c>
      <c r="C394" s="1422"/>
      <c r="D394" s="1431">
        <f>F394*325851</f>
        <v>0</v>
      </c>
      <c r="E394" s="1422"/>
      <c r="F394" s="1734">
        <f>0.153*B394</f>
        <v>0</v>
      </c>
      <c r="G394" s="1430"/>
      <c r="H394" s="383">
        <f>F394*5</f>
        <v>0</v>
      </c>
      <c r="I394" s="131">
        <v>0</v>
      </c>
      <c r="J394" s="131">
        <f>0*B394</f>
        <v>0</v>
      </c>
      <c r="K394" s="131">
        <f>60*B394</f>
        <v>0</v>
      </c>
      <c r="L394" s="132">
        <f>SUM(I394:K394)</f>
        <v>0</v>
      </c>
      <c r="M394" s="1758">
        <v>0</v>
      </c>
      <c r="N394" s="1759"/>
    </row>
    <row r="395" spans="1:14" ht="14" hidden="1" thickBot="1">
      <c r="A395" s="78" t="s">
        <v>167</v>
      </c>
      <c r="B395" s="1429"/>
      <c r="C395" s="1430"/>
      <c r="D395" s="1744"/>
      <c r="E395" s="1437"/>
      <c r="F395" s="1744"/>
      <c r="G395" s="1437"/>
      <c r="H395" s="385"/>
      <c r="I395" s="334"/>
      <c r="J395" s="334"/>
      <c r="K395" s="334"/>
      <c r="L395" s="134"/>
      <c r="M395" s="1754"/>
      <c r="N395" s="1755"/>
    </row>
    <row r="396" spans="1:14" ht="14" thickBot="1">
      <c r="A396" s="53" t="s">
        <v>60</v>
      </c>
      <c r="B396" s="1438">
        <f>SUM(B385:C394)</f>
        <v>15</v>
      </c>
      <c r="C396" s="1609"/>
      <c r="D396" s="1440">
        <f>SUM(D385:E394)</f>
        <v>573595.51529999997</v>
      </c>
      <c r="E396" s="1621"/>
      <c r="F396" s="1441">
        <f>SUM(F385:G394)</f>
        <v>1.7603</v>
      </c>
      <c r="G396" s="1439"/>
      <c r="H396" s="388">
        <f>SUM(H385:H394)</f>
        <v>35.206000000000003</v>
      </c>
      <c r="I396" s="136">
        <f>SUM(I385:I394)</f>
        <v>0</v>
      </c>
      <c r="J396" s="143">
        <f>SUM(J385:J394)</f>
        <v>835</v>
      </c>
      <c r="K396" s="143">
        <f>SUM(K385:K394)</f>
        <v>2965</v>
      </c>
      <c r="L396" s="136">
        <f>SUM(L385:L394)</f>
        <v>3800</v>
      </c>
      <c r="M396" s="1610"/>
      <c r="N396" s="1611"/>
    </row>
    <row r="397" spans="1:14" s="1168" customFormat="1" ht="17" thickBot="1">
      <c r="A397" s="1182" t="s">
        <v>17</v>
      </c>
      <c r="B397" s="1416">
        <f>SUM(B380+B383+B396)</f>
        <v>377</v>
      </c>
      <c r="C397" s="1415"/>
      <c r="D397" s="1416">
        <f>SUM(D380+D383+D396)</f>
        <v>5269842.6912000002</v>
      </c>
      <c r="E397" s="1415"/>
      <c r="F397" s="1416">
        <f>SUM(F380+F383+F396)</f>
        <v>16.171199999999999</v>
      </c>
      <c r="G397" s="1415"/>
      <c r="H397" s="1164">
        <f>SUM(H380,H383,H396)</f>
        <v>189.81200000000001</v>
      </c>
      <c r="I397" s="1169">
        <f>SUM(I380+I383+I396)</f>
        <v>806.74</v>
      </c>
      <c r="J397" s="1169">
        <f>SUM(J380+J383+J396)</f>
        <v>7439.6500000000005</v>
      </c>
      <c r="K397" s="1169">
        <f>SUM(K380+K383+K396)</f>
        <v>24681.89</v>
      </c>
      <c r="L397" s="1169">
        <f>SUM(L380+L383+L396)</f>
        <v>32928.28</v>
      </c>
      <c r="M397" s="1631"/>
      <c r="N397" s="1640"/>
    </row>
    <row r="398" spans="1:14" ht="16">
      <c r="A398" s="60"/>
      <c r="B398" s="61"/>
      <c r="C398" s="61"/>
      <c r="D398" s="61"/>
      <c r="E398" s="61"/>
      <c r="F398" s="61"/>
      <c r="G398" s="61"/>
      <c r="H398" s="61"/>
      <c r="I398" s="62"/>
      <c r="J398" s="62"/>
      <c r="K398" s="62"/>
      <c r="L398" s="62"/>
      <c r="M398" s="64"/>
      <c r="N398" s="65"/>
    </row>
    <row r="399" spans="1:14" ht="16">
      <c r="A399" s="9" t="s">
        <v>18</v>
      </c>
      <c r="B399" s="1419" t="s">
        <v>59</v>
      </c>
      <c r="C399" s="1419"/>
      <c r="D399" s="1419"/>
      <c r="E399" s="1419"/>
      <c r="F399" s="61"/>
      <c r="G399" s="61"/>
      <c r="H399" s="61"/>
      <c r="I399" s="62"/>
      <c r="J399" s="62"/>
      <c r="K399" s="62"/>
      <c r="L399" s="62"/>
      <c r="M399" s="64"/>
      <c r="N399" s="65"/>
    </row>
    <row r="400" spans="1:14" ht="16">
      <c r="A400" s="57"/>
      <c r="B400" s="1420" t="s">
        <v>19</v>
      </c>
      <c r="C400" s="1420"/>
      <c r="D400" s="1420"/>
      <c r="E400" s="1420"/>
      <c r="F400" s="61"/>
      <c r="G400" s="61"/>
      <c r="H400" s="61"/>
      <c r="I400" s="62"/>
      <c r="J400" s="62"/>
      <c r="K400" s="62"/>
      <c r="L400" s="62"/>
      <c r="M400" s="64"/>
      <c r="N400" s="65"/>
    </row>
    <row r="401" spans="1:14" ht="17" thickBot="1">
      <c r="A401" s="985"/>
      <c r="B401" s="820"/>
      <c r="C401" s="820"/>
      <c r="D401" s="820"/>
      <c r="E401" s="820"/>
      <c r="F401" s="61"/>
      <c r="G401" s="61"/>
      <c r="H401" s="61"/>
      <c r="I401" s="62"/>
      <c r="J401" s="62"/>
      <c r="K401" s="62"/>
      <c r="L401" s="62"/>
      <c r="M401" s="64"/>
      <c r="N401" s="65"/>
    </row>
    <row r="402" spans="1:14" s="363" customFormat="1" ht="16">
      <c r="A402" s="98"/>
      <c r="B402" s="99"/>
      <c r="C402" s="99"/>
      <c r="D402" s="99"/>
      <c r="E402" s="99"/>
      <c r="F402" s="736"/>
      <c r="G402" s="736"/>
      <c r="H402" s="736"/>
      <c r="I402" s="1468" t="s">
        <v>0</v>
      </c>
      <c r="J402" s="1468"/>
      <c r="K402" s="1468"/>
      <c r="L402" s="1468"/>
      <c r="M402" s="99"/>
      <c r="N402" s="101"/>
    </row>
    <row r="403" spans="1:14" ht="16">
      <c r="A403" s="97"/>
      <c r="B403" s="1469" t="s">
        <v>1</v>
      </c>
      <c r="C403" s="1469"/>
      <c r="D403" s="1469" t="s">
        <v>2</v>
      </c>
      <c r="E403" s="1469"/>
      <c r="F403" s="1977" t="s">
        <v>3</v>
      </c>
      <c r="G403" s="1977"/>
      <c r="H403" s="841" t="s">
        <v>3</v>
      </c>
      <c r="I403" s="127" t="s">
        <v>195</v>
      </c>
      <c r="J403" s="102"/>
      <c r="K403" s="102"/>
      <c r="L403" s="128"/>
      <c r="M403" s="1469" t="s">
        <v>4</v>
      </c>
      <c r="N403" s="1526"/>
    </row>
    <row r="404" spans="1:14" ht="19" thickBot="1">
      <c r="A404" s="103" t="s">
        <v>5</v>
      </c>
      <c r="B404" s="1473" t="s">
        <v>6</v>
      </c>
      <c r="C404" s="1473"/>
      <c r="D404" s="1473" t="s">
        <v>7</v>
      </c>
      <c r="E404" s="1473"/>
      <c r="F404" s="1978" t="s">
        <v>7</v>
      </c>
      <c r="G404" s="1978"/>
      <c r="H404" s="842" t="s">
        <v>58</v>
      </c>
      <c r="I404" s="797" t="s">
        <v>196</v>
      </c>
      <c r="J404" s="795" t="s">
        <v>8</v>
      </c>
      <c r="K404" s="795" t="s">
        <v>9</v>
      </c>
      <c r="L404" s="401" t="s">
        <v>10</v>
      </c>
      <c r="M404" s="1473" t="s">
        <v>145</v>
      </c>
      <c r="N404" s="1475"/>
    </row>
    <row r="405" spans="1:14" ht="24" thickBot="1">
      <c r="A405" s="88" t="s">
        <v>144</v>
      </c>
      <c r="B405" s="1764"/>
      <c r="C405" s="1477"/>
      <c r="D405" s="1478"/>
      <c r="E405" s="1479"/>
      <c r="F405" s="1478"/>
      <c r="G405" s="1479"/>
      <c r="H405" s="818"/>
      <c r="I405" s="7"/>
      <c r="J405" s="7"/>
      <c r="K405" s="7"/>
      <c r="L405" s="8"/>
      <c r="M405" s="1764"/>
      <c r="N405" s="1765"/>
    </row>
    <row r="406" spans="1:14" s="1161" customFormat="1" ht="17" thickBot="1">
      <c r="A406" s="108" t="s">
        <v>48</v>
      </c>
      <c r="B406" s="1567"/>
      <c r="C406" s="1586"/>
      <c r="D406" s="1567"/>
      <c r="E406" s="1586"/>
      <c r="F406" s="1567"/>
      <c r="G406" s="1586"/>
      <c r="H406" s="1142"/>
      <c r="I406" s="109"/>
      <c r="J406" s="109"/>
      <c r="K406" s="109"/>
      <c r="L406" s="1141"/>
      <c r="M406" s="1617"/>
      <c r="N406" s="1486"/>
    </row>
    <row r="407" spans="1:14" hidden="1">
      <c r="A407" s="32" t="s">
        <v>28</v>
      </c>
      <c r="B407" s="1431">
        <f>MVWD!N79</f>
        <v>0</v>
      </c>
      <c r="C407" s="1422"/>
      <c r="D407" s="1431">
        <f t="shared" ref="D407:D413" si="83">F407*325851</f>
        <v>0</v>
      </c>
      <c r="E407" s="1422"/>
      <c r="F407" s="1431">
        <f>0.0379*B407</f>
        <v>0</v>
      </c>
      <c r="G407" s="1422"/>
      <c r="H407" s="383">
        <f>F407*20</f>
        <v>0</v>
      </c>
      <c r="I407" s="4">
        <v>0</v>
      </c>
      <c r="J407" s="4">
        <f>0*B407</f>
        <v>0</v>
      </c>
      <c r="K407" s="4">
        <f>60*B407</f>
        <v>0</v>
      </c>
      <c r="L407" s="6">
        <f t="shared" ref="L407:L413" si="84">I407+J407+K407</f>
        <v>0</v>
      </c>
      <c r="M407" s="1758">
        <v>0</v>
      </c>
      <c r="N407" s="1759"/>
    </row>
    <row r="408" spans="1:14">
      <c r="A408" s="32" t="s">
        <v>29</v>
      </c>
      <c r="B408" s="1431">
        <f>MVWD!N80</f>
        <v>35</v>
      </c>
      <c r="C408" s="1422"/>
      <c r="D408" s="1431">
        <f t="shared" si="83"/>
        <v>484703.36249999999</v>
      </c>
      <c r="E408" s="1422"/>
      <c r="F408" s="1871">
        <f>0.0425*B408</f>
        <v>1.4875</v>
      </c>
      <c r="G408" s="1450"/>
      <c r="H408" s="957">
        <f>F408*20</f>
        <v>29.75</v>
      </c>
      <c r="I408" s="131">
        <v>0</v>
      </c>
      <c r="J408" s="131">
        <f>35*B408</f>
        <v>1225</v>
      </c>
      <c r="K408" s="131">
        <f>B408*50</f>
        <v>1750</v>
      </c>
      <c r="L408" s="132">
        <f t="shared" si="84"/>
        <v>2975</v>
      </c>
      <c r="M408" s="1758">
        <f>L408/(F408*498.5)</f>
        <v>4.0120361083249749</v>
      </c>
      <c r="N408" s="1759"/>
    </row>
    <row r="409" spans="1:14">
      <c r="A409" s="32" t="s">
        <v>33</v>
      </c>
      <c r="B409" s="1431">
        <f>MVWD!N81</f>
        <v>22</v>
      </c>
      <c r="C409" s="1422"/>
      <c r="D409" s="1431">
        <f t="shared" si="83"/>
        <v>197856.72719999999</v>
      </c>
      <c r="E409" s="1422"/>
      <c r="F409" s="1871">
        <f>0.0276*B409</f>
        <v>0.60719999999999996</v>
      </c>
      <c r="G409" s="1450"/>
      <c r="H409" s="957">
        <f>F409*15</f>
        <v>9.1079999999999988</v>
      </c>
      <c r="I409" s="131">
        <f>0*B409</f>
        <v>0</v>
      </c>
      <c r="J409" s="131">
        <f>50*B409</f>
        <v>1100</v>
      </c>
      <c r="K409" s="131">
        <f>B409*110</f>
        <v>2420</v>
      </c>
      <c r="L409" s="132">
        <f t="shared" si="84"/>
        <v>3520</v>
      </c>
      <c r="M409" s="1758">
        <f>L409/(F409*498.5)</f>
        <v>11.6290901690579</v>
      </c>
      <c r="N409" s="1759"/>
    </row>
    <row r="410" spans="1:14">
      <c r="A410" s="32" t="s">
        <v>56</v>
      </c>
      <c r="B410" s="1431">
        <f>MVWD!N82</f>
        <v>0</v>
      </c>
      <c r="C410" s="1422"/>
      <c r="D410" s="1431">
        <f t="shared" si="83"/>
        <v>0</v>
      </c>
      <c r="E410" s="1422"/>
      <c r="F410" s="1871">
        <f>0.004*B410</f>
        <v>0</v>
      </c>
      <c r="G410" s="1450"/>
      <c r="H410" s="957">
        <f>F410*5</f>
        <v>0</v>
      </c>
      <c r="I410" s="131">
        <f>0*B410</f>
        <v>0</v>
      </c>
      <c r="J410" s="131">
        <f>2*B410</f>
        <v>0</v>
      </c>
      <c r="K410" s="131">
        <f>B410*4</f>
        <v>0</v>
      </c>
      <c r="L410" s="132">
        <f t="shared" si="84"/>
        <v>0</v>
      </c>
      <c r="M410" s="1758">
        <v>0</v>
      </c>
      <c r="N410" s="1759"/>
    </row>
    <row r="411" spans="1:14">
      <c r="A411" s="78" t="s">
        <v>30</v>
      </c>
      <c r="B411" s="1431">
        <f>MVWD!N83</f>
        <v>0</v>
      </c>
      <c r="C411" s="1422"/>
      <c r="D411" s="1431">
        <f t="shared" si="83"/>
        <v>0</v>
      </c>
      <c r="E411" s="1422"/>
      <c r="F411" s="1876">
        <f>0.325*B411</f>
        <v>0</v>
      </c>
      <c r="G411" s="1877"/>
      <c r="H411" s="956">
        <f>F411*10</f>
        <v>0</v>
      </c>
      <c r="I411" s="133">
        <v>0</v>
      </c>
      <c r="J411" s="133">
        <f>0*B411</f>
        <v>0</v>
      </c>
      <c r="K411" s="133">
        <f>B411*80</f>
        <v>0</v>
      </c>
      <c r="L411" s="132">
        <f t="shared" si="84"/>
        <v>0</v>
      </c>
      <c r="M411" s="1758">
        <v>0</v>
      </c>
      <c r="N411" s="1759"/>
    </row>
    <row r="412" spans="1:14">
      <c r="A412" s="76" t="s">
        <v>57</v>
      </c>
      <c r="B412" s="1431">
        <f>MVWD!N84</f>
        <v>0</v>
      </c>
      <c r="C412" s="1422"/>
      <c r="D412" s="1431">
        <f t="shared" si="83"/>
        <v>0</v>
      </c>
      <c r="E412" s="1422"/>
      <c r="F412" s="1876">
        <f>0*19580</f>
        <v>0</v>
      </c>
      <c r="G412" s="1877"/>
      <c r="H412" s="956">
        <f>F412*10</f>
        <v>0</v>
      </c>
      <c r="I412" s="133">
        <v>0</v>
      </c>
      <c r="J412" s="133">
        <f>0</f>
        <v>0</v>
      </c>
      <c r="K412" s="133">
        <f>B412*0</f>
        <v>0</v>
      </c>
      <c r="L412" s="132">
        <f t="shared" si="84"/>
        <v>0</v>
      </c>
      <c r="M412" s="1758">
        <v>0</v>
      </c>
      <c r="N412" s="1759"/>
    </row>
    <row r="413" spans="1:14" ht="14" thickBot="1">
      <c r="A413" s="76" t="s">
        <v>53</v>
      </c>
      <c r="B413" s="1431">
        <f>MVWD!N85</f>
        <v>0</v>
      </c>
      <c r="C413" s="1422"/>
      <c r="D413" s="1431">
        <f t="shared" si="83"/>
        <v>0</v>
      </c>
      <c r="E413" s="1422"/>
      <c r="F413" s="1876">
        <f>0.00014*0</f>
        <v>0</v>
      </c>
      <c r="G413" s="1877"/>
      <c r="H413" s="956">
        <f>F413*10</f>
        <v>0</v>
      </c>
      <c r="I413" s="133">
        <v>0</v>
      </c>
      <c r="J413" s="133">
        <f>0.45*0</f>
        <v>0</v>
      </c>
      <c r="K413" s="133">
        <f>0*0.3</f>
        <v>0</v>
      </c>
      <c r="L413" s="132">
        <f t="shared" si="84"/>
        <v>0</v>
      </c>
      <c r="M413" s="1758">
        <v>0</v>
      </c>
      <c r="N413" s="1759"/>
    </row>
    <row r="414" spans="1:14" ht="14" thickBot="1">
      <c r="A414" s="53" t="s">
        <v>60</v>
      </c>
      <c r="B414" s="1438">
        <f>SUM(B407:C413)</f>
        <v>57</v>
      </c>
      <c r="C414" s="1621"/>
      <c r="D414" s="1441">
        <f>SUM(D407:E413)</f>
        <v>682560.08970000001</v>
      </c>
      <c r="E414" s="1621"/>
      <c r="F414" s="1441">
        <f>SUM(F407:G413)</f>
        <v>2.0947</v>
      </c>
      <c r="G414" s="1439"/>
      <c r="H414" s="619">
        <f>SUM(H407:H413)</f>
        <v>38.857999999999997</v>
      </c>
      <c r="I414" s="143">
        <f>SUM(I407:I413)</f>
        <v>0</v>
      </c>
      <c r="J414" s="143">
        <f>SUM(J407:J413)</f>
        <v>2325</v>
      </c>
      <c r="K414" s="143">
        <f>SUM(K407:K413)</f>
        <v>4170</v>
      </c>
      <c r="L414" s="152">
        <f>SUM(L407:L413)</f>
        <v>6495</v>
      </c>
      <c r="M414" s="1610"/>
      <c r="N414" s="1611"/>
    </row>
    <row r="415" spans="1:14" s="1161" customFormat="1" ht="17" thickBot="1">
      <c r="A415" s="1239" t="s">
        <v>146</v>
      </c>
      <c r="B415" s="1567"/>
      <c r="C415" s="1586"/>
      <c r="D415" s="1567"/>
      <c r="E415" s="1586"/>
      <c r="F415" s="1567"/>
      <c r="G415" s="1586"/>
      <c r="H415" s="1142"/>
      <c r="I415" s="161"/>
      <c r="J415" s="161"/>
      <c r="K415" s="161"/>
      <c r="L415" s="162"/>
      <c r="M415" s="1617"/>
      <c r="N415" s="1486"/>
    </row>
    <row r="416" spans="1:14" ht="14" thickBot="1">
      <c r="A416" s="76" t="s">
        <v>146</v>
      </c>
      <c r="B416" s="1431">
        <f>MVWD!N88</f>
        <v>211</v>
      </c>
      <c r="C416" s="1422"/>
      <c r="D416" s="1431">
        <f>F416*325851</f>
        <v>2922068.8425000003</v>
      </c>
      <c r="E416" s="1422"/>
      <c r="F416" s="1871">
        <f>0.0425*B416</f>
        <v>8.9675000000000011</v>
      </c>
      <c r="G416" s="1450"/>
      <c r="H416" s="957">
        <f>F416*20</f>
        <v>179.35000000000002</v>
      </c>
      <c r="I416" s="131">
        <f>73.34*B416</f>
        <v>15474.740000000002</v>
      </c>
      <c r="J416" s="131">
        <f>35.66*B416</f>
        <v>7524.2599999999993</v>
      </c>
      <c r="K416" s="131">
        <f>B416*165</f>
        <v>34815</v>
      </c>
      <c r="L416" s="132">
        <f>I416+J416+K416</f>
        <v>57814</v>
      </c>
      <c r="M416" s="1758">
        <f>L416/(F416*498.5)</f>
        <v>12.932916396247563</v>
      </c>
      <c r="N416" s="1759"/>
    </row>
    <row r="417" spans="1:14" ht="14" thickBot="1">
      <c r="A417" s="53" t="s">
        <v>60</v>
      </c>
      <c r="B417" s="1438">
        <f>SUM(B416)</f>
        <v>211</v>
      </c>
      <c r="C417" s="1621"/>
      <c r="D417" s="1441">
        <f>SUM(D416)</f>
        <v>2922068.8425000003</v>
      </c>
      <c r="E417" s="1609"/>
      <c r="F417" s="1441">
        <f>SUM(F416)</f>
        <v>8.9675000000000011</v>
      </c>
      <c r="G417" s="1439"/>
      <c r="H417" s="619">
        <f>SUM(H416)</f>
        <v>179.35000000000002</v>
      </c>
      <c r="I417" s="136">
        <f>SUM(I416)</f>
        <v>15474.740000000002</v>
      </c>
      <c r="J417" s="143">
        <f>SUM(J416)</f>
        <v>7524.2599999999993</v>
      </c>
      <c r="K417" s="143">
        <f>SUM(K416)</f>
        <v>34815</v>
      </c>
      <c r="L417" s="136">
        <f>SUM(L416)</f>
        <v>57814</v>
      </c>
      <c r="M417" s="1610"/>
      <c r="N417" s="1611"/>
    </row>
    <row r="418" spans="1:14" s="1161" customFormat="1" ht="17" thickBot="1">
      <c r="A418" s="108" t="s">
        <v>50</v>
      </c>
      <c r="B418" s="1567"/>
      <c r="C418" s="1586"/>
      <c r="D418" s="1567"/>
      <c r="E418" s="1586"/>
      <c r="F418" s="1567"/>
      <c r="G418" s="1586"/>
      <c r="H418" s="1142"/>
      <c r="I418" s="161"/>
      <c r="J418" s="161"/>
      <c r="K418" s="161"/>
      <c r="L418" s="162"/>
      <c r="M418" s="1617"/>
      <c r="N418" s="1486"/>
    </row>
    <row r="419" spans="1:14" hidden="1">
      <c r="A419" s="34" t="s">
        <v>26</v>
      </c>
      <c r="B419" s="1431">
        <f>MVWD!N91</f>
        <v>0</v>
      </c>
      <c r="C419" s="1422"/>
      <c r="D419" s="1431">
        <f t="shared" ref="D419:D427" si="85">F419*325851</f>
        <v>0</v>
      </c>
      <c r="E419" s="1422"/>
      <c r="F419" s="1431">
        <f>0.0379*B419</f>
        <v>0</v>
      </c>
      <c r="G419" s="1422"/>
      <c r="H419" s="626">
        <f>F419*20</f>
        <v>0</v>
      </c>
      <c r="I419" s="131">
        <v>0</v>
      </c>
      <c r="J419" s="131">
        <f>35.66*B419</f>
        <v>0</v>
      </c>
      <c r="K419" s="131">
        <f>135*B419</f>
        <v>0</v>
      </c>
      <c r="L419" s="132">
        <f>SUM(I419:K419)</f>
        <v>0</v>
      </c>
      <c r="M419" s="1758">
        <v>0</v>
      </c>
      <c r="N419" s="1759"/>
    </row>
    <row r="420" spans="1:14">
      <c r="A420" s="34" t="s">
        <v>25</v>
      </c>
      <c r="B420" s="1431">
        <f>MVWD!N92</f>
        <v>0</v>
      </c>
      <c r="C420" s="1422"/>
      <c r="D420" s="1431">
        <f t="shared" si="85"/>
        <v>0</v>
      </c>
      <c r="E420" s="1422"/>
      <c r="F420" s="1871">
        <f>0.0379*B420</f>
        <v>0</v>
      </c>
      <c r="G420" s="1450"/>
      <c r="H420" s="957">
        <f>F420*20</f>
        <v>0</v>
      </c>
      <c r="I420" s="131">
        <v>0</v>
      </c>
      <c r="J420" s="131">
        <f>0*B420</f>
        <v>0</v>
      </c>
      <c r="K420" s="131">
        <f>60*B420</f>
        <v>0</v>
      </c>
      <c r="L420" s="132">
        <f t="shared" ref="L420:L428" si="86">SUM(I420:K420)</f>
        <v>0</v>
      </c>
      <c r="M420" s="1758">
        <v>0</v>
      </c>
      <c r="N420" s="1759"/>
    </row>
    <row r="421" spans="1:14">
      <c r="A421" s="32" t="s">
        <v>29</v>
      </c>
      <c r="B421" s="1431">
        <f>MVWD!N93</f>
        <v>0</v>
      </c>
      <c r="C421" s="1422"/>
      <c r="D421" s="1431">
        <f t="shared" si="85"/>
        <v>0</v>
      </c>
      <c r="E421" s="1422"/>
      <c r="F421" s="1871">
        <f>0.0425*B421</f>
        <v>0</v>
      </c>
      <c r="G421" s="1450"/>
      <c r="H421" s="957">
        <f>F421*20</f>
        <v>0</v>
      </c>
      <c r="I421" s="131">
        <v>0</v>
      </c>
      <c r="J421" s="131">
        <f>135*B421</f>
        <v>0</v>
      </c>
      <c r="K421" s="131">
        <f>165*B421</f>
        <v>0</v>
      </c>
      <c r="L421" s="132">
        <f t="shared" si="86"/>
        <v>0</v>
      </c>
      <c r="M421" s="1758">
        <v>0</v>
      </c>
      <c r="N421" s="1759"/>
    </row>
    <row r="422" spans="1:14">
      <c r="A422" s="32" t="s">
        <v>51</v>
      </c>
      <c r="B422" s="1431">
        <f>MVWD!N94</f>
        <v>0</v>
      </c>
      <c r="C422" s="1422"/>
      <c r="D422" s="1431">
        <f t="shared" si="85"/>
        <v>0</v>
      </c>
      <c r="E422" s="1422"/>
      <c r="F422" s="1871">
        <f>0.1227*B422</f>
        <v>0</v>
      </c>
      <c r="G422" s="1450"/>
      <c r="H422" s="957">
        <f>F422*20</f>
        <v>0</v>
      </c>
      <c r="I422" s="131">
        <v>0</v>
      </c>
      <c r="J422" s="131">
        <f>0*B422</f>
        <v>0</v>
      </c>
      <c r="K422" s="131">
        <f>400*B422</f>
        <v>0</v>
      </c>
      <c r="L422" s="132">
        <f t="shared" si="86"/>
        <v>0</v>
      </c>
      <c r="M422" s="1758">
        <v>0</v>
      </c>
      <c r="N422" s="1759"/>
    </row>
    <row r="423" spans="1:14" hidden="1">
      <c r="A423" s="34" t="s">
        <v>20</v>
      </c>
      <c r="B423" s="1431">
        <f>MVWD!N95</f>
        <v>0</v>
      </c>
      <c r="C423" s="1422"/>
      <c r="D423" s="1431">
        <f t="shared" si="85"/>
        <v>0</v>
      </c>
      <c r="E423" s="1422"/>
      <c r="F423" s="1871">
        <f>0.644*B423</f>
        <v>0</v>
      </c>
      <c r="G423" s="1450"/>
      <c r="H423" s="957">
        <f>F423*5</f>
        <v>0</v>
      </c>
      <c r="I423" s="131">
        <v>0</v>
      </c>
      <c r="J423" s="131">
        <f>43.75*B423</f>
        <v>0</v>
      </c>
      <c r="K423" s="131">
        <f>625*B423</f>
        <v>0</v>
      </c>
      <c r="L423" s="132">
        <f t="shared" si="86"/>
        <v>0</v>
      </c>
      <c r="M423" s="1758">
        <v>0</v>
      </c>
      <c r="N423" s="1759"/>
    </row>
    <row r="424" spans="1:14">
      <c r="A424" s="34" t="s">
        <v>13</v>
      </c>
      <c r="B424" s="1431">
        <f>MVWD!N96</f>
        <v>0</v>
      </c>
      <c r="C424" s="1422"/>
      <c r="D424" s="1431">
        <f t="shared" si="85"/>
        <v>0</v>
      </c>
      <c r="E424" s="1422"/>
      <c r="F424" s="1871">
        <f>0.0276*B424</f>
        <v>0</v>
      </c>
      <c r="G424" s="1450"/>
      <c r="H424" s="957">
        <f>F424*10</f>
        <v>0</v>
      </c>
      <c r="I424" s="131">
        <v>0</v>
      </c>
      <c r="J424" s="131">
        <f>100*B424</f>
        <v>0</v>
      </c>
      <c r="K424" s="131">
        <f>80*B424</f>
        <v>0</v>
      </c>
      <c r="L424" s="132">
        <f t="shared" si="86"/>
        <v>0</v>
      </c>
      <c r="M424" s="1758">
        <v>0</v>
      </c>
      <c r="N424" s="1759"/>
    </row>
    <row r="425" spans="1:14">
      <c r="A425" s="35" t="s">
        <v>47</v>
      </c>
      <c r="B425" s="1431">
        <f>MVWD!N97</f>
        <v>0</v>
      </c>
      <c r="C425" s="1422"/>
      <c r="D425" s="1431">
        <f t="shared" si="85"/>
        <v>0</v>
      </c>
      <c r="E425" s="1422"/>
      <c r="F425" s="1871">
        <f>0.1534*B425</f>
        <v>0</v>
      </c>
      <c r="G425" s="1450"/>
      <c r="H425" s="957">
        <f>F425*5</f>
        <v>0</v>
      </c>
      <c r="I425" s="131">
        <v>0</v>
      </c>
      <c r="J425" s="131">
        <f>0*B425</f>
        <v>0</v>
      </c>
      <c r="K425" s="131">
        <f>150*B425</f>
        <v>0</v>
      </c>
      <c r="L425" s="132">
        <f t="shared" si="86"/>
        <v>0</v>
      </c>
      <c r="M425" s="1758">
        <v>0</v>
      </c>
      <c r="N425" s="1759"/>
    </row>
    <row r="426" spans="1:14">
      <c r="A426" s="76" t="s">
        <v>30</v>
      </c>
      <c r="B426" s="1431">
        <f>MVWD!N98</f>
        <v>4</v>
      </c>
      <c r="C426" s="1422"/>
      <c r="D426" s="1431">
        <f t="shared" si="85"/>
        <v>423606.3</v>
      </c>
      <c r="E426" s="1422"/>
      <c r="F426" s="1871">
        <f>0.325*B426</f>
        <v>1.3</v>
      </c>
      <c r="G426" s="1450"/>
      <c r="H426" s="957">
        <f>F426*10</f>
        <v>13</v>
      </c>
      <c r="I426" s="131">
        <v>0</v>
      </c>
      <c r="J426" s="131">
        <v>990</v>
      </c>
      <c r="K426" s="131">
        <v>1650</v>
      </c>
      <c r="L426" s="132">
        <f t="shared" si="86"/>
        <v>2640</v>
      </c>
      <c r="M426" s="1758">
        <f>L426/(F426*498.5)</f>
        <v>4.0737597407607433</v>
      </c>
      <c r="N426" s="1759"/>
    </row>
    <row r="427" spans="1:14">
      <c r="A427" s="76" t="s">
        <v>53</v>
      </c>
      <c r="B427" s="1431">
        <f>MVWD!N99</f>
        <v>0</v>
      </c>
      <c r="C427" s="1422"/>
      <c r="D427" s="1431">
        <f t="shared" si="85"/>
        <v>0</v>
      </c>
      <c r="E427" s="1422"/>
      <c r="F427" s="1871">
        <f>0.00014*0</f>
        <v>0</v>
      </c>
      <c r="G427" s="1450"/>
      <c r="H427" s="957">
        <f>F427*10</f>
        <v>0</v>
      </c>
      <c r="I427" s="131">
        <v>0</v>
      </c>
      <c r="J427" s="131">
        <f>0.45*0</f>
        <v>0</v>
      </c>
      <c r="K427" s="131">
        <f>0.3*0</f>
        <v>0</v>
      </c>
      <c r="L427" s="132">
        <f t="shared" si="86"/>
        <v>0</v>
      </c>
      <c r="M427" s="1758">
        <v>0</v>
      </c>
      <c r="N427" s="1759"/>
    </row>
    <row r="428" spans="1:14">
      <c r="A428" s="33" t="s">
        <v>56</v>
      </c>
      <c r="B428" s="1431">
        <f>MVWD!N100</f>
        <v>220</v>
      </c>
      <c r="C428" s="1422"/>
      <c r="D428" s="1431">
        <f>F428*325851</f>
        <v>286748.88</v>
      </c>
      <c r="E428" s="1422"/>
      <c r="F428" s="1871">
        <f>0.004*B428</f>
        <v>0.88</v>
      </c>
      <c r="G428" s="1450"/>
      <c r="H428" s="957">
        <f>F428*5</f>
        <v>4.4000000000000004</v>
      </c>
      <c r="I428" s="131">
        <v>0</v>
      </c>
      <c r="J428" s="131">
        <f>0*B428</f>
        <v>0</v>
      </c>
      <c r="K428" s="131">
        <f>4*B428</f>
        <v>880</v>
      </c>
      <c r="L428" s="132">
        <f t="shared" si="86"/>
        <v>880</v>
      </c>
      <c r="M428" s="1758">
        <f>L428/(F428*498.5)</f>
        <v>2.0060180541624875</v>
      </c>
      <c r="N428" s="1759"/>
    </row>
    <row r="429" spans="1:14" hidden="1">
      <c r="A429" s="76" t="s">
        <v>122</v>
      </c>
      <c r="B429" s="1431">
        <f>MVWD!N101</f>
        <v>0</v>
      </c>
      <c r="C429" s="1422"/>
      <c r="D429" s="1431">
        <f>F429*325851</f>
        <v>0</v>
      </c>
      <c r="E429" s="1422"/>
      <c r="F429" s="1871">
        <f>0.018*B429</f>
        <v>0</v>
      </c>
      <c r="G429" s="1450"/>
      <c r="H429" s="957">
        <f>F429*10</f>
        <v>0</v>
      </c>
      <c r="I429" s="131">
        <v>0</v>
      </c>
      <c r="J429" s="131">
        <f>0*B429</f>
        <v>0</v>
      </c>
      <c r="K429" s="131">
        <f>13*B429</f>
        <v>0</v>
      </c>
      <c r="L429" s="132">
        <f>SUM(I429:K429)</f>
        <v>0</v>
      </c>
      <c r="M429" s="1758">
        <v>0</v>
      </c>
      <c r="N429" s="1759"/>
    </row>
    <row r="430" spans="1:14" ht="14" thickBot="1">
      <c r="A430" s="33" t="s">
        <v>102</v>
      </c>
      <c r="B430" s="1431">
        <f>MVWD!N102</f>
        <v>0</v>
      </c>
      <c r="C430" s="1422"/>
      <c r="D430" s="1431">
        <f>F430*325851</f>
        <v>0</v>
      </c>
      <c r="E430" s="1422"/>
      <c r="F430" s="1901">
        <f>0.153*B430</f>
        <v>0</v>
      </c>
      <c r="G430" s="1887"/>
      <c r="H430" s="957">
        <f>F430*5</f>
        <v>0</v>
      </c>
      <c r="I430" s="131">
        <v>0</v>
      </c>
      <c r="J430" s="131">
        <f>0*B430</f>
        <v>0</v>
      </c>
      <c r="K430" s="131">
        <f>60*B430</f>
        <v>0</v>
      </c>
      <c r="L430" s="132">
        <f>SUM(I430:K430)</f>
        <v>0</v>
      </c>
      <c r="M430" s="1758">
        <v>0</v>
      </c>
      <c r="N430" s="1759"/>
    </row>
    <row r="431" spans="1:14" ht="14" thickBot="1">
      <c r="A431" s="53" t="s">
        <v>60</v>
      </c>
      <c r="B431" s="1438">
        <f>SUM(B419:C430)</f>
        <v>224</v>
      </c>
      <c r="C431" s="1621"/>
      <c r="D431" s="1441">
        <f>SUM(D419:E430)</f>
        <v>710355.17999999993</v>
      </c>
      <c r="E431" s="1609"/>
      <c r="F431" s="1440">
        <f>SUM(F419:G430)</f>
        <v>2.1800000000000002</v>
      </c>
      <c r="G431" s="1439"/>
      <c r="H431" s="388">
        <f>SUM(H419:H430)</f>
        <v>17.399999999999999</v>
      </c>
      <c r="I431" s="136">
        <f>SUM(I419:I430)</f>
        <v>0</v>
      </c>
      <c r="J431" s="143">
        <f>SUM(J419:J430)</f>
        <v>990</v>
      </c>
      <c r="K431" s="143">
        <f>SUM(K419:K430)</f>
        <v>2530</v>
      </c>
      <c r="L431" s="136">
        <f>SUM(L419:L430)</f>
        <v>3520</v>
      </c>
      <c r="M431" s="1610"/>
      <c r="N431" s="1611"/>
    </row>
    <row r="432" spans="1:14" s="91" customFormat="1" ht="17" hidden="1" thickBot="1">
      <c r="A432" s="87" t="s">
        <v>54</v>
      </c>
      <c r="B432" s="1998"/>
      <c r="C432" s="1999"/>
      <c r="D432" s="92"/>
      <c r="E432" s="93"/>
      <c r="F432" s="92"/>
      <c r="G432" s="381"/>
      <c r="H432" s="381"/>
      <c r="I432" s="171"/>
      <c r="J432" s="171"/>
      <c r="K432" s="171"/>
      <c r="L432" s="531"/>
      <c r="M432" s="95"/>
      <c r="N432" s="96"/>
    </row>
    <row r="433" spans="1:14" hidden="1">
      <c r="A433" s="1" t="s">
        <v>29</v>
      </c>
      <c r="B433" s="1431">
        <f>MVWD!N105</f>
        <v>0</v>
      </c>
      <c r="C433" s="1422"/>
      <c r="D433" s="1431">
        <f t="shared" ref="D433:D438" si="87">F433*325851</f>
        <v>0</v>
      </c>
      <c r="E433" s="1422"/>
      <c r="F433" s="1431">
        <f>0.0425*B433</f>
        <v>0</v>
      </c>
      <c r="G433" s="1422"/>
      <c r="H433" s="383">
        <f>F433*20</f>
        <v>0</v>
      </c>
      <c r="I433" s="131">
        <v>0</v>
      </c>
      <c r="J433" s="131">
        <v>0</v>
      </c>
      <c r="K433" s="131">
        <f>321.27*B433</f>
        <v>0</v>
      </c>
      <c r="L433" s="132">
        <f t="shared" ref="L433:L438" si="88">SUM(I433:K433)</f>
        <v>0</v>
      </c>
      <c r="M433" s="1758" t="e">
        <f>L433/(F433*498.5)</f>
        <v>#DIV/0!</v>
      </c>
      <c r="N433" s="1759"/>
    </row>
    <row r="434" spans="1:14" hidden="1">
      <c r="A434" s="2" t="s">
        <v>51</v>
      </c>
      <c r="B434" s="1431">
        <f>MVWD!N106</f>
        <v>0</v>
      </c>
      <c r="C434" s="1422"/>
      <c r="D434" s="1431">
        <f t="shared" si="87"/>
        <v>0</v>
      </c>
      <c r="E434" s="1422"/>
      <c r="F434" s="1431">
        <f>0.125*B434</f>
        <v>0</v>
      </c>
      <c r="G434" s="1422"/>
      <c r="H434" s="383">
        <f>F434*20</f>
        <v>0</v>
      </c>
      <c r="I434" s="131">
        <v>0</v>
      </c>
      <c r="J434" s="131">
        <f>0*B434</f>
        <v>0</v>
      </c>
      <c r="K434" s="131">
        <f>535.7*B434</f>
        <v>0</v>
      </c>
      <c r="L434" s="132">
        <f t="shared" si="88"/>
        <v>0</v>
      </c>
      <c r="M434" s="1758" t="e">
        <f>L434/(F434*498.5)</f>
        <v>#DIV/0!</v>
      </c>
      <c r="N434" s="1759"/>
    </row>
    <row r="435" spans="1:14" hidden="1">
      <c r="A435" s="2" t="s">
        <v>15</v>
      </c>
      <c r="B435" s="1431">
        <f>MVWD!N107</f>
        <v>0</v>
      </c>
      <c r="C435" s="1422"/>
      <c r="D435" s="1431">
        <f t="shared" si="87"/>
        <v>0</v>
      </c>
      <c r="E435" s="1422"/>
      <c r="F435" s="1431">
        <f>0.1534*B435</f>
        <v>0</v>
      </c>
      <c r="G435" s="1422"/>
      <c r="H435" s="383">
        <f>F435*5</f>
        <v>0</v>
      </c>
      <c r="I435" s="131">
        <v>0</v>
      </c>
      <c r="J435" s="131">
        <f>0*B435</f>
        <v>0</v>
      </c>
      <c r="K435" s="131">
        <f>350.19*B435</f>
        <v>0</v>
      </c>
      <c r="L435" s="132">
        <f t="shared" si="88"/>
        <v>0</v>
      </c>
      <c r="M435" s="1758" t="e">
        <f>L435/(F435*498.5)</f>
        <v>#DIV/0!</v>
      </c>
      <c r="N435" s="1759"/>
    </row>
    <row r="436" spans="1:14" hidden="1">
      <c r="A436" s="2" t="s">
        <v>30</v>
      </c>
      <c r="B436" s="1431">
        <f>MVWD!N108</f>
        <v>0</v>
      </c>
      <c r="C436" s="1422"/>
      <c r="D436" s="1431">
        <f t="shared" si="87"/>
        <v>0</v>
      </c>
      <c r="E436" s="1422"/>
      <c r="F436" s="1431">
        <f>0.609*B436</f>
        <v>0</v>
      </c>
      <c r="G436" s="1422"/>
      <c r="H436" s="383">
        <f>F436*10</f>
        <v>0</v>
      </c>
      <c r="I436" s="131">
        <v>0</v>
      </c>
      <c r="J436" s="131">
        <f>0*B436</f>
        <v>0</v>
      </c>
      <c r="K436" s="131">
        <f>0*B436</f>
        <v>0</v>
      </c>
      <c r="L436" s="132">
        <f t="shared" si="88"/>
        <v>0</v>
      </c>
      <c r="M436" s="1758">
        <v>0</v>
      </c>
      <c r="N436" s="1759"/>
    </row>
    <row r="437" spans="1:14" hidden="1">
      <c r="A437" s="2" t="s">
        <v>55</v>
      </c>
      <c r="B437" s="1431">
        <f>MVWD!N109</f>
        <v>0</v>
      </c>
      <c r="C437" s="1422"/>
      <c r="D437" s="1431">
        <f t="shared" si="87"/>
        <v>0</v>
      </c>
      <c r="E437" s="1422"/>
      <c r="F437" s="1467">
        <f>0.992*B437</f>
        <v>0</v>
      </c>
      <c r="G437" s="1433"/>
      <c r="H437" s="383">
        <f>F437*10</f>
        <v>0</v>
      </c>
      <c r="I437" s="131">
        <v>0</v>
      </c>
      <c r="J437" s="131">
        <f>0*B437</f>
        <v>0</v>
      </c>
      <c r="K437" s="131">
        <f>4830.23*B437</f>
        <v>0</v>
      </c>
      <c r="L437" s="132">
        <f t="shared" si="88"/>
        <v>0</v>
      </c>
      <c r="M437" s="1758" t="e">
        <f>L437/(F437*498.5)</f>
        <v>#DIV/0!</v>
      </c>
      <c r="N437" s="1759"/>
    </row>
    <row r="438" spans="1:14" ht="14" hidden="1" thickBot="1">
      <c r="A438" s="77" t="s">
        <v>53</v>
      </c>
      <c r="B438" s="1431">
        <f>MVWD!N110</f>
        <v>0</v>
      </c>
      <c r="C438" s="1422"/>
      <c r="D438" s="1431">
        <f t="shared" si="87"/>
        <v>0</v>
      </c>
      <c r="E438" s="1422"/>
      <c r="F438" s="1431">
        <f>0.00014*0</f>
        <v>0</v>
      </c>
      <c r="G438" s="1422"/>
      <c r="H438" s="383">
        <f>F438*10</f>
        <v>0</v>
      </c>
      <c r="I438" s="131">
        <v>0</v>
      </c>
      <c r="J438" s="131">
        <f>0.3*0</f>
        <v>0</v>
      </c>
      <c r="K438" s="131">
        <f>0.75*0</f>
        <v>0</v>
      </c>
      <c r="L438" s="132">
        <f t="shared" si="88"/>
        <v>0</v>
      </c>
      <c r="M438" s="1758">
        <v>0</v>
      </c>
      <c r="N438" s="1759"/>
    </row>
    <row r="439" spans="1:14" ht="14" hidden="1" thickBot="1">
      <c r="A439" s="53" t="s">
        <v>60</v>
      </c>
      <c r="B439" s="1438">
        <f>SUM(B433:C438)</f>
        <v>0</v>
      </c>
      <c r="C439" s="1609"/>
      <c r="D439" s="1438">
        <f>SUM(D433:E438)</f>
        <v>0</v>
      </c>
      <c r="E439" s="1609"/>
      <c r="F439" s="1438">
        <f>SUM(F433:G438)</f>
        <v>0</v>
      </c>
      <c r="G439" s="1439"/>
      <c r="H439" s="388">
        <f>SUM(H433:H438)</f>
        <v>0</v>
      </c>
      <c r="I439" s="136">
        <f>SUM(I433:I438)</f>
        <v>0</v>
      </c>
      <c r="J439" s="136">
        <f>SUM(J433:J438)</f>
        <v>0</v>
      </c>
      <c r="K439" s="136">
        <f>SUM(K433:K438)</f>
        <v>0</v>
      </c>
      <c r="L439" s="136">
        <f>SUM(L433:L438)</f>
        <v>0</v>
      </c>
      <c r="M439" s="1610"/>
      <c r="N439" s="1611"/>
    </row>
    <row r="440" spans="1:14" s="1168" customFormat="1" ht="17" thickBot="1">
      <c r="A440" s="1182" t="s">
        <v>17</v>
      </c>
      <c r="B440" s="1416">
        <f>SUM(B414+B417+B431+B439)</f>
        <v>492</v>
      </c>
      <c r="C440" s="1415"/>
      <c r="D440" s="1416">
        <f>SUM(D414+D417+D431+D439)</f>
        <v>4314984.1122000003</v>
      </c>
      <c r="E440" s="1415"/>
      <c r="F440" s="1416">
        <f>SUM(F414+F417+F431+F439)</f>
        <v>13.2422</v>
      </c>
      <c r="G440" s="1415"/>
      <c r="H440" s="1164">
        <f>SUM(H439,H414,H417,H431)</f>
        <v>235.60800000000003</v>
      </c>
      <c r="I440" s="1169">
        <f>SUM(I414+I417+I431+I439)</f>
        <v>15474.740000000002</v>
      </c>
      <c r="J440" s="1169">
        <f>SUM(J414+J417+J431+J439)</f>
        <v>10839.259999999998</v>
      </c>
      <c r="K440" s="1169">
        <f>SUM(K414+K417+K431+K439)</f>
        <v>41515</v>
      </c>
      <c r="L440" s="1169">
        <f>SUM(L414+L417+L431)</f>
        <v>67829</v>
      </c>
      <c r="M440" s="1631"/>
      <c r="N440" s="1640"/>
    </row>
    <row r="441" spans="1:14" ht="16">
      <c r="A441" s="60"/>
      <c r="B441" s="61"/>
      <c r="C441" s="61"/>
      <c r="D441" s="61"/>
      <c r="E441" s="61"/>
      <c r="F441" s="61"/>
      <c r="G441" s="61"/>
      <c r="H441" s="61"/>
      <c r="I441" s="62"/>
      <c r="J441" s="62"/>
      <c r="K441" s="62"/>
      <c r="L441" s="62"/>
      <c r="M441" s="64"/>
      <c r="N441" s="65"/>
    </row>
    <row r="442" spans="1:14" ht="16">
      <c r="A442" s="9" t="s">
        <v>18</v>
      </c>
      <c r="B442" s="1419" t="s">
        <v>59</v>
      </c>
      <c r="C442" s="1419"/>
      <c r="D442" s="1419"/>
      <c r="E442" s="1419"/>
      <c r="F442" s="61"/>
      <c r="G442" s="61"/>
      <c r="H442" s="61"/>
      <c r="I442" s="62"/>
      <c r="J442" s="62"/>
      <c r="K442" s="62"/>
      <c r="L442" s="62"/>
      <c r="M442" s="64"/>
      <c r="N442" s="65"/>
    </row>
    <row r="443" spans="1:14" ht="16">
      <c r="A443" s="57"/>
      <c r="B443" s="1420" t="s">
        <v>19</v>
      </c>
      <c r="C443" s="1420"/>
      <c r="D443" s="1420"/>
      <c r="E443" s="1420"/>
      <c r="F443" s="61"/>
      <c r="G443" s="61"/>
      <c r="H443" s="61"/>
      <c r="I443" s="62"/>
      <c r="J443" s="62"/>
      <c r="K443" s="62"/>
      <c r="L443" s="62"/>
      <c r="M443" s="64"/>
      <c r="N443" s="65"/>
    </row>
    <row r="444" spans="1:14" ht="17" thickBot="1">
      <c r="A444" s="985"/>
      <c r="B444" s="820"/>
      <c r="C444" s="820"/>
      <c r="D444" s="820"/>
      <c r="E444" s="820"/>
      <c r="F444" s="61"/>
      <c r="G444" s="61"/>
      <c r="H444" s="61"/>
      <c r="I444" s="62"/>
      <c r="J444" s="62"/>
      <c r="K444" s="62"/>
      <c r="L444" s="62"/>
      <c r="M444" s="64"/>
      <c r="N444" s="65"/>
    </row>
    <row r="445" spans="1:14" s="363" customFormat="1" ht="16">
      <c r="A445" s="98"/>
      <c r="B445" s="99"/>
      <c r="C445" s="99"/>
      <c r="D445" s="99"/>
      <c r="E445" s="99"/>
      <c r="F445" s="736"/>
      <c r="G445" s="736"/>
      <c r="H445" s="736"/>
      <c r="I445" s="1468" t="s">
        <v>0</v>
      </c>
      <c r="J445" s="1468"/>
      <c r="K445" s="1468"/>
      <c r="L445" s="1468"/>
      <c r="M445" s="99"/>
      <c r="N445" s="101"/>
    </row>
    <row r="446" spans="1:14" ht="16">
      <c r="A446" s="97"/>
      <c r="B446" s="1469" t="s">
        <v>1</v>
      </c>
      <c r="C446" s="1469"/>
      <c r="D446" s="1469" t="s">
        <v>2</v>
      </c>
      <c r="E446" s="1469"/>
      <c r="F446" s="1977" t="s">
        <v>3</v>
      </c>
      <c r="G446" s="1977"/>
      <c r="H446" s="841" t="s">
        <v>3</v>
      </c>
      <c r="I446" s="127" t="s">
        <v>195</v>
      </c>
      <c r="J446" s="102"/>
      <c r="K446" s="102"/>
      <c r="L446" s="128"/>
      <c r="M446" s="1469" t="s">
        <v>4</v>
      </c>
      <c r="N446" s="1526"/>
    </row>
    <row r="447" spans="1:14" ht="19" thickBot="1">
      <c r="A447" s="103" t="s">
        <v>5</v>
      </c>
      <c r="B447" s="1473" t="s">
        <v>6</v>
      </c>
      <c r="C447" s="1473"/>
      <c r="D447" s="1473" t="s">
        <v>7</v>
      </c>
      <c r="E447" s="1473"/>
      <c r="F447" s="1978" t="s">
        <v>7</v>
      </c>
      <c r="G447" s="1978"/>
      <c r="H447" s="842" t="s">
        <v>58</v>
      </c>
      <c r="I447" s="797" t="s">
        <v>196</v>
      </c>
      <c r="J447" s="795" t="s">
        <v>8</v>
      </c>
      <c r="K447" s="795" t="s">
        <v>9</v>
      </c>
      <c r="L447" s="401" t="s">
        <v>10</v>
      </c>
      <c r="M447" s="1473" t="s">
        <v>145</v>
      </c>
      <c r="N447" s="1475"/>
    </row>
    <row r="448" spans="1:14" ht="24" thickBot="1">
      <c r="A448" s="88" t="s">
        <v>131</v>
      </c>
      <c r="B448" s="1764"/>
      <c r="C448" s="1477"/>
      <c r="D448" s="1478"/>
      <c r="E448" s="1479"/>
      <c r="F448" s="1478"/>
      <c r="G448" s="1479"/>
      <c r="H448" s="818"/>
      <c r="I448" s="7"/>
      <c r="J448" s="7"/>
      <c r="K448" s="7"/>
      <c r="L448" s="8"/>
      <c r="M448" s="1764"/>
      <c r="N448" s="1765"/>
    </row>
    <row r="449" spans="1:14" s="1161" customFormat="1" ht="17" thickBot="1">
      <c r="A449" s="108" t="s">
        <v>48</v>
      </c>
      <c r="B449" s="1567"/>
      <c r="C449" s="1586"/>
      <c r="D449" s="1567"/>
      <c r="E449" s="1586"/>
      <c r="F449" s="1567"/>
      <c r="G449" s="1586"/>
      <c r="H449" s="1142"/>
      <c r="I449" s="109"/>
      <c r="J449" s="109"/>
      <c r="K449" s="109"/>
      <c r="L449" s="1141"/>
      <c r="M449" s="1617"/>
      <c r="N449" s="1486"/>
    </row>
    <row r="450" spans="1:14">
      <c r="A450" s="32" t="s">
        <v>28</v>
      </c>
      <c r="B450" s="1431">
        <f>MVWD!N41</f>
        <v>0</v>
      </c>
      <c r="C450" s="1422"/>
      <c r="D450" s="1431">
        <f t="shared" ref="D450:D456" si="89">F450*325851</f>
        <v>0</v>
      </c>
      <c r="E450" s="1422"/>
      <c r="F450" s="1871">
        <f>0.0379*B450</f>
        <v>0</v>
      </c>
      <c r="G450" s="1450"/>
      <c r="H450" s="957">
        <f>F450*20</f>
        <v>0</v>
      </c>
      <c r="I450" s="131">
        <v>0</v>
      </c>
      <c r="J450" s="131">
        <f>0*B450</f>
        <v>0</v>
      </c>
      <c r="K450" s="131">
        <f>60*B450</f>
        <v>0</v>
      </c>
      <c r="L450" s="132">
        <f t="shared" ref="L450:L456" si="90">I450+J450+K450</f>
        <v>0</v>
      </c>
      <c r="M450" s="1758">
        <v>0</v>
      </c>
      <c r="N450" s="1759"/>
    </row>
    <row r="451" spans="1:14">
      <c r="A451" s="32" t="s">
        <v>29</v>
      </c>
      <c r="B451" s="1431">
        <f>MVWD!N42</f>
        <v>296</v>
      </c>
      <c r="C451" s="1422"/>
      <c r="D451" s="1431">
        <f t="shared" si="89"/>
        <v>4099205.58</v>
      </c>
      <c r="E451" s="1422"/>
      <c r="F451" s="1871">
        <f>0.0425*B451</f>
        <v>12.58</v>
      </c>
      <c r="G451" s="1450"/>
      <c r="H451" s="957">
        <f>F451*20</f>
        <v>251.6</v>
      </c>
      <c r="I451" s="131">
        <v>0</v>
      </c>
      <c r="J451" s="131">
        <f>0*B451</f>
        <v>0</v>
      </c>
      <c r="K451" s="131">
        <f>B451*165</f>
        <v>48840</v>
      </c>
      <c r="L451" s="132">
        <f t="shared" si="90"/>
        <v>48840</v>
      </c>
      <c r="M451" s="1758">
        <f t="shared" ref="M451:M456" si="91">L451/(F451*498.5)</f>
        <v>7.7880700926308339</v>
      </c>
      <c r="N451" s="1759"/>
    </row>
    <row r="452" spans="1:14">
      <c r="A452" s="32" t="s">
        <v>33</v>
      </c>
      <c r="B452" s="1431">
        <f>MVWD!N43</f>
        <v>68</v>
      </c>
      <c r="C452" s="1422"/>
      <c r="D452" s="1431">
        <f t="shared" si="89"/>
        <v>611557.1568</v>
      </c>
      <c r="E452" s="1422"/>
      <c r="F452" s="1871">
        <f>0.0276*B452</f>
        <v>1.8768</v>
      </c>
      <c r="G452" s="1450"/>
      <c r="H452" s="957">
        <f>F452*15</f>
        <v>28.152000000000001</v>
      </c>
      <c r="I452" s="131">
        <f>0*B452</f>
        <v>0</v>
      </c>
      <c r="J452" s="131">
        <f>0*B452</f>
        <v>0</v>
      </c>
      <c r="K452" s="131">
        <f>B452*110</f>
        <v>7480</v>
      </c>
      <c r="L452" s="132">
        <f t="shared" si="90"/>
        <v>7480</v>
      </c>
      <c r="M452" s="1758">
        <f t="shared" si="91"/>
        <v>7.994999491227305</v>
      </c>
      <c r="N452" s="1759"/>
    </row>
    <row r="453" spans="1:14">
      <c r="A453" s="32" t="s">
        <v>56</v>
      </c>
      <c r="B453" s="1431">
        <f>MVWD!N44</f>
        <v>171</v>
      </c>
      <c r="C453" s="1422"/>
      <c r="D453" s="1431">
        <f t="shared" si="89"/>
        <v>222882.084</v>
      </c>
      <c r="E453" s="1422"/>
      <c r="F453" s="1871">
        <f>0.004*B453</f>
        <v>0.68400000000000005</v>
      </c>
      <c r="G453" s="1450"/>
      <c r="H453" s="957">
        <f>F453*5</f>
        <v>3.4200000000000004</v>
      </c>
      <c r="I453" s="131">
        <f>0*B453</f>
        <v>0</v>
      </c>
      <c r="J453" s="131">
        <f>0*B453</f>
        <v>0</v>
      </c>
      <c r="K453" s="131">
        <f>B453*4</f>
        <v>684</v>
      </c>
      <c r="L453" s="132">
        <f t="shared" si="90"/>
        <v>684</v>
      </c>
      <c r="M453" s="1758">
        <f t="shared" si="91"/>
        <v>2.006018054162487</v>
      </c>
      <c r="N453" s="1759"/>
    </row>
    <row r="454" spans="1:14">
      <c r="A454" s="78" t="s">
        <v>30</v>
      </c>
      <c r="B454" s="1431">
        <f>MVWD!N45</f>
        <v>2</v>
      </c>
      <c r="C454" s="1422"/>
      <c r="D454" s="1431">
        <f t="shared" si="89"/>
        <v>211803.15</v>
      </c>
      <c r="E454" s="1422"/>
      <c r="F454" s="1876">
        <f>0.325*B454</f>
        <v>0.65</v>
      </c>
      <c r="G454" s="1877"/>
      <c r="H454" s="956">
        <f>F454*10</f>
        <v>6.5</v>
      </c>
      <c r="I454" s="133">
        <v>0</v>
      </c>
      <c r="J454" s="133">
        <f>0*B454</f>
        <v>0</v>
      </c>
      <c r="K454" s="133">
        <f>B454*80</f>
        <v>160</v>
      </c>
      <c r="L454" s="132">
        <f t="shared" si="90"/>
        <v>160</v>
      </c>
      <c r="M454" s="1758">
        <f t="shared" si="91"/>
        <v>0.49378905948615071</v>
      </c>
      <c r="N454" s="1759"/>
    </row>
    <row r="455" spans="1:14">
      <c r="A455" s="76" t="s">
        <v>138</v>
      </c>
      <c r="B455" s="1431">
        <f>MVWD!N46</f>
        <v>10</v>
      </c>
      <c r="C455" s="1422"/>
      <c r="D455" s="1431">
        <f t="shared" si="89"/>
        <v>893222.76119999983</v>
      </c>
      <c r="E455" s="1422"/>
      <c r="F455" s="1876">
        <f>0.00014*19580</f>
        <v>2.7411999999999996</v>
      </c>
      <c r="G455" s="1877"/>
      <c r="H455" s="956">
        <f>F455*10</f>
        <v>27.411999999999995</v>
      </c>
      <c r="I455" s="133">
        <v>0</v>
      </c>
      <c r="J455" s="133">
        <f>18836</f>
        <v>18836</v>
      </c>
      <c r="K455" s="133">
        <f>B455*0</f>
        <v>0</v>
      </c>
      <c r="L455" s="132">
        <f t="shared" si="90"/>
        <v>18836</v>
      </c>
      <c r="M455" s="1758">
        <f t="shared" si="91"/>
        <v>13.784239044288858</v>
      </c>
      <c r="N455" s="1759"/>
    </row>
    <row r="456" spans="1:14" ht="14" thickBot="1">
      <c r="A456" s="76" t="s">
        <v>140</v>
      </c>
      <c r="B456" s="1431">
        <f>MVWD!N47</f>
        <v>3</v>
      </c>
      <c r="C456" s="1422"/>
      <c r="D456" s="1431">
        <f t="shared" si="89"/>
        <v>160989.94505999997</v>
      </c>
      <c r="E456" s="1422"/>
      <c r="F456" s="1876">
        <f>0.00014*3529</f>
        <v>0.49405999999999994</v>
      </c>
      <c r="G456" s="1877"/>
      <c r="H456" s="956">
        <f>F456*10</f>
        <v>4.9405999999999999</v>
      </c>
      <c r="I456" s="133">
        <v>0</v>
      </c>
      <c r="J456" s="133">
        <f>0.3*3529</f>
        <v>1058.7</v>
      </c>
      <c r="K456" s="133">
        <f>4398*0.3</f>
        <v>1319.3999999999999</v>
      </c>
      <c r="L456" s="132">
        <f t="shared" si="90"/>
        <v>2378.1</v>
      </c>
      <c r="M456" s="1758">
        <f t="shared" si="91"/>
        <v>9.6557331793786432</v>
      </c>
      <c r="N456" s="1759"/>
    </row>
    <row r="457" spans="1:14" ht="14" thickBot="1">
      <c r="A457" s="53" t="s">
        <v>60</v>
      </c>
      <c r="B457" s="1438">
        <f>SUM(B450:C456)</f>
        <v>550</v>
      </c>
      <c r="C457" s="1609"/>
      <c r="D457" s="1440">
        <f>SUM(D450:E456)</f>
        <v>6199660.6770599997</v>
      </c>
      <c r="E457" s="1609"/>
      <c r="F457" s="1440">
        <f>SUM(F450:G456)</f>
        <v>19.026060000000001</v>
      </c>
      <c r="G457" s="1439"/>
      <c r="H457" s="388">
        <f>SUM(H450:H456)</f>
        <v>322.02460000000002</v>
      </c>
      <c r="I457" s="143">
        <f>SUM(I450:I456)</f>
        <v>0</v>
      </c>
      <c r="J457" s="143">
        <f>SUM(J450:J456)</f>
        <v>19894.7</v>
      </c>
      <c r="K457" s="143">
        <f>SUM(K450:K456)</f>
        <v>58483.4</v>
      </c>
      <c r="L457" s="152">
        <f>SUM(L450:L456)</f>
        <v>78378.100000000006</v>
      </c>
      <c r="M457" s="1610"/>
      <c r="N457" s="1611"/>
    </row>
    <row r="458" spans="1:14" s="1161" customFormat="1" ht="17" thickBot="1">
      <c r="A458" s="1239" t="s">
        <v>146</v>
      </c>
      <c r="B458" s="1567"/>
      <c r="C458" s="1586"/>
      <c r="D458" s="1457"/>
      <c r="E458" s="1586"/>
      <c r="F458" s="1457"/>
      <c r="G458" s="1586"/>
      <c r="H458" s="1142"/>
      <c r="I458" s="161"/>
      <c r="J458" s="161"/>
      <c r="K458" s="161"/>
      <c r="L458" s="162"/>
      <c r="M458" s="1617"/>
      <c r="N458" s="1486"/>
    </row>
    <row r="459" spans="1:14" ht="14" thickBot="1">
      <c r="A459" s="76" t="s">
        <v>146</v>
      </c>
      <c r="B459" s="1431">
        <f>MVWD!N50</f>
        <v>122</v>
      </c>
      <c r="C459" s="1422"/>
      <c r="D459" s="1444">
        <f>F459*325851</f>
        <v>1689537.4350000001</v>
      </c>
      <c r="E459" s="1422"/>
      <c r="F459" s="1449">
        <f>0.0425*B459</f>
        <v>5.1850000000000005</v>
      </c>
      <c r="G459" s="1450"/>
      <c r="H459" s="957">
        <f>F459*20</f>
        <v>103.70000000000002</v>
      </c>
      <c r="I459" s="131">
        <f>73.34*B459</f>
        <v>8947.48</v>
      </c>
      <c r="J459" s="131">
        <f>35.66*B459</f>
        <v>4350.5199999999995</v>
      </c>
      <c r="K459" s="131">
        <f>B459*165</f>
        <v>20130</v>
      </c>
      <c r="L459" s="132">
        <f>I459+J459+K459</f>
        <v>33428</v>
      </c>
      <c r="M459" s="1758">
        <f>L459/(F459*498.5)</f>
        <v>12.932916396247565</v>
      </c>
      <c r="N459" s="1759"/>
    </row>
    <row r="460" spans="1:14" ht="14" thickBot="1">
      <c r="A460" s="53" t="s">
        <v>60</v>
      </c>
      <c r="B460" s="1438">
        <f>SUM(B459)</f>
        <v>122</v>
      </c>
      <c r="C460" s="1609"/>
      <c r="D460" s="1440">
        <f>SUM(D459)</f>
        <v>1689537.4350000001</v>
      </c>
      <c r="E460" s="1609"/>
      <c r="F460" s="1440">
        <f>SUM(F459)</f>
        <v>5.1850000000000005</v>
      </c>
      <c r="G460" s="1439"/>
      <c r="H460" s="388">
        <f>SUM(H459)</f>
        <v>103.70000000000002</v>
      </c>
      <c r="I460" s="136">
        <f>SUM(I459)</f>
        <v>8947.48</v>
      </c>
      <c r="J460" s="143">
        <f>SUM(J459)</f>
        <v>4350.5199999999995</v>
      </c>
      <c r="K460" s="143">
        <f>SUM(K459)</f>
        <v>20130</v>
      </c>
      <c r="L460" s="136">
        <f>SUM(L459)</f>
        <v>33428</v>
      </c>
      <c r="M460" s="1610"/>
      <c r="N460" s="1611"/>
    </row>
    <row r="461" spans="1:14" s="1161" customFormat="1" ht="17" thickBot="1">
      <c r="A461" s="108" t="s">
        <v>50</v>
      </c>
      <c r="B461" s="1567"/>
      <c r="C461" s="1586"/>
      <c r="D461" s="1457"/>
      <c r="E461" s="1586"/>
      <c r="F461" s="1457"/>
      <c r="G461" s="1586"/>
      <c r="H461" s="1142"/>
      <c r="I461" s="161"/>
      <c r="J461" s="161"/>
      <c r="K461" s="161"/>
      <c r="L461" s="162"/>
      <c r="M461" s="1617"/>
      <c r="N461" s="1486"/>
    </row>
    <row r="462" spans="1:14">
      <c r="A462" s="34" t="s">
        <v>26</v>
      </c>
      <c r="B462" s="1431">
        <f>MVWD!N53</f>
        <v>0</v>
      </c>
      <c r="C462" s="1422"/>
      <c r="D462" s="1444">
        <f t="shared" ref="D462:D470" si="92">F462*325851</f>
        <v>0</v>
      </c>
      <c r="E462" s="1422"/>
      <c r="F462" s="1449">
        <f>0.0379*B462</f>
        <v>0</v>
      </c>
      <c r="G462" s="1450"/>
      <c r="H462" s="957">
        <f>F462*20</f>
        <v>0</v>
      </c>
      <c r="I462" s="131">
        <v>0</v>
      </c>
      <c r="J462" s="131">
        <f>35.66*B462</f>
        <v>0</v>
      </c>
      <c r="K462" s="131">
        <f>135*B462</f>
        <v>0</v>
      </c>
      <c r="L462" s="132">
        <f>SUM(I462:K462)</f>
        <v>0</v>
      </c>
      <c r="M462" s="1758">
        <v>0</v>
      </c>
      <c r="N462" s="1759"/>
    </row>
    <row r="463" spans="1:14">
      <c r="A463" s="34" t="s">
        <v>25</v>
      </c>
      <c r="B463" s="1431">
        <f>MVWD!N54</f>
        <v>0</v>
      </c>
      <c r="C463" s="1422"/>
      <c r="D463" s="1444">
        <f t="shared" si="92"/>
        <v>0</v>
      </c>
      <c r="E463" s="1422"/>
      <c r="F463" s="1449">
        <f>0.0379*B463</f>
        <v>0</v>
      </c>
      <c r="G463" s="1450"/>
      <c r="H463" s="957">
        <f>F463*20</f>
        <v>0</v>
      </c>
      <c r="I463" s="131">
        <v>0</v>
      </c>
      <c r="J463" s="131">
        <f>0*B463</f>
        <v>0</v>
      </c>
      <c r="K463" s="131">
        <f>60*B463</f>
        <v>0</v>
      </c>
      <c r="L463" s="132">
        <f t="shared" ref="L463:L471" si="93">SUM(I463:K463)</f>
        <v>0</v>
      </c>
      <c r="M463" s="1758">
        <v>0</v>
      </c>
      <c r="N463" s="1759"/>
    </row>
    <row r="464" spans="1:14">
      <c r="A464" s="32" t="s">
        <v>29</v>
      </c>
      <c r="B464" s="1431">
        <f>MVWD!N55</f>
        <v>45</v>
      </c>
      <c r="C464" s="1422"/>
      <c r="D464" s="1444">
        <f t="shared" si="92"/>
        <v>623190.03749999998</v>
      </c>
      <c r="E464" s="1422"/>
      <c r="F464" s="1449">
        <f>0.0425*B464</f>
        <v>1.9125000000000001</v>
      </c>
      <c r="G464" s="1450"/>
      <c r="H464" s="957">
        <f>F464*20</f>
        <v>38.25</v>
      </c>
      <c r="I464" s="131">
        <v>0</v>
      </c>
      <c r="J464" s="131">
        <f>135*B464</f>
        <v>6075</v>
      </c>
      <c r="K464" s="131">
        <f>165*B464</f>
        <v>7425</v>
      </c>
      <c r="L464" s="132">
        <f t="shared" si="93"/>
        <v>13500</v>
      </c>
      <c r="M464" s="1758">
        <f>L464/(F464*498.5)</f>
        <v>14.160127441146971</v>
      </c>
      <c r="N464" s="1759"/>
    </row>
    <row r="465" spans="1:14">
      <c r="A465" s="32" t="s">
        <v>51</v>
      </c>
      <c r="B465" s="1431">
        <f>MVWD!N56</f>
        <v>16</v>
      </c>
      <c r="C465" s="1422"/>
      <c r="D465" s="1444">
        <f t="shared" si="92"/>
        <v>639710.68319999997</v>
      </c>
      <c r="E465" s="1422"/>
      <c r="F465" s="1449">
        <f>0.1227*B465</f>
        <v>1.9632000000000001</v>
      </c>
      <c r="G465" s="1450"/>
      <c r="H465" s="957">
        <f>F465*20</f>
        <v>39.264000000000003</v>
      </c>
      <c r="I465" s="131">
        <v>0</v>
      </c>
      <c r="J465" s="131">
        <f>0*B465</f>
        <v>0</v>
      </c>
      <c r="K465" s="131">
        <f>400*B465</f>
        <v>6400</v>
      </c>
      <c r="L465" s="132">
        <f t="shared" si="93"/>
        <v>6400</v>
      </c>
      <c r="M465" s="1758">
        <f>L465/(F465*498.5)</f>
        <v>6.5395861586389161</v>
      </c>
      <c r="N465" s="1759"/>
    </row>
    <row r="466" spans="1:14">
      <c r="A466" s="34" t="s">
        <v>20</v>
      </c>
      <c r="B466" s="1431">
        <f>MVWD!N57</f>
        <v>0</v>
      </c>
      <c r="C466" s="1422"/>
      <c r="D466" s="1444">
        <f t="shared" si="92"/>
        <v>0</v>
      </c>
      <c r="E466" s="1422"/>
      <c r="F466" s="1449">
        <f>0.644*B466</f>
        <v>0</v>
      </c>
      <c r="G466" s="1450"/>
      <c r="H466" s="957">
        <f>F466*5</f>
        <v>0</v>
      </c>
      <c r="I466" s="131">
        <v>0</v>
      </c>
      <c r="J466" s="131">
        <f>43.75*B466</f>
        <v>0</v>
      </c>
      <c r="K466" s="131">
        <f>625*B466</f>
        <v>0</v>
      </c>
      <c r="L466" s="132">
        <f t="shared" si="93"/>
        <v>0</v>
      </c>
      <c r="M466" s="1758">
        <v>0</v>
      </c>
      <c r="N466" s="1759"/>
    </row>
    <row r="467" spans="1:14">
      <c r="A467" s="34" t="s">
        <v>13</v>
      </c>
      <c r="B467" s="1431">
        <f>MVWD!N58</f>
        <v>0</v>
      </c>
      <c r="C467" s="1422"/>
      <c r="D467" s="1444">
        <f t="shared" si="92"/>
        <v>0</v>
      </c>
      <c r="E467" s="1422"/>
      <c r="F467" s="1449">
        <f>0.0276*B467</f>
        <v>0</v>
      </c>
      <c r="G467" s="1450"/>
      <c r="H467" s="957">
        <f>F467*10</f>
        <v>0</v>
      </c>
      <c r="I467" s="131">
        <v>0</v>
      </c>
      <c r="J467" s="131">
        <f>100*B467</f>
        <v>0</v>
      </c>
      <c r="K467" s="131">
        <f>80*B467</f>
        <v>0</v>
      </c>
      <c r="L467" s="132">
        <f t="shared" si="93"/>
        <v>0</v>
      </c>
      <c r="M467" s="1758">
        <v>0</v>
      </c>
      <c r="N467" s="1759"/>
    </row>
    <row r="468" spans="1:14">
      <c r="A468" s="35" t="s">
        <v>47</v>
      </c>
      <c r="B468" s="1431">
        <f>MVWD!N59</f>
        <v>0</v>
      </c>
      <c r="C468" s="1422"/>
      <c r="D468" s="1444">
        <f t="shared" si="92"/>
        <v>0</v>
      </c>
      <c r="E468" s="1422"/>
      <c r="F468" s="1449">
        <f>0.1534*B468</f>
        <v>0</v>
      </c>
      <c r="G468" s="1450"/>
      <c r="H468" s="957">
        <f>F468*5</f>
        <v>0</v>
      </c>
      <c r="I468" s="131">
        <v>0</v>
      </c>
      <c r="J468" s="131">
        <f>0*B468</f>
        <v>0</v>
      </c>
      <c r="K468" s="131">
        <f>150*B468</f>
        <v>0</v>
      </c>
      <c r="L468" s="132">
        <f t="shared" si="93"/>
        <v>0</v>
      </c>
      <c r="M468" s="1758">
        <v>0</v>
      </c>
      <c r="N468" s="1759"/>
    </row>
    <row r="469" spans="1:14">
      <c r="A469" s="76" t="s">
        <v>30</v>
      </c>
      <c r="B469" s="1431">
        <f>MVWD!N60</f>
        <v>0</v>
      </c>
      <c r="C469" s="1422"/>
      <c r="D469" s="1444">
        <f t="shared" si="92"/>
        <v>0</v>
      </c>
      <c r="E469" s="1422"/>
      <c r="F469" s="1449">
        <f>0.325*B469</f>
        <v>0</v>
      </c>
      <c r="G469" s="1450"/>
      <c r="H469" s="957">
        <f>F469*10</f>
        <v>0</v>
      </c>
      <c r="I469" s="131">
        <v>0</v>
      </c>
      <c r="J469" s="131">
        <f>0*B469</f>
        <v>0</v>
      </c>
      <c r="K469" s="131">
        <f>669*B469</f>
        <v>0</v>
      </c>
      <c r="L469" s="132">
        <f t="shared" si="93"/>
        <v>0</v>
      </c>
      <c r="M469" s="1758">
        <v>0</v>
      </c>
      <c r="N469" s="1759"/>
    </row>
    <row r="470" spans="1:14">
      <c r="A470" s="33" t="s">
        <v>117</v>
      </c>
      <c r="B470" s="1431">
        <f>MVWD!N61</f>
        <v>2</v>
      </c>
      <c r="C470" s="1422"/>
      <c r="D470" s="1444">
        <f t="shared" si="92"/>
        <v>87816.844499999992</v>
      </c>
      <c r="E470" s="1422"/>
      <c r="F470" s="1449">
        <f>0.00014*1925</f>
        <v>0.26949999999999996</v>
      </c>
      <c r="G470" s="1450"/>
      <c r="H470" s="957">
        <f>F470*10</f>
        <v>2.6949999999999994</v>
      </c>
      <c r="I470" s="131">
        <v>0</v>
      </c>
      <c r="J470" s="131">
        <f>0.3*1925</f>
        <v>577.5</v>
      </c>
      <c r="K470" s="131">
        <f>0.3*1925</f>
        <v>577.5</v>
      </c>
      <c r="L470" s="132">
        <f t="shared" si="93"/>
        <v>1155</v>
      </c>
      <c r="M470" s="1758">
        <f>L470/(F470*498.5)</f>
        <v>8.5972202321249469</v>
      </c>
      <c r="N470" s="1759"/>
    </row>
    <row r="471" spans="1:14">
      <c r="A471" s="33" t="s">
        <v>56</v>
      </c>
      <c r="B471" s="1431">
        <f>MVWD!N62</f>
        <v>0</v>
      </c>
      <c r="C471" s="1422"/>
      <c r="D471" s="1444">
        <f>F471*325851</f>
        <v>0</v>
      </c>
      <c r="E471" s="1422"/>
      <c r="F471" s="1449">
        <f>0.004*B471</f>
        <v>0</v>
      </c>
      <c r="G471" s="1450"/>
      <c r="H471" s="957">
        <f>F471*5</f>
        <v>0</v>
      </c>
      <c r="I471" s="131">
        <v>0</v>
      </c>
      <c r="J471" s="131">
        <f>0*B471</f>
        <v>0</v>
      </c>
      <c r="K471" s="131">
        <f>4*B471</f>
        <v>0</v>
      </c>
      <c r="L471" s="132">
        <f t="shared" si="93"/>
        <v>0</v>
      </c>
      <c r="M471" s="1758">
        <v>0</v>
      </c>
      <c r="N471" s="1759"/>
    </row>
    <row r="472" spans="1:14">
      <c r="A472" s="76" t="s">
        <v>122</v>
      </c>
      <c r="B472" s="1431">
        <f>MVWD!N63</f>
        <v>0</v>
      </c>
      <c r="C472" s="1422"/>
      <c r="D472" s="1444">
        <f>F472*325851</f>
        <v>0</v>
      </c>
      <c r="E472" s="1422"/>
      <c r="F472" s="1449">
        <f>0.018*B472</f>
        <v>0</v>
      </c>
      <c r="G472" s="1450"/>
      <c r="H472" s="957">
        <f>F472*10</f>
        <v>0</v>
      </c>
      <c r="I472" s="131">
        <v>0</v>
      </c>
      <c r="J472" s="131">
        <f>0*B472</f>
        <v>0</v>
      </c>
      <c r="K472" s="131">
        <f>13*B472</f>
        <v>0</v>
      </c>
      <c r="L472" s="132">
        <f>SUM(I472:K472)</f>
        <v>0</v>
      </c>
      <c r="M472" s="1758">
        <v>0</v>
      </c>
      <c r="N472" s="1759"/>
    </row>
    <row r="473" spans="1:14" ht="14" thickBot="1">
      <c r="A473" s="33" t="s">
        <v>102</v>
      </c>
      <c r="B473" s="1431">
        <f>MVWD!N64</f>
        <v>3</v>
      </c>
      <c r="C473" s="1422"/>
      <c r="D473" s="1444">
        <f>F473*325851</f>
        <v>149565.609</v>
      </c>
      <c r="E473" s="1422"/>
      <c r="F473" s="1886">
        <f>0.153*B473</f>
        <v>0.45899999999999996</v>
      </c>
      <c r="G473" s="1887"/>
      <c r="H473" s="957">
        <f>F473*5</f>
        <v>2.2949999999999999</v>
      </c>
      <c r="I473" s="131">
        <v>0</v>
      </c>
      <c r="J473" s="131">
        <f>0*B473</f>
        <v>0</v>
      </c>
      <c r="K473" s="131">
        <f>60*B473</f>
        <v>180</v>
      </c>
      <c r="L473" s="132">
        <f>SUM(I473:K473)</f>
        <v>180</v>
      </c>
      <c r="M473" s="1758">
        <f>L473/(F473*498.5)</f>
        <v>0.78667374673038726</v>
      </c>
      <c r="N473" s="1759"/>
    </row>
    <row r="474" spans="1:14" ht="14" thickBot="1">
      <c r="A474" s="53" t="s">
        <v>60</v>
      </c>
      <c r="B474" s="1438">
        <f>SUM(B462:C473)</f>
        <v>66</v>
      </c>
      <c r="C474" s="1609"/>
      <c r="D474" s="1440">
        <f>SUM(D462:E473)</f>
        <v>1500283.1741999998</v>
      </c>
      <c r="E474" s="1609"/>
      <c r="F474" s="1440">
        <f>SUM(F462:G473)</f>
        <v>4.6041999999999996</v>
      </c>
      <c r="G474" s="1439"/>
      <c r="H474" s="388">
        <f>SUM(H462:H473)</f>
        <v>82.504000000000005</v>
      </c>
      <c r="I474" s="136">
        <f>SUM(I462:I473)</f>
        <v>0</v>
      </c>
      <c r="J474" s="143">
        <f>SUM(J462:J473)</f>
        <v>6652.5</v>
      </c>
      <c r="K474" s="143">
        <f>SUM(K462:K473)</f>
        <v>14582.5</v>
      </c>
      <c r="L474" s="136">
        <f>SUM(L462:L473)</f>
        <v>21235</v>
      </c>
      <c r="M474" s="1610"/>
      <c r="N474" s="1611"/>
    </row>
    <row r="475" spans="1:14" s="1161" customFormat="1" ht="17" thickBot="1">
      <c r="A475" s="108" t="s">
        <v>54</v>
      </c>
      <c r="B475" s="1457"/>
      <c r="C475" s="1913"/>
      <c r="D475" s="1141"/>
      <c r="E475" s="1142"/>
      <c r="F475" s="1141"/>
      <c r="G475" s="1142"/>
      <c r="H475" s="1142"/>
      <c r="I475" s="161"/>
      <c r="J475" s="161"/>
      <c r="K475" s="161"/>
      <c r="L475" s="162"/>
      <c r="M475" s="1154"/>
      <c r="N475" s="1155"/>
    </row>
    <row r="476" spans="1:14">
      <c r="A476" s="1" t="s">
        <v>29</v>
      </c>
      <c r="B476" s="1731">
        <f>MVWD!N67</f>
        <v>4</v>
      </c>
      <c r="C476" s="1915"/>
      <c r="D476" s="1767">
        <f t="shared" ref="D476:D481" si="94">F476*325851</f>
        <v>55394.670000000006</v>
      </c>
      <c r="E476" s="1732"/>
      <c r="F476" s="1884">
        <f>0.0425*B476</f>
        <v>0.17</v>
      </c>
      <c r="G476" s="1885"/>
      <c r="H476" s="958">
        <f>F476*20</f>
        <v>3.4000000000000004</v>
      </c>
      <c r="I476" s="147">
        <v>0</v>
      </c>
      <c r="J476" s="147">
        <v>0</v>
      </c>
      <c r="K476" s="147">
        <f>321.27*B476</f>
        <v>1285.08</v>
      </c>
      <c r="L476" s="670">
        <f t="shared" ref="L476:L481" si="95">SUM(I476:K476)</f>
        <v>1285.08</v>
      </c>
      <c r="M476" s="1792">
        <f>L476/(F476*498.5)</f>
        <v>15.164080476724289</v>
      </c>
      <c r="N476" s="1793"/>
    </row>
    <row r="477" spans="1:14">
      <c r="A477" s="2" t="s">
        <v>51</v>
      </c>
      <c r="B477" s="1421">
        <f>MVWD!N68</f>
        <v>2</v>
      </c>
      <c r="C477" s="1422"/>
      <c r="D477" s="1444">
        <f t="shared" si="94"/>
        <v>81462.75</v>
      </c>
      <c r="E477" s="1422"/>
      <c r="F477" s="1449">
        <f>0.125*B477</f>
        <v>0.25</v>
      </c>
      <c r="G477" s="1450"/>
      <c r="H477" s="957">
        <f>F477*20</f>
        <v>5</v>
      </c>
      <c r="I477" s="131">
        <v>0</v>
      </c>
      <c r="J477" s="131">
        <f>0*B477</f>
        <v>0</v>
      </c>
      <c r="K477" s="131">
        <f>535.7*B477</f>
        <v>1071.4000000000001</v>
      </c>
      <c r="L477" s="132">
        <f t="shared" si="95"/>
        <v>1071.4000000000001</v>
      </c>
      <c r="M477" s="1758">
        <f>L477/(F477*498.5)</f>
        <v>8.596990972918757</v>
      </c>
      <c r="N477" s="1759"/>
    </row>
    <row r="478" spans="1:14">
      <c r="A478" s="2" t="s">
        <v>15</v>
      </c>
      <c r="B478" s="1421">
        <f>MVWD!N69</f>
        <v>4</v>
      </c>
      <c r="C478" s="1422"/>
      <c r="D478" s="1444">
        <f t="shared" si="94"/>
        <v>199942.17360000001</v>
      </c>
      <c r="E478" s="1422"/>
      <c r="F478" s="1449">
        <f>0.1534*B478</f>
        <v>0.61360000000000003</v>
      </c>
      <c r="G478" s="1450"/>
      <c r="H478" s="957">
        <f>F478*5</f>
        <v>3.0680000000000001</v>
      </c>
      <c r="I478" s="131">
        <v>0</v>
      </c>
      <c r="J478" s="131">
        <f>0*B478</f>
        <v>0</v>
      </c>
      <c r="K478" s="131">
        <f>350.19*B478</f>
        <v>1400.76</v>
      </c>
      <c r="L478" s="132">
        <f t="shared" si="95"/>
        <v>1400.76</v>
      </c>
      <c r="M478" s="1758">
        <f>L478/(F478*498.5)</f>
        <v>4.5794489073478575</v>
      </c>
      <c r="N478" s="1759"/>
    </row>
    <row r="479" spans="1:14">
      <c r="A479" s="2" t="s">
        <v>30</v>
      </c>
      <c r="B479" s="1421">
        <f>MVWD!N70</f>
        <v>0</v>
      </c>
      <c r="C479" s="1422"/>
      <c r="D479" s="1444">
        <f t="shared" si="94"/>
        <v>0</v>
      </c>
      <c r="E479" s="1422"/>
      <c r="F479" s="1449">
        <f>0.609*B479</f>
        <v>0</v>
      </c>
      <c r="G479" s="1450"/>
      <c r="H479" s="957">
        <f>F479*10</f>
        <v>0</v>
      </c>
      <c r="I479" s="131">
        <v>0</v>
      </c>
      <c r="J479" s="131">
        <f>0*B479</f>
        <v>0</v>
      </c>
      <c r="K479" s="131">
        <f>0*B479</f>
        <v>0</v>
      </c>
      <c r="L479" s="132">
        <f t="shared" si="95"/>
        <v>0</v>
      </c>
      <c r="M479" s="1758">
        <v>0</v>
      </c>
      <c r="N479" s="1759"/>
    </row>
    <row r="480" spans="1:14">
      <c r="A480" s="2" t="s">
        <v>55</v>
      </c>
      <c r="B480" s="1421">
        <f>MVWD!N71</f>
        <v>4</v>
      </c>
      <c r="C480" s="1422"/>
      <c r="D480" s="1444">
        <f t="shared" si="94"/>
        <v>1292976.7679999999</v>
      </c>
      <c r="E480" s="1422"/>
      <c r="F480" s="1902">
        <f>0.992*B480</f>
        <v>3.968</v>
      </c>
      <c r="G480" s="1877"/>
      <c r="H480" s="957">
        <f>F480*10</f>
        <v>39.68</v>
      </c>
      <c r="I480" s="131">
        <v>0</v>
      </c>
      <c r="J480" s="131">
        <f>0*B480</f>
        <v>0</v>
      </c>
      <c r="K480" s="131">
        <f>4830.23*B480</f>
        <v>19320.919999999998</v>
      </c>
      <c r="L480" s="132">
        <f t="shared" si="95"/>
        <v>19320.919999999998</v>
      </c>
      <c r="M480" s="1758">
        <f>L480/(F480*498.5)</f>
        <v>9.7676699453198292</v>
      </c>
      <c r="N480" s="1759"/>
    </row>
    <row r="481" spans="1:14" s="66" customFormat="1" ht="14" thickBot="1">
      <c r="A481" s="688" t="s">
        <v>53</v>
      </c>
      <c r="B481" s="1421">
        <f>MVWD!N72</f>
        <v>0</v>
      </c>
      <c r="C481" s="1422"/>
      <c r="D481" s="1444">
        <f t="shared" si="94"/>
        <v>0</v>
      </c>
      <c r="E481" s="1422"/>
      <c r="F481" s="1449">
        <f>0.00014*0</f>
        <v>0</v>
      </c>
      <c r="G481" s="1450"/>
      <c r="H481" s="957">
        <f>F481*10</f>
        <v>0</v>
      </c>
      <c r="I481" s="131">
        <v>0</v>
      </c>
      <c r="J481" s="131">
        <f>0.3*0</f>
        <v>0</v>
      </c>
      <c r="K481" s="131">
        <f>0.75*0</f>
        <v>0</v>
      </c>
      <c r="L481" s="132">
        <f t="shared" si="95"/>
        <v>0</v>
      </c>
      <c r="M481" s="1758">
        <v>0</v>
      </c>
      <c r="N481" s="1759"/>
    </row>
    <row r="482" spans="1:14" s="66" customFormat="1" ht="14" thickBot="1">
      <c r="A482" s="256" t="s">
        <v>60</v>
      </c>
      <c r="B482" s="1438">
        <f>SUM(B476:C481)</f>
        <v>14</v>
      </c>
      <c r="C482" s="1609"/>
      <c r="D482" s="1440">
        <f>SUM(D476:E481)</f>
        <v>1629776.3615999999</v>
      </c>
      <c r="E482" s="1609"/>
      <c r="F482" s="1440">
        <f>SUM(F476:G481)</f>
        <v>5.0015999999999998</v>
      </c>
      <c r="G482" s="1439"/>
      <c r="H482" s="619">
        <f>SUM(H476:H481)</f>
        <v>51.147999999999996</v>
      </c>
      <c r="I482" s="136">
        <f>SUM(I476:I481)</f>
        <v>0</v>
      </c>
      <c r="J482" s="136">
        <f>SUM(J476:J481)</f>
        <v>0</v>
      </c>
      <c r="K482" s="136">
        <f>SUM(K476:K481)</f>
        <v>23078.159999999996</v>
      </c>
      <c r="L482" s="136">
        <f>SUM(L476:L481)</f>
        <v>23078.159999999996</v>
      </c>
      <c r="M482" s="1610"/>
      <c r="N482" s="1611"/>
    </row>
    <row r="483" spans="1:14" s="1202" customFormat="1" ht="17" thickBot="1">
      <c r="A483" s="1182" t="s">
        <v>17</v>
      </c>
      <c r="B483" s="1416">
        <f>SUM(B457+B460+B474+B482)</f>
        <v>752</v>
      </c>
      <c r="C483" s="1415"/>
      <c r="D483" s="1416">
        <f>SUM(D457+D460+D474+D482)</f>
        <v>11019257.64786</v>
      </c>
      <c r="E483" s="1415"/>
      <c r="F483" s="1612">
        <f>SUM(F457+F460+F474+F482)</f>
        <v>33.816860000000005</v>
      </c>
      <c r="G483" s="1415"/>
      <c r="H483" s="1164">
        <f>SUM(H482,H457,H460,H474)</f>
        <v>559.37660000000005</v>
      </c>
      <c r="I483" s="1169">
        <f>SUM(I457+I460+I474+I482)</f>
        <v>8947.48</v>
      </c>
      <c r="J483" s="1169">
        <f>SUM(J457+J460+J474+J482)</f>
        <v>30897.72</v>
      </c>
      <c r="K483" s="1169">
        <f>SUM(K457+K460+K474+K482)</f>
        <v>116274.06</v>
      </c>
      <c r="L483" s="1169">
        <f>SUM(L457+L460+L474+L482)</f>
        <v>156119.26</v>
      </c>
      <c r="M483" s="1631"/>
      <c r="N483" s="1640"/>
    </row>
    <row r="484" spans="1:14" s="66" customFormat="1" ht="16">
      <c r="A484" s="60"/>
      <c r="B484" s="61"/>
      <c r="C484" s="61"/>
      <c r="D484" s="61"/>
      <c r="E484" s="61"/>
      <c r="F484" s="61"/>
      <c r="G484" s="61"/>
      <c r="H484" s="61"/>
      <c r="I484" s="62"/>
      <c r="J484" s="62"/>
      <c r="K484" s="62"/>
      <c r="L484" s="62"/>
      <c r="M484" s="64"/>
      <c r="N484" s="65"/>
    </row>
    <row r="485" spans="1:14" s="66" customFormat="1" ht="16">
      <c r="A485" s="9" t="s">
        <v>18</v>
      </c>
      <c r="B485" s="1419" t="s">
        <v>59</v>
      </c>
      <c r="C485" s="1419"/>
      <c r="D485" s="1419"/>
      <c r="E485" s="1419"/>
      <c r="F485" s="61"/>
      <c r="G485" s="61"/>
      <c r="H485" s="61"/>
      <c r="I485" s="62"/>
      <c r="J485" s="62"/>
      <c r="K485" s="62"/>
      <c r="L485" s="62"/>
      <c r="M485" s="64"/>
      <c r="N485" s="65"/>
    </row>
    <row r="486" spans="1:14" s="66" customFormat="1" ht="16">
      <c r="A486" s="57"/>
      <c r="B486" s="1420" t="s">
        <v>19</v>
      </c>
      <c r="C486" s="1420"/>
      <c r="D486" s="1420"/>
      <c r="E486" s="1420"/>
      <c r="F486" s="61"/>
      <c r="G486" s="61"/>
      <c r="H486" s="61"/>
      <c r="I486" s="62"/>
      <c r="J486" s="62"/>
      <c r="K486" s="62"/>
      <c r="L486" s="62"/>
      <c r="M486" s="64"/>
      <c r="N486" s="65"/>
    </row>
    <row r="487" spans="1:14" s="66" customFormat="1" ht="17" thickBot="1">
      <c r="A487" s="985"/>
      <c r="B487" s="820"/>
      <c r="C487" s="820"/>
      <c r="D487" s="820"/>
      <c r="E487" s="820"/>
      <c r="F487" s="61"/>
      <c r="G487" s="61"/>
      <c r="H487" s="61"/>
      <c r="I487" s="62"/>
      <c r="J487" s="62"/>
      <c r="K487" s="62"/>
      <c r="L487" s="62"/>
      <c r="M487" s="64"/>
      <c r="N487" s="65"/>
    </row>
    <row r="488" spans="1:14" s="363" customFormat="1" ht="16">
      <c r="A488" s="98"/>
      <c r="B488" s="99"/>
      <c r="C488" s="99"/>
      <c r="D488" s="99"/>
      <c r="E488" s="99"/>
      <c r="F488" s="736"/>
      <c r="G488" s="736"/>
      <c r="H488" s="736"/>
      <c r="I488" s="1468" t="s">
        <v>0</v>
      </c>
      <c r="J488" s="1468"/>
      <c r="K488" s="1468"/>
      <c r="L488" s="1468"/>
      <c r="M488" s="99"/>
      <c r="N488" s="101"/>
    </row>
    <row r="489" spans="1:14" ht="16">
      <c r="A489" s="97"/>
      <c r="B489" s="1469" t="s">
        <v>1</v>
      </c>
      <c r="C489" s="1469"/>
      <c r="D489" s="1469" t="s">
        <v>2</v>
      </c>
      <c r="E489" s="1469"/>
      <c r="F489" s="1977" t="s">
        <v>3</v>
      </c>
      <c r="G489" s="1977"/>
      <c r="H489" s="841" t="s">
        <v>3</v>
      </c>
      <c r="I489" s="127" t="s">
        <v>195</v>
      </c>
      <c r="J489" s="102"/>
      <c r="K489" s="102"/>
      <c r="L489" s="128"/>
      <c r="M489" s="1469" t="s">
        <v>4</v>
      </c>
      <c r="N489" s="1526"/>
    </row>
    <row r="490" spans="1:14" ht="19" thickBot="1">
      <c r="A490" s="103" t="s">
        <v>5</v>
      </c>
      <c r="B490" s="1473" t="s">
        <v>6</v>
      </c>
      <c r="C490" s="1473"/>
      <c r="D490" s="1473" t="s">
        <v>7</v>
      </c>
      <c r="E490" s="1473"/>
      <c r="F490" s="1978" t="s">
        <v>7</v>
      </c>
      <c r="G490" s="1978"/>
      <c r="H490" s="842" t="s">
        <v>58</v>
      </c>
      <c r="I490" s="797" t="s">
        <v>196</v>
      </c>
      <c r="J490" s="795" t="s">
        <v>8</v>
      </c>
      <c r="K490" s="795" t="s">
        <v>9</v>
      </c>
      <c r="L490" s="401" t="s">
        <v>10</v>
      </c>
      <c r="M490" s="1473" t="s">
        <v>145</v>
      </c>
      <c r="N490" s="1475"/>
    </row>
    <row r="491" spans="1:14" ht="24" thickBot="1">
      <c r="A491" s="88" t="s">
        <v>132</v>
      </c>
      <c r="B491" s="1764"/>
      <c r="C491" s="1477"/>
      <c r="D491" s="1478"/>
      <c r="E491" s="1479"/>
      <c r="F491" s="1478"/>
      <c r="G491" s="1479"/>
      <c r="H491" s="818"/>
      <c r="I491" s="7"/>
      <c r="J491" s="7"/>
      <c r="K491" s="7"/>
      <c r="L491" s="8"/>
      <c r="M491" s="1764"/>
      <c r="N491" s="1765"/>
    </row>
    <row r="492" spans="1:14" s="1161" customFormat="1" ht="17" thickBot="1">
      <c r="A492" s="108" t="s">
        <v>48</v>
      </c>
      <c r="B492" s="1567"/>
      <c r="C492" s="1586"/>
      <c r="D492" s="1567"/>
      <c r="E492" s="1586"/>
      <c r="F492" s="1567"/>
      <c r="G492" s="1586"/>
      <c r="H492" s="1142"/>
      <c r="I492" s="109"/>
      <c r="J492" s="109"/>
      <c r="K492" s="109"/>
      <c r="L492" s="1141"/>
      <c r="M492" s="1617"/>
      <c r="N492" s="1486"/>
    </row>
    <row r="493" spans="1:14" s="121" customFormat="1">
      <c r="A493" s="691" t="s">
        <v>28</v>
      </c>
      <c r="B493" s="1432">
        <f>MVWD!N6</f>
        <v>6</v>
      </c>
      <c r="C493" s="1433"/>
      <c r="D493" s="1467">
        <f t="shared" ref="D493:D499" si="96">F493*325851</f>
        <v>74098.517400000012</v>
      </c>
      <c r="E493" s="1433"/>
      <c r="F493" s="1876">
        <f>0.0379*B493</f>
        <v>0.22740000000000002</v>
      </c>
      <c r="G493" s="1877"/>
      <c r="H493" s="956">
        <f>F493*20</f>
        <v>4.548</v>
      </c>
      <c r="I493" s="133">
        <v>0</v>
      </c>
      <c r="J493" s="133">
        <f>0*B493</f>
        <v>0</v>
      </c>
      <c r="K493" s="133">
        <f>60*B493</f>
        <v>360</v>
      </c>
      <c r="L493" s="134">
        <f t="shared" ref="L493:L499" si="97">I493+J493+K493</f>
        <v>360</v>
      </c>
      <c r="M493" s="1748">
        <f t="shared" ref="M493:M499" si="98">L493/(F493*427)</f>
        <v>3.7075256591671661</v>
      </c>
      <c r="N493" s="1815"/>
    </row>
    <row r="494" spans="1:14">
      <c r="A494" s="32" t="s">
        <v>29</v>
      </c>
      <c r="B494" s="1444">
        <f>MVWD!N7</f>
        <v>5</v>
      </c>
      <c r="C494" s="1422"/>
      <c r="D494" s="1431">
        <f t="shared" si="96"/>
        <v>69243.337500000009</v>
      </c>
      <c r="E494" s="1422"/>
      <c r="F494" s="1871">
        <f>0.0425*B494</f>
        <v>0.21250000000000002</v>
      </c>
      <c r="G494" s="1450"/>
      <c r="H494" s="957">
        <f>F494*20</f>
        <v>4.25</v>
      </c>
      <c r="I494" s="131">
        <v>0</v>
      </c>
      <c r="J494" s="131">
        <f>0*B494</f>
        <v>0</v>
      </c>
      <c r="K494" s="131">
        <f>B494*165</f>
        <v>825</v>
      </c>
      <c r="L494" s="132">
        <f t="shared" si="97"/>
        <v>825</v>
      </c>
      <c r="M494" s="1758">
        <f t="shared" si="98"/>
        <v>9.0921614547458312</v>
      </c>
      <c r="N494" s="1759"/>
    </row>
    <row r="495" spans="1:14">
      <c r="A495" s="32" t="s">
        <v>33</v>
      </c>
      <c r="B495" s="1444">
        <f>MVWD!N8</f>
        <v>96</v>
      </c>
      <c r="C495" s="1422"/>
      <c r="D495" s="1431">
        <f t="shared" si="96"/>
        <v>863374.80960000004</v>
      </c>
      <c r="E495" s="1422"/>
      <c r="F495" s="1871">
        <f>0.0276*B495</f>
        <v>2.6496</v>
      </c>
      <c r="G495" s="1450"/>
      <c r="H495" s="957">
        <f>F495*15</f>
        <v>39.744</v>
      </c>
      <c r="I495" s="131">
        <f>0*B495</f>
        <v>0</v>
      </c>
      <c r="J495" s="131">
        <f>0*B495</f>
        <v>0</v>
      </c>
      <c r="K495" s="131">
        <f>B495*110</f>
        <v>10560</v>
      </c>
      <c r="L495" s="132">
        <f t="shared" si="97"/>
        <v>10560</v>
      </c>
      <c r="M495" s="1758">
        <f t="shared" si="98"/>
        <v>9.3337406238332825</v>
      </c>
      <c r="N495" s="1759"/>
    </row>
    <row r="496" spans="1:14">
      <c r="A496" s="32" t="s">
        <v>56</v>
      </c>
      <c r="B496" s="1444">
        <f>MVWD!N9</f>
        <v>262</v>
      </c>
      <c r="C496" s="1422"/>
      <c r="D496" s="1431">
        <f>F496*325851</f>
        <v>341491.848</v>
      </c>
      <c r="E496" s="1422"/>
      <c r="F496" s="1871">
        <f>0.004*B496</f>
        <v>1.048</v>
      </c>
      <c r="G496" s="1450"/>
      <c r="H496" s="957">
        <f>F496*5</f>
        <v>5.24</v>
      </c>
      <c r="I496" s="131">
        <f>0*B496</f>
        <v>0</v>
      </c>
      <c r="J496" s="131">
        <f>0*B496</f>
        <v>0</v>
      </c>
      <c r="K496" s="131">
        <f>B496*4</f>
        <v>1048</v>
      </c>
      <c r="L496" s="132">
        <f>I496+J496+K496</f>
        <v>1048</v>
      </c>
      <c r="M496" s="1758">
        <f>L496/(F496*427)</f>
        <v>2.3419203747072599</v>
      </c>
      <c r="N496" s="1759"/>
    </row>
    <row r="497" spans="1:14">
      <c r="A497" s="78" t="s">
        <v>30</v>
      </c>
      <c r="B497" s="1444">
        <f>MVWD!N10</f>
        <v>3</v>
      </c>
      <c r="C497" s="1422"/>
      <c r="D497" s="1431">
        <f t="shared" si="96"/>
        <v>317704.72500000003</v>
      </c>
      <c r="E497" s="1422"/>
      <c r="F497" s="1871">
        <f>0.325*B497</f>
        <v>0.97500000000000009</v>
      </c>
      <c r="G497" s="1450"/>
      <c r="H497" s="957">
        <f>F497*10</f>
        <v>9.75</v>
      </c>
      <c r="I497" s="131">
        <v>0</v>
      </c>
      <c r="J497" s="131">
        <f>160*B497</f>
        <v>480</v>
      </c>
      <c r="K497" s="131">
        <f>B497*80</f>
        <v>240</v>
      </c>
      <c r="L497" s="132">
        <f t="shared" si="97"/>
        <v>720</v>
      </c>
      <c r="M497" s="1758">
        <f t="shared" si="98"/>
        <v>1.7294181228607457</v>
      </c>
      <c r="N497" s="1759"/>
    </row>
    <row r="498" spans="1:14">
      <c r="A498" s="33" t="s">
        <v>86</v>
      </c>
      <c r="B498" s="1444">
        <f>MVWD!N11</f>
        <v>1</v>
      </c>
      <c r="C498" s="1422"/>
      <c r="D498" s="1431">
        <f t="shared" si="96"/>
        <v>12317.167799999997</v>
      </c>
      <c r="E498" s="1422"/>
      <c r="F498" s="1876">
        <f>0.00014*270</f>
        <v>3.7799999999999993E-2</v>
      </c>
      <c r="G498" s="1877"/>
      <c r="H498" s="957">
        <f>F498*10</f>
        <v>0.37799999999999995</v>
      </c>
      <c r="I498" s="131">
        <v>0</v>
      </c>
      <c r="J498" s="131">
        <f>2*270</f>
        <v>540</v>
      </c>
      <c r="K498" s="131">
        <f>B498*0</f>
        <v>0</v>
      </c>
      <c r="L498" s="132">
        <f t="shared" si="97"/>
        <v>540</v>
      </c>
      <c r="M498" s="1758">
        <f t="shared" si="98"/>
        <v>33.456005352960865</v>
      </c>
      <c r="N498" s="1759"/>
    </row>
    <row r="499" spans="1:14" ht="14" thickBot="1">
      <c r="A499" s="33" t="s">
        <v>87</v>
      </c>
      <c r="B499" s="1444">
        <f>MVWD!N12</f>
        <v>4</v>
      </c>
      <c r="C499" s="1422"/>
      <c r="D499" s="1431">
        <f t="shared" si="96"/>
        <v>126958.06661999998</v>
      </c>
      <c r="E499" s="1422"/>
      <c r="F499" s="1871">
        <f>0.00014*2783</f>
        <v>0.38961999999999997</v>
      </c>
      <c r="G499" s="1450"/>
      <c r="H499" s="957">
        <f>F499*10</f>
        <v>3.8961999999999994</v>
      </c>
      <c r="I499" s="131">
        <v>0</v>
      </c>
      <c r="J499" s="131">
        <f>0.3*2783</f>
        <v>834.9</v>
      </c>
      <c r="K499" s="131">
        <f>2783*0.3</f>
        <v>834.9</v>
      </c>
      <c r="L499" s="132">
        <f t="shared" si="97"/>
        <v>1669.8</v>
      </c>
      <c r="M499" s="1758">
        <f t="shared" si="98"/>
        <v>10.036801605888257</v>
      </c>
      <c r="N499" s="1759"/>
    </row>
    <row r="500" spans="1:14" ht="14" thickBot="1">
      <c r="A500" s="53" t="s">
        <v>60</v>
      </c>
      <c r="B500" s="1440">
        <f>SUM(B493:C499)</f>
        <v>377</v>
      </c>
      <c r="C500" s="1609"/>
      <c r="D500" s="1440">
        <f>SUM(D493:E499)</f>
        <v>1805188.4719200002</v>
      </c>
      <c r="E500" s="1609"/>
      <c r="F500" s="1440">
        <f>SUM(F493:G499)</f>
        <v>5.5399200000000004</v>
      </c>
      <c r="G500" s="1439"/>
      <c r="H500" s="388">
        <f>SUM(H493:H499)</f>
        <v>67.806200000000004</v>
      </c>
      <c r="I500" s="143">
        <f>SUM(I493:I499)</f>
        <v>0</v>
      </c>
      <c r="J500" s="143">
        <f>SUM(J493:J499)</f>
        <v>1854.9</v>
      </c>
      <c r="K500" s="143">
        <f>SUM(K493:K499)</f>
        <v>13867.9</v>
      </c>
      <c r="L500" s="152">
        <f>SUM(L493:L499)</f>
        <v>15722.8</v>
      </c>
      <c r="M500" s="1657"/>
      <c r="N500" s="1622"/>
    </row>
    <row r="501" spans="1:14" s="1161" customFormat="1" ht="17" thickBot="1">
      <c r="A501" s="1239" t="s">
        <v>147</v>
      </c>
      <c r="B501" s="1457"/>
      <c r="C501" s="1586"/>
      <c r="D501" s="1457"/>
      <c r="E501" s="1586"/>
      <c r="F501" s="1457"/>
      <c r="G501" s="1586"/>
      <c r="H501" s="1142"/>
      <c r="I501" s="161"/>
      <c r="J501" s="161"/>
      <c r="K501" s="161"/>
      <c r="L501" s="162"/>
      <c r="M501" s="1617"/>
      <c r="N501" s="1486"/>
    </row>
    <row r="502" spans="1:14" ht="14" thickBot="1">
      <c r="A502" s="76" t="s">
        <v>147</v>
      </c>
      <c r="B502" s="1444">
        <f>MVWD!N15</f>
        <v>122</v>
      </c>
      <c r="C502" s="1422"/>
      <c r="D502" s="1444">
        <f>F502*325851</f>
        <v>1506669.8538000002</v>
      </c>
      <c r="E502" s="1422"/>
      <c r="F502" s="1449">
        <f>0.0379*B502</f>
        <v>4.6238000000000001</v>
      </c>
      <c r="G502" s="1450"/>
      <c r="H502" s="957">
        <f>F502*20</f>
        <v>92.475999999999999</v>
      </c>
      <c r="I502" s="131">
        <f>73.34*B502</f>
        <v>8947.48</v>
      </c>
      <c r="J502" s="131">
        <f>35.66*B502</f>
        <v>4350.5199999999995</v>
      </c>
      <c r="K502" s="131">
        <f>B502*60</f>
        <v>7320</v>
      </c>
      <c r="L502" s="132">
        <f>I502+J502+K502</f>
        <v>20618</v>
      </c>
      <c r="M502" s="1758">
        <f>L502/(F502*427)</f>
        <v>10.442863939987518</v>
      </c>
      <c r="N502" s="1759"/>
    </row>
    <row r="503" spans="1:14" ht="14" thickBot="1">
      <c r="A503" s="53" t="s">
        <v>60</v>
      </c>
      <c r="B503" s="1440">
        <f>SUM(B502)</f>
        <v>122</v>
      </c>
      <c r="C503" s="1609"/>
      <c r="D503" s="1440">
        <f>SUM(D502)</f>
        <v>1506669.8538000002</v>
      </c>
      <c r="E503" s="1609"/>
      <c r="F503" s="1440">
        <f>SUM(F502)</f>
        <v>4.6238000000000001</v>
      </c>
      <c r="G503" s="1439"/>
      <c r="H503" s="388">
        <f>SUM(H502)</f>
        <v>92.475999999999999</v>
      </c>
      <c r="I503" s="136">
        <f>SUM(I502)</f>
        <v>8947.48</v>
      </c>
      <c r="J503" s="136">
        <f>SUM(J502)</f>
        <v>4350.5199999999995</v>
      </c>
      <c r="K503" s="136">
        <f>SUM(K502)</f>
        <v>7320</v>
      </c>
      <c r="L503" s="136">
        <f>SUM(L502)</f>
        <v>20618</v>
      </c>
      <c r="M503" s="1657"/>
      <c r="N503" s="1622"/>
    </row>
    <row r="504" spans="1:14" s="1161" customFormat="1" ht="17" thickBot="1">
      <c r="A504" s="108" t="s">
        <v>50</v>
      </c>
      <c r="B504" s="1457"/>
      <c r="C504" s="1586"/>
      <c r="D504" s="1457"/>
      <c r="E504" s="1586"/>
      <c r="F504" s="1457"/>
      <c r="G504" s="1586"/>
      <c r="H504" s="1142"/>
      <c r="I504" s="161"/>
      <c r="J504" s="161"/>
      <c r="K504" s="161"/>
      <c r="L504" s="162"/>
      <c r="M504" s="1617"/>
      <c r="N504" s="1486"/>
    </row>
    <row r="505" spans="1:14">
      <c r="A505" s="34" t="s">
        <v>26</v>
      </c>
      <c r="B505" s="1444">
        <f>MVWD!N18</f>
        <v>0</v>
      </c>
      <c r="C505" s="1422"/>
      <c r="D505" s="1444">
        <f t="shared" ref="D505:D513" si="99">F505*325851</f>
        <v>0</v>
      </c>
      <c r="E505" s="1422"/>
      <c r="F505" s="1449">
        <f>0.0379*B505</f>
        <v>0</v>
      </c>
      <c r="G505" s="1450"/>
      <c r="H505" s="957">
        <f>F505*20</f>
        <v>0</v>
      </c>
      <c r="I505" s="131">
        <v>0</v>
      </c>
      <c r="J505" s="131">
        <f>35.66*B505</f>
        <v>0</v>
      </c>
      <c r="K505" s="131">
        <f>135*B505</f>
        <v>0</v>
      </c>
      <c r="L505" s="132">
        <f>SUM(I505:K505)</f>
        <v>0</v>
      </c>
      <c r="M505" s="1758">
        <v>0</v>
      </c>
      <c r="N505" s="1759"/>
    </row>
    <row r="506" spans="1:14">
      <c r="A506" s="34" t="s">
        <v>25</v>
      </c>
      <c r="B506" s="1444">
        <f>MVWD!N19</f>
        <v>0</v>
      </c>
      <c r="C506" s="1422"/>
      <c r="D506" s="1444">
        <f t="shared" si="99"/>
        <v>0</v>
      </c>
      <c r="E506" s="1422"/>
      <c r="F506" s="1449">
        <f>0.0379*B506</f>
        <v>0</v>
      </c>
      <c r="G506" s="1450"/>
      <c r="H506" s="957">
        <f>F506*20</f>
        <v>0</v>
      </c>
      <c r="I506" s="131">
        <v>0</v>
      </c>
      <c r="J506" s="131">
        <f>0*B506</f>
        <v>0</v>
      </c>
      <c r="K506" s="131">
        <f>135*B506</f>
        <v>0</v>
      </c>
      <c r="L506" s="132">
        <f t="shared" ref="L506:L521" si="100">SUM(I506:K506)</f>
        <v>0</v>
      </c>
      <c r="M506" s="1758">
        <v>0</v>
      </c>
      <c r="N506" s="1759"/>
    </row>
    <row r="507" spans="1:14">
      <c r="A507" s="32" t="s">
        <v>29</v>
      </c>
      <c r="B507" s="1444">
        <f>MVWD!N20</f>
        <v>146</v>
      </c>
      <c r="C507" s="1422"/>
      <c r="D507" s="1444">
        <f t="shared" si="99"/>
        <v>2021905.4550000001</v>
      </c>
      <c r="E507" s="1422"/>
      <c r="F507" s="1449">
        <f>0.0425*B507</f>
        <v>6.2050000000000001</v>
      </c>
      <c r="G507" s="1450"/>
      <c r="H507" s="957">
        <f>F507*20</f>
        <v>124.1</v>
      </c>
      <c r="I507" s="131">
        <v>0</v>
      </c>
      <c r="J507" s="131">
        <f>135*B507</f>
        <v>19710</v>
      </c>
      <c r="K507" s="131">
        <f>165*B507</f>
        <v>24090</v>
      </c>
      <c r="L507" s="132">
        <f t="shared" si="100"/>
        <v>43800</v>
      </c>
      <c r="M507" s="1758">
        <f t="shared" ref="M507:M513" si="101">L507/(F507*427)</f>
        <v>16.531202644992423</v>
      </c>
      <c r="N507" s="1759"/>
    </row>
    <row r="508" spans="1:14">
      <c r="A508" s="32" t="s">
        <v>51</v>
      </c>
      <c r="B508" s="1444">
        <f>MVWD!N21</f>
        <v>24</v>
      </c>
      <c r="C508" s="1422"/>
      <c r="D508" s="1444">
        <f t="shared" si="99"/>
        <v>959566.0247999999</v>
      </c>
      <c r="E508" s="1422"/>
      <c r="F508" s="1449">
        <f>0.1227*B508</f>
        <v>2.9447999999999999</v>
      </c>
      <c r="G508" s="1450"/>
      <c r="H508" s="957">
        <f>F508*20</f>
        <v>58.896000000000001</v>
      </c>
      <c r="I508" s="131">
        <v>0</v>
      </c>
      <c r="J508" s="131">
        <f>0*B508</f>
        <v>0</v>
      </c>
      <c r="K508" s="131">
        <f>400*B508</f>
        <v>9600</v>
      </c>
      <c r="L508" s="132">
        <f t="shared" si="100"/>
        <v>9600</v>
      </c>
      <c r="M508" s="1758">
        <f t="shared" si="101"/>
        <v>7.6346222484344253</v>
      </c>
      <c r="N508" s="1759"/>
    </row>
    <row r="509" spans="1:14">
      <c r="A509" s="34" t="s">
        <v>20</v>
      </c>
      <c r="B509" s="1444">
        <f>MVWD!N22</f>
        <v>1</v>
      </c>
      <c r="C509" s="1422"/>
      <c r="D509" s="1444">
        <f t="shared" si="99"/>
        <v>209848.04399999999</v>
      </c>
      <c r="E509" s="1422"/>
      <c r="F509" s="1449">
        <f>0.644*B509</f>
        <v>0.64400000000000002</v>
      </c>
      <c r="G509" s="1450"/>
      <c r="H509" s="957">
        <f>F509*5</f>
        <v>3.22</v>
      </c>
      <c r="I509" s="131">
        <v>0</v>
      </c>
      <c r="J509" s="131">
        <f>175*B509</f>
        <v>175</v>
      </c>
      <c r="K509" s="131">
        <f>625*B509</f>
        <v>625</v>
      </c>
      <c r="L509" s="132">
        <f t="shared" si="100"/>
        <v>800</v>
      </c>
      <c r="M509" s="1758">
        <f t="shared" si="101"/>
        <v>2.9092178567792049</v>
      </c>
      <c r="N509" s="1759"/>
    </row>
    <row r="510" spans="1:14">
      <c r="A510" s="34" t="s">
        <v>13</v>
      </c>
      <c r="B510" s="1444">
        <f>MVWD!N23</f>
        <v>0</v>
      </c>
      <c r="C510" s="1422"/>
      <c r="D510" s="1444">
        <f t="shared" si="99"/>
        <v>0</v>
      </c>
      <c r="E510" s="1422"/>
      <c r="F510" s="1449">
        <f>0.0276*B510</f>
        <v>0</v>
      </c>
      <c r="G510" s="1450"/>
      <c r="H510" s="957">
        <f>F510*15</f>
        <v>0</v>
      </c>
      <c r="I510" s="131">
        <v>0</v>
      </c>
      <c r="J510" s="131">
        <f>290*B510</f>
        <v>0</v>
      </c>
      <c r="K510" s="131">
        <f>130*B510</f>
        <v>0</v>
      </c>
      <c r="L510" s="132">
        <f t="shared" si="100"/>
        <v>0</v>
      </c>
      <c r="M510" s="1758">
        <v>0</v>
      </c>
      <c r="N510" s="1759"/>
    </row>
    <row r="511" spans="1:14">
      <c r="A511" s="35" t="s">
        <v>47</v>
      </c>
      <c r="B511" s="1444">
        <f>MVWD!N24</f>
        <v>0</v>
      </c>
      <c r="C511" s="1422"/>
      <c r="D511" s="1444">
        <f t="shared" si="99"/>
        <v>0</v>
      </c>
      <c r="E511" s="1422"/>
      <c r="F511" s="1449">
        <f>0.1534*B511</f>
        <v>0</v>
      </c>
      <c r="G511" s="1450"/>
      <c r="H511" s="957">
        <f>F511*5</f>
        <v>0</v>
      </c>
      <c r="I511" s="131">
        <v>0</v>
      </c>
      <c r="J511" s="131">
        <f>0*B511</f>
        <v>0</v>
      </c>
      <c r="K511" s="131">
        <f>150*B511</f>
        <v>0</v>
      </c>
      <c r="L511" s="132">
        <f t="shared" si="100"/>
        <v>0</v>
      </c>
      <c r="M511" s="1758">
        <v>0</v>
      </c>
      <c r="N511" s="1759"/>
    </row>
    <row r="512" spans="1:14">
      <c r="A512" s="76" t="s">
        <v>30</v>
      </c>
      <c r="B512" s="1444">
        <f>MVWD!N25</f>
        <v>0</v>
      </c>
      <c r="C512" s="1422"/>
      <c r="D512" s="1444">
        <f t="shared" si="99"/>
        <v>0</v>
      </c>
      <c r="E512" s="1422"/>
      <c r="F512" s="1449">
        <f>0.325*B512</f>
        <v>0</v>
      </c>
      <c r="G512" s="1450"/>
      <c r="H512" s="957">
        <f>F512*10</f>
        <v>0</v>
      </c>
      <c r="I512" s="131">
        <v>0</v>
      </c>
      <c r="J512" s="131">
        <f>0*B512</f>
        <v>0</v>
      </c>
      <c r="K512" s="131">
        <f>630*B512</f>
        <v>0</v>
      </c>
      <c r="L512" s="132">
        <f t="shared" si="100"/>
        <v>0</v>
      </c>
      <c r="M512" s="1758">
        <v>0</v>
      </c>
      <c r="N512" s="1759"/>
    </row>
    <row r="513" spans="1:14">
      <c r="A513" s="33" t="s">
        <v>88</v>
      </c>
      <c r="B513" s="1444">
        <f>MVWD!N26</f>
        <v>1</v>
      </c>
      <c r="C513" s="1422"/>
      <c r="D513" s="1444">
        <f t="shared" si="99"/>
        <v>42197.704499999993</v>
      </c>
      <c r="E513" s="1422"/>
      <c r="F513" s="1449">
        <f>0.00014*925</f>
        <v>0.12949999999999998</v>
      </c>
      <c r="G513" s="1450"/>
      <c r="H513" s="957">
        <f>F513*10</f>
        <v>1.2949999999999997</v>
      </c>
      <c r="I513" s="131">
        <v>0</v>
      </c>
      <c r="J513" s="131">
        <f>0.3*925</f>
        <v>277.5</v>
      </c>
      <c r="K513" s="131">
        <f>0.3*925</f>
        <v>277.5</v>
      </c>
      <c r="L513" s="132">
        <f t="shared" si="100"/>
        <v>555</v>
      </c>
      <c r="M513" s="1758">
        <f t="shared" si="101"/>
        <v>10.036801605888259</v>
      </c>
      <c r="N513" s="1759"/>
    </row>
    <row r="514" spans="1:14" ht="14" thickBot="1">
      <c r="A514" s="33" t="s">
        <v>56</v>
      </c>
      <c r="B514" s="1444">
        <f>MVWD!N27</f>
        <v>65</v>
      </c>
      <c r="C514" s="1422"/>
      <c r="D514" s="1444">
        <f>F514*325851</f>
        <v>84721.260000000009</v>
      </c>
      <c r="E514" s="1422"/>
      <c r="F514" s="1449">
        <f>0.004*B514</f>
        <v>0.26</v>
      </c>
      <c r="G514" s="1450"/>
      <c r="H514" s="957">
        <f>F514*5</f>
        <v>1.3</v>
      </c>
      <c r="I514" s="131">
        <v>0</v>
      </c>
      <c r="J514" s="131">
        <f>0*B514</f>
        <v>0</v>
      </c>
      <c r="K514" s="131">
        <f>4*B514</f>
        <v>260</v>
      </c>
      <c r="L514" s="132">
        <f t="shared" si="100"/>
        <v>260</v>
      </c>
      <c r="M514" s="1758">
        <v>0</v>
      </c>
      <c r="N514" s="1759"/>
    </row>
    <row r="515" spans="1:14" ht="14" thickBot="1">
      <c r="A515" s="53" t="s">
        <v>60</v>
      </c>
      <c r="B515" s="1440">
        <f>SUM(B505:C514)</f>
        <v>237</v>
      </c>
      <c r="C515" s="1609"/>
      <c r="D515" s="1440">
        <f>SUM(D505:E514)</f>
        <v>3318238.4882999994</v>
      </c>
      <c r="E515" s="1609"/>
      <c r="F515" s="1440">
        <f>SUM(F505:G514)</f>
        <v>10.183299999999999</v>
      </c>
      <c r="G515" s="1439"/>
      <c r="H515" s="388">
        <f>SUM(H505:H514)</f>
        <v>188.81099999999998</v>
      </c>
      <c r="I515" s="136">
        <f>SUM(I505:I514)</f>
        <v>0</v>
      </c>
      <c r="J515" s="136">
        <f>SUM(J505:J514)</f>
        <v>20162.5</v>
      </c>
      <c r="K515" s="136">
        <f>SUM(K505:K514)</f>
        <v>34852.5</v>
      </c>
      <c r="L515" s="136">
        <f>SUM(L505:L514)</f>
        <v>55015</v>
      </c>
      <c r="M515" s="1657"/>
      <c r="N515" s="1622"/>
    </row>
    <row r="516" spans="1:14" s="1161" customFormat="1" ht="17" thickBot="1">
      <c r="A516" s="108" t="s">
        <v>54</v>
      </c>
      <c r="B516" s="1457"/>
      <c r="C516" s="1913"/>
      <c r="D516" s="1141"/>
      <c r="E516" s="1142"/>
      <c r="F516" s="1141"/>
      <c r="G516" s="1142"/>
      <c r="H516" s="1142"/>
      <c r="I516" s="161"/>
      <c r="J516" s="161"/>
      <c r="K516" s="161"/>
      <c r="L516" s="162"/>
      <c r="M516" s="1154"/>
      <c r="N516" s="1155"/>
    </row>
    <row r="517" spans="1:14">
      <c r="A517" s="36" t="s">
        <v>29</v>
      </c>
      <c r="B517" s="1767">
        <f>MVWD!N30</f>
        <v>0</v>
      </c>
      <c r="C517" s="1915"/>
      <c r="D517" s="1767">
        <f>F517*325851</f>
        <v>0</v>
      </c>
      <c r="E517" s="1732"/>
      <c r="F517" s="1449">
        <f>0.0425*B517</f>
        <v>0</v>
      </c>
      <c r="G517" s="1450"/>
      <c r="H517" s="957">
        <f>F517*20</f>
        <v>0</v>
      </c>
      <c r="I517" s="131">
        <v>0</v>
      </c>
      <c r="J517" s="131">
        <f>35.66*B517</f>
        <v>0</v>
      </c>
      <c r="K517" s="131">
        <f>630*B517</f>
        <v>0</v>
      </c>
      <c r="L517" s="132">
        <f t="shared" si="100"/>
        <v>0</v>
      </c>
      <c r="M517" s="1758">
        <v>0</v>
      </c>
      <c r="N517" s="1759"/>
    </row>
    <row r="518" spans="1:14">
      <c r="A518" s="34" t="s">
        <v>51</v>
      </c>
      <c r="B518" s="1444">
        <f>MVWD!N31</f>
        <v>0</v>
      </c>
      <c r="C518" s="1422"/>
      <c r="D518" s="1444">
        <f>F518*325851</f>
        <v>0</v>
      </c>
      <c r="E518" s="1422"/>
      <c r="F518" s="1449">
        <f>0.1227*B518</f>
        <v>0</v>
      </c>
      <c r="G518" s="1450"/>
      <c r="H518" s="957">
        <f>F518*20</f>
        <v>0</v>
      </c>
      <c r="I518" s="131">
        <v>0</v>
      </c>
      <c r="J518" s="131">
        <f>0*B518</f>
        <v>0</v>
      </c>
      <c r="K518" s="131">
        <f>1225*B518</f>
        <v>0</v>
      </c>
      <c r="L518" s="132">
        <f t="shared" si="100"/>
        <v>0</v>
      </c>
      <c r="M518" s="1758">
        <v>0</v>
      </c>
      <c r="N518" s="1759"/>
    </row>
    <row r="519" spans="1:14">
      <c r="A519" s="34" t="s">
        <v>15</v>
      </c>
      <c r="B519" s="1444">
        <f>MVWD!N32</f>
        <v>4</v>
      </c>
      <c r="C519" s="1422"/>
      <c r="D519" s="1444">
        <f>F519*325851</f>
        <v>199942.17360000001</v>
      </c>
      <c r="E519" s="1422"/>
      <c r="F519" s="1449">
        <f>0.1534*B519</f>
        <v>0.61360000000000003</v>
      </c>
      <c r="G519" s="1450"/>
      <c r="H519" s="957">
        <f>F519*5</f>
        <v>3.0680000000000001</v>
      </c>
      <c r="I519" s="131">
        <v>0</v>
      </c>
      <c r="J519" s="131">
        <f>0*B519</f>
        <v>0</v>
      </c>
      <c r="K519" s="131">
        <f>380*B519</f>
        <v>1520</v>
      </c>
      <c r="L519" s="132">
        <f t="shared" si="100"/>
        <v>1520</v>
      </c>
      <c r="M519" s="1758">
        <f>L519/(F519*427)</f>
        <v>5.8013672906698748</v>
      </c>
      <c r="N519" s="1759"/>
    </row>
    <row r="520" spans="1:14">
      <c r="A520" s="34" t="s">
        <v>30</v>
      </c>
      <c r="B520" s="1444">
        <f>MVWD!N33</f>
        <v>0</v>
      </c>
      <c r="C520" s="1422"/>
      <c r="D520" s="1444">
        <f>F520*325851</f>
        <v>0</v>
      </c>
      <c r="E520" s="1422"/>
      <c r="F520" s="1449">
        <f>0.466*B520</f>
        <v>0</v>
      </c>
      <c r="G520" s="1450"/>
      <c r="H520" s="957">
        <f>F520*10</f>
        <v>0</v>
      </c>
      <c r="I520" s="131">
        <v>0</v>
      </c>
      <c r="J520" s="131">
        <f>0*B520</f>
        <v>0</v>
      </c>
      <c r="K520" s="131">
        <f>1004*B520</f>
        <v>0</v>
      </c>
      <c r="L520" s="132">
        <f t="shared" si="100"/>
        <v>0</v>
      </c>
      <c r="M520" s="1758">
        <v>0</v>
      </c>
      <c r="N520" s="1759"/>
    </row>
    <row r="521" spans="1:14" ht="14" thickBot="1">
      <c r="A521" s="34" t="s">
        <v>55</v>
      </c>
      <c r="B521" s="1444">
        <f>MVWD!N34</f>
        <v>0</v>
      </c>
      <c r="C521" s="1422"/>
      <c r="D521" s="1444">
        <f>F521*325851</f>
        <v>0</v>
      </c>
      <c r="E521" s="1422"/>
      <c r="F521" s="1902">
        <f>0.823*B521</f>
        <v>0</v>
      </c>
      <c r="G521" s="1877"/>
      <c r="H521" s="957">
        <f>F521*10</f>
        <v>0</v>
      </c>
      <c r="I521" s="131">
        <v>0</v>
      </c>
      <c r="J521" s="131">
        <f>0*B521</f>
        <v>0</v>
      </c>
      <c r="K521" s="131">
        <f>3124*B521</f>
        <v>0</v>
      </c>
      <c r="L521" s="132">
        <f t="shared" si="100"/>
        <v>0</v>
      </c>
      <c r="M521" s="1758">
        <v>0</v>
      </c>
      <c r="N521" s="1759"/>
    </row>
    <row r="522" spans="1:14" ht="14" thickBot="1">
      <c r="A522" s="53" t="s">
        <v>60</v>
      </c>
      <c r="B522" s="1440">
        <f>SUM(B517:C521)</f>
        <v>4</v>
      </c>
      <c r="C522" s="1609"/>
      <c r="D522" s="1440">
        <f>SUM(D517:E521)</f>
        <v>199942.17360000001</v>
      </c>
      <c r="E522" s="1609"/>
      <c r="F522" s="1440">
        <f>SUM(F517:G521)</f>
        <v>0.61360000000000003</v>
      </c>
      <c r="G522" s="1439"/>
      <c r="H522" s="388">
        <f>SUM(H517:H521)</f>
        <v>3.0680000000000001</v>
      </c>
      <c r="I522" s="136">
        <f>SUM(I517:I521)</f>
        <v>0</v>
      </c>
      <c r="J522" s="136">
        <f>SUM(J517:J521)</f>
        <v>0</v>
      </c>
      <c r="K522" s="136">
        <f>SUM(K517:K521)</f>
        <v>1520</v>
      </c>
      <c r="L522" s="136">
        <f>SUM(L517:L521)</f>
        <v>1520</v>
      </c>
      <c r="M522" s="1657"/>
      <c r="N522" s="1622"/>
    </row>
    <row r="523" spans="1:14" s="1168" customFormat="1" ht="17" thickBot="1">
      <c r="A523" s="1182" t="s">
        <v>17</v>
      </c>
      <c r="B523" s="1416">
        <f>SUM(B500+B503+B515+B522)</f>
        <v>740</v>
      </c>
      <c r="C523" s="1415"/>
      <c r="D523" s="1612">
        <f>SUM(D500+D503+D515+D522)</f>
        <v>6830038.9876199998</v>
      </c>
      <c r="E523" s="1415"/>
      <c r="F523" s="1416">
        <f>SUM(F500+F503+F515+F522)</f>
        <v>20.960620000000002</v>
      </c>
      <c r="G523" s="1415"/>
      <c r="H523" s="1164">
        <f>SUM(H522,H500,H503,H515)</f>
        <v>352.16120000000001</v>
      </c>
      <c r="I523" s="1169">
        <f>SUM(I500+I503+I515+I522)</f>
        <v>8947.48</v>
      </c>
      <c r="J523" s="1169">
        <f>SUM(J500+J503+J515+J522)</f>
        <v>26367.919999999998</v>
      </c>
      <c r="K523" s="1169">
        <f>SUM(K500+K503+K515+K522)</f>
        <v>57560.4</v>
      </c>
      <c r="L523" s="1169">
        <f>SUM(L500+L503+L515+L522)</f>
        <v>92875.8</v>
      </c>
      <c r="M523" s="1631"/>
      <c r="N523" s="1640"/>
    </row>
    <row r="524" spans="1:14" ht="16">
      <c r="A524" s="60"/>
      <c r="B524" s="61"/>
      <c r="C524" s="61"/>
      <c r="D524" s="61"/>
      <c r="E524" s="61"/>
      <c r="F524" s="61"/>
      <c r="G524" s="61"/>
      <c r="H524" s="61"/>
      <c r="I524" s="62"/>
      <c r="J524" s="62"/>
      <c r="K524" s="62"/>
      <c r="L524" s="62"/>
      <c r="M524" s="64"/>
      <c r="N524" s="65"/>
    </row>
    <row r="525" spans="1:14" ht="16">
      <c r="A525" s="9" t="s">
        <v>18</v>
      </c>
      <c r="B525" s="1419" t="s">
        <v>59</v>
      </c>
      <c r="C525" s="1419"/>
      <c r="D525" s="1419"/>
      <c r="E525" s="1419"/>
      <c r="F525" s="61"/>
      <c r="G525" s="61"/>
      <c r="H525" s="61"/>
      <c r="I525" s="62"/>
      <c r="J525" s="62"/>
      <c r="K525" s="62"/>
      <c r="L525" s="62"/>
      <c r="M525" s="64"/>
      <c r="N525" s="65"/>
    </row>
    <row r="526" spans="1:14" ht="16">
      <c r="A526" s="57"/>
      <c r="B526" s="1420" t="s">
        <v>19</v>
      </c>
      <c r="C526" s="1420"/>
      <c r="D526" s="1420"/>
      <c r="E526" s="1420"/>
      <c r="F526" s="61"/>
      <c r="G526" s="61"/>
      <c r="H526" s="61"/>
      <c r="I526" s="62"/>
      <c r="J526" s="62"/>
      <c r="K526" s="62"/>
      <c r="L526" s="62"/>
      <c r="M526" s="64"/>
      <c r="N526" s="65"/>
    </row>
    <row r="527" spans="1:14" ht="17" thickBot="1">
      <c r="A527" s="985"/>
      <c r="B527" s="820"/>
      <c r="C527" s="820"/>
      <c r="D527" s="820"/>
      <c r="E527" s="820"/>
      <c r="F527" s="61"/>
      <c r="G527" s="61"/>
      <c r="H527" s="61"/>
      <c r="I527" s="62"/>
      <c r="J527" s="62"/>
      <c r="K527" s="62"/>
      <c r="L527" s="62"/>
      <c r="M527" s="64"/>
      <c r="N527" s="65"/>
    </row>
    <row r="528" spans="1:14" s="363" customFormat="1" ht="16">
      <c r="A528" s="98"/>
      <c r="B528" s="99"/>
      <c r="C528" s="99"/>
      <c r="D528" s="99"/>
      <c r="E528" s="99"/>
      <c r="F528" s="736"/>
      <c r="G528" s="736"/>
      <c r="H528" s="736"/>
      <c r="I528" s="1468" t="s">
        <v>0</v>
      </c>
      <c r="J528" s="1468"/>
      <c r="K528" s="1468"/>
      <c r="L528" s="1468"/>
      <c r="M528" s="99"/>
      <c r="N528" s="101"/>
    </row>
    <row r="529" spans="1:14" ht="16">
      <c r="A529" s="97"/>
      <c r="B529" s="1469" t="s">
        <v>1</v>
      </c>
      <c r="C529" s="1469"/>
      <c r="D529" s="1469" t="s">
        <v>2</v>
      </c>
      <c r="E529" s="1469"/>
      <c r="F529" s="1977" t="s">
        <v>3</v>
      </c>
      <c r="G529" s="1977"/>
      <c r="H529" s="841" t="s">
        <v>3</v>
      </c>
      <c r="I529" s="127" t="s">
        <v>195</v>
      </c>
      <c r="J529" s="102"/>
      <c r="K529" s="102"/>
      <c r="L529" s="128"/>
      <c r="M529" s="1469" t="s">
        <v>4</v>
      </c>
      <c r="N529" s="1526"/>
    </row>
    <row r="530" spans="1:14" ht="19" thickBot="1">
      <c r="A530" s="103" t="s">
        <v>5</v>
      </c>
      <c r="B530" s="1473" t="s">
        <v>6</v>
      </c>
      <c r="C530" s="1473"/>
      <c r="D530" s="1473" t="s">
        <v>7</v>
      </c>
      <c r="E530" s="1473"/>
      <c r="F530" s="1978" t="s">
        <v>7</v>
      </c>
      <c r="G530" s="1978"/>
      <c r="H530" s="842" t="s">
        <v>58</v>
      </c>
      <c r="I530" s="797" t="s">
        <v>196</v>
      </c>
      <c r="J530" s="795" t="s">
        <v>8</v>
      </c>
      <c r="K530" s="795" t="s">
        <v>9</v>
      </c>
      <c r="L530" s="401" t="s">
        <v>10</v>
      </c>
      <c r="M530" s="1473" t="s">
        <v>145</v>
      </c>
      <c r="N530" s="1475"/>
    </row>
    <row r="531" spans="1:14" ht="24" thickBot="1">
      <c r="A531" s="88" t="s">
        <v>133</v>
      </c>
      <c r="B531" s="1920"/>
      <c r="C531" s="1923"/>
      <c r="D531" s="1924"/>
      <c r="E531" s="1925"/>
      <c r="F531" s="1924"/>
      <c r="G531" s="1925"/>
      <c r="H531" s="837"/>
      <c r="I531" s="58"/>
      <c r="J531" s="58"/>
      <c r="K531" s="58"/>
      <c r="L531" s="59"/>
      <c r="M531" s="1920"/>
      <c r="N531" s="1921"/>
    </row>
    <row r="532" spans="1:14" s="1161" customFormat="1" ht="17" thickBot="1">
      <c r="A532" s="108" t="s">
        <v>61</v>
      </c>
      <c r="B532" s="1567"/>
      <c r="C532" s="1586"/>
      <c r="D532" s="1567"/>
      <c r="E532" s="1586"/>
      <c r="F532" s="1567"/>
      <c r="G532" s="1586"/>
      <c r="H532" s="1142"/>
      <c r="I532" s="109"/>
      <c r="J532" s="109"/>
      <c r="K532" s="109"/>
      <c r="L532" s="1141"/>
      <c r="M532" s="1617"/>
      <c r="N532" s="1486"/>
    </row>
    <row r="533" spans="1:14">
      <c r="A533" s="36" t="s">
        <v>28</v>
      </c>
      <c r="B533" s="1444">
        <v>13</v>
      </c>
      <c r="C533" s="1422"/>
      <c r="D533" s="1431">
        <f t="shared" ref="D533:D538" si="102">F533*325851</f>
        <v>146991.3861</v>
      </c>
      <c r="E533" s="1422"/>
      <c r="F533" s="1871">
        <f>0.0347*B533</f>
        <v>0.4511</v>
      </c>
      <c r="G533" s="1450"/>
      <c r="H533" s="957">
        <f>F533*20</f>
        <v>9.0220000000000002</v>
      </c>
      <c r="I533" s="131">
        <v>0</v>
      </c>
      <c r="J533" s="131">
        <v>0</v>
      </c>
      <c r="K533" s="131">
        <f>60*B533</f>
        <v>780</v>
      </c>
      <c r="L533" s="132">
        <f t="shared" ref="L533:L538" si="103">I533+J533+K533</f>
        <v>780</v>
      </c>
      <c r="M533" s="1758">
        <f>L533/(F533*427)</f>
        <v>4.0494300427214869</v>
      </c>
      <c r="N533" s="1759"/>
    </row>
    <row r="534" spans="1:14">
      <c r="A534" s="34" t="s">
        <v>29</v>
      </c>
      <c r="B534" s="1444">
        <v>0</v>
      </c>
      <c r="C534" s="1422"/>
      <c r="D534" s="1431">
        <f t="shared" si="102"/>
        <v>0</v>
      </c>
      <c r="E534" s="1422"/>
      <c r="F534" s="1871">
        <f>0.0347*B534</f>
        <v>0</v>
      </c>
      <c r="G534" s="1450"/>
      <c r="H534" s="957">
        <f>F534*20</f>
        <v>0</v>
      </c>
      <c r="I534" s="131">
        <v>0</v>
      </c>
      <c r="J534" s="131">
        <v>0</v>
      </c>
      <c r="K534" s="131">
        <f>60*B534</f>
        <v>0</v>
      </c>
      <c r="L534" s="132">
        <f t="shared" si="103"/>
        <v>0</v>
      </c>
      <c r="M534" s="1758">
        <v>0</v>
      </c>
      <c r="N534" s="1759"/>
    </row>
    <row r="535" spans="1:14">
      <c r="A535" s="34" t="s">
        <v>33</v>
      </c>
      <c r="B535" s="1444">
        <f>[2]MVWD!$N$7</f>
        <v>76</v>
      </c>
      <c r="C535" s="1422"/>
      <c r="D535" s="1431">
        <f t="shared" si="102"/>
        <v>2095091.5895999998</v>
      </c>
      <c r="E535" s="1422"/>
      <c r="F535" s="1871">
        <f>0.0846*B535</f>
        <v>6.4295999999999998</v>
      </c>
      <c r="G535" s="1450"/>
      <c r="H535" s="957">
        <f>F535*10</f>
        <v>64.295999999999992</v>
      </c>
      <c r="I535" s="131">
        <v>0</v>
      </c>
      <c r="J535" s="131">
        <v>0</v>
      </c>
      <c r="K535" s="131">
        <f>B535*110</f>
        <v>8360</v>
      </c>
      <c r="L535" s="132">
        <f t="shared" si="103"/>
        <v>8360</v>
      </c>
      <c r="M535" s="1758">
        <f>L535/(F535*427)</f>
        <v>3.0450501325980923</v>
      </c>
      <c r="N535" s="1759"/>
    </row>
    <row r="536" spans="1:14">
      <c r="A536" s="35" t="s">
        <v>24</v>
      </c>
      <c r="B536" s="1444">
        <f>[1]MVWD!$N$8</f>
        <v>0</v>
      </c>
      <c r="C536" s="1422"/>
      <c r="D536" s="1431">
        <f t="shared" si="102"/>
        <v>0</v>
      </c>
      <c r="E536" s="1422"/>
      <c r="F536" s="1871">
        <f>0.004*B536</f>
        <v>0</v>
      </c>
      <c r="G536" s="1450"/>
      <c r="H536" s="957">
        <f>F536*5</f>
        <v>0</v>
      </c>
      <c r="I536" s="131">
        <v>0</v>
      </c>
      <c r="J536" s="131">
        <v>0</v>
      </c>
      <c r="K536" s="131">
        <f>B536*4</f>
        <v>0</v>
      </c>
      <c r="L536" s="132">
        <f t="shared" si="103"/>
        <v>0</v>
      </c>
      <c r="M536" s="1758">
        <v>0</v>
      </c>
      <c r="N536" s="1759"/>
    </row>
    <row r="537" spans="1:14">
      <c r="A537" s="33" t="s">
        <v>72</v>
      </c>
      <c r="B537" s="1444">
        <f>[1]MVWD!$N$10</f>
        <v>1</v>
      </c>
      <c r="C537" s="1422"/>
      <c r="D537" s="1431">
        <f t="shared" si="102"/>
        <v>211803.15</v>
      </c>
      <c r="E537" s="1422"/>
      <c r="F537" s="1871">
        <f>0.65*B537</f>
        <v>0.65</v>
      </c>
      <c r="G537" s="1450"/>
      <c r="H537" s="957">
        <f>F537*10</f>
        <v>6.5</v>
      </c>
      <c r="I537" s="131">
        <v>0</v>
      </c>
      <c r="J537" s="131">
        <f>160*B537</f>
        <v>160</v>
      </c>
      <c r="K537" s="131">
        <f>80*B537</f>
        <v>80</v>
      </c>
      <c r="L537" s="132">
        <f t="shared" si="103"/>
        <v>240</v>
      </c>
      <c r="M537" s="1758">
        <f>L537/(F537*427)</f>
        <v>0.86470906143037285</v>
      </c>
      <c r="N537" s="1759"/>
    </row>
    <row r="538" spans="1:14" ht="14" thickBot="1">
      <c r="A538" s="33" t="s">
        <v>73</v>
      </c>
      <c r="B538" s="1444">
        <f>[1]MVWD!$N$11</f>
        <v>34</v>
      </c>
      <c r="C538" s="1422"/>
      <c r="D538" s="1431">
        <f t="shared" si="102"/>
        <v>7201307.1000000006</v>
      </c>
      <c r="E538" s="1422"/>
      <c r="F538" s="1871">
        <f>0.65*B538</f>
        <v>22.1</v>
      </c>
      <c r="G538" s="1450"/>
      <c r="H538" s="957">
        <f>F538*10</f>
        <v>221</v>
      </c>
      <c r="I538" s="131">
        <v>0</v>
      </c>
      <c r="J538" s="131">
        <v>0</v>
      </c>
      <c r="K538" s="131">
        <f>240*B538</f>
        <v>8160</v>
      </c>
      <c r="L538" s="132">
        <f t="shared" si="103"/>
        <v>8160</v>
      </c>
      <c r="M538" s="1758">
        <f>L538/(F538*427)</f>
        <v>0.86470906143037285</v>
      </c>
      <c r="N538" s="1759"/>
    </row>
    <row r="539" spans="1:14" ht="14" thickBot="1">
      <c r="A539" s="53" t="s">
        <v>60</v>
      </c>
      <c r="B539" s="1440">
        <f>SUM(B533:C538)</f>
        <v>124</v>
      </c>
      <c r="C539" s="1621"/>
      <c r="D539" s="1441">
        <f>SUM(D534:E538)</f>
        <v>9508201.8396000005</v>
      </c>
      <c r="E539" s="1621"/>
      <c r="F539" s="1441">
        <f>SUM(F534:G538)</f>
        <v>29.179600000000001</v>
      </c>
      <c r="G539" s="1439"/>
      <c r="H539" s="388">
        <f>SUM(H533:H538)</f>
        <v>300.81799999999998</v>
      </c>
      <c r="I539" s="143">
        <f>SUM(I534:I538)</f>
        <v>0</v>
      </c>
      <c r="J539" s="143">
        <f>SUM(J534:J538)</f>
        <v>160</v>
      </c>
      <c r="K539" s="143">
        <f>SUM(K534:K538)</f>
        <v>16600</v>
      </c>
      <c r="L539" s="152">
        <f>SUM(L534:L538)</f>
        <v>16760</v>
      </c>
      <c r="M539" s="1657"/>
      <c r="N539" s="1622"/>
    </row>
    <row r="540" spans="1:14" s="1161" customFormat="1" ht="17" thickBot="1">
      <c r="A540" s="1239" t="s">
        <v>147</v>
      </c>
      <c r="B540" s="1457"/>
      <c r="C540" s="1586"/>
      <c r="D540" s="1567"/>
      <c r="E540" s="1586"/>
      <c r="F540" s="1567"/>
      <c r="G540" s="1586"/>
      <c r="H540" s="1142"/>
      <c r="I540" s="161"/>
      <c r="J540" s="161"/>
      <c r="K540" s="161"/>
      <c r="L540" s="162"/>
      <c r="M540" s="1617"/>
      <c r="N540" s="1486"/>
    </row>
    <row r="541" spans="1:14" ht="14" thickBot="1">
      <c r="A541" s="34" t="s">
        <v>31</v>
      </c>
      <c r="B541" s="1444">
        <f>[1]MVWD!$N$6</f>
        <v>460</v>
      </c>
      <c r="C541" s="1422"/>
      <c r="D541" s="1431">
        <f t="shared" ref="D541:D551" si="104">F541*325851</f>
        <v>5201233.6620000005</v>
      </c>
      <c r="E541" s="1422"/>
      <c r="F541" s="1871">
        <f>0.0347*B541</f>
        <v>15.962000000000002</v>
      </c>
      <c r="G541" s="1450"/>
      <c r="H541" s="957">
        <f>F541*20</f>
        <v>319.24</v>
      </c>
      <c r="I541" s="131">
        <f>73.34*B541</f>
        <v>33736.400000000001</v>
      </c>
      <c r="J541" s="131">
        <f>35.66*B541</f>
        <v>16403.599999999999</v>
      </c>
      <c r="K541" s="131">
        <f>B541*60</f>
        <v>27600</v>
      </c>
      <c r="L541" s="132">
        <f>I541+J541+K541</f>
        <v>77740</v>
      </c>
      <c r="M541" s="1758">
        <f>L541/(F541*427)</f>
        <v>11.405894620332187</v>
      </c>
      <c r="N541" s="1759"/>
    </row>
    <row r="542" spans="1:14" ht="14" thickBot="1">
      <c r="A542" s="53" t="s">
        <v>60</v>
      </c>
      <c r="B542" s="1440">
        <f>SUM(B541)</f>
        <v>460</v>
      </c>
      <c r="C542" s="1621"/>
      <c r="D542" s="1441">
        <f>SUM(D541)</f>
        <v>5201233.6620000005</v>
      </c>
      <c r="E542" s="1609"/>
      <c r="F542" s="1440">
        <f>SUM(F541)</f>
        <v>15.962000000000002</v>
      </c>
      <c r="G542" s="1439"/>
      <c r="H542" s="388">
        <f>SUM(H541)</f>
        <v>319.24</v>
      </c>
      <c r="I542" s="136">
        <f>SUM(I541)</f>
        <v>33736.400000000001</v>
      </c>
      <c r="J542" s="136">
        <f>SUM(J541)</f>
        <v>16403.599999999999</v>
      </c>
      <c r="K542" s="136">
        <f>SUM(K541)</f>
        <v>27600</v>
      </c>
      <c r="L542" s="136">
        <f>SUM(L541)</f>
        <v>77740</v>
      </c>
      <c r="M542" s="1657"/>
      <c r="N542" s="1622"/>
    </row>
    <row r="543" spans="1:14" s="1161" customFormat="1" ht="17" thickBot="1">
      <c r="A543" s="108" t="s">
        <v>50</v>
      </c>
      <c r="B543" s="1457"/>
      <c r="C543" s="1586"/>
      <c r="D543" s="1567"/>
      <c r="E543" s="1586"/>
      <c r="F543" s="1567"/>
      <c r="G543" s="1586"/>
      <c r="H543" s="1142"/>
      <c r="I543" s="161"/>
      <c r="J543" s="161"/>
      <c r="K543" s="161"/>
      <c r="L543" s="162"/>
      <c r="M543" s="1617"/>
      <c r="N543" s="1486"/>
    </row>
    <row r="544" spans="1:14">
      <c r="A544" s="34" t="s">
        <v>26</v>
      </c>
      <c r="B544" s="1444">
        <f>[1]MVWD!$N$13</f>
        <v>4</v>
      </c>
      <c r="C544" s="1422"/>
      <c r="D544" s="1431">
        <f t="shared" si="104"/>
        <v>36234.631199999996</v>
      </c>
      <c r="E544" s="1422"/>
      <c r="F544" s="1871">
        <f>0.0278*B544</f>
        <v>0.11119999999999999</v>
      </c>
      <c r="G544" s="1450"/>
      <c r="H544" s="957">
        <f>F544*20</f>
        <v>2.2239999999999998</v>
      </c>
      <c r="I544" s="131">
        <v>0</v>
      </c>
      <c r="J544" s="131">
        <f>15*B544</f>
        <v>60</v>
      </c>
      <c r="K544" s="131">
        <f>135*B544</f>
        <v>540</v>
      </c>
      <c r="L544" s="132">
        <f>SUM(I544:K544)</f>
        <v>600</v>
      </c>
      <c r="M544" s="1758">
        <f>L544/(F544*427)</f>
        <v>12.636261014607518</v>
      </c>
      <c r="N544" s="1759"/>
    </row>
    <row r="545" spans="1:14">
      <c r="A545" s="34" t="s">
        <v>25</v>
      </c>
      <c r="B545" s="1444">
        <f>[1]MVWD!$N$14</f>
        <v>119</v>
      </c>
      <c r="C545" s="1422"/>
      <c r="D545" s="1431">
        <f t="shared" si="104"/>
        <v>1345536.5343000002</v>
      </c>
      <c r="E545" s="1422"/>
      <c r="F545" s="1871">
        <f>0.0347*B545</f>
        <v>4.1293000000000006</v>
      </c>
      <c r="G545" s="1450"/>
      <c r="H545" s="957">
        <f>F545*20</f>
        <v>82.586000000000013</v>
      </c>
      <c r="I545" s="131">
        <v>0</v>
      </c>
      <c r="J545" s="131">
        <f>15*B545</f>
        <v>1785</v>
      </c>
      <c r="K545" s="131">
        <f>135*B545</f>
        <v>16065</v>
      </c>
      <c r="L545" s="132">
        <f t="shared" ref="L545:L551" si="105">SUM(I545:K545)</f>
        <v>17850</v>
      </c>
      <c r="M545" s="1758">
        <f>L545/(F545*427)</f>
        <v>10.123575106803717</v>
      </c>
      <c r="N545" s="1759"/>
    </row>
    <row r="546" spans="1:14">
      <c r="A546" s="34" t="s">
        <v>32</v>
      </c>
      <c r="B546" s="1444">
        <v>0</v>
      </c>
      <c r="C546" s="1422"/>
      <c r="D546" s="1431">
        <f t="shared" si="104"/>
        <v>0</v>
      </c>
      <c r="E546" s="1422"/>
      <c r="F546" s="1871">
        <f>0.0425*B546</f>
        <v>0</v>
      </c>
      <c r="G546" s="1450"/>
      <c r="H546" s="957">
        <f>F546*20</f>
        <v>0</v>
      </c>
      <c r="I546" s="131">
        <v>0</v>
      </c>
      <c r="J546" s="131">
        <f>45*B546</f>
        <v>0</v>
      </c>
      <c r="K546" s="131">
        <f>165*B546</f>
        <v>0</v>
      </c>
      <c r="L546" s="132">
        <f t="shared" si="105"/>
        <v>0</v>
      </c>
      <c r="M546" s="1758">
        <v>0</v>
      </c>
      <c r="N546" s="1759"/>
    </row>
    <row r="547" spans="1:14">
      <c r="A547" s="34" t="s">
        <v>27</v>
      </c>
      <c r="B547" s="1444">
        <f>[1]MVWD!$N$16</f>
        <v>0</v>
      </c>
      <c r="C547" s="1422"/>
      <c r="D547" s="1431">
        <f t="shared" si="104"/>
        <v>0</v>
      </c>
      <c r="E547" s="1422"/>
      <c r="F547" s="1871">
        <f>0.1225*B547</f>
        <v>0</v>
      </c>
      <c r="G547" s="1450"/>
      <c r="H547" s="957">
        <f>F547*20</f>
        <v>0</v>
      </c>
      <c r="I547" s="131">
        <v>0</v>
      </c>
      <c r="J547" s="131">
        <v>0</v>
      </c>
      <c r="K547" s="131">
        <f>400*B547</f>
        <v>0</v>
      </c>
      <c r="L547" s="132">
        <f t="shared" si="105"/>
        <v>0</v>
      </c>
      <c r="M547" s="1758">
        <v>0</v>
      </c>
      <c r="N547" s="1759"/>
    </row>
    <row r="548" spans="1:14">
      <c r="A548" s="34" t="s">
        <v>20</v>
      </c>
      <c r="B548" s="1444">
        <f>[1]MVWD!$N$17</f>
        <v>0</v>
      </c>
      <c r="C548" s="1422"/>
      <c r="D548" s="1431">
        <f t="shared" si="104"/>
        <v>0</v>
      </c>
      <c r="E548" s="1422"/>
      <c r="F548" s="1871">
        <f>0.644*B548</f>
        <v>0</v>
      </c>
      <c r="G548" s="1450"/>
      <c r="H548" s="957">
        <f>F548*5</f>
        <v>0</v>
      </c>
      <c r="I548" s="131">
        <v>0</v>
      </c>
      <c r="J548" s="131">
        <v>0</v>
      </c>
      <c r="K548" s="131">
        <f>625*B548</f>
        <v>0</v>
      </c>
      <c r="L548" s="132">
        <f t="shared" si="105"/>
        <v>0</v>
      </c>
      <c r="M548" s="1758">
        <v>0</v>
      </c>
      <c r="N548" s="1759"/>
    </row>
    <row r="549" spans="1:14">
      <c r="A549" s="34" t="s">
        <v>33</v>
      </c>
      <c r="B549" s="1444">
        <f>[1]MVWD!$N$18</f>
        <v>66</v>
      </c>
      <c r="C549" s="1422"/>
      <c r="D549" s="1431">
        <f t="shared" si="104"/>
        <v>1819421.6435999998</v>
      </c>
      <c r="E549" s="1422"/>
      <c r="F549" s="1871">
        <f>0.0846*B549</f>
        <v>5.5835999999999997</v>
      </c>
      <c r="G549" s="1450"/>
      <c r="H549" s="957">
        <f>F549*15</f>
        <v>83.753999999999991</v>
      </c>
      <c r="I549" s="131">
        <v>0</v>
      </c>
      <c r="J549" s="131">
        <f>70*B549</f>
        <v>4620</v>
      </c>
      <c r="K549" s="131">
        <f>130*B549</f>
        <v>8580</v>
      </c>
      <c r="L549" s="132">
        <f t="shared" si="105"/>
        <v>13200</v>
      </c>
      <c r="M549" s="1758">
        <f>L549/(F549*427)</f>
        <v>5.5364547865419853</v>
      </c>
      <c r="N549" s="1759"/>
    </row>
    <row r="550" spans="1:14">
      <c r="A550" s="35" t="s">
        <v>15</v>
      </c>
      <c r="B550" s="1444">
        <f>[1]MVWD!$N$19</f>
        <v>1</v>
      </c>
      <c r="C550" s="1422"/>
      <c r="D550" s="1431">
        <f t="shared" si="104"/>
        <v>49985.543400000002</v>
      </c>
      <c r="E550" s="1422"/>
      <c r="F550" s="1871">
        <f>0.1534*B550</f>
        <v>0.15340000000000001</v>
      </c>
      <c r="G550" s="1450"/>
      <c r="H550" s="957">
        <f>F550*5</f>
        <v>0.76700000000000002</v>
      </c>
      <c r="I550" s="131">
        <v>0</v>
      </c>
      <c r="J550" s="131">
        <v>0</v>
      </c>
      <c r="K550" s="131">
        <f>150*B550</f>
        <v>150</v>
      </c>
      <c r="L550" s="132">
        <f t="shared" si="105"/>
        <v>150</v>
      </c>
      <c r="M550" s="1758">
        <f>L550/(F550*427)</f>
        <v>2.2900134042117926</v>
      </c>
      <c r="N550" s="1759"/>
    </row>
    <row r="551" spans="1:14" ht="14" thickBot="1">
      <c r="A551" s="33" t="s">
        <v>89</v>
      </c>
      <c r="B551" s="1444">
        <f>[1]MVWD!$N$20</f>
        <v>0</v>
      </c>
      <c r="C551" s="1422"/>
      <c r="D551" s="1431">
        <f t="shared" si="104"/>
        <v>0</v>
      </c>
      <c r="E551" s="1422"/>
      <c r="F551" s="1871">
        <f>0.65*B551</f>
        <v>0</v>
      </c>
      <c r="G551" s="1450"/>
      <c r="H551" s="957">
        <f>F551*10</f>
        <v>0</v>
      </c>
      <c r="I551" s="131">
        <v>0</v>
      </c>
      <c r="J551" s="131">
        <v>0</v>
      </c>
      <c r="K551" s="131">
        <f>630*B551</f>
        <v>0</v>
      </c>
      <c r="L551" s="132">
        <f t="shared" si="105"/>
        <v>0</v>
      </c>
      <c r="M551" s="1758">
        <v>0</v>
      </c>
      <c r="N551" s="1759"/>
    </row>
    <row r="552" spans="1:14" ht="14" thickBot="1">
      <c r="A552" s="53" t="s">
        <v>60</v>
      </c>
      <c r="B552" s="1440">
        <f>SUM(B544:C551)</f>
        <v>190</v>
      </c>
      <c r="C552" s="1621"/>
      <c r="D552" s="1441">
        <f>SUM(D544:E551)</f>
        <v>3251178.3525</v>
      </c>
      <c r="E552" s="1621"/>
      <c r="F552" s="1441">
        <f>SUM(F544:G551)</f>
        <v>9.9775000000000009</v>
      </c>
      <c r="G552" s="1439"/>
      <c r="H552" s="388">
        <f>SUM(H544:H551)</f>
        <v>169.33100000000002</v>
      </c>
      <c r="I552" s="136">
        <f>SUM(I544:I551)</f>
        <v>0</v>
      </c>
      <c r="J552" s="136">
        <f>SUM(J544:J551)</f>
        <v>6465</v>
      </c>
      <c r="K552" s="136">
        <f>SUM(K544:K551)</f>
        <v>25335</v>
      </c>
      <c r="L552" s="136">
        <f>SUM(L544:L551)</f>
        <v>31800</v>
      </c>
      <c r="M552" s="1657"/>
      <c r="N552" s="1622"/>
    </row>
    <row r="553" spans="1:14" s="1161" customFormat="1" ht="17" thickBot="1">
      <c r="A553" s="1183" t="s">
        <v>17</v>
      </c>
      <c r="B553" s="1665">
        <f>B539+B542+B552</f>
        <v>774</v>
      </c>
      <c r="C553" s="1664"/>
      <c r="D553" s="1665">
        <f>D539+D542+D552</f>
        <v>17960613.8541</v>
      </c>
      <c r="E553" s="1664"/>
      <c r="F553" s="1665">
        <f>F539+F542+F552</f>
        <v>55.119100000000003</v>
      </c>
      <c r="G553" s="1664"/>
      <c r="H553" s="1187">
        <f>H539+H542+H552</f>
        <v>789.38900000000001</v>
      </c>
      <c r="I553" s="1185">
        <f>I539+I542+I552</f>
        <v>33736.400000000001</v>
      </c>
      <c r="J553" s="1185">
        <f>J539+J542+J552</f>
        <v>23028.6</v>
      </c>
      <c r="K553" s="1185">
        <f>K539+K542+K552</f>
        <v>69535</v>
      </c>
      <c r="L553" s="1185">
        <f>L539+L542+L552</f>
        <v>126300</v>
      </c>
      <c r="M553" s="1668"/>
      <c r="N553" s="1669"/>
    </row>
    <row r="555" spans="1:14" ht="15">
      <c r="A555" s="9" t="s">
        <v>18</v>
      </c>
      <c r="B555" s="1419" t="s">
        <v>59</v>
      </c>
      <c r="C555" s="1489"/>
      <c r="D555" s="1489"/>
      <c r="E555" s="1733"/>
    </row>
    <row r="556" spans="1:14">
      <c r="B556" s="1420" t="s">
        <v>19</v>
      </c>
      <c r="C556" s="1420"/>
      <c r="D556" s="1420"/>
      <c r="E556" s="1420"/>
    </row>
    <row r="557" spans="1:14" ht="14" thickBot="1">
      <c r="B557" s="820"/>
      <c r="C557" s="820"/>
      <c r="D557" s="820"/>
      <c r="E557" s="820"/>
    </row>
    <row r="558" spans="1:14" s="363" customFormat="1" ht="16">
      <c r="A558" s="98"/>
      <c r="B558" s="99"/>
      <c r="C558" s="99"/>
      <c r="D558" s="99"/>
      <c r="E558" s="99"/>
      <c r="F558" s="736"/>
      <c r="G558" s="736"/>
      <c r="H558" s="736"/>
      <c r="I558" s="1468" t="s">
        <v>0</v>
      </c>
      <c r="J558" s="1468"/>
      <c r="K558" s="1468"/>
      <c r="L558" s="1468"/>
      <c r="M558" s="99"/>
      <c r="N558" s="101"/>
    </row>
    <row r="559" spans="1:14" ht="16">
      <c r="A559" s="97"/>
      <c r="B559" s="1469" t="s">
        <v>1</v>
      </c>
      <c r="C559" s="1469"/>
      <c r="D559" s="1469" t="s">
        <v>2</v>
      </c>
      <c r="E559" s="1469"/>
      <c r="F559" s="1977" t="s">
        <v>3</v>
      </c>
      <c r="G559" s="1977"/>
      <c r="H559" s="841" t="s">
        <v>3</v>
      </c>
      <c r="I559" s="127" t="s">
        <v>195</v>
      </c>
      <c r="J559" s="102"/>
      <c r="K559" s="102"/>
      <c r="L559" s="128"/>
      <c r="M559" s="1469" t="s">
        <v>4</v>
      </c>
      <c r="N559" s="1526"/>
    </row>
    <row r="560" spans="1:14" ht="19" thickBot="1">
      <c r="A560" s="103" t="s">
        <v>5</v>
      </c>
      <c r="B560" s="1473" t="s">
        <v>6</v>
      </c>
      <c r="C560" s="1473"/>
      <c r="D560" s="1473" t="s">
        <v>7</v>
      </c>
      <c r="E560" s="1473"/>
      <c r="F560" s="1978" t="s">
        <v>7</v>
      </c>
      <c r="G560" s="1978"/>
      <c r="H560" s="842" t="s">
        <v>58</v>
      </c>
      <c r="I560" s="797" t="s">
        <v>196</v>
      </c>
      <c r="J560" s="795" t="s">
        <v>8</v>
      </c>
      <c r="K560" s="795" t="s">
        <v>9</v>
      </c>
      <c r="L560" s="401" t="s">
        <v>10</v>
      </c>
      <c r="M560" s="1473" t="s">
        <v>145</v>
      </c>
      <c r="N560" s="1475"/>
    </row>
    <row r="561" spans="1:14" ht="24" thickBot="1">
      <c r="A561" s="88" t="s">
        <v>134</v>
      </c>
      <c r="B561" s="1764"/>
      <c r="C561" s="1477"/>
      <c r="D561" s="1478"/>
      <c r="E561" s="1479"/>
      <c r="F561" s="1478"/>
      <c r="G561" s="1479"/>
      <c r="H561" s="818"/>
      <c r="I561" s="7"/>
      <c r="J561" s="7"/>
      <c r="K561" s="7"/>
      <c r="L561" s="8"/>
      <c r="M561" s="1764"/>
      <c r="N561" s="1765"/>
    </row>
    <row r="562" spans="1:14" s="1161" customFormat="1" ht="17" thickBot="1">
      <c r="A562" s="108" t="s">
        <v>61</v>
      </c>
      <c r="B562" s="1567"/>
      <c r="C562" s="1586"/>
      <c r="D562" s="1567"/>
      <c r="E562" s="1586"/>
      <c r="F562" s="1567"/>
      <c r="G562" s="1586"/>
      <c r="H562" s="1142"/>
      <c r="I562" s="109"/>
      <c r="J562" s="109"/>
      <c r="K562" s="109"/>
      <c r="L562" s="1141"/>
      <c r="M562" s="1617"/>
      <c r="N562" s="1486"/>
    </row>
    <row r="563" spans="1:14">
      <c r="A563" s="122" t="s">
        <v>62</v>
      </c>
      <c r="B563" s="1696">
        <v>0</v>
      </c>
      <c r="C563" s="1743"/>
      <c r="D563" s="1431">
        <f>F563*325851</f>
        <v>0</v>
      </c>
      <c r="E563" s="1422"/>
      <c r="F563" s="1871">
        <f>0.0347*B563</f>
        <v>0</v>
      </c>
      <c r="G563" s="1450"/>
      <c r="H563" s="957">
        <f>F563*20</f>
        <v>0</v>
      </c>
      <c r="I563" s="131">
        <v>0</v>
      </c>
      <c r="J563" s="131">
        <f>B563*6.5</f>
        <v>0</v>
      </c>
      <c r="K563" s="131">
        <f>B563*60</f>
        <v>0</v>
      </c>
      <c r="L563" s="132">
        <f>I563+J563+K563</f>
        <v>0</v>
      </c>
      <c r="M563" s="1758">
        <v>0</v>
      </c>
      <c r="N563" s="1759"/>
    </row>
    <row r="564" spans="1:14">
      <c r="A564" s="32" t="s">
        <v>63</v>
      </c>
      <c r="B564" s="1696">
        <v>0</v>
      </c>
      <c r="C564" s="1743"/>
      <c r="D564" s="1431">
        <f>F564*325851</f>
        <v>0</v>
      </c>
      <c r="E564" s="1422"/>
      <c r="F564" s="1871">
        <f>0.0347*B564</f>
        <v>0</v>
      </c>
      <c r="G564" s="1450"/>
      <c r="H564" s="957">
        <f>F564*20</f>
        <v>0</v>
      </c>
      <c r="I564" s="131">
        <v>0</v>
      </c>
      <c r="J564" s="131">
        <f>B564*11</f>
        <v>0</v>
      </c>
      <c r="K564" s="131">
        <f>B564*60</f>
        <v>0</v>
      </c>
      <c r="L564" s="132">
        <f>I564+J564+K564</f>
        <v>0</v>
      </c>
      <c r="M564" s="1758">
        <v>0</v>
      </c>
      <c r="N564" s="1759"/>
    </row>
    <row r="565" spans="1:14">
      <c r="A565" s="32" t="s">
        <v>64</v>
      </c>
      <c r="B565" s="1696">
        <v>38</v>
      </c>
      <c r="C565" s="1743"/>
      <c r="D565" s="1431">
        <f>F565*325851</f>
        <v>429667.1286</v>
      </c>
      <c r="E565" s="1422"/>
      <c r="F565" s="1871">
        <f>0.0347*B565</f>
        <v>1.3186</v>
      </c>
      <c r="G565" s="1450"/>
      <c r="H565" s="957">
        <f>F565*20</f>
        <v>26.372</v>
      </c>
      <c r="I565" s="131">
        <v>0</v>
      </c>
      <c r="J565" s="131">
        <f>B565*1</f>
        <v>38</v>
      </c>
      <c r="K565" s="131">
        <f>B565*60</f>
        <v>2280</v>
      </c>
      <c r="L565" s="132">
        <f>I565+J565+K565</f>
        <v>2318</v>
      </c>
      <c r="M565" s="1758">
        <f>L565/(F565*427)</f>
        <v>4.1169205434335119</v>
      </c>
      <c r="N565" s="1759"/>
    </row>
    <row r="566" spans="1:14" ht="14" thickBot="1">
      <c r="A566" s="34" t="s">
        <v>13</v>
      </c>
      <c r="B566" s="1696">
        <v>66</v>
      </c>
      <c r="C566" s="1743"/>
      <c r="D566" s="1431">
        <f>F566*325851</f>
        <v>593570.18160000001</v>
      </c>
      <c r="E566" s="1422"/>
      <c r="F566" s="1871">
        <f>0.0276*B566</f>
        <v>1.8215999999999999</v>
      </c>
      <c r="G566" s="1450"/>
      <c r="H566" s="957">
        <f>F566*15</f>
        <v>27.323999999999998</v>
      </c>
      <c r="I566" s="131">
        <v>0</v>
      </c>
      <c r="J566" s="131">
        <f>B566*1</f>
        <v>66</v>
      </c>
      <c r="K566" s="131">
        <f>B566*110</f>
        <v>7260</v>
      </c>
      <c r="L566" s="132">
        <f>I566+J566+K566</f>
        <v>7326</v>
      </c>
      <c r="M566" s="1758">
        <f>L566/(F566*427)</f>
        <v>9.4185928113226769</v>
      </c>
      <c r="N566" s="1759"/>
    </row>
    <row r="567" spans="1:14" ht="14" thickBot="1">
      <c r="A567" s="53" t="s">
        <v>60</v>
      </c>
      <c r="B567" s="1440">
        <f>SUM(B563:C566)</f>
        <v>104</v>
      </c>
      <c r="C567" s="1621"/>
      <c r="D567" s="1441">
        <f>SUM(D563:E566)</f>
        <v>1023237.3101999999</v>
      </c>
      <c r="E567" s="1621"/>
      <c r="F567" s="1441">
        <f>SUM(F563:G566)</f>
        <v>3.1402000000000001</v>
      </c>
      <c r="G567" s="1439"/>
      <c r="H567" s="786">
        <f>SUM(H563:H566)</f>
        <v>53.695999999999998</v>
      </c>
      <c r="I567" s="136">
        <f>SUM(I563:I566)</f>
        <v>0</v>
      </c>
      <c r="J567" s="136">
        <f>SUM(J563:J566)</f>
        <v>104</v>
      </c>
      <c r="K567" s="136">
        <f>SUM(K563:K566)</f>
        <v>9540</v>
      </c>
      <c r="L567" s="136">
        <f>SUM(L563:L566)</f>
        <v>9644</v>
      </c>
      <c r="M567" s="1657"/>
      <c r="N567" s="1622"/>
    </row>
    <row r="568" spans="1:14" s="1161" customFormat="1" ht="17" thickBot="1">
      <c r="A568" s="1239" t="s">
        <v>147</v>
      </c>
      <c r="B568" s="1457"/>
      <c r="C568" s="1586"/>
      <c r="D568" s="1567"/>
      <c r="E568" s="1586"/>
      <c r="F568" s="1567"/>
      <c r="G568" s="1586"/>
      <c r="H568" s="1142"/>
      <c r="I568" s="161"/>
      <c r="J568" s="161"/>
      <c r="K568" s="161"/>
      <c r="L568" s="162"/>
      <c r="M568" s="1617"/>
      <c r="N568" s="1486"/>
    </row>
    <row r="569" spans="1:14" ht="14" thickBot="1">
      <c r="A569" s="34" t="s">
        <v>11</v>
      </c>
      <c r="B569" s="1696">
        <v>101</v>
      </c>
      <c r="C569" s="1743"/>
      <c r="D569" s="1431">
        <f>F569*325851</f>
        <v>1142009.9997</v>
      </c>
      <c r="E569" s="1422"/>
      <c r="F569" s="1871">
        <f>0.0347*B569</f>
        <v>3.5047000000000001</v>
      </c>
      <c r="G569" s="1450"/>
      <c r="H569" s="957">
        <f>F569*20</f>
        <v>70.094000000000008</v>
      </c>
      <c r="I569" s="131">
        <v>0</v>
      </c>
      <c r="J569" s="131">
        <f>B569*105</f>
        <v>10605</v>
      </c>
      <c r="K569" s="131">
        <f>B569*60</f>
        <v>6060</v>
      </c>
      <c r="L569" s="132">
        <f>I569+J569+K569</f>
        <v>16665</v>
      </c>
      <c r="M569" s="1758">
        <f>L569/(F569*427)</f>
        <v>11.135932617484089</v>
      </c>
      <c r="N569" s="1759"/>
    </row>
    <row r="570" spans="1:14" ht="14" thickBot="1">
      <c r="A570" s="53" t="s">
        <v>60</v>
      </c>
      <c r="B570" s="1440">
        <f>SUM(B569)</f>
        <v>101</v>
      </c>
      <c r="C570" s="1621"/>
      <c r="D570" s="1441">
        <f>SUM(D569)</f>
        <v>1142009.9997</v>
      </c>
      <c r="E570" s="1621"/>
      <c r="F570" s="1441">
        <f>SUM(F569)</f>
        <v>3.5047000000000001</v>
      </c>
      <c r="G570" s="1439"/>
      <c r="H570" s="619">
        <f>SUM(H569)</f>
        <v>70.094000000000008</v>
      </c>
      <c r="I570" s="136">
        <f>SUM(I569)</f>
        <v>0</v>
      </c>
      <c r="J570" s="136">
        <f>SUM(J569)</f>
        <v>10605</v>
      </c>
      <c r="K570" s="136">
        <f>SUM(K569)</f>
        <v>6060</v>
      </c>
      <c r="L570" s="136">
        <f>SUM(L569)</f>
        <v>16665</v>
      </c>
      <c r="M570" s="1657"/>
      <c r="N570" s="1622"/>
    </row>
    <row r="571" spans="1:14" s="1161" customFormat="1" ht="17" thickBot="1">
      <c r="A571" s="108" t="s">
        <v>50</v>
      </c>
      <c r="B571" s="1457"/>
      <c r="C571" s="1586"/>
      <c r="D571" s="1567"/>
      <c r="E571" s="1586"/>
      <c r="F571" s="1567"/>
      <c r="G571" s="1586"/>
      <c r="H571" s="1142"/>
      <c r="I571" s="161"/>
      <c r="J571" s="161"/>
      <c r="K571" s="161"/>
      <c r="L571" s="162"/>
      <c r="M571" s="1617"/>
      <c r="N571" s="1486"/>
    </row>
    <row r="572" spans="1:14">
      <c r="A572" s="34" t="s">
        <v>66</v>
      </c>
      <c r="B572" s="1696">
        <v>64</v>
      </c>
      <c r="C572" s="1743"/>
      <c r="D572" s="1431">
        <f t="shared" ref="D572:D577" si="106">F572*325851</f>
        <v>723649.90080000006</v>
      </c>
      <c r="E572" s="1422"/>
      <c r="F572" s="1871">
        <f>0.0347*B572</f>
        <v>2.2208000000000001</v>
      </c>
      <c r="G572" s="1450"/>
      <c r="H572" s="957">
        <f>F572*20</f>
        <v>44.416000000000004</v>
      </c>
      <c r="I572" s="131">
        <v>0</v>
      </c>
      <c r="J572" s="131">
        <f>B572*1</f>
        <v>64</v>
      </c>
      <c r="K572" s="131">
        <f>B572*60</f>
        <v>3840</v>
      </c>
      <c r="L572" s="132">
        <f>I572+J572+K572</f>
        <v>3904</v>
      </c>
      <c r="M572" s="1758">
        <f>L572/(F572*427)</f>
        <v>4.1169205434335119</v>
      </c>
      <c r="N572" s="1759"/>
    </row>
    <row r="573" spans="1:14">
      <c r="A573" s="34" t="s">
        <v>68</v>
      </c>
      <c r="B573" s="1696">
        <v>0</v>
      </c>
      <c r="C573" s="1743"/>
      <c r="D573" s="1431">
        <f t="shared" si="106"/>
        <v>0</v>
      </c>
      <c r="E573" s="1422"/>
      <c r="F573" s="1871">
        <f>0.644*B573</f>
        <v>0</v>
      </c>
      <c r="G573" s="1450"/>
      <c r="H573" s="957">
        <f>F573*5</f>
        <v>0</v>
      </c>
      <c r="I573" s="131">
        <v>0</v>
      </c>
      <c r="J573" s="131">
        <v>0</v>
      </c>
      <c r="K573" s="131">
        <v>0</v>
      </c>
      <c r="L573" s="132">
        <v>0</v>
      </c>
      <c r="M573" s="1758">
        <v>0</v>
      </c>
      <c r="N573" s="1759"/>
    </row>
    <row r="574" spans="1:14">
      <c r="A574" s="34" t="s">
        <v>13</v>
      </c>
      <c r="B574" s="1696">
        <v>2</v>
      </c>
      <c r="C574" s="1743"/>
      <c r="D574" s="1431">
        <f t="shared" si="106"/>
        <v>17986.975200000001</v>
      </c>
      <c r="E574" s="1422"/>
      <c r="F574" s="1871">
        <f>0.0276*B574</f>
        <v>5.5199999999999999E-2</v>
      </c>
      <c r="G574" s="1450"/>
      <c r="H574" s="957">
        <f>F574*15</f>
        <v>0.82799999999999996</v>
      </c>
      <c r="I574" s="131">
        <v>0</v>
      </c>
      <c r="J574" s="131">
        <v>0</v>
      </c>
      <c r="K574" s="131">
        <f>B574*250</f>
        <v>500</v>
      </c>
      <c r="L574" s="132">
        <f>I574+J574+K574</f>
        <v>500</v>
      </c>
      <c r="M574" s="1758">
        <f>L574/(F574*427)</f>
        <v>21.213046872348368</v>
      </c>
      <c r="N574" s="1759"/>
    </row>
    <row r="575" spans="1:14">
      <c r="A575" s="35" t="s">
        <v>15</v>
      </c>
      <c r="B575" s="1696">
        <v>0</v>
      </c>
      <c r="C575" s="1743"/>
      <c r="D575" s="1431">
        <f t="shared" si="106"/>
        <v>0</v>
      </c>
      <c r="E575" s="1422"/>
      <c r="F575" s="1871">
        <f>0.1534*B575</f>
        <v>0</v>
      </c>
      <c r="G575" s="1450"/>
      <c r="H575" s="957">
        <f>F575*5</f>
        <v>0</v>
      </c>
      <c r="I575" s="131">
        <v>0</v>
      </c>
      <c r="J575" s="131">
        <v>0</v>
      </c>
      <c r="K575" s="131">
        <v>0</v>
      </c>
      <c r="L575" s="132">
        <f>I575+J575+K575</f>
        <v>0</v>
      </c>
      <c r="M575" s="1758">
        <v>0</v>
      </c>
      <c r="N575" s="1759"/>
    </row>
    <row r="576" spans="1:14">
      <c r="A576" s="35" t="s">
        <v>16</v>
      </c>
      <c r="B576" s="1696">
        <v>0</v>
      </c>
      <c r="C576" s="1743"/>
      <c r="D576" s="1431">
        <f t="shared" si="106"/>
        <v>0</v>
      </c>
      <c r="E576" s="1422"/>
      <c r="F576" s="1871">
        <f>0.004*B576</f>
        <v>0</v>
      </c>
      <c r="G576" s="1450"/>
      <c r="H576" s="957">
        <f>F576*5</f>
        <v>0</v>
      </c>
      <c r="I576" s="131">
        <v>0</v>
      </c>
      <c r="J576" s="131">
        <v>0</v>
      </c>
      <c r="K576" s="131">
        <v>0</v>
      </c>
      <c r="L576" s="132">
        <f>I576+J576+K576</f>
        <v>0</v>
      </c>
      <c r="M576" s="1758">
        <v>0</v>
      </c>
      <c r="N576" s="1759"/>
    </row>
    <row r="577" spans="1:14" ht="14" thickBot="1">
      <c r="A577" s="33" t="s">
        <v>89</v>
      </c>
      <c r="B577" s="1696">
        <v>0</v>
      </c>
      <c r="C577" s="1743"/>
      <c r="D577" s="1431">
        <f t="shared" si="106"/>
        <v>0</v>
      </c>
      <c r="E577" s="1422"/>
      <c r="F577" s="1901">
        <f>0.65*B577</f>
        <v>0</v>
      </c>
      <c r="G577" s="1887"/>
      <c r="H577" s="957">
        <f>F577*10</f>
        <v>0</v>
      </c>
      <c r="I577" s="131">
        <v>0</v>
      </c>
      <c r="J577" s="131">
        <v>0</v>
      </c>
      <c r="K577" s="131">
        <v>0</v>
      </c>
      <c r="L577" s="132">
        <f>I577+J577+K577</f>
        <v>0</v>
      </c>
      <c r="M577" s="1758">
        <v>0</v>
      </c>
      <c r="N577" s="1759"/>
    </row>
    <row r="578" spans="1:14" ht="14" thickBot="1">
      <c r="A578" s="53" t="s">
        <v>60</v>
      </c>
      <c r="B578" s="1440">
        <f>SUM(B572:C577)</f>
        <v>66</v>
      </c>
      <c r="C578" s="1621"/>
      <c r="D578" s="1441">
        <f>SUM(D572:E577)</f>
        <v>741636.87600000005</v>
      </c>
      <c r="E578" s="1621"/>
      <c r="F578" s="1441">
        <f>SUM(F572:G577)</f>
        <v>2.2760000000000002</v>
      </c>
      <c r="G578" s="1439"/>
      <c r="H578" s="386">
        <f>SUM(H572:H577)</f>
        <v>45.244000000000007</v>
      </c>
      <c r="I578" s="143">
        <f>SUM(I572:I577)</f>
        <v>0</v>
      </c>
      <c r="J578" s="143">
        <f>SUM(J572:J577)</f>
        <v>64</v>
      </c>
      <c r="K578" s="143">
        <f>SUM(K572:K577)</f>
        <v>4340</v>
      </c>
      <c r="L578" s="143">
        <f>SUM(L572:L577)</f>
        <v>4404</v>
      </c>
      <c r="M578" s="1657"/>
      <c r="N578" s="1622"/>
    </row>
    <row r="579" spans="1:14" s="1161" customFormat="1" ht="17" thickBot="1">
      <c r="A579" s="1183" t="s">
        <v>17</v>
      </c>
      <c r="B579" s="1665">
        <f>B567+B570+B578</f>
        <v>271</v>
      </c>
      <c r="C579" s="1684"/>
      <c r="D579" s="1416">
        <f>SUM(D578,D567,D570)</f>
        <v>2906884.1858999999</v>
      </c>
      <c r="E579" s="1682"/>
      <c r="F579" s="1416">
        <f>SUM(F578,F567,F570)</f>
        <v>8.9208999999999996</v>
      </c>
      <c r="G579" s="1415"/>
      <c r="H579" s="1187">
        <f>H567+H570+H578</f>
        <v>169.03400000000002</v>
      </c>
      <c r="I579" s="1188">
        <f>I567+I570+I578</f>
        <v>0</v>
      </c>
      <c r="J579" s="1188">
        <f>J567+J570+J578</f>
        <v>10773</v>
      </c>
      <c r="K579" s="1188">
        <f>K567+K570+K578</f>
        <v>19940</v>
      </c>
      <c r="L579" s="1188">
        <f>L567+L570+L578</f>
        <v>30713</v>
      </c>
      <c r="M579" s="1668"/>
      <c r="N579" s="1669"/>
    </row>
    <row r="581" spans="1:14" ht="14" thickBot="1"/>
    <row r="582" spans="1:14" ht="24" thickBot="1">
      <c r="A582" s="88" t="s">
        <v>135</v>
      </c>
      <c r="B582" s="1764"/>
      <c r="C582" s="1477"/>
      <c r="D582" s="1478"/>
      <c r="E582" s="1479"/>
      <c r="F582" s="1478"/>
      <c r="G582" s="1479"/>
      <c r="H582" s="387"/>
      <c r="I582" s="7"/>
      <c r="J582" s="7"/>
      <c r="K582" s="7"/>
      <c r="L582" s="8"/>
      <c r="M582" s="1764"/>
      <c r="N582" s="1765"/>
    </row>
    <row r="583" spans="1:14" s="1161" customFormat="1" ht="17" thickBot="1">
      <c r="A583" s="108" t="s">
        <v>61</v>
      </c>
      <c r="B583" s="1567"/>
      <c r="C583" s="1586"/>
      <c r="D583" s="1567"/>
      <c r="E583" s="1586"/>
      <c r="F583" s="1567"/>
      <c r="G583" s="1586"/>
      <c r="H583" s="1142"/>
      <c r="I583" s="109"/>
      <c r="J583" s="109"/>
      <c r="K583" s="109"/>
      <c r="L583" s="1141"/>
      <c r="M583" s="1617"/>
      <c r="N583" s="1486"/>
    </row>
    <row r="584" spans="1:14">
      <c r="A584" s="122" t="s">
        <v>62</v>
      </c>
      <c r="B584" s="1696">
        <v>276</v>
      </c>
      <c r="C584" s="1743"/>
      <c r="D584" s="1431">
        <f>F584*325851</f>
        <v>3120740.1972000003</v>
      </c>
      <c r="E584" s="1422"/>
      <c r="F584" s="1871">
        <f>0.0347*B584</f>
        <v>9.5772000000000013</v>
      </c>
      <c r="G584" s="1450"/>
      <c r="H584" s="957">
        <f>F584*20</f>
        <v>191.54400000000004</v>
      </c>
      <c r="I584" s="131">
        <v>0</v>
      </c>
      <c r="J584" s="131">
        <f>B584*6.5</f>
        <v>1794</v>
      </c>
      <c r="K584" s="131">
        <f>B584*60</f>
        <v>16560</v>
      </c>
      <c r="L584" s="132">
        <f>I584+J584+K584</f>
        <v>18354</v>
      </c>
      <c r="M584" s="1758">
        <f>L584/(F584*427)</f>
        <v>4.4881182973496472</v>
      </c>
      <c r="N584" s="1759"/>
    </row>
    <row r="585" spans="1:14">
      <c r="A585" s="32" t="s">
        <v>63</v>
      </c>
      <c r="B585" s="1696">
        <v>4</v>
      </c>
      <c r="C585" s="1743"/>
      <c r="D585" s="1431">
        <f>F585*325851</f>
        <v>45228.118800000004</v>
      </c>
      <c r="E585" s="1422"/>
      <c r="F585" s="1871">
        <f>0.0347*B585</f>
        <v>0.13880000000000001</v>
      </c>
      <c r="G585" s="1450"/>
      <c r="H585" s="957">
        <f>F585*20</f>
        <v>2.7760000000000002</v>
      </c>
      <c r="I585" s="131">
        <v>0</v>
      </c>
      <c r="J585" s="131">
        <f>B585*11</f>
        <v>44</v>
      </c>
      <c r="K585" s="131">
        <f>B585*60</f>
        <v>240</v>
      </c>
      <c r="L585" s="132">
        <f>I585+J585+K585</f>
        <v>284</v>
      </c>
      <c r="M585" s="1758">
        <f>L585/(F585*427)</f>
        <v>4.7918255505537592</v>
      </c>
      <c r="N585" s="1759"/>
    </row>
    <row r="586" spans="1:14">
      <c r="A586" s="32" t="s">
        <v>64</v>
      </c>
      <c r="B586" s="1696">
        <v>37</v>
      </c>
      <c r="C586" s="1743"/>
      <c r="D586" s="1431">
        <f>F586*325851</f>
        <v>418360.09890000004</v>
      </c>
      <c r="E586" s="1422"/>
      <c r="F586" s="1871">
        <f>0.0347*B586</f>
        <v>1.2839</v>
      </c>
      <c r="G586" s="1450"/>
      <c r="H586" s="957">
        <f>F586*20</f>
        <v>25.678000000000001</v>
      </c>
      <c r="I586" s="131">
        <v>0</v>
      </c>
      <c r="J586" s="131">
        <f>B586*1</f>
        <v>37</v>
      </c>
      <c r="K586" s="131">
        <f>B586*60</f>
        <v>2220</v>
      </c>
      <c r="L586" s="132">
        <f>I586+J586+K586</f>
        <v>2257</v>
      </c>
      <c r="M586" s="1758">
        <f>L586/(F586*427)</f>
        <v>4.116920543433511</v>
      </c>
      <c r="N586" s="1759"/>
    </row>
    <row r="587" spans="1:14">
      <c r="A587" s="34" t="s">
        <v>13</v>
      </c>
      <c r="B587" s="1696">
        <v>92</v>
      </c>
      <c r="C587" s="1743"/>
      <c r="D587" s="1431">
        <f>F587*325851</f>
        <v>827400.85920000006</v>
      </c>
      <c r="E587" s="1422"/>
      <c r="F587" s="1871">
        <f>0.0276*B587</f>
        <v>2.5392000000000001</v>
      </c>
      <c r="G587" s="1450"/>
      <c r="H587" s="957">
        <f>F587*15</f>
        <v>38.088000000000001</v>
      </c>
      <c r="I587" s="131">
        <v>0</v>
      </c>
      <c r="J587" s="131">
        <f>B587*1</f>
        <v>92</v>
      </c>
      <c r="K587" s="131">
        <f>B587*110</f>
        <v>10120</v>
      </c>
      <c r="L587" s="132">
        <f>I587+J587+K587</f>
        <v>10212</v>
      </c>
      <c r="M587" s="1758">
        <f>L587/(F587*427)</f>
        <v>9.4185928113226769</v>
      </c>
      <c r="N587" s="1759"/>
    </row>
    <row r="588" spans="1:14" ht="14" thickBot="1">
      <c r="A588" s="35" t="s">
        <v>14</v>
      </c>
      <c r="B588" s="1696">
        <v>3</v>
      </c>
      <c r="C588" s="1743"/>
      <c r="D588" s="1431">
        <f>46.8*B588*365</f>
        <v>51245.999999999993</v>
      </c>
      <c r="E588" s="1422"/>
      <c r="F588" s="1871">
        <f>D588/325900</f>
        <v>0.15724455354403188</v>
      </c>
      <c r="G588" s="1450"/>
      <c r="H588" s="957">
        <f>F588*5</f>
        <v>0.78622276772015942</v>
      </c>
      <c r="I588" s="131">
        <v>0</v>
      </c>
      <c r="J588" s="131">
        <f>B588*53</f>
        <v>159</v>
      </c>
      <c r="K588" s="131">
        <v>0</v>
      </c>
      <c r="L588" s="132">
        <f>I588+J588+K588</f>
        <v>159</v>
      </c>
      <c r="M588" s="1758">
        <f>L588/(F588*427)</f>
        <v>2.3680651010540976</v>
      </c>
      <c r="N588" s="1759"/>
    </row>
    <row r="589" spans="1:14" ht="14" thickBot="1">
      <c r="A589" s="53" t="s">
        <v>60</v>
      </c>
      <c r="B589" s="1438">
        <f>SUM(B584:C588)</f>
        <v>412</v>
      </c>
      <c r="C589" s="1609"/>
      <c r="D589" s="1441">
        <f>SUM(D584:E588)</f>
        <v>4462975.2741</v>
      </c>
      <c r="E589" s="1609"/>
      <c r="F589" s="1440">
        <f>SUM(F584:G588)</f>
        <v>13.696344553544034</v>
      </c>
      <c r="G589" s="1439"/>
      <c r="H589" s="388">
        <f>SUM(H584:H588)</f>
        <v>258.87222276772025</v>
      </c>
      <c r="I589" s="136">
        <f>SUM(I584:I588)</f>
        <v>0</v>
      </c>
      <c r="J589" s="136">
        <f>SUM(J584:J588)</f>
        <v>2126</v>
      </c>
      <c r="K589" s="136">
        <f>SUM(K584:K588)</f>
        <v>29140</v>
      </c>
      <c r="L589" s="136">
        <f>SUM(L584:L588)</f>
        <v>31266</v>
      </c>
      <c r="M589" s="1657"/>
      <c r="N589" s="1622"/>
    </row>
    <row r="590" spans="1:14" s="1161" customFormat="1" ht="17" thickBot="1">
      <c r="A590" s="1239" t="s">
        <v>147</v>
      </c>
      <c r="B590" s="1456"/>
      <c r="C590" s="1586"/>
      <c r="D590" s="1567"/>
      <c r="E590" s="1586"/>
      <c r="F590" s="1457"/>
      <c r="G590" s="1586"/>
      <c r="H590" s="1142"/>
      <c r="I590" s="161"/>
      <c r="J590" s="161"/>
      <c r="K590" s="161"/>
      <c r="L590" s="162"/>
      <c r="M590" s="1617"/>
      <c r="N590" s="1486"/>
    </row>
    <row r="591" spans="1:14" ht="14" thickBot="1">
      <c r="A591" s="34" t="s">
        <v>11</v>
      </c>
      <c r="B591" s="2000">
        <v>12</v>
      </c>
      <c r="C591" s="1743"/>
      <c r="D591" s="1431">
        <f>F591*325851</f>
        <v>135684.35639999999</v>
      </c>
      <c r="E591" s="1422"/>
      <c r="F591" s="1449">
        <f>0.0347*B591</f>
        <v>0.41639999999999999</v>
      </c>
      <c r="G591" s="1450"/>
      <c r="H591" s="957">
        <f>F591*20</f>
        <v>8.3279999999999994</v>
      </c>
      <c r="I591" s="131">
        <v>0</v>
      </c>
      <c r="J591" s="131">
        <f>B591*105</f>
        <v>1260</v>
      </c>
      <c r="K591" s="131">
        <f>B591*60</f>
        <v>720</v>
      </c>
      <c r="L591" s="132">
        <f>I591+J591+K591</f>
        <v>1980</v>
      </c>
      <c r="M591" s="1758">
        <f>L591/(F591*427)</f>
        <v>11.135932617484089</v>
      </c>
      <c r="N591" s="1759"/>
    </row>
    <row r="592" spans="1:14" ht="14" thickBot="1">
      <c r="A592" s="53" t="s">
        <v>60</v>
      </c>
      <c r="B592" s="1438">
        <f>SUM(B591)</f>
        <v>12</v>
      </c>
      <c r="C592" s="1609"/>
      <c r="D592" s="1441">
        <f>SUM(D591)</f>
        <v>135684.35639999999</v>
      </c>
      <c r="E592" s="1609"/>
      <c r="F592" s="1440">
        <f>SUM(F591)</f>
        <v>0.41639999999999999</v>
      </c>
      <c r="G592" s="1439"/>
      <c r="H592" s="388">
        <f>SUM(H591)</f>
        <v>8.3279999999999994</v>
      </c>
      <c r="I592" s="136">
        <f>SUM(I591)</f>
        <v>0</v>
      </c>
      <c r="J592" s="136">
        <f>SUM(J591)</f>
        <v>1260</v>
      </c>
      <c r="K592" s="136">
        <f>SUM(K591)</f>
        <v>720</v>
      </c>
      <c r="L592" s="136">
        <f>SUM(L591)</f>
        <v>1980</v>
      </c>
      <c r="M592" s="1657"/>
      <c r="N592" s="1622"/>
    </row>
    <row r="593" spans="1:14" s="1161" customFormat="1" ht="17" thickBot="1">
      <c r="A593" s="108" t="s">
        <v>50</v>
      </c>
      <c r="B593" s="1456"/>
      <c r="C593" s="1586"/>
      <c r="D593" s="1567"/>
      <c r="E593" s="1586"/>
      <c r="F593" s="1457"/>
      <c r="G593" s="1586"/>
      <c r="H593" s="1142"/>
      <c r="I593" s="161"/>
      <c r="J593" s="161"/>
      <c r="K593" s="161"/>
      <c r="L593" s="162"/>
      <c r="M593" s="1617"/>
      <c r="N593" s="1486"/>
    </row>
    <row r="594" spans="1:14">
      <c r="A594" s="34" t="s">
        <v>66</v>
      </c>
      <c r="B594" s="2000">
        <v>0</v>
      </c>
      <c r="C594" s="1743"/>
      <c r="D594" s="1431">
        <f t="shared" ref="D594:D599" si="107">F594*325851</f>
        <v>0</v>
      </c>
      <c r="E594" s="1422"/>
      <c r="F594" s="1449">
        <f>0.0347*B594</f>
        <v>0</v>
      </c>
      <c r="G594" s="1450"/>
      <c r="H594" s="957">
        <f>F594*20</f>
        <v>0</v>
      </c>
      <c r="I594" s="131">
        <v>0</v>
      </c>
      <c r="J594" s="131">
        <v>0</v>
      </c>
      <c r="K594" s="131">
        <v>0</v>
      </c>
      <c r="L594" s="132">
        <v>0</v>
      </c>
      <c r="M594" s="1758">
        <v>0</v>
      </c>
      <c r="N594" s="1759"/>
    </row>
    <row r="595" spans="1:14">
      <c r="A595" s="34" t="s">
        <v>68</v>
      </c>
      <c r="B595" s="2000">
        <v>0</v>
      </c>
      <c r="C595" s="1743"/>
      <c r="D595" s="1431">
        <f t="shared" si="107"/>
        <v>0</v>
      </c>
      <c r="E595" s="1422"/>
      <c r="F595" s="1449">
        <f>0.644*B595</f>
        <v>0</v>
      </c>
      <c r="G595" s="1450"/>
      <c r="H595" s="957">
        <f>F595*5</f>
        <v>0</v>
      </c>
      <c r="I595" s="131">
        <v>0</v>
      </c>
      <c r="J595" s="131">
        <v>0</v>
      </c>
      <c r="K595" s="131">
        <v>0</v>
      </c>
      <c r="L595" s="132">
        <v>0</v>
      </c>
      <c r="M595" s="1758">
        <v>0</v>
      </c>
      <c r="N595" s="1759"/>
    </row>
    <row r="596" spans="1:14">
      <c r="A596" s="34" t="s">
        <v>13</v>
      </c>
      <c r="B596" s="2000">
        <v>2</v>
      </c>
      <c r="C596" s="1743"/>
      <c r="D596" s="1431">
        <f t="shared" si="107"/>
        <v>17986.975200000001</v>
      </c>
      <c r="E596" s="1422"/>
      <c r="F596" s="1449">
        <f>0.0276*B596</f>
        <v>5.5199999999999999E-2</v>
      </c>
      <c r="G596" s="1450"/>
      <c r="H596" s="957">
        <f>F596*15</f>
        <v>0.82799999999999996</v>
      </c>
      <c r="I596" s="131">
        <v>0</v>
      </c>
      <c r="J596" s="131">
        <v>0</v>
      </c>
      <c r="K596" s="131">
        <f>B596*250</f>
        <v>500</v>
      </c>
      <c r="L596" s="132">
        <f>I596+J596+K596</f>
        <v>500</v>
      </c>
      <c r="M596" s="1758">
        <f>L596/(F596*427)</f>
        <v>21.213046872348368</v>
      </c>
      <c r="N596" s="1759"/>
    </row>
    <row r="597" spans="1:14">
      <c r="A597" s="35" t="s">
        <v>15</v>
      </c>
      <c r="B597" s="2000">
        <v>0</v>
      </c>
      <c r="C597" s="1743"/>
      <c r="D597" s="1431">
        <f t="shared" si="107"/>
        <v>0</v>
      </c>
      <c r="E597" s="1422"/>
      <c r="F597" s="1449">
        <f>0.1534*B597</f>
        <v>0</v>
      </c>
      <c r="G597" s="1450"/>
      <c r="H597" s="957">
        <f>F597*5</f>
        <v>0</v>
      </c>
      <c r="I597" s="131">
        <v>0</v>
      </c>
      <c r="J597" s="131">
        <v>0</v>
      </c>
      <c r="K597" s="131">
        <v>0</v>
      </c>
      <c r="L597" s="132">
        <f>I597+J597+K597</f>
        <v>0</v>
      </c>
      <c r="M597" s="1758">
        <v>0</v>
      </c>
      <c r="N597" s="1759"/>
    </row>
    <row r="598" spans="1:14">
      <c r="A598" s="35" t="s">
        <v>16</v>
      </c>
      <c r="B598" s="2000">
        <v>0</v>
      </c>
      <c r="C598" s="1743"/>
      <c r="D598" s="1431">
        <f t="shared" si="107"/>
        <v>0</v>
      </c>
      <c r="E598" s="1422"/>
      <c r="F598" s="1449">
        <f>0.004*B598</f>
        <v>0</v>
      </c>
      <c r="G598" s="1450"/>
      <c r="H598" s="957">
        <f>F598*5</f>
        <v>0</v>
      </c>
      <c r="I598" s="131">
        <v>0</v>
      </c>
      <c r="J598" s="131">
        <v>0</v>
      </c>
      <c r="K598" s="131">
        <v>0</v>
      </c>
      <c r="L598" s="132">
        <f>I598+J598+K598</f>
        <v>0</v>
      </c>
      <c r="M598" s="1758">
        <v>0</v>
      </c>
      <c r="N598" s="1759"/>
    </row>
    <row r="599" spans="1:14" ht="14" thickBot="1">
      <c r="A599" s="34" t="s">
        <v>69</v>
      </c>
      <c r="B599" s="2000">
        <v>1</v>
      </c>
      <c r="C599" s="1743"/>
      <c r="D599" s="1431">
        <f t="shared" si="107"/>
        <v>1042723.2000000001</v>
      </c>
      <c r="E599" s="1422"/>
      <c r="F599" s="1449">
        <f>3.2*B599</f>
        <v>3.2</v>
      </c>
      <c r="G599" s="1450"/>
      <c r="H599" s="957">
        <f>F599*5</f>
        <v>16</v>
      </c>
      <c r="I599" s="131">
        <v>0</v>
      </c>
      <c r="J599" s="131">
        <v>0</v>
      </c>
      <c r="K599" s="131">
        <f>B599*2000</f>
        <v>2000</v>
      </c>
      <c r="L599" s="132">
        <f>I599+J599+K599</f>
        <v>2000</v>
      </c>
      <c r="M599" s="1758">
        <f>L599/(F599*427)</f>
        <v>1.4637002341920373</v>
      </c>
      <c r="N599" s="1759"/>
    </row>
    <row r="600" spans="1:14" ht="14" thickBot="1">
      <c r="A600" s="53" t="s">
        <v>60</v>
      </c>
      <c r="B600" s="1438">
        <f>SUM(B594:C599)</f>
        <v>3</v>
      </c>
      <c r="C600" s="1609"/>
      <c r="D600" s="1441">
        <f>SUM(D593:E599)</f>
        <v>1060710.1752000002</v>
      </c>
      <c r="E600" s="1609"/>
      <c r="F600" s="1441">
        <f>SUM(F593:G599)</f>
        <v>3.2552000000000003</v>
      </c>
      <c r="G600" s="1439"/>
      <c r="H600" s="56">
        <f>SUM(H594:H599)</f>
        <v>16.827999999999999</v>
      </c>
      <c r="I600" s="152">
        <f>SUM(I594:I599)</f>
        <v>0</v>
      </c>
      <c r="J600" s="143">
        <f>SUM(J594:J599)</f>
        <v>0</v>
      </c>
      <c r="K600" s="152">
        <f>SUM(K594:K599)</f>
        <v>2500</v>
      </c>
      <c r="L600" s="143">
        <f>SUM(L594:L599)</f>
        <v>2500</v>
      </c>
      <c r="M600" s="1657"/>
      <c r="N600" s="1622"/>
    </row>
    <row r="601" spans="1:14" s="1161" customFormat="1" ht="17" thickBot="1">
      <c r="A601" s="1183" t="s">
        <v>17</v>
      </c>
      <c r="B601" s="1665">
        <f>B600+B589+B592</f>
        <v>427</v>
      </c>
      <c r="C601" s="1684"/>
      <c r="D601" s="1665">
        <f>SUM(D600,D592,D589)</f>
        <v>5659369.8057000004</v>
      </c>
      <c r="E601" s="1684"/>
      <c r="F601" s="1663">
        <f>SUM(F600,F592,F589)</f>
        <v>17.367944553544035</v>
      </c>
      <c r="G601" s="1664"/>
      <c r="H601" s="1187">
        <f>SUM(H589,H592,H600)</f>
        <v>284.02822276772019</v>
      </c>
      <c r="I601" s="1188">
        <f>I589+I592+I600</f>
        <v>0</v>
      </c>
      <c r="J601" s="1188">
        <f>J589+J592+J600</f>
        <v>3386</v>
      </c>
      <c r="K601" s="1188">
        <f>K589+K592+K600</f>
        <v>32360</v>
      </c>
      <c r="L601" s="1188">
        <f>L589+L592+L600</f>
        <v>35746</v>
      </c>
      <c r="M601" s="1668"/>
      <c r="N601" s="1669"/>
    </row>
    <row r="603" spans="1:14" ht="15">
      <c r="A603" s="9" t="s">
        <v>18</v>
      </c>
      <c r="B603" s="1419" t="s">
        <v>59</v>
      </c>
      <c r="C603" s="1489"/>
      <c r="D603" s="1489"/>
      <c r="E603" s="1733"/>
    </row>
    <row r="604" spans="1:14">
      <c r="B604" s="1420" t="s">
        <v>19</v>
      </c>
      <c r="C604" s="1420"/>
      <c r="D604" s="1420"/>
      <c r="E604" s="1420"/>
    </row>
    <row r="605" spans="1:14" ht="14" thickBot="1">
      <c r="B605" s="871"/>
      <c r="C605" s="871"/>
      <c r="D605" s="871"/>
      <c r="E605" s="871"/>
    </row>
    <row r="606" spans="1:14" s="363" customFormat="1" ht="16">
      <c r="A606" s="98"/>
      <c r="B606" s="99"/>
      <c r="C606" s="99"/>
      <c r="D606" s="99"/>
      <c r="E606" s="99"/>
      <c r="F606" s="736"/>
      <c r="G606" s="736"/>
      <c r="H606" s="736"/>
      <c r="I606" s="1468" t="s">
        <v>0</v>
      </c>
      <c r="J606" s="1468"/>
      <c r="K606" s="1468"/>
      <c r="L606" s="1468"/>
      <c r="M606" s="99"/>
      <c r="N606" s="101"/>
    </row>
    <row r="607" spans="1:14" ht="16">
      <c r="A607" s="97"/>
      <c r="B607" s="1469" t="s">
        <v>1</v>
      </c>
      <c r="C607" s="1469"/>
      <c r="D607" s="1469" t="s">
        <v>2</v>
      </c>
      <c r="E607" s="1469"/>
      <c r="F607" s="1977" t="s">
        <v>3</v>
      </c>
      <c r="G607" s="1977"/>
      <c r="H607" s="873" t="s">
        <v>3</v>
      </c>
      <c r="I607" s="127" t="s">
        <v>195</v>
      </c>
      <c r="J607" s="102"/>
      <c r="K607" s="102"/>
      <c r="L607" s="128"/>
      <c r="M607" s="1469" t="s">
        <v>4</v>
      </c>
      <c r="N607" s="1526"/>
    </row>
    <row r="608" spans="1:14" ht="19" thickBot="1">
      <c r="A608" s="103" t="s">
        <v>5</v>
      </c>
      <c r="B608" s="1473" t="s">
        <v>6</v>
      </c>
      <c r="C608" s="1473"/>
      <c r="D608" s="1473" t="s">
        <v>7</v>
      </c>
      <c r="E608" s="1473"/>
      <c r="F608" s="1978" t="s">
        <v>7</v>
      </c>
      <c r="G608" s="1978"/>
      <c r="H608" s="874" t="s">
        <v>58</v>
      </c>
      <c r="I608" s="868" t="s">
        <v>196</v>
      </c>
      <c r="J608" s="867" t="s">
        <v>8</v>
      </c>
      <c r="K608" s="867" t="s">
        <v>9</v>
      </c>
      <c r="L608" s="401" t="s">
        <v>10</v>
      </c>
      <c r="M608" s="1473" t="s">
        <v>145</v>
      </c>
      <c r="N608" s="1475"/>
    </row>
    <row r="609" spans="1:14" ht="24" thickBot="1">
      <c r="A609" s="88" t="s">
        <v>136</v>
      </c>
      <c r="B609" s="1764"/>
      <c r="C609" s="1477"/>
      <c r="D609" s="1478"/>
      <c r="E609" s="1479"/>
      <c r="F609" s="1478"/>
      <c r="G609" s="1479"/>
      <c r="H609" s="387"/>
      <c r="I609" s="7"/>
      <c r="J609" s="7"/>
      <c r="K609" s="7"/>
      <c r="L609" s="8"/>
      <c r="M609" s="1764"/>
      <c r="N609" s="1765"/>
    </row>
    <row r="610" spans="1:14" s="1161" customFormat="1" ht="17" thickBot="1">
      <c r="A610" s="108" t="s">
        <v>61</v>
      </c>
      <c r="B610" s="1567"/>
      <c r="C610" s="1586"/>
      <c r="D610" s="1567"/>
      <c r="E610" s="1586"/>
      <c r="F610" s="1567"/>
      <c r="G610" s="1586"/>
      <c r="H610" s="1142"/>
      <c r="I610" s="109"/>
      <c r="J610" s="109"/>
      <c r="K610" s="109"/>
      <c r="L610" s="1141"/>
      <c r="M610" s="1617"/>
      <c r="N610" s="1486"/>
    </row>
    <row r="611" spans="1:14">
      <c r="A611" s="122" t="s">
        <v>62</v>
      </c>
      <c r="B611" s="1696">
        <v>297</v>
      </c>
      <c r="C611" s="1743"/>
      <c r="D611" s="1431">
        <f>F611*325851</f>
        <v>3358187.8209000002</v>
      </c>
      <c r="E611" s="1422"/>
      <c r="F611" s="1871">
        <f>0.0347*B611</f>
        <v>10.305900000000001</v>
      </c>
      <c r="G611" s="1450"/>
      <c r="H611" s="957">
        <f>F611*20</f>
        <v>206.11800000000002</v>
      </c>
      <c r="I611" s="131">
        <v>0</v>
      </c>
      <c r="J611" s="131">
        <v>574</v>
      </c>
      <c r="K611" s="131">
        <v>17220</v>
      </c>
      <c r="L611" s="132">
        <f>I611+J611+K611</f>
        <v>17794</v>
      </c>
      <c r="M611" s="1788">
        <v>4.7</v>
      </c>
      <c r="N611" s="1789"/>
    </row>
    <row r="612" spans="1:14">
      <c r="A612" s="32" t="s">
        <v>63</v>
      </c>
      <c r="B612" s="1696">
        <v>2</v>
      </c>
      <c r="C612" s="1743"/>
      <c r="D612" s="1431">
        <f>F612*325851</f>
        <v>22614.059400000002</v>
      </c>
      <c r="E612" s="1422"/>
      <c r="F612" s="1871">
        <f>0.0347*B612</f>
        <v>6.9400000000000003E-2</v>
      </c>
      <c r="G612" s="1450"/>
      <c r="H612" s="957">
        <f>F612*20</f>
        <v>1.3880000000000001</v>
      </c>
      <c r="I612" s="131">
        <v>0</v>
      </c>
      <c r="J612" s="131">
        <v>22</v>
      </c>
      <c r="K612" s="131">
        <v>120</v>
      </c>
      <c r="L612" s="132">
        <f>I612+J612+K612</f>
        <v>142</v>
      </c>
      <c r="M612" s="1788">
        <v>3.4</v>
      </c>
      <c r="N612" s="1789"/>
    </row>
    <row r="613" spans="1:14">
      <c r="A613" s="32" t="s">
        <v>64</v>
      </c>
      <c r="B613" s="1696">
        <v>130</v>
      </c>
      <c r="C613" s="1743"/>
      <c r="D613" s="1431">
        <f>F613*325851</f>
        <v>1469913.861</v>
      </c>
      <c r="E613" s="1422"/>
      <c r="F613" s="1871">
        <f>0.0347*B613</f>
        <v>4.5110000000000001</v>
      </c>
      <c r="G613" s="1450"/>
      <c r="H613" s="957">
        <f>F613*20</f>
        <v>90.22</v>
      </c>
      <c r="I613" s="131">
        <v>0</v>
      </c>
      <c r="J613" s="131">
        <v>130</v>
      </c>
      <c r="K613" s="131">
        <v>7800</v>
      </c>
      <c r="L613" s="132">
        <f>I613+J613+K613</f>
        <v>7930</v>
      </c>
      <c r="M613" s="1788">
        <v>4.5999999999999996</v>
      </c>
      <c r="N613" s="1789"/>
    </row>
    <row r="614" spans="1:14">
      <c r="A614" s="34" t="s">
        <v>13</v>
      </c>
      <c r="B614" s="1696">
        <v>83</v>
      </c>
      <c r="C614" s="1743"/>
      <c r="D614" s="1431">
        <f>F614*325851</f>
        <v>746459.47080000001</v>
      </c>
      <c r="E614" s="1422"/>
      <c r="F614" s="1871">
        <f>0.0276*B614</f>
        <v>2.2907999999999999</v>
      </c>
      <c r="G614" s="1450"/>
      <c r="H614" s="957">
        <f>F614*15</f>
        <v>34.362000000000002</v>
      </c>
      <c r="I614" s="131">
        <v>0</v>
      </c>
      <c r="J614" s="131">
        <v>130</v>
      </c>
      <c r="K614" s="131">
        <v>14300</v>
      </c>
      <c r="L614" s="132">
        <f>I614+J614+K614</f>
        <v>14430</v>
      </c>
      <c r="M614" s="1788">
        <v>5.7</v>
      </c>
      <c r="N614" s="1789"/>
    </row>
    <row r="615" spans="1:14" ht="14" thickBot="1">
      <c r="A615" s="35" t="s">
        <v>14</v>
      </c>
      <c r="B615" s="1696">
        <v>23</v>
      </c>
      <c r="C615" s="1743"/>
      <c r="D615" s="1431">
        <v>802854</v>
      </c>
      <c r="E615" s="1422"/>
      <c r="F615" s="1871">
        <v>2.46</v>
      </c>
      <c r="G615" s="1450"/>
      <c r="H615" s="957">
        <f>F615*5</f>
        <v>12.3</v>
      </c>
      <c r="I615" s="131">
        <v>0</v>
      </c>
      <c r="J615" s="131">
        <v>1219</v>
      </c>
      <c r="K615" s="131">
        <v>0</v>
      </c>
      <c r="L615" s="132">
        <f>I615+J615+K615</f>
        <v>1219</v>
      </c>
      <c r="M615" s="1788">
        <v>2.4</v>
      </c>
      <c r="N615" s="1789"/>
    </row>
    <row r="616" spans="1:14" ht="14" thickBot="1">
      <c r="A616" s="53" t="s">
        <v>60</v>
      </c>
      <c r="B616" s="1440">
        <f>SUM(B611:C615)</f>
        <v>535</v>
      </c>
      <c r="C616" s="1621"/>
      <c r="D616" s="1441">
        <f>SUM(D611:E615)</f>
        <v>6400029.2121000001</v>
      </c>
      <c r="E616" s="1621"/>
      <c r="F616" s="1441">
        <f>SUM(F611:G615)</f>
        <v>19.637100000000004</v>
      </c>
      <c r="G616" s="1439"/>
      <c r="H616" s="388">
        <f>SUM(H611:H615)</f>
        <v>344.38800000000003</v>
      </c>
      <c r="I616" s="136">
        <f>SUM(I611:I615)</f>
        <v>0</v>
      </c>
      <c r="J616" s="136">
        <f>SUM(J611:J615)</f>
        <v>2075</v>
      </c>
      <c r="K616" s="136">
        <f>SUM(K611:K615)</f>
        <v>39440</v>
      </c>
      <c r="L616" s="136">
        <f>SUM(L611:L615)</f>
        <v>41515</v>
      </c>
      <c r="M616" s="1657"/>
      <c r="N616" s="1622"/>
    </row>
    <row r="617" spans="1:14" s="1161" customFormat="1" ht="17" thickBot="1">
      <c r="A617" s="1239" t="s">
        <v>147</v>
      </c>
      <c r="B617" s="1457"/>
      <c r="C617" s="1586"/>
      <c r="D617" s="1567"/>
      <c r="E617" s="1586"/>
      <c r="F617" s="1567"/>
      <c r="G617" s="1586"/>
      <c r="H617" s="1142"/>
      <c r="I617" s="161"/>
      <c r="J617" s="161"/>
      <c r="K617" s="161"/>
      <c r="L617" s="162"/>
      <c r="M617" s="1617"/>
      <c r="N617" s="1486"/>
    </row>
    <row r="618" spans="1:14" ht="14" thickBot="1">
      <c r="A618" s="34" t="s">
        <v>11</v>
      </c>
      <c r="B618" s="1696">
        <v>106</v>
      </c>
      <c r="C618" s="1743"/>
      <c r="D618" s="1431">
        <f>F618*325851</f>
        <v>1198545.1482000002</v>
      </c>
      <c r="E618" s="1422"/>
      <c r="F618" s="1871">
        <f>0.0347*B618</f>
        <v>3.6782000000000004</v>
      </c>
      <c r="G618" s="1450"/>
      <c r="H618" s="957">
        <f>F618*20</f>
        <v>73.564000000000007</v>
      </c>
      <c r="I618" s="131">
        <v>0</v>
      </c>
      <c r="J618" s="131">
        <v>3604</v>
      </c>
      <c r="K618" s="131">
        <v>6360</v>
      </c>
      <c r="L618" s="132">
        <f>I618+J618+K618</f>
        <v>9964</v>
      </c>
      <c r="M618" s="1788">
        <v>4.2</v>
      </c>
      <c r="N618" s="1789"/>
    </row>
    <row r="619" spans="1:14" ht="14" thickBot="1">
      <c r="A619" s="53" t="s">
        <v>60</v>
      </c>
      <c r="B619" s="1440">
        <f>SUM(B618)</f>
        <v>106</v>
      </c>
      <c r="C619" s="1439"/>
      <c r="D619" s="1440">
        <f>SUM(D618)</f>
        <v>1198545.1482000002</v>
      </c>
      <c r="E619" s="1440"/>
      <c r="F619" s="1441">
        <f>SUM(F618)</f>
        <v>3.6782000000000004</v>
      </c>
      <c r="G619" s="1439"/>
      <c r="H619" s="388">
        <f>SUM(H618)</f>
        <v>73.564000000000007</v>
      </c>
      <c r="I619" s="136">
        <f>SUM(I618)</f>
        <v>0</v>
      </c>
      <c r="J619" s="136">
        <f>SUM(J618)</f>
        <v>3604</v>
      </c>
      <c r="K619" s="136">
        <f>SUM(K618)</f>
        <v>6360</v>
      </c>
      <c r="L619" s="136">
        <f>SUM(L618)</f>
        <v>9964</v>
      </c>
      <c r="M619" s="1657"/>
      <c r="N619" s="1790"/>
    </row>
    <row r="620" spans="1:14" s="1161" customFormat="1" ht="17" thickBot="1">
      <c r="A620" s="108" t="s">
        <v>50</v>
      </c>
      <c r="B620" s="1457"/>
      <c r="C620" s="1586"/>
      <c r="D620" s="1567"/>
      <c r="E620" s="1586"/>
      <c r="F620" s="1567"/>
      <c r="G620" s="1586"/>
      <c r="H620" s="1142"/>
      <c r="I620" s="161"/>
      <c r="J620" s="161"/>
      <c r="K620" s="161"/>
      <c r="L620" s="162"/>
      <c r="M620" s="1617"/>
      <c r="N620" s="1486"/>
    </row>
    <row r="621" spans="1:14">
      <c r="A621" s="34" t="s">
        <v>13</v>
      </c>
      <c r="B621" s="1696">
        <v>18</v>
      </c>
      <c r="C621" s="1743"/>
      <c r="D621" s="1431">
        <f>F621*325851</f>
        <v>161882.77679999999</v>
      </c>
      <c r="E621" s="1422"/>
      <c r="F621" s="1871">
        <f>0.0276*B621</f>
        <v>0.49680000000000002</v>
      </c>
      <c r="G621" s="1450"/>
      <c r="H621" s="957">
        <f>F621*15</f>
        <v>7.452</v>
      </c>
      <c r="I621" s="131">
        <v>0</v>
      </c>
      <c r="J621" s="131">
        <v>0</v>
      </c>
      <c r="K621" s="131">
        <v>4500</v>
      </c>
      <c r="L621" s="132">
        <f>I621+J621+K621</f>
        <v>4500</v>
      </c>
      <c r="M621" s="1788">
        <v>5.0999999999999996</v>
      </c>
      <c r="N621" s="1789"/>
    </row>
    <row r="622" spans="1:14">
      <c r="A622" s="35" t="s">
        <v>75</v>
      </c>
      <c r="B622" s="1696">
        <v>24</v>
      </c>
      <c r="C622" s="1743"/>
      <c r="D622" s="1431">
        <f>F622*325851</f>
        <v>1199653.0416000001</v>
      </c>
      <c r="E622" s="1422"/>
      <c r="F622" s="1871">
        <f>0.1534*B622</f>
        <v>3.6816000000000004</v>
      </c>
      <c r="G622" s="1450"/>
      <c r="H622" s="957">
        <f>F622*5</f>
        <v>18.408000000000001</v>
      </c>
      <c r="I622" s="131">
        <v>0</v>
      </c>
      <c r="J622" s="131">
        <v>2400</v>
      </c>
      <c r="K622" s="131">
        <v>2400</v>
      </c>
      <c r="L622" s="132">
        <f>I622+J622+K622</f>
        <v>4800</v>
      </c>
      <c r="M622" s="1788">
        <v>3.1</v>
      </c>
      <c r="N622" s="1789"/>
    </row>
    <row r="623" spans="1:14">
      <c r="A623" s="35" t="s">
        <v>71</v>
      </c>
      <c r="B623" s="1696">
        <v>2</v>
      </c>
      <c r="C623" s="1743"/>
      <c r="D623" s="1431">
        <f>F623*325851</f>
        <v>99971.086800000005</v>
      </c>
      <c r="E623" s="1422"/>
      <c r="F623" s="1871">
        <f>0.1534*B623</f>
        <v>0.30680000000000002</v>
      </c>
      <c r="G623" s="1450"/>
      <c r="H623" s="957">
        <f>F623*5</f>
        <v>1.534</v>
      </c>
      <c r="I623" s="131">
        <v>0</v>
      </c>
      <c r="J623" s="131">
        <v>0</v>
      </c>
      <c r="K623" s="131">
        <v>200</v>
      </c>
      <c r="L623" s="132">
        <f>I623+J623+K623</f>
        <v>200</v>
      </c>
      <c r="M623" s="1788">
        <v>1.6</v>
      </c>
      <c r="N623" s="1789"/>
    </row>
    <row r="624" spans="1:14" ht="14" thickBot="1">
      <c r="A624" s="35" t="s">
        <v>16</v>
      </c>
      <c r="B624" s="1696">
        <v>0</v>
      </c>
      <c r="C624" s="1743"/>
      <c r="D624" s="1431">
        <f>F624*325851</f>
        <v>0</v>
      </c>
      <c r="E624" s="1422"/>
      <c r="F624" s="1871">
        <f>0.004*B624</f>
        <v>0</v>
      </c>
      <c r="G624" s="1450"/>
      <c r="H624" s="957">
        <f>F624*5</f>
        <v>0</v>
      </c>
      <c r="I624" s="131">
        <v>0</v>
      </c>
      <c r="J624" s="131">
        <v>0</v>
      </c>
      <c r="K624" s="131">
        <v>0</v>
      </c>
      <c r="L624" s="132">
        <f>I624+J624+K624</f>
        <v>0</v>
      </c>
      <c r="M624" s="1788">
        <v>0</v>
      </c>
      <c r="N624" s="1789"/>
    </row>
    <row r="625" spans="1:14" ht="14" thickBot="1">
      <c r="A625" s="53" t="s">
        <v>60</v>
      </c>
      <c r="B625" s="1440">
        <f>SUM(B621:C624)</f>
        <v>44</v>
      </c>
      <c r="C625" s="1621"/>
      <c r="D625" s="1441">
        <f>SUM(D621:E624)</f>
        <v>1461506.9052000002</v>
      </c>
      <c r="E625" s="1621"/>
      <c r="F625" s="1441">
        <f>SUM(F621:G624)</f>
        <v>4.4852000000000007</v>
      </c>
      <c r="G625" s="1439"/>
      <c r="H625" s="56">
        <f>SUM(H621:H624)</f>
        <v>27.393999999999998</v>
      </c>
      <c r="I625" s="143">
        <f>SUM(I621:I624)</f>
        <v>0</v>
      </c>
      <c r="J625" s="143">
        <f>SUM(J621:J624)</f>
        <v>2400</v>
      </c>
      <c r="K625" s="152">
        <f>SUM(K621:K624)</f>
        <v>7100</v>
      </c>
      <c r="L625" s="143">
        <f>SUM(L621:L624)</f>
        <v>9500</v>
      </c>
      <c r="M625" s="1657"/>
      <c r="N625" s="1622"/>
    </row>
    <row r="626" spans="1:14" s="1161" customFormat="1" ht="17" thickBot="1">
      <c r="A626" s="1183" t="s">
        <v>17</v>
      </c>
      <c r="B626" s="1665">
        <f>B616+B619+B625</f>
        <v>685</v>
      </c>
      <c r="C626" s="1684"/>
      <c r="D626" s="1665">
        <f>SUM(D625,D616,D619)</f>
        <v>9060081.2654999997</v>
      </c>
      <c r="E626" s="1684"/>
      <c r="F626" s="1665">
        <f>SUM(F625,F616,F619)</f>
        <v>27.800500000000003</v>
      </c>
      <c r="G626" s="1664"/>
      <c r="H626" s="1187">
        <f>SUM(H616,H619,H625)</f>
        <v>445.34600000000006</v>
      </c>
      <c r="I626" s="1188">
        <f>I616+I619+I625</f>
        <v>0</v>
      </c>
      <c r="J626" s="1188">
        <f>J616+J619+J625</f>
        <v>8079</v>
      </c>
      <c r="K626" s="1188">
        <f>K616+K619+K625</f>
        <v>52900</v>
      </c>
      <c r="L626" s="1188">
        <f>L616+L619+L625</f>
        <v>60979</v>
      </c>
      <c r="M626" s="1668"/>
      <c r="N626" s="1669"/>
    </row>
    <row r="628" spans="1:14" ht="14" thickBot="1"/>
    <row r="629" spans="1:14" ht="24" thickBot="1">
      <c r="A629" s="88" t="s">
        <v>137</v>
      </c>
      <c r="B629" s="11"/>
      <c r="C629" s="12"/>
      <c r="D629" s="11"/>
      <c r="E629" s="12"/>
      <c r="F629" s="419"/>
      <c r="G629" s="373"/>
      <c r="H629" s="373"/>
      <c r="I629" s="15"/>
      <c r="J629" s="15"/>
      <c r="K629" s="15"/>
      <c r="L629" s="15"/>
      <c r="M629" s="16"/>
      <c r="N629" s="17"/>
    </row>
    <row r="630" spans="1:14" s="1161" customFormat="1" ht="17" thickBot="1">
      <c r="A630" s="108" t="s">
        <v>74</v>
      </c>
      <c r="B630" s="1567"/>
      <c r="C630" s="1586"/>
      <c r="D630" s="1567"/>
      <c r="E630" s="1586"/>
      <c r="F630" s="1567"/>
      <c r="G630" s="1586"/>
      <c r="H630" s="1142"/>
      <c r="I630" s="109"/>
      <c r="J630" s="109"/>
      <c r="K630" s="109"/>
      <c r="L630" s="1141"/>
      <c r="M630" s="1617"/>
      <c r="N630" s="1486"/>
    </row>
    <row r="631" spans="1:14">
      <c r="A631" s="122" t="s">
        <v>62</v>
      </c>
      <c r="B631" s="1696">
        <v>292</v>
      </c>
      <c r="C631" s="1743"/>
      <c r="D631" s="1431">
        <f>F631*325851</f>
        <v>3301652.6724</v>
      </c>
      <c r="E631" s="1422"/>
      <c r="F631" s="1871">
        <f>0.0347*B631</f>
        <v>10.132400000000001</v>
      </c>
      <c r="G631" s="1450"/>
      <c r="H631" s="957">
        <f>F631*20</f>
        <v>202.64800000000002</v>
      </c>
      <c r="I631" s="131">
        <v>0</v>
      </c>
      <c r="J631" s="131">
        <v>740</v>
      </c>
      <c r="K631" s="131">
        <v>22200</v>
      </c>
      <c r="L631" s="131">
        <f>I631+J631+K631</f>
        <v>22940</v>
      </c>
      <c r="M631" s="1788">
        <v>4.7</v>
      </c>
      <c r="N631" s="1789"/>
    </row>
    <row r="632" spans="1:14">
      <c r="A632" s="32" t="s">
        <v>63</v>
      </c>
      <c r="B632" s="1696">
        <v>59</v>
      </c>
      <c r="C632" s="1743"/>
      <c r="D632" s="1431">
        <f>F632*325851</f>
        <v>667114.75229999993</v>
      </c>
      <c r="E632" s="1422"/>
      <c r="F632" s="1871">
        <f>0.0347*B632</f>
        <v>2.0472999999999999</v>
      </c>
      <c r="G632" s="1450"/>
      <c r="H632" s="957">
        <f>F632*20</f>
        <v>40.945999999999998</v>
      </c>
      <c r="I632" s="131">
        <v>0</v>
      </c>
      <c r="J632" s="131">
        <v>363</v>
      </c>
      <c r="K632" s="131">
        <v>1980</v>
      </c>
      <c r="L632" s="131">
        <f>I632+J632+K632</f>
        <v>2343</v>
      </c>
      <c r="M632" s="1788">
        <v>5.6</v>
      </c>
      <c r="N632" s="1789"/>
    </row>
    <row r="633" spans="1:14">
      <c r="A633" s="32" t="s">
        <v>64</v>
      </c>
      <c r="B633" s="1696">
        <v>14</v>
      </c>
      <c r="C633" s="1743"/>
      <c r="D633" s="1431">
        <f>F633*325851</f>
        <v>158298.41580000002</v>
      </c>
      <c r="E633" s="1422"/>
      <c r="F633" s="1871">
        <f>0.0347*B633</f>
        <v>0.48580000000000001</v>
      </c>
      <c r="G633" s="1450"/>
      <c r="H633" s="957">
        <f>F633*20</f>
        <v>9.7160000000000011</v>
      </c>
      <c r="I633" s="131">
        <v>0</v>
      </c>
      <c r="J633" s="131">
        <v>14</v>
      </c>
      <c r="K633" s="131">
        <v>840</v>
      </c>
      <c r="L633" s="131">
        <f>I633+J633+K633</f>
        <v>854</v>
      </c>
      <c r="M633" s="1788">
        <v>5.0999999999999996</v>
      </c>
      <c r="N633" s="1789"/>
    </row>
    <row r="634" spans="1:14">
      <c r="A634" s="34" t="s">
        <v>13</v>
      </c>
      <c r="B634" s="1696">
        <v>46</v>
      </c>
      <c r="C634" s="1743"/>
      <c r="D634" s="1431">
        <f>F634*325851</f>
        <v>413700.42960000003</v>
      </c>
      <c r="E634" s="1422"/>
      <c r="F634" s="1871">
        <f>0.0276*B634</f>
        <v>1.2696000000000001</v>
      </c>
      <c r="G634" s="1450"/>
      <c r="H634" s="957">
        <f>F634*15</f>
        <v>19.044</v>
      </c>
      <c r="I634" s="131">
        <v>0</v>
      </c>
      <c r="J634" s="131">
        <v>127</v>
      </c>
      <c r="K634" s="131">
        <v>13970</v>
      </c>
      <c r="L634" s="131">
        <f>I634+J634+K634</f>
        <v>14097</v>
      </c>
      <c r="M634" s="1788">
        <v>5.8</v>
      </c>
      <c r="N634" s="1789"/>
    </row>
    <row r="635" spans="1:14" ht="14" thickBot="1">
      <c r="A635" s="34" t="s">
        <v>14</v>
      </c>
      <c r="B635" s="1696">
        <v>25</v>
      </c>
      <c r="C635" s="1743"/>
      <c r="D635" s="1431">
        <v>1246986</v>
      </c>
      <c r="E635" s="1422"/>
      <c r="F635" s="1871">
        <v>3.83</v>
      </c>
      <c r="G635" s="1450"/>
      <c r="H635" s="957">
        <f>F635*5</f>
        <v>19.149999999999999</v>
      </c>
      <c r="I635" s="131">
        <v>0</v>
      </c>
      <c r="J635" s="131">
        <v>1325</v>
      </c>
      <c r="K635" s="131">
        <v>0</v>
      </c>
      <c r="L635" s="131">
        <f>I635+J635+K635</f>
        <v>1325</v>
      </c>
      <c r="M635" s="1788">
        <v>2.4</v>
      </c>
      <c r="N635" s="1789"/>
    </row>
    <row r="636" spans="1:14" ht="14" thickBot="1">
      <c r="A636" s="53" t="s">
        <v>60</v>
      </c>
      <c r="B636" s="1440">
        <f>SUM(B631:C635)</f>
        <v>436</v>
      </c>
      <c r="C636" s="1621"/>
      <c r="D636" s="1441">
        <f>SUM(D631:E635)</f>
        <v>5787752.2701000003</v>
      </c>
      <c r="E636" s="1609"/>
      <c r="F636" s="1440">
        <f>SUM(F631:G635)</f>
        <v>17.7651</v>
      </c>
      <c r="G636" s="1439"/>
      <c r="H636" s="388">
        <f>SUM(H631:H635)</f>
        <v>291.50400000000002</v>
      </c>
      <c r="I636" s="136">
        <f>SUM(I631:I635)</f>
        <v>0</v>
      </c>
      <c r="J636" s="136">
        <f>SUM(J631:J635)</f>
        <v>2569</v>
      </c>
      <c r="K636" s="136">
        <f>SUM(K631:K635)</f>
        <v>38990</v>
      </c>
      <c r="L636" s="136">
        <f>SUM(L631:L635)</f>
        <v>41559</v>
      </c>
      <c r="M636" s="1657"/>
      <c r="N636" s="1622"/>
    </row>
    <row r="637" spans="1:14" s="1161" customFormat="1" ht="17" thickBot="1">
      <c r="A637" s="1239" t="s">
        <v>147</v>
      </c>
      <c r="B637" s="1457"/>
      <c r="C637" s="1586"/>
      <c r="D637" s="1567"/>
      <c r="E637" s="1586"/>
      <c r="F637" s="1567"/>
      <c r="G637" s="1586"/>
      <c r="H637" s="1142"/>
      <c r="I637" s="161"/>
      <c r="J637" s="161"/>
      <c r="K637" s="161"/>
      <c r="L637" s="162"/>
      <c r="M637" s="1617"/>
      <c r="N637" s="1486"/>
    </row>
    <row r="638" spans="1:14" ht="14" thickBot="1">
      <c r="A638" s="34" t="s">
        <v>11</v>
      </c>
      <c r="B638" s="1696">
        <v>57</v>
      </c>
      <c r="C638" s="1743"/>
      <c r="D638" s="1431">
        <f>F638*325851</f>
        <v>644500.69290000002</v>
      </c>
      <c r="E638" s="1422"/>
      <c r="F638" s="1871">
        <f>0.0347*B638</f>
        <v>1.9779</v>
      </c>
      <c r="G638" s="1450"/>
      <c r="H638" s="957">
        <f>F638*20</f>
        <v>39.558</v>
      </c>
      <c r="I638" s="131">
        <v>0</v>
      </c>
      <c r="J638" s="131">
        <v>5372</v>
      </c>
      <c r="K638" s="131">
        <v>9480</v>
      </c>
      <c r="L638" s="131">
        <f>I638+J638+K638</f>
        <v>14852</v>
      </c>
      <c r="M638" s="1788">
        <v>4.2</v>
      </c>
      <c r="N638" s="1789"/>
    </row>
    <row r="639" spans="1:14" ht="14" thickBot="1">
      <c r="A639" s="53" t="s">
        <v>60</v>
      </c>
      <c r="B639" s="1440">
        <f>SUM(B638)</f>
        <v>57</v>
      </c>
      <c r="C639" s="1621"/>
      <c r="D639" s="1441">
        <f>SUM(D638)</f>
        <v>644500.69290000002</v>
      </c>
      <c r="E639" s="1609"/>
      <c r="F639" s="1440">
        <f>SUM(F638)</f>
        <v>1.9779</v>
      </c>
      <c r="G639" s="1439"/>
      <c r="H639" s="388">
        <f>SUM(H638)</f>
        <v>39.558</v>
      </c>
      <c r="I639" s="136">
        <f>SUM(I638)</f>
        <v>0</v>
      </c>
      <c r="J639" s="136">
        <f>SUM(J638)</f>
        <v>5372</v>
      </c>
      <c r="K639" s="136">
        <f>SUM(K638)</f>
        <v>9480</v>
      </c>
      <c r="L639" s="136">
        <f>SUM(L638)</f>
        <v>14852</v>
      </c>
      <c r="M639" s="1657"/>
      <c r="N639" s="1622"/>
    </row>
    <row r="640" spans="1:14" s="1161" customFormat="1" ht="17" thickBot="1">
      <c r="A640" s="108" t="s">
        <v>50</v>
      </c>
      <c r="B640" s="1457"/>
      <c r="C640" s="1586"/>
      <c r="D640" s="1567"/>
      <c r="E640" s="1586"/>
      <c r="F640" s="1567"/>
      <c r="G640" s="1586"/>
      <c r="H640" s="1142"/>
      <c r="I640" s="161"/>
      <c r="J640" s="161"/>
      <c r="K640" s="161"/>
      <c r="L640" s="162"/>
      <c r="M640" s="1617"/>
      <c r="N640" s="1486"/>
    </row>
    <row r="641" spans="1:14">
      <c r="A641" s="34" t="s">
        <v>13</v>
      </c>
      <c r="B641" s="1419">
        <v>42</v>
      </c>
      <c r="C641" s="1786"/>
      <c r="D641" s="1431">
        <f>F641*325851</f>
        <v>377726.4792</v>
      </c>
      <c r="E641" s="1422"/>
      <c r="F641" s="1871">
        <f>0.0276*B641</f>
        <v>1.1592</v>
      </c>
      <c r="G641" s="1450"/>
      <c r="H641" s="957">
        <f>F641*15</f>
        <v>17.388000000000002</v>
      </c>
      <c r="I641" s="175">
        <v>0</v>
      </c>
      <c r="J641" s="175">
        <v>0</v>
      </c>
      <c r="K641" s="175">
        <v>10500</v>
      </c>
      <c r="L641" s="131">
        <f>I641+J641+K641</f>
        <v>10500</v>
      </c>
      <c r="M641" s="1928">
        <v>5</v>
      </c>
      <c r="N641" s="1929"/>
    </row>
    <row r="642" spans="1:14">
      <c r="A642" s="34" t="s">
        <v>15</v>
      </c>
      <c r="B642" s="1696">
        <v>9</v>
      </c>
      <c r="C642" s="1743"/>
      <c r="D642" s="1431">
        <f>F642*325851</f>
        <v>449869.89060000004</v>
      </c>
      <c r="E642" s="1422"/>
      <c r="F642" s="1871">
        <f>0.1534*B642</f>
        <v>1.3806</v>
      </c>
      <c r="G642" s="1450"/>
      <c r="H642" s="957">
        <f>F642*5</f>
        <v>6.9030000000000005</v>
      </c>
      <c r="I642" s="131">
        <v>0</v>
      </c>
      <c r="J642" s="131">
        <v>900</v>
      </c>
      <c r="K642" s="131">
        <v>900</v>
      </c>
      <c r="L642" s="131">
        <f>I642+J642+K642</f>
        <v>1800</v>
      </c>
      <c r="M642" s="1788">
        <v>3.1</v>
      </c>
      <c r="N642" s="1789"/>
    </row>
    <row r="643" spans="1:14">
      <c r="A643" s="35" t="s">
        <v>16</v>
      </c>
      <c r="B643" s="1419">
        <v>65</v>
      </c>
      <c r="C643" s="1786"/>
      <c r="D643" s="1431">
        <f>F643*325851</f>
        <v>84721.260000000009</v>
      </c>
      <c r="E643" s="1422"/>
      <c r="F643" s="1871">
        <f>0.004*B643</f>
        <v>0.26</v>
      </c>
      <c r="G643" s="1450"/>
      <c r="H643" s="957">
        <f>F643*5</f>
        <v>1.3</v>
      </c>
      <c r="I643" s="175">
        <v>0</v>
      </c>
      <c r="J643" s="175">
        <v>0</v>
      </c>
      <c r="K643" s="175">
        <v>3250</v>
      </c>
      <c r="L643" s="131">
        <f>I643+J643+K643</f>
        <v>3250</v>
      </c>
      <c r="M643" s="1926">
        <v>0.6</v>
      </c>
      <c r="N643" s="1927"/>
    </row>
    <row r="644" spans="1:14">
      <c r="A644" s="35" t="s">
        <v>76</v>
      </c>
      <c r="B644" s="1696">
        <v>4</v>
      </c>
      <c r="C644" s="1743"/>
      <c r="D644" s="1431">
        <f>F644*325851</f>
        <v>4170892.8000000003</v>
      </c>
      <c r="E644" s="1422"/>
      <c r="F644" s="1871">
        <f>3.2*B644</f>
        <v>12.8</v>
      </c>
      <c r="G644" s="1450"/>
      <c r="H644" s="957">
        <f>F644*5</f>
        <v>64</v>
      </c>
      <c r="I644" s="131">
        <v>0</v>
      </c>
      <c r="J644" s="131">
        <v>0</v>
      </c>
      <c r="K644" s="131">
        <v>8000</v>
      </c>
      <c r="L644" s="132">
        <f>I644+J644+K644</f>
        <v>8000</v>
      </c>
      <c r="M644" s="1788">
        <v>1.5</v>
      </c>
      <c r="N644" s="1789"/>
    </row>
    <row r="645" spans="1:14" ht="14" thickBot="1">
      <c r="A645" s="34" t="s">
        <v>21</v>
      </c>
      <c r="B645" s="1696" t="s">
        <v>22</v>
      </c>
      <c r="C645" s="1743"/>
      <c r="D645" s="1431" t="s">
        <v>22</v>
      </c>
      <c r="E645" s="1422"/>
      <c r="F645" s="1871" t="s">
        <v>22</v>
      </c>
      <c r="G645" s="1450"/>
      <c r="H645" s="957" t="s">
        <v>22</v>
      </c>
      <c r="I645" s="131" t="s">
        <v>22</v>
      </c>
      <c r="J645" s="131" t="s">
        <v>22</v>
      </c>
      <c r="K645" s="131" t="s">
        <v>22</v>
      </c>
      <c r="L645" s="131" t="s">
        <v>22</v>
      </c>
      <c r="M645" s="1788" t="s">
        <v>22</v>
      </c>
      <c r="N645" s="1789"/>
    </row>
    <row r="646" spans="1:14" ht="14" thickBot="1">
      <c r="A646" s="53" t="s">
        <v>60</v>
      </c>
      <c r="B646" s="1440">
        <f>SUM(B641:C645)</f>
        <v>120</v>
      </c>
      <c r="C646" s="1621"/>
      <c r="D646" s="1441">
        <f>SUM(D641:E645)</f>
        <v>5083210.4298</v>
      </c>
      <c r="E646" s="1609"/>
      <c r="F646" s="1440">
        <f>SUM(F641:G645)</f>
        <v>15.599800000000002</v>
      </c>
      <c r="G646" s="1440"/>
      <c r="H646" s="692">
        <f>SUM(H636,H639,H645)</f>
        <v>331.06200000000001</v>
      </c>
      <c r="I646" s="143">
        <f>SUM(I641:I645)</f>
        <v>0</v>
      </c>
      <c r="J646" s="136">
        <f>SUM(J641:J645)</f>
        <v>900</v>
      </c>
      <c r="K646" s="136">
        <f>SUM(K641:K645)</f>
        <v>22650</v>
      </c>
      <c r="L646" s="136">
        <f>SUM(L641:L645)</f>
        <v>23550</v>
      </c>
      <c r="M646" s="1657"/>
      <c r="N646" s="1622"/>
    </row>
    <row r="647" spans="1:14" s="1161" customFormat="1" ht="17" thickBot="1">
      <c r="A647" s="1183" t="s">
        <v>17</v>
      </c>
      <c r="B647" s="1665">
        <f>B636+B639+B646</f>
        <v>613</v>
      </c>
      <c r="C647" s="1664"/>
      <c r="D647" s="1665">
        <f>SUM(D646,D639,D636)</f>
        <v>11515463.3928</v>
      </c>
      <c r="E647" s="1664"/>
      <c r="F647" s="1665">
        <f>SUM(F646,F639,F636)</f>
        <v>35.342799999999997</v>
      </c>
      <c r="G647" s="1664"/>
      <c r="H647" s="1187">
        <f>SUM(H636,H639,H646)</f>
        <v>662.12400000000002</v>
      </c>
      <c r="I647" s="1188">
        <f>I636+I639+I646</f>
        <v>0</v>
      </c>
      <c r="J647" s="1188">
        <f>J636+J639+J646</f>
        <v>8841</v>
      </c>
      <c r="K647" s="1188">
        <f>K636+K639+K646</f>
        <v>71120</v>
      </c>
      <c r="L647" s="1188">
        <f>L636+L639+L646</f>
        <v>79961</v>
      </c>
      <c r="M647" s="1668"/>
      <c r="N647" s="1669"/>
    </row>
    <row r="649" spans="1:14" ht="15">
      <c r="A649" s="9" t="s">
        <v>18</v>
      </c>
      <c r="B649" s="1695" t="s">
        <v>59</v>
      </c>
      <c r="C649" s="1566"/>
      <c r="D649" s="1566"/>
      <c r="E649" s="1821"/>
    </row>
    <row r="650" spans="1:14">
      <c r="B650" s="1420" t="s">
        <v>19</v>
      </c>
      <c r="C650" s="1420"/>
      <c r="D650" s="1420"/>
      <c r="E650" s="1420"/>
    </row>
  </sheetData>
  <mergeCells count="2294">
    <mergeCell ref="B76:C76"/>
    <mergeCell ref="D76:E76"/>
    <mergeCell ref="F76:G76"/>
    <mergeCell ref="M76:N76"/>
    <mergeCell ref="B78:E78"/>
    <mergeCell ref="B79:E79"/>
    <mergeCell ref="B71:C71"/>
    <mergeCell ref="D71:E71"/>
    <mergeCell ref="F71:G71"/>
    <mergeCell ref="M71:N71"/>
    <mergeCell ref="B72:C72"/>
    <mergeCell ref="D72:E72"/>
    <mergeCell ref="F72:G72"/>
    <mergeCell ref="M72:N72"/>
    <mergeCell ref="B73:C73"/>
    <mergeCell ref="D73:E73"/>
    <mergeCell ref="F73:G73"/>
    <mergeCell ref="B74:C74"/>
    <mergeCell ref="D74:E74"/>
    <mergeCell ref="F74:G74"/>
    <mergeCell ref="M74:N74"/>
    <mergeCell ref="B75:C75"/>
    <mergeCell ref="D75:E75"/>
    <mergeCell ref="F75:G75"/>
    <mergeCell ref="M75:N75"/>
    <mergeCell ref="B66:C66"/>
    <mergeCell ref="D66:E66"/>
    <mergeCell ref="F66:G66"/>
    <mergeCell ref="M66:N66"/>
    <mergeCell ref="B67:C67"/>
    <mergeCell ref="D67:E67"/>
    <mergeCell ref="F67:G67"/>
    <mergeCell ref="M67:N67"/>
    <mergeCell ref="B68:C68"/>
    <mergeCell ref="D68:E68"/>
    <mergeCell ref="F68:G68"/>
    <mergeCell ref="M68:N68"/>
    <mergeCell ref="B69:C69"/>
    <mergeCell ref="D69:E69"/>
    <mergeCell ref="F69:G69"/>
    <mergeCell ref="M69:N69"/>
    <mergeCell ref="B70:C70"/>
    <mergeCell ref="D70:E70"/>
    <mergeCell ref="F70:G70"/>
    <mergeCell ref="M70:N70"/>
    <mergeCell ref="B61:C61"/>
    <mergeCell ref="D61:E61"/>
    <mergeCell ref="F61:G61"/>
    <mergeCell ref="M61:N61"/>
    <mergeCell ref="B62:C62"/>
    <mergeCell ref="D62:E62"/>
    <mergeCell ref="F62:G62"/>
    <mergeCell ref="M62:N62"/>
    <mergeCell ref="B63:C63"/>
    <mergeCell ref="D63:E63"/>
    <mergeCell ref="F63:G63"/>
    <mergeCell ref="M63:N63"/>
    <mergeCell ref="B64:C64"/>
    <mergeCell ref="D64:E64"/>
    <mergeCell ref="F64:G64"/>
    <mergeCell ref="M64:N64"/>
    <mergeCell ref="B65:C65"/>
    <mergeCell ref="D65:E65"/>
    <mergeCell ref="F65:G65"/>
    <mergeCell ref="M65:N65"/>
    <mergeCell ref="B56:C56"/>
    <mergeCell ref="D56:E56"/>
    <mergeCell ref="F56:G56"/>
    <mergeCell ref="M56:N56"/>
    <mergeCell ref="B57:C57"/>
    <mergeCell ref="D57:E57"/>
    <mergeCell ref="F57:G57"/>
    <mergeCell ref="M57:N57"/>
    <mergeCell ref="B58:C58"/>
    <mergeCell ref="D58:E58"/>
    <mergeCell ref="F58:G58"/>
    <mergeCell ref="M58:N58"/>
    <mergeCell ref="B59:C59"/>
    <mergeCell ref="D59:E59"/>
    <mergeCell ref="F59:G59"/>
    <mergeCell ref="M59:N59"/>
    <mergeCell ref="B60:C60"/>
    <mergeCell ref="D60:E60"/>
    <mergeCell ref="F60:G60"/>
    <mergeCell ref="B51:C51"/>
    <mergeCell ref="D51:E51"/>
    <mergeCell ref="F51:G51"/>
    <mergeCell ref="M51:N51"/>
    <mergeCell ref="B52:C52"/>
    <mergeCell ref="D52:E52"/>
    <mergeCell ref="F52:G52"/>
    <mergeCell ref="M52:N52"/>
    <mergeCell ref="B53:C53"/>
    <mergeCell ref="D53:E53"/>
    <mergeCell ref="F53:G53"/>
    <mergeCell ref="M53:N53"/>
    <mergeCell ref="B54:C54"/>
    <mergeCell ref="D54:E54"/>
    <mergeCell ref="F54:G54"/>
    <mergeCell ref="B55:C55"/>
    <mergeCell ref="D55:E55"/>
    <mergeCell ref="F55:G55"/>
    <mergeCell ref="M55:N55"/>
    <mergeCell ref="B46:C46"/>
    <mergeCell ref="D46:E46"/>
    <mergeCell ref="F46:G46"/>
    <mergeCell ref="M46:N46"/>
    <mergeCell ref="B47:C47"/>
    <mergeCell ref="D47:E47"/>
    <mergeCell ref="F47:G47"/>
    <mergeCell ref="M47:N47"/>
    <mergeCell ref="B48:C48"/>
    <mergeCell ref="D48:E48"/>
    <mergeCell ref="F48:G48"/>
    <mergeCell ref="M48:N48"/>
    <mergeCell ref="B49:C49"/>
    <mergeCell ref="D49:E49"/>
    <mergeCell ref="F49:G49"/>
    <mergeCell ref="M49:N49"/>
    <mergeCell ref="B50:C50"/>
    <mergeCell ref="D50:E50"/>
    <mergeCell ref="F50:G50"/>
    <mergeCell ref="M50:N50"/>
    <mergeCell ref="I41:L41"/>
    <mergeCell ref="B42:C42"/>
    <mergeCell ref="D42:E42"/>
    <mergeCell ref="F42:G42"/>
    <mergeCell ref="M42:N42"/>
    <mergeCell ref="B43:C43"/>
    <mergeCell ref="D43:E43"/>
    <mergeCell ref="F43:G43"/>
    <mergeCell ref="M43:N43"/>
    <mergeCell ref="B44:C44"/>
    <mergeCell ref="D44:E44"/>
    <mergeCell ref="F44:G44"/>
    <mergeCell ref="M44:N44"/>
    <mergeCell ref="B45:C45"/>
    <mergeCell ref="D45:E45"/>
    <mergeCell ref="F45:G45"/>
    <mergeCell ref="M45:N45"/>
    <mergeCell ref="B328:E328"/>
    <mergeCell ref="B329:E329"/>
    <mergeCell ref="B319:C319"/>
    <mergeCell ref="D319:E319"/>
    <mergeCell ref="F319:G319"/>
    <mergeCell ref="M319:N319"/>
    <mergeCell ref="B320:C320"/>
    <mergeCell ref="D320:E320"/>
    <mergeCell ref="F320:G320"/>
    <mergeCell ref="M320:N320"/>
    <mergeCell ref="B325:C325"/>
    <mergeCell ref="D325:E325"/>
    <mergeCell ref="F325:G325"/>
    <mergeCell ref="M325:N325"/>
    <mergeCell ref="B326:C326"/>
    <mergeCell ref="D326:E326"/>
    <mergeCell ref="F326:G326"/>
    <mergeCell ref="M326:N326"/>
    <mergeCell ref="B324:C324"/>
    <mergeCell ref="D324:E324"/>
    <mergeCell ref="F324:G324"/>
    <mergeCell ref="M324:N324"/>
    <mergeCell ref="B321:C321"/>
    <mergeCell ref="D321:E321"/>
    <mergeCell ref="B323:C323"/>
    <mergeCell ref="D323:E323"/>
    <mergeCell ref="F323:G323"/>
    <mergeCell ref="M323:N323"/>
    <mergeCell ref="B322:C322"/>
    <mergeCell ref="D322:E322"/>
    <mergeCell ref="F322:G322"/>
    <mergeCell ref="M322:N322"/>
    <mergeCell ref="B137:C137"/>
    <mergeCell ref="D137:E137"/>
    <mergeCell ref="F137:G137"/>
    <mergeCell ref="M137:N137"/>
    <mergeCell ref="B177:C177"/>
    <mergeCell ref="D177:E177"/>
    <mergeCell ref="F177:G177"/>
    <mergeCell ref="M177:N177"/>
    <mergeCell ref="B314:C314"/>
    <mergeCell ref="D314:E314"/>
    <mergeCell ref="F314:G314"/>
    <mergeCell ref="M314:N314"/>
    <mergeCell ref="B315:C315"/>
    <mergeCell ref="D315:E315"/>
    <mergeCell ref="F315:G315"/>
    <mergeCell ref="M315:N315"/>
    <mergeCell ref="B312:C312"/>
    <mergeCell ref="D312:E312"/>
    <mergeCell ref="F312:G312"/>
    <mergeCell ref="M312:N312"/>
    <mergeCell ref="B313:C313"/>
    <mergeCell ref="D313:E313"/>
    <mergeCell ref="F313:G313"/>
    <mergeCell ref="M313:N313"/>
    <mergeCell ref="B306:C306"/>
    <mergeCell ref="D306:E306"/>
    <mergeCell ref="F306:G306"/>
    <mergeCell ref="M306:N306"/>
    <mergeCell ref="B307:C307"/>
    <mergeCell ref="D307:E307"/>
    <mergeCell ref="F307:G307"/>
    <mergeCell ref="M307:N307"/>
    <mergeCell ref="F321:G321"/>
    <mergeCell ref="M321:N321"/>
    <mergeCell ref="B318:C318"/>
    <mergeCell ref="D318:E318"/>
    <mergeCell ref="F318:G318"/>
    <mergeCell ref="M318:N318"/>
    <mergeCell ref="B310:C310"/>
    <mergeCell ref="D310:E310"/>
    <mergeCell ref="F310:G310"/>
    <mergeCell ref="M310:N310"/>
    <mergeCell ref="B311:C311"/>
    <mergeCell ref="D311:E311"/>
    <mergeCell ref="F311:G311"/>
    <mergeCell ref="M311:N311"/>
    <mergeCell ref="B308:C308"/>
    <mergeCell ref="D308:E308"/>
    <mergeCell ref="F308:G308"/>
    <mergeCell ref="M308:N308"/>
    <mergeCell ref="B309:C309"/>
    <mergeCell ref="D309:E309"/>
    <mergeCell ref="F309:G309"/>
    <mergeCell ref="M309:N309"/>
    <mergeCell ref="B316:C316"/>
    <mergeCell ref="D316:E316"/>
    <mergeCell ref="F316:G316"/>
    <mergeCell ref="M316:N316"/>
    <mergeCell ref="B317:C317"/>
    <mergeCell ref="D317:E317"/>
    <mergeCell ref="F317:G317"/>
    <mergeCell ref="M317:N317"/>
    <mergeCell ref="B304:C304"/>
    <mergeCell ref="D304:E304"/>
    <mergeCell ref="F304:G304"/>
    <mergeCell ref="M304:N304"/>
    <mergeCell ref="B305:C305"/>
    <mergeCell ref="D305:E305"/>
    <mergeCell ref="F305:G305"/>
    <mergeCell ref="M305:N305"/>
    <mergeCell ref="B301:C301"/>
    <mergeCell ref="D301:E301"/>
    <mergeCell ref="F301:G301"/>
    <mergeCell ref="M301:N301"/>
    <mergeCell ref="B303:C303"/>
    <mergeCell ref="D303:E303"/>
    <mergeCell ref="F303:G303"/>
    <mergeCell ref="M303:N303"/>
    <mergeCell ref="B302:C302"/>
    <mergeCell ref="D302:E302"/>
    <mergeCell ref="F302:G302"/>
    <mergeCell ref="M302:N302"/>
    <mergeCell ref="B298:C298"/>
    <mergeCell ref="D298:E298"/>
    <mergeCell ref="F298:G298"/>
    <mergeCell ref="M298:N298"/>
    <mergeCell ref="B300:C300"/>
    <mergeCell ref="D300:E300"/>
    <mergeCell ref="F300:G300"/>
    <mergeCell ref="M300:N300"/>
    <mergeCell ref="B296:C296"/>
    <mergeCell ref="D296:E296"/>
    <mergeCell ref="F296:G296"/>
    <mergeCell ref="M296:N296"/>
    <mergeCell ref="B297:C297"/>
    <mergeCell ref="D297:E297"/>
    <mergeCell ref="F297:G297"/>
    <mergeCell ref="M297:N297"/>
    <mergeCell ref="B294:C294"/>
    <mergeCell ref="D294:E294"/>
    <mergeCell ref="F294:G294"/>
    <mergeCell ref="M294:N294"/>
    <mergeCell ref="B295:C295"/>
    <mergeCell ref="D295:E295"/>
    <mergeCell ref="F295:G295"/>
    <mergeCell ref="M295:N295"/>
    <mergeCell ref="B299:C299"/>
    <mergeCell ref="D299:E299"/>
    <mergeCell ref="F299:G299"/>
    <mergeCell ref="M299:N299"/>
    <mergeCell ref="B292:C292"/>
    <mergeCell ref="D292:E292"/>
    <mergeCell ref="F292:G292"/>
    <mergeCell ref="M292:N292"/>
    <mergeCell ref="B293:C293"/>
    <mergeCell ref="D293:E293"/>
    <mergeCell ref="F293:G293"/>
    <mergeCell ref="M293:N293"/>
    <mergeCell ref="I289:L289"/>
    <mergeCell ref="B290:C290"/>
    <mergeCell ref="D290:E290"/>
    <mergeCell ref="F290:G290"/>
    <mergeCell ref="M290:N290"/>
    <mergeCell ref="B291:C291"/>
    <mergeCell ref="D291:E291"/>
    <mergeCell ref="F291:G291"/>
    <mergeCell ref="M291:N291"/>
    <mergeCell ref="B397:C397"/>
    <mergeCell ref="D397:E397"/>
    <mergeCell ref="F397:G397"/>
    <mergeCell ref="M397:N397"/>
    <mergeCell ref="B393:C393"/>
    <mergeCell ref="D393:E393"/>
    <mergeCell ref="F393:G393"/>
    <mergeCell ref="M393:N393"/>
    <mergeCell ref="B394:C394"/>
    <mergeCell ref="D394:E394"/>
    <mergeCell ref="B399:E399"/>
    <mergeCell ref="B400:E400"/>
    <mergeCell ref="B379:C379"/>
    <mergeCell ref="B378:C378"/>
    <mergeCell ref="M378:N378"/>
    <mergeCell ref="M379:N379"/>
    <mergeCell ref="B396:C396"/>
    <mergeCell ref="D396:E396"/>
    <mergeCell ref="F396:G396"/>
    <mergeCell ref="M396:N396"/>
    <mergeCell ref="F394:G394"/>
    <mergeCell ref="M394:N394"/>
    <mergeCell ref="B391:C391"/>
    <mergeCell ref="D391:E391"/>
    <mergeCell ref="F391:G391"/>
    <mergeCell ref="M391:N391"/>
    <mergeCell ref="B392:C392"/>
    <mergeCell ref="D392:E392"/>
    <mergeCell ref="F392:G392"/>
    <mergeCell ref="M392:N392"/>
    <mergeCell ref="B389:C389"/>
    <mergeCell ref="D389:E389"/>
    <mergeCell ref="F389:G389"/>
    <mergeCell ref="M389:N389"/>
    <mergeCell ref="B390:C390"/>
    <mergeCell ref="D390:E390"/>
    <mergeCell ref="F390:G390"/>
    <mergeCell ref="M390:N390"/>
    <mergeCell ref="B387:C387"/>
    <mergeCell ref="D387:E387"/>
    <mergeCell ref="F387:G387"/>
    <mergeCell ref="M387:N387"/>
    <mergeCell ref="B388:C388"/>
    <mergeCell ref="D388:E388"/>
    <mergeCell ref="F388:G388"/>
    <mergeCell ref="M388:N388"/>
    <mergeCell ref="B385:C385"/>
    <mergeCell ref="D385:E385"/>
    <mergeCell ref="F385:G385"/>
    <mergeCell ref="M385:N385"/>
    <mergeCell ref="B386:C386"/>
    <mergeCell ref="D386:E386"/>
    <mergeCell ref="F386:G386"/>
    <mergeCell ref="M386:N386"/>
    <mergeCell ref="B383:C383"/>
    <mergeCell ref="D383:E383"/>
    <mergeCell ref="F383:G383"/>
    <mergeCell ref="M383:N383"/>
    <mergeCell ref="B384:C384"/>
    <mergeCell ref="D384:E384"/>
    <mergeCell ref="F384:G384"/>
    <mergeCell ref="M384:N384"/>
    <mergeCell ref="B381:C381"/>
    <mergeCell ref="D381:E381"/>
    <mergeCell ref="F381:G381"/>
    <mergeCell ref="M381:N381"/>
    <mergeCell ref="B382:C382"/>
    <mergeCell ref="D382:E382"/>
    <mergeCell ref="F382:G382"/>
    <mergeCell ref="M382:N382"/>
    <mergeCell ref="B377:C377"/>
    <mergeCell ref="D377:E377"/>
    <mergeCell ref="F377:G377"/>
    <mergeCell ref="M377:N377"/>
    <mergeCell ref="B380:C380"/>
    <mergeCell ref="D380:E380"/>
    <mergeCell ref="F380:G380"/>
    <mergeCell ref="M380:N380"/>
    <mergeCell ref="D378:E378"/>
    <mergeCell ref="D379:E379"/>
    <mergeCell ref="B376:C376"/>
    <mergeCell ref="D376:E376"/>
    <mergeCell ref="F376:G376"/>
    <mergeCell ref="M376:N376"/>
    <mergeCell ref="B374:C374"/>
    <mergeCell ref="D374:E374"/>
    <mergeCell ref="F374:G374"/>
    <mergeCell ref="M374:N374"/>
    <mergeCell ref="B375:C375"/>
    <mergeCell ref="D375:E375"/>
    <mergeCell ref="F375:G375"/>
    <mergeCell ref="M375:N375"/>
    <mergeCell ref="B373:C373"/>
    <mergeCell ref="D373:E373"/>
    <mergeCell ref="F373:G373"/>
    <mergeCell ref="M373:N373"/>
    <mergeCell ref="B371:C371"/>
    <mergeCell ref="D371:E371"/>
    <mergeCell ref="F371:G371"/>
    <mergeCell ref="M371:N371"/>
    <mergeCell ref="B372:C372"/>
    <mergeCell ref="D372:E372"/>
    <mergeCell ref="F372:G372"/>
    <mergeCell ref="M372:N372"/>
    <mergeCell ref="I368:L368"/>
    <mergeCell ref="B369:C369"/>
    <mergeCell ref="D369:E369"/>
    <mergeCell ref="F369:G369"/>
    <mergeCell ref="M369:N369"/>
    <mergeCell ref="B370:C370"/>
    <mergeCell ref="D370:E370"/>
    <mergeCell ref="F370:G370"/>
    <mergeCell ref="M370:N370"/>
    <mergeCell ref="B472:C472"/>
    <mergeCell ref="D472:E472"/>
    <mergeCell ref="F472:G472"/>
    <mergeCell ref="M472:N472"/>
    <mergeCell ref="D518:E518"/>
    <mergeCell ref="F518:G518"/>
    <mergeCell ref="M518:N518"/>
    <mergeCell ref="B481:C481"/>
    <mergeCell ref="D481:E481"/>
    <mergeCell ref="F481:G481"/>
    <mergeCell ref="M481:N481"/>
    <mergeCell ref="B512:C512"/>
    <mergeCell ref="D512:E512"/>
    <mergeCell ref="F512:G512"/>
    <mergeCell ref="B504:C504"/>
    <mergeCell ref="D504:E504"/>
    <mergeCell ref="F504:G504"/>
    <mergeCell ref="M504:N504"/>
    <mergeCell ref="B505:C505"/>
    <mergeCell ref="D505:E505"/>
    <mergeCell ref="F505:G505"/>
    <mergeCell ref="M505:N505"/>
    <mergeCell ref="B506:C506"/>
    <mergeCell ref="B533:C533"/>
    <mergeCell ref="D533:E533"/>
    <mergeCell ref="F533:G533"/>
    <mergeCell ref="M533:N533"/>
    <mergeCell ref="B520:C520"/>
    <mergeCell ref="D520:E520"/>
    <mergeCell ref="F520:G520"/>
    <mergeCell ref="M520:N520"/>
    <mergeCell ref="B521:C521"/>
    <mergeCell ref="D521:E521"/>
    <mergeCell ref="M512:N512"/>
    <mergeCell ref="B523:C523"/>
    <mergeCell ref="D523:E523"/>
    <mergeCell ref="F523:G523"/>
    <mergeCell ref="M523:N523"/>
    <mergeCell ref="B513:C513"/>
    <mergeCell ref="B515:C515"/>
    <mergeCell ref="M513:N513"/>
    <mergeCell ref="B516:C516"/>
    <mergeCell ref="B517:C517"/>
    <mergeCell ref="D517:E517"/>
    <mergeCell ref="F517:G517"/>
    <mergeCell ref="M517:N517"/>
    <mergeCell ref="B514:C514"/>
    <mergeCell ref="D514:E514"/>
    <mergeCell ref="F514:G514"/>
    <mergeCell ref="D515:E515"/>
    <mergeCell ref="F515:G515"/>
    <mergeCell ref="M515:N515"/>
    <mergeCell ref="M521:N521"/>
    <mergeCell ref="M514:N514"/>
    <mergeCell ref="B518:C518"/>
    <mergeCell ref="D502:E502"/>
    <mergeCell ref="F502:G502"/>
    <mergeCell ref="M502:N502"/>
    <mergeCell ref="F501:G501"/>
    <mergeCell ref="M501:N501"/>
    <mergeCell ref="F519:G519"/>
    <mergeCell ref="M519:N519"/>
    <mergeCell ref="D519:E519"/>
    <mergeCell ref="F521:G521"/>
    <mergeCell ref="D513:E513"/>
    <mergeCell ref="B510:C510"/>
    <mergeCell ref="D510:E510"/>
    <mergeCell ref="F510:G510"/>
    <mergeCell ref="M510:N510"/>
    <mergeCell ref="B511:C511"/>
    <mergeCell ref="F513:G513"/>
    <mergeCell ref="D511:E511"/>
    <mergeCell ref="F511:G511"/>
    <mergeCell ref="M511:N511"/>
    <mergeCell ref="B507:C507"/>
    <mergeCell ref="D507:E507"/>
    <mergeCell ref="F507:G507"/>
    <mergeCell ref="M507:N507"/>
    <mergeCell ref="B508:C508"/>
    <mergeCell ref="D508:E508"/>
    <mergeCell ref="F508:G508"/>
    <mergeCell ref="M508:N508"/>
    <mergeCell ref="B509:C509"/>
    <mergeCell ref="D509:E509"/>
    <mergeCell ref="F509:G509"/>
    <mergeCell ref="M509:N509"/>
    <mergeCell ref="B649:E649"/>
    <mergeCell ref="B650:E650"/>
    <mergeCell ref="B555:E555"/>
    <mergeCell ref="B556:E556"/>
    <mergeCell ref="B603:E603"/>
    <mergeCell ref="B604:E604"/>
    <mergeCell ref="B573:C573"/>
    <mergeCell ref="D495:E495"/>
    <mergeCell ref="D573:E573"/>
    <mergeCell ref="D553:E553"/>
    <mergeCell ref="F553:G553"/>
    <mergeCell ref="M553:N553"/>
    <mergeCell ref="B546:C546"/>
    <mergeCell ref="D546:E546"/>
    <mergeCell ref="F546:G546"/>
    <mergeCell ref="B551:C551"/>
    <mergeCell ref="D551:E551"/>
    <mergeCell ref="F551:G551"/>
    <mergeCell ref="B547:C547"/>
    <mergeCell ref="D547:E547"/>
    <mergeCell ref="F547:G547"/>
    <mergeCell ref="B550:C550"/>
    <mergeCell ref="D550:E550"/>
    <mergeCell ref="F550:G550"/>
    <mergeCell ref="D506:E506"/>
    <mergeCell ref="F506:G506"/>
    <mergeCell ref="M506:N506"/>
    <mergeCell ref="B498:C498"/>
    <mergeCell ref="D498:E498"/>
    <mergeCell ref="F498:G498"/>
    <mergeCell ref="M498:N498"/>
    <mergeCell ref="B499:C499"/>
    <mergeCell ref="M494:N494"/>
    <mergeCell ref="B500:C500"/>
    <mergeCell ref="D500:E500"/>
    <mergeCell ref="F500:G500"/>
    <mergeCell ref="M500:N500"/>
    <mergeCell ref="B503:C503"/>
    <mergeCell ref="D503:E503"/>
    <mergeCell ref="F503:G503"/>
    <mergeCell ref="M503:N503"/>
    <mergeCell ref="B501:C501"/>
    <mergeCell ref="F492:G492"/>
    <mergeCell ref="M492:N492"/>
    <mergeCell ref="B493:C493"/>
    <mergeCell ref="D493:E493"/>
    <mergeCell ref="F493:G493"/>
    <mergeCell ref="M493:N493"/>
    <mergeCell ref="D494:E494"/>
    <mergeCell ref="B495:C495"/>
    <mergeCell ref="D499:E499"/>
    <mergeCell ref="F499:G499"/>
    <mergeCell ref="M499:N499"/>
    <mergeCell ref="F495:G495"/>
    <mergeCell ref="M495:N495"/>
    <mergeCell ref="B497:C497"/>
    <mergeCell ref="D497:E497"/>
    <mergeCell ref="F497:G497"/>
    <mergeCell ref="M497:N497"/>
    <mergeCell ref="D496:E496"/>
    <mergeCell ref="B496:C496"/>
    <mergeCell ref="M496:N496"/>
    <mergeCell ref="D501:E501"/>
    <mergeCell ref="B502:C502"/>
    <mergeCell ref="B549:C549"/>
    <mergeCell ref="B545:C545"/>
    <mergeCell ref="D545:E545"/>
    <mergeCell ref="F545:G545"/>
    <mergeCell ref="M545:N545"/>
    <mergeCell ref="M546:N546"/>
    <mergeCell ref="M547:N547"/>
    <mergeCell ref="B544:C544"/>
    <mergeCell ref="D544:E544"/>
    <mergeCell ref="F544:G544"/>
    <mergeCell ref="M489:N489"/>
    <mergeCell ref="B490:C490"/>
    <mergeCell ref="D490:E490"/>
    <mergeCell ref="F490:G490"/>
    <mergeCell ref="M490:N490"/>
    <mergeCell ref="B541:C541"/>
    <mergeCell ref="D541:E541"/>
    <mergeCell ref="F541:G541"/>
    <mergeCell ref="F494:G494"/>
    <mergeCell ref="B491:C491"/>
    <mergeCell ref="D491:E491"/>
    <mergeCell ref="D530:E530"/>
    <mergeCell ref="M541:N541"/>
    <mergeCell ref="M537:N537"/>
    <mergeCell ref="M538:N538"/>
    <mergeCell ref="F540:G540"/>
    <mergeCell ref="F537:G537"/>
    <mergeCell ref="F538:G538"/>
    <mergeCell ref="B494:C494"/>
    <mergeCell ref="M491:N491"/>
    <mergeCell ref="B492:C492"/>
    <mergeCell ref="D492:E492"/>
    <mergeCell ref="I488:L488"/>
    <mergeCell ref="B489:C489"/>
    <mergeCell ref="D489:E489"/>
    <mergeCell ref="F489:G489"/>
    <mergeCell ref="F496:G496"/>
    <mergeCell ref="B519:C519"/>
    <mergeCell ref="F491:G491"/>
    <mergeCell ref="F573:G573"/>
    <mergeCell ref="B566:C566"/>
    <mergeCell ref="M578:N578"/>
    <mergeCell ref="B577:C577"/>
    <mergeCell ref="D577:E577"/>
    <mergeCell ref="F577:G577"/>
    <mergeCell ref="M577:N577"/>
    <mergeCell ref="M576:N576"/>
    <mergeCell ref="M573:N573"/>
    <mergeCell ref="B576:C576"/>
    <mergeCell ref="B531:C531"/>
    <mergeCell ref="D531:E531"/>
    <mergeCell ref="F531:G531"/>
    <mergeCell ref="M531:N531"/>
    <mergeCell ref="B532:C532"/>
    <mergeCell ref="D532:E532"/>
    <mergeCell ref="F532:G532"/>
    <mergeCell ref="B572:C572"/>
    <mergeCell ref="D572:E572"/>
    <mergeCell ref="F572:G572"/>
    <mergeCell ref="M572:N572"/>
    <mergeCell ref="B569:C569"/>
    <mergeCell ref="M563:N563"/>
    <mergeCell ref="D569:E569"/>
    <mergeCell ref="F569:G569"/>
    <mergeCell ref="B579:C579"/>
    <mergeCell ref="F578:G578"/>
    <mergeCell ref="D576:E576"/>
    <mergeCell ref="B578:C578"/>
    <mergeCell ref="D579:E579"/>
    <mergeCell ref="F579:G579"/>
    <mergeCell ref="M579:N579"/>
    <mergeCell ref="M595:N595"/>
    <mergeCell ref="F599:G599"/>
    <mergeCell ref="M599:N599"/>
    <mergeCell ref="B587:C587"/>
    <mergeCell ref="D587:E587"/>
    <mergeCell ref="F587:G587"/>
    <mergeCell ref="M587:N587"/>
    <mergeCell ref="B589:C589"/>
    <mergeCell ref="D589:E589"/>
    <mergeCell ref="B588:C588"/>
    <mergeCell ref="D588:E588"/>
    <mergeCell ref="F588:G588"/>
    <mergeCell ref="M588:N588"/>
    <mergeCell ref="B591:C591"/>
    <mergeCell ref="B596:C596"/>
    <mergeCell ref="D596:E596"/>
    <mergeCell ref="F596:G596"/>
    <mergeCell ref="M596:N596"/>
    <mergeCell ref="B594:C594"/>
    <mergeCell ref="D594:E594"/>
    <mergeCell ref="M592:N592"/>
    <mergeCell ref="B592:C592"/>
    <mergeCell ref="D592:E592"/>
    <mergeCell ref="F592:G592"/>
    <mergeCell ref="D585:E585"/>
    <mergeCell ref="M569:N569"/>
    <mergeCell ref="D578:E578"/>
    <mergeCell ref="F575:G575"/>
    <mergeCell ref="M575:N575"/>
    <mergeCell ref="M570:N570"/>
    <mergeCell ref="B570:C570"/>
    <mergeCell ref="D570:E570"/>
    <mergeCell ref="B565:C565"/>
    <mergeCell ref="D565:E565"/>
    <mergeCell ref="F565:G565"/>
    <mergeCell ref="M565:N565"/>
    <mergeCell ref="F570:G570"/>
    <mergeCell ref="D566:E566"/>
    <mergeCell ref="F566:G566"/>
    <mergeCell ref="M566:N566"/>
    <mergeCell ref="B601:C601"/>
    <mergeCell ref="B568:C568"/>
    <mergeCell ref="D568:E568"/>
    <mergeCell ref="F568:G568"/>
    <mergeCell ref="M568:N568"/>
    <mergeCell ref="D601:E601"/>
    <mergeCell ref="F601:G601"/>
    <mergeCell ref="M601:N601"/>
    <mergeCell ref="B598:C598"/>
    <mergeCell ref="D598:E598"/>
    <mergeCell ref="F598:G598"/>
    <mergeCell ref="M598:N598"/>
    <mergeCell ref="B599:C599"/>
    <mergeCell ref="D599:E599"/>
    <mergeCell ref="B595:C595"/>
    <mergeCell ref="D595:E595"/>
    <mergeCell ref="F595:G595"/>
    <mergeCell ref="F585:G585"/>
    <mergeCell ref="M585:N585"/>
    <mergeCell ref="F591:G591"/>
    <mergeCell ref="M591:N591"/>
    <mergeCell ref="F589:G589"/>
    <mergeCell ref="M589:N589"/>
    <mergeCell ref="D591:E591"/>
    <mergeCell ref="B593:C593"/>
    <mergeCell ref="D593:E593"/>
    <mergeCell ref="F593:G593"/>
    <mergeCell ref="M593:N593"/>
    <mergeCell ref="M607:N607"/>
    <mergeCell ref="B608:C608"/>
    <mergeCell ref="D608:E608"/>
    <mergeCell ref="F608:G608"/>
    <mergeCell ref="M608:N608"/>
    <mergeCell ref="I606:L606"/>
    <mergeCell ref="B607:C607"/>
    <mergeCell ref="D607:E607"/>
    <mergeCell ref="F607:G607"/>
    <mergeCell ref="B600:C600"/>
    <mergeCell ref="D600:E600"/>
    <mergeCell ref="F600:G600"/>
    <mergeCell ref="M600:N600"/>
    <mergeCell ref="F594:G594"/>
    <mergeCell ref="M594:N594"/>
    <mergeCell ref="B597:C597"/>
    <mergeCell ref="D597:E597"/>
    <mergeCell ref="F597:G597"/>
    <mergeCell ref="M597:N597"/>
    <mergeCell ref="F644:G644"/>
    <mergeCell ref="M644:N644"/>
    <mergeCell ref="F646:G646"/>
    <mergeCell ref="M646:N646"/>
    <mergeCell ref="B642:C642"/>
    <mergeCell ref="D642:E642"/>
    <mergeCell ref="M626:N626"/>
    <mergeCell ref="B624:C624"/>
    <mergeCell ref="D624:E624"/>
    <mergeCell ref="F624:G624"/>
    <mergeCell ref="M624:N624"/>
    <mergeCell ref="B615:C615"/>
    <mergeCell ref="D615:E615"/>
    <mergeCell ref="F615:G615"/>
    <mergeCell ref="M615:N615"/>
    <mergeCell ref="M617:N617"/>
    <mergeCell ref="B626:C626"/>
    <mergeCell ref="D626:E626"/>
    <mergeCell ref="F626:G626"/>
    <mergeCell ref="B623:C623"/>
    <mergeCell ref="D623:E623"/>
    <mergeCell ref="F623:G623"/>
    <mergeCell ref="B625:C625"/>
    <mergeCell ref="D625:E625"/>
    <mergeCell ref="F625:G625"/>
    <mergeCell ref="B620:C620"/>
    <mergeCell ref="D620:E620"/>
    <mergeCell ref="F620:G620"/>
    <mergeCell ref="M620:N620"/>
    <mergeCell ref="M625:N625"/>
    <mergeCell ref="M623:N623"/>
    <mergeCell ref="B622:C622"/>
    <mergeCell ref="D622:E622"/>
    <mergeCell ref="F622:G622"/>
    <mergeCell ref="M622:N622"/>
    <mergeCell ref="B621:C621"/>
    <mergeCell ref="D621:E621"/>
    <mergeCell ref="F621:G621"/>
    <mergeCell ref="M616:N616"/>
    <mergeCell ref="B647:C647"/>
    <mergeCell ref="D647:E647"/>
    <mergeCell ref="F647:G647"/>
    <mergeCell ref="M647:N647"/>
    <mergeCell ref="B645:C645"/>
    <mergeCell ref="D645:E645"/>
    <mergeCell ref="F645:G645"/>
    <mergeCell ref="M645:N645"/>
    <mergeCell ref="B646:C646"/>
    <mergeCell ref="D646:E646"/>
    <mergeCell ref="B643:C643"/>
    <mergeCell ref="D643:E643"/>
    <mergeCell ref="F643:G643"/>
    <mergeCell ref="M643:N643"/>
    <mergeCell ref="F642:G642"/>
    <mergeCell ref="M642:N642"/>
    <mergeCell ref="F641:G641"/>
    <mergeCell ref="M641:N641"/>
    <mergeCell ref="B641:C641"/>
    <mergeCell ref="D641:E641"/>
    <mergeCell ref="F635:G635"/>
    <mergeCell ref="B644:C644"/>
    <mergeCell ref="D644:E644"/>
    <mergeCell ref="F637:G637"/>
    <mergeCell ref="M637:N637"/>
    <mergeCell ref="F613:G613"/>
    <mergeCell ref="M613:N613"/>
    <mergeCell ref="B612:C612"/>
    <mergeCell ref="D612:E612"/>
    <mergeCell ref="B619:C619"/>
    <mergeCell ref="D619:E619"/>
    <mergeCell ref="F619:G619"/>
    <mergeCell ref="M619:N619"/>
    <mergeCell ref="B618:C618"/>
    <mergeCell ref="D618:E618"/>
    <mergeCell ref="F618:G618"/>
    <mergeCell ref="M618:N618"/>
    <mergeCell ref="F617:G617"/>
    <mergeCell ref="B616:C616"/>
    <mergeCell ref="M621:N621"/>
    <mergeCell ref="D616:E616"/>
    <mergeCell ref="F616:G616"/>
    <mergeCell ref="F609:G609"/>
    <mergeCell ref="M609:N609"/>
    <mergeCell ref="B610:C610"/>
    <mergeCell ref="D610:E610"/>
    <mergeCell ref="F610:G610"/>
    <mergeCell ref="M610:N610"/>
    <mergeCell ref="F612:G612"/>
    <mergeCell ref="M612:N612"/>
    <mergeCell ref="M635:N635"/>
    <mergeCell ref="F636:G636"/>
    <mergeCell ref="M636:N636"/>
    <mergeCell ref="B637:C637"/>
    <mergeCell ref="B614:C614"/>
    <mergeCell ref="D614:E614"/>
    <mergeCell ref="F614:G614"/>
    <mergeCell ref="M614:N614"/>
    <mergeCell ref="B617:C617"/>
    <mergeCell ref="D617:E617"/>
    <mergeCell ref="M633:N633"/>
    <mergeCell ref="B632:C632"/>
    <mergeCell ref="D632:E632"/>
    <mergeCell ref="F632:G632"/>
    <mergeCell ref="M632:N632"/>
    <mergeCell ref="B634:C634"/>
    <mergeCell ref="B611:C611"/>
    <mergeCell ref="D611:E611"/>
    <mergeCell ref="F611:G611"/>
    <mergeCell ref="M611:N611"/>
    <mergeCell ref="B609:C609"/>
    <mergeCell ref="B613:C613"/>
    <mergeCell ref="D609:E609"/>
    <mergeCell ref="D613:E613"/>
    <mergeCell ref="I558:L558"/>
    <mergeCell ref="B559:C559"/>
    <mergeCell ref="D559:E559"/>
    <mergeCell ref="M534:N534"/>
    <mergeCell ref="M548:N548"/>
    <mergeCell ref="B535:C535"/>
    <mergeCell ref="D535:E535"/>
    <mergeCell ref="F535:G535"/>
    <mergeCell ref="M535:N535"/>
    <mergeCell ref="B537:C537"/>
    <mergeCell ref="B538:C538"/>
    <mergeCell ref="D537:E537"/>
    <mergeCell ref="D538:E538"/>
    <mergeCell ref="M544:N544"/>
    <mergeCell ref="D549:E549"/>
    <mergeCell ref="F549:G549"/>
    <mergeCell ref="M542:N542"/>
    <mergeCell ref="B552:C552"/>
    <mergeCell ref="D552:E552"/>
    <mergeCell ref="F552:G552"/>
    <mergeCell ref="M552:N552"/>
    <mergeCell ref="B553:C553"/>
    <mergeCell ref="M549:N549"/>
    <mergeCell ref="B536:C536"/>
    <mergeCell ref="D536:E536"/>
    <mergeCell ref="F536:G536"/>
    <mergeCell ref="M536:N536"/>
    <mergeCell ref="B548:C548"/>
    <mergeCell ref="D548:E548"/>
    <mergeCell ref="F548:G548"/>
    <mergeCell ref="M551:N551"/>
    <mergeCell ref="M550:N550"/>
    <mergeCell ref="B525:E525"/>
    <mergeCell ref="B526:E526"/>
    <mergeCell ref="B522:C522"/>
    <mergeCell ref="D522:E522"/>
    <mergeCell ref="F522:G522"/>
    <mergeCell ref="M522:N522"/>
    <mergeCell ref="B543:C543"/>
    <mergeCell ref="D543:E543"/>
    <mergeCell ref="F543:G543"/>
    <mergeCell ref="M543:N543"/>
    <mergeCell ref="I528:L528"/>
    <mergeCell ref="B529:C529"/>
    <mergeCell ref="D529:E529"/>
    <mergeCell ref="F529:G529"/>
    <mergeCell ref="M529:N529"/>
    <mergeCell ref="B530:C530"/>
    <mergeCell ref="F530:G530"/>
    <mergeCell ref="M530:N530"/>
    <mergeCell ref="B539:C539"/>
    <mergeCell ref="D539:E539"/>
    <mergeCell ref="F539:G539"/>
    <mergeCell ref="M539:N539"/>
    <mergeCell ref="M532:N532"/>
    <mergeCell ref="B534:C534"/>
    <mergeCell ref="D534:E534"/>
    <mergeCell ref="F534:G534"/>
    <mergeCell ref="B540:C540"/>
    <mergeCell ref="D540:E540"/>
    <mergeCell ref="M540:N540"/>
    <mergeCell ref="B542:C542"/>
    <mergeCell ref="D542:E542"/>
    <mergeCell ref="F542:G542"/>
    <mergeCell ref="B567:C567"/>
    <mergeCell ref="D567:E567"/>
    <mergeCell ref="F567:G567"/>
    <mergeCell ref="M567:N567"/>
    <mergeCell ref="F559:G559"/>
    <mergeCell ref="B561:C561"/>
    <mergeCell ref="B562:C562"/>
    <mergeCell ref="D562:E562"/>
    <mergeCell ref="F562:G562"/>
    <mergeCell ref="M562:N562"/>
    <mergeCell ref="B563:C563"/>
    <mergeCell ref="D561:E561"/>
    <mergeCell ref="F561:G561"/>
    <mergeCell ref="M561:N561"/>
    <mergeCell ref="B564:C564"/>
    <mergeCell ref="D564:E564"/>
    <mergeCell ref="F564:G564"/>
    <mergeCell ref="M564:N564"/>
    <mergeCell ref="D563:E563"/>
    <mergeCell ref="F563:G563"/>
    <mergeCell ref="M559:N559"/>
    <mergeCell ref="B560:C560"/>
    <mergeCell ref="D560:E560"/>
    <mergeCell ref="F560:G560"/>
    <mergeCell ref="M560:N560"/>
    <mergeCell ref="B571:C571"/>
    <mergeCell ref="D571:E571"/>
    <mergeCell ref="F571:G571"/>
    <mergeCell ref="M571:N571"/>
    <mergeCell ref="B590:C590"/>
    <mergeCell ref="F590:G590"/>
    <mergeCell ref="M590:N590"/>
    <mergeCell ref="B583:C583"/>
    <mergeCell ref="D583:E583"/>
    <mergeCell ref="F583:G583"/>
    <mergeCell ref="M583:N583"/>
    <mergeCell ref="B586:C586"/>
    <mergeCell ref="D586:E586"/>
    <mergeCell ref="F586:G586"/>
    <mergeCell ref="M586:N586"/>
    <mergeCell ref="B584:C584"/>
    <mergeCell ref="D584:E584"/>
    <mergeCell ref="F584:G584"/>
    <mergeCell ref="M584:N584"/>
    <mergeCell ref="B582:C582"/>
    <mergeCell ref="D582:E582"/>
    <mergeCell ref="F582:G582"/>
    <mergeCell ref="M582:N582"/>
    <mergeCell ref="B585:C585"/>
    <mergeCell ref="D590:E590"/>
    <mergeCell ref="B575:C575"/>
    <mergeCell ref="D575:E575"/>
    <mergeCell ref="F576:G576"/>
    <mergeCell ref="B574:C574"/>
    <mergeCell ref="D574:E574"/>
    <mergeCell ref="F574:G574"/>
    <mergeCell ref="M574:N574"/>
    <mergeCell ref="B640:C640"/>
    <mergeCell ref="D640:E640"/>
    <mergeCell ref="F640:G640"/>
    <mergeCell ref="M640:N640"/>
    <mergeCell ref="B631:C631"/>
    <mergeCell ref="D631:E631"/>
    <mergeCell ref="F631:G631"/>
    <mergeCell ref="M631:N631"/>
    <mergeCell ref="B630:C630"/>
    <mergeCell ref="D630:E630"/>
    <mergeCell ref="F630:G630"/>
    <mergeCell ref="M630:N630"/>
    <mergeCell ref="B633:C633"/>
    <mergeCell ref="D633:E633"/>
    <mergeCell ref="F633:G633"/>
    <mergeCell ref="B636:C636"/>
    <mergeCell ref="D636:E636"/>
    <mergeCell ref="B639:C639"/>
    <mergeCell ref="D639:E639"/>
    <mergeCell ref="F639:G639"/>
    <mergeCell ref="M639:N639"/>
    <mergeCell ref="D634:E634"/>
    <mergeCell ref="F634:G634"/>
    <mergeCell ref="M634:N634"/>
    <mergeCell ref="B638:C638"/>
    <mergeCell ref="D638:E638"/>
    <mergeCell ref="F638:G638"/>
    <mergeCell ref="M638:N638"/>
    <mergeCell ref="B635:C635"/>
    <mergeCell ref="D635:E635"/>
    <mergeCell ref="D637:E637"/>
    <mergeCell ref="I445:L445"/>
    <mergeCell ref="B446:C446"/>
    <mergeCell ref="D446:E446"/>
    <mergeCell ref="F446:G446"/>
    <mergeCell ref="B451:C451"/>
    <mergeCell ref="D451:E451"/>
    <mergeCell ref="F451:G451"/>
    <mergeCell ref="B454:C454"/>
    <mergeCell ref="M446:N446"/>
    <mergeCell ref="B447:C447"/>
    <mergeCell ref="D447:E447"/>
    <mergeCell ref="F447:G447"/>
    <mergeCell ref="M447:N447"/>
    <mergeCell ref="B450:C450"/>
    <mergeCell ref="D450:E450"/>
    <mergeCell ref="F450:G450"/>
    <mergeCell ref="M450:N450"/>
    <mergeCell ref="M451:N451"/>
    <mergeCell ref="B448:C448"/>
    <mergeCell ref="D448:E448"/>
    <mergeCell ref="F448:G448"/>
    <mergeCell ref="M448:N448"/>
    <mergeCell ref="B449:C449"/>
    <mergeCell ref="D449:E449"/>
    <mergeCell ref="F449:G449"/>
    <mergeCell ref="M449:N449"/>
    <mergeCell ref="D454:E454"/>
    <mergeCell ref="F454:G454"/>
    <mergeCell ref="M454:N454"/>
    <mergeCell ref="B455:C455"/>
    <mergeCell ref="D455:E455"/>
    <mergeCell ref="F455:G455"/>
    <mergeCell ref="M455:N455"/>
    <mergeCell ref="B452:C452"/>
    <mergeCell ref="D452:E452"/>
    <mergeCell ref="F452:G452"/>
    <mergeCell ref="M452:N452"/>
    <mergeCell ref="B453:C453"/>
    <mergeCell ref="D453:E453"/>
    <mergeCell ref="F453:G453"/>
    <mergeCell ref="M453:N453"/>
    <mergeCell ref="B458:C458"/>
    <mergeCell ref="D458:E458"/>
    <mergeCell ref="F458:G458"/>
    <mergeCell ref="M458:N458"/>
    <mergeCell ref="B459:C459"/>
    <mergeCell ref="D459:E459"/>
    <mergeCell ref="F459:G459"/>
    <mergeCell ref="M459:N459"/>
    <mergeCell ref="B456:C456"/>
    <mergeCell ref="D456:E456"/>
    <mergeCell ref="F456:G456"/>
    <mergeCell ref="M456:N456"/>
    <mergeCell ref="B457:C457"/>
    <mergeCell ref="D457:E457"/>
    <mergeCell ref="F457:G457"/>
    <mergeCell ref="M457:N457"/>
    <mergeCell ref="B462:C462"/>
    <mergeCell ref="D462:E462"/>
    <mergeCell ref="F462:G462"/>
    <mergeCell ref="M462:N462"/>
    <mergeCell ref="B463:C463"/>
    <mergeCell ref="D463:E463"/>
    <mergeCell ref="F463:G463"/>
    <mergeCell ref="M463:N463"/>
    <mergeCell ref="B460:C460"/>
    <mergeCell ref="D460:E460"/>
    <mergeCell ref="F460:G460"/>
    <mergeCell ref="M460:N460"/>
    <mergeCell ref="B461:C461"/>
    <mergeCell ref="D461:E461"/>
    <mergeCell ref="F461:G461"/>
    <mergeCell ref="M461:N461"/>
    <mergeCell ref="B466:C466"/>
    <mergeCell ref="D466:E466"/>
    <mergeCell ref="F466:G466"/>
    <mergeCell ref="M466:N466"/>
    <mergeCell ref="B467:C467"/>
    <mergeCell ref="D467:E467"/>
    <mergeCell ref="F467:G467"/>
    <mergeCell ref="M467:N467"/>
    <mergeCell ref="B464:C464"/>
    <mergeCell ref="D464:E464"/>
    <mergeCell ref="F464:G464"/>
    <mergeCell ref="M464:N464"/>
    <mergeCell ref="B465:C465"/>
    <mergeCell ref="D465:E465"/>
    <mergeCell ref="F465:G465"/>
    <mergeCell ref="M465:N465"/>
    <mergeCell ref="M469:N469"/>
    <mergeCell ref="B470:C470"/>
    <mergeCell ref="D470:E470"/>
    <mergeCell ref="F470:G470"/>
    <mergeCell ref="M470:N470"/>
    <mergeCell ref="B471:C471"/>
    <mergeCell ref="D471:E471"/>
    <mergeCell ref="F471:G471"/>
    <mergeCell ref="M471:N471"/>
    <mergeCell ref="D476:E476"/>
    <mergeCell ref="F476:G476"/>
    <mergeCell ref="M476:N476"/>
    <mergeCell ref="B468:C468"/>
    <mergeCell ref="D468:E468"/>
    <mergeCell ref="F468:G468"/>
    <mergeCell ref="M468:N468"/>
    <mergeCell ref="B469:C469"/>
    <mergeCell ref="D469:E469"/>
    <mergeCell ref="F469:G469"/>
    <mergeCell ref="B480:C480"/>
    <mergeCell ref="D480:E480"/>
    <mergeCell ref="F480:G480"/>
    <mergeCell ref="M480:N480"/>
    <mergeCell ref="B474:C474"/>
    <mergeCell ref="D474:E474"/>
    <mergeCell ref="F474:G474"/>
    <mergeCell ref="M474:N474"/>
    <mergeCell ref="B475:C475"/>
    <mergeCell ref="B476:C476"/>
    <mergeCell ref="F478:G478"/>
    <mergeCell ref="M478:N478"/>
    <mergeCell ref="B479:C479"/>
    <mergeCell ref="D479:E479"/>
    <mergeCell ref="F479:G479"/>
    <mergeCell ref="M479:N479"/>
    <mergeCell ref="B483:C483"/>
    <mergeCell ref="D483:E483"/>
    <mergeCell ref="F483:G483"/>
    <mergeCell ref="M483:N483"/>
    <mergeCell ref="B477:C477"/>
    <mergeCell ref="D477:E477"/>
    <mergeCell ref="F477:G477"/>
    <mergeCell ref="M477:N477"/>
    <mergeCell ref="B478:C478"/>
    <mergeCell ref="D478:E478"/>
    <mergeCell ref="B473:C473"/>
    <mergeCell ref="D473:E473"/>
    <mergeCell ref="F473:G473"/>
    <mergeCell ref="M473:N473"/>
    <mergeCell ref="B485:E485"/>
    <mergeCell ref="B486:E486"/>
    <mergeCell ref="B482:C482"/>
    <mergeCell ref="D482:E482"/>
    <mergeCell ref="F482:G482"/>
    <mergeCell ref="M482:N482"/>
    <mergeCell ref="I402:L402"/>
    <mergeCell ref="B403:C403"/>
    <mergeCell ref="D403:E403"/>
    <mergeCell ref="F403:G403"/>
    <mergeCell ref="M403:N403"/>
    <mergeCell ref="B404:C404"/>
    <mergeCell ref="D404:E404"/>
    <mergeCell ref="F404:G404"/>
    <mergeCell ref="M404:N404"/>
    <mergeCell ref="B405:C405"/>
    <mergeCell ref="D405:E405"/>
    <mergeCell ref="F405:G405"/>
    <mergeCell ref="M405:N405"/>
    <mergeCell ref="B406:C406"/>
    <mergeCell ref="D406:E406"/>
    <mergeCell ref="F406:G406"/>
    <mergeCell ref="M406:N406"/>
    <mergeCell ref="B407:C407"/>
    <mergeCell ref="D407:E407"/>
    <mergeCell ref="F407:G407"/>
    <mergeCell ref="M407:N407"/>
    <mergeCell ref="B408:C408"/>
    <mergeCell ref="D408:E408"/>
    <mergeCell ref="F408:G408"/>
    <mergeCell ref="M408:N408"/>
    <mergeCell ref="B409:C409"/>
    <mergeCell ref="D409:E409"/>
    <mergeCell ref="F409:G409"/>
    <mergeCell ref="M409:N409"/>
    <mergeCell ref="B410:C410"/>
    <mergeCell ref="D410:E410"/>
    <mergeCell ref="F410:G410"/>
    <mergeCell ref="M410:N410"/>
    <mergeCell ref="B411:C411"/>
    <mergeCell ref="D411:E411"/>
    <mergeCell ref="F411:G411"/>
    <mergeCell ref="M411:N411"/>
    <mergeCell ref="B412:C412"/>
    <mergeCell ref="D412:E412"/>
    <mergeCell ref="F412:G412"/>
    <mergeCell ref="M412:N412"/>
    <mergeCell ref="B413:C413"/>
    <mergeCell ref="D413:E413"/>
    <mergeCell ref="F413:G413"/>
    <mergeCell ref="M413:N413"/>
    <mergeCell ref="B414:C414"/>
    <mergeCell ref="D414:E414"/>
    <mergeCell ref="F414:G414"/>
    <mergeCell ref="M414:N414"/>
    <mergeCell ref="B415:C415"/>
    <mergeCell ref="D415:E415"/>
    <mergeCell ref="F415:G415"/>
    <mergeCell ref="M415:N415"/>
    <mergeCell ref="B416:C416"/>
    <mergeCell ref="D416:E416"/>
    <mergeCell ref="F416:G416"/>
    <mergeCell ref="M416:N416"/>
    <mergeCell ref="B417:C417"/>
    <mergeCell ref="D417:E417"/>
    <mergeCell ref="F417:G417"/>
    <mergeCell ref="M417:N417"/>
    <mergeCell ref="B418:C418"/>
    <mergeCell ref="D418:E418"/>
    <mergeCell ref="F418:G418"/>
    <mergeCell ref="M418:N418"/>
    <mergeCell ref="B419:C419"/>
    <mergeCell ref="D419:E419"/>
    <mergeCell ref="F419:G419"/>
    <mergeCell ref="M419:N419"/>
    <mergeCell ref="B420:C420"/>
    <mergeCell ref="D420:E420"/>
    <mergeCell ref="F420:G420"/>
    <mergeCell ref="M420:N420"/>
    <mergeCell ref="B421:C421"/>
    <mergeCell ref="D421:E421"/>
    <mergeCell ref="F421:G421"/>
    <mergeCell ref="M421:N421"/>
    <mergeCell ref="B422:C422"/>
    <mergeCell ref="D422:E422"/>
    <mergeCell ref="F422:G422"/>
    <mergeCell ref="M422:N422"/>
    <mergeCell ref="B423:C423"/>
    <mergeCell ref="D423:E423"/>
    <mergeCell ref="F423:G423"/>
    <mergeCell ref="M423:N423"/>
    <mergeCell ref="B424:C424"/>
    <mergeCell ref="D424:E424"/>
    <mergeCell ref="F424:G424"/>
    <mergeCell ref="M424:N424"/>
    <mergeCell ref="B425:C425"/>
    <mergeCell ref="D425:E425"/>
    <mergeCell ref="F425:G425"/>
    <mergeCell ref="M425:N425"/>
    <mergeCell ref="B426:C426"/>
    <mergeCell ref="D426:E426"/>
    <mergeCell ref="F426:G426"/>
    <mergeCell ref="M426:N426"/>
    <mergeCell ref="D433:E433"/>
    <mergeCell ref="F433:G433"/>
    <mergeCell ref="B437:C437"/>
    <mergeCell ref="D437:E437"/>
    <mergeCell ref="F437:G437"/>
    <mergeCell ref="M437:N437"/>
    <mergeCell ref="B434:C434"/>
    <mergeCell ref="D434:E434"/>
    <mergeCell ref="F434:G434"/>
    <mergeCell ref="M434:N434"/>
    <mergeCell ref="B435:C435"/>
    <mergeCell ref="D435:E435"/>
    <mergeCell ref="B427:C427"/>
    <mergeCell ref="D427:E427"/>
    <mergeCell ref="F427:G427"/>
    <mergeCell ref="M427:N427"/>
    <mergeCell ref="B428:C428"/>
    <mergeCell ref="D428:E428"/>
    <mergeCell ref="F428:G428"/>
    <mergeCell ref="M428:N428"/>
    <mergeCell ref="M433:N433"/>
    <mergeCell ref="B429:C429"/>
    <mergeCell ref="D429:E429"/>
    <mergeCell ref="F429:G429"/>
    <mergeCell ref="M429:N429"/>
    <mergeCell ref="B430:C430"/>
    <mergeCell ref="D430:E430"/>
    <mergeCell ref="F430:G430"/>
    <mergeCell ref="M430:N430"/>
    <mergeCell ref="B442:E442"/>
    <mergeCell ref="B443:E443"/>
    <mergeCell ref="B438:C438"/>
    <mergeCell ref="D438:E438"/>
    <mergeCell ref="F438:G438"/>
    <mergeCell ref="M438:N438"/>
    <mergeCell ref="B439:C439"/>
    <mergeCell ref="D439:E439"/>
    <mergeCell ref="F439:G439"/>
    <mergeCell ref="M439:N439"/>
    <mergeCell ref="F378:G378"/>
    <mergeCell ref="F379:G379"/>
    <mergeCell ref="B440:C440"/>
    <mergeCell ref="D440:E440"/>
    <mergeCell ref="F440:G440"/>
    <mergeCell ref="M440:N440"/>
    <mergeCell ref="B436:C436"/>
    <mergeCell ref="D436:E436"/>
    <mergeCell ref="F436:G436"/>
    <mergeCell ref="M436:N436"/>
    <mergeCell ref="B395:C395"/>
    <mergeCell ref="D395:E395"/>
    <mergeCell ref="F395:G395"/>
    <mergeCell ref="M395:N395"/>
    <mergeCell ref="F435:G435"/>
    <mergeCell ref="M435:N435"/>
    <mergeCell ref="B431:C431"/>
    <mergeCell ref="D431:E431"/>
    <mergeCell ref="F431:G431"/>
    <mergeCell ref="M431:N431"/>
    <mergeCell ref="B432:C432"/>
    <mergeCell ref="B433:C433"/>
    <mergeCell ref="I331:L331"/>
    <mergeCell ref="B332:C332"/>
    <mergeCell ref="D332:E332"/>
    <mergeCell ref="F332:G332"/>
    <mergeCell ref="M332:N332"/>
    <mergeCell ref="B333:C333"/>
    <mergeCell ref="D333:E333"/>
    <mergeCell ref="F333:G333"/>
    <mergeCell ref="M333:N333"/>
    <mergeCell ref="B334:C334"/>
    <mergeCell ref="D334:E334"/>
    <mergeCell ref="F334:G334"/>
    <mergeCell ref="M334:N334"/>
    <mergeCell ref="B335:C335"/>
    <mergeCell ref="D335:E335"/>
    <mergeCell ref="F335:G335"/>
    <mergeCell ref="M335:N335"/>
    <mergeCell ref="B336:C336"/>
    <mergeCell ref="D336:E336"/>
    <mergeCell ref="F336:G336"/>
    <mergeCell ref="M336:N336"/>
    <mergeCell ref="B337:C337"/>
    <mergeCell ref="D337:E337"/>
    <mergeCell ref="F337:G337"/>
    <mergeCell ref="M337:N337"/>
    <mergeCell ref="B338:C338"/>
    <mergeCell ref="D338:E338"/>
    <mergeCell ref="F338:G338"/>
    <mergeCell ref="M338:N338"/>
    <mergeCell ref="B339:C339"/>
    <mergeCell ref="D339:E339"/>
    <mergeCell ref="F339:G339"/>
    <mergeCell ref="M339:N339"/>
    <mergeCell ref="B340:C340"/>
    <mergeCell ref="D340:E340"/>
    <mergeCell ref="F340:G340"/>
    <mergeCell ref="M340:N340"/>
    <mergeCell ref="B341:C341"/>
    <mergeCell ref="D341:E341"/>
    <mergeCell ref="F341:G341"/>
    <mergeCell ref="M341:N341"/>
    <mergeCell ref="B342:C342"/>
    <mergeCell ref="D342:E342"/>
    <mergeCell ref="F342:G342"/>
    <mergeCell ref="M342:N342"/>
    <mergeCell ref="B343:C343"/>
    <mergeCell ref="D343:E343"/>
    <mergeCell ref="F343:G343"/>
    <mergeCell ref="M343:N343"/>
    <mergeCell ref="B344:C344"/>
    <mergeCell ref="D344:E344"/>
    <mergeCell ref="F344:G344"/>
    <mergeCell ref="M344:N344"/>
    <mergeCell ref="B345:C345"/>
    <mergeCell ref="D345:E345"/>
    <mergeCell ref="F345:G345"/>
    <mergeCell ref="M345:N345"/>
    <mergeCell ref="B347:C347"/>
    <mergeCell ref="D347:E347"/>
    <mergeCell ref="F347:G347"/>
    <mergeCell ref="M347:N347"/>
    <mergeCell ref="B348:C348"/>
    <mergeCell ref="D348:E348"/>
    <mergeCell ref="F348:G348"/>
    <mergeCell ref="M348:N348"/>
    <mergeCell ref="B349:C349"/>
    <mergeCell ref="D349:E349"/>
    <mergeCell ref="F349:G349"/>
    <mergeCell ref="M349:N349"/>
    <mergeCell ref="B350:C350"/>
    <mergeCell ref="D350:E350"/>
    <mergeCell ref="F350:G350"/>
    <mergeCell ref="M350:N350"/>
    <mergeCell ref="B351:C351"/>
    <mergeCell ref="D351:E351"/>
    <mergeCell ref="F351:G351"/>
    <mergeCell ref="M351:N351"/>
    <mergeCell ref="F360:G360"/>
    <mergeCell ref="M360:N360"/>
    <mergeCell ref="F361:G361"/>
    <mergeCell ref="M361:N361"/>
    <mergeCell ref="B352:C352"/>
    <mergeCell ref="D352:E352"/>
    <mergeCell ref="F352:G352"/>
    <mergeCell ref="M352:N352"/>
    <mergeCell ref="B353:C353"/>
    <mergeCell ref="D353:E353"/>
    <mergeCell ref="F353:G353"/>
    <mergeCell ref="M353:N353"/>
    <mergeCell ref="B354:C354"/>
    <mergeCell ref="D354:E354"/>
    <mergeCell ref="F354:G354"/>
    <mergeCell ref="M354:N354"/>
    <mergeCell ref="F355:G355"/>
    <mergeCell ref="M355:N355"/>
    <mergeCell ref="B356:C356"/>
    <mergeCell ref="D356:E356"/>
    <mergeCell ref="F356:G356"/>
    <mergeCell ref="M356:N356"/>
    <mergeCell ref="B365:E365"/>
    <mergeCell ref="B366:E366"/>
    <mergeCell ref="B363:C363"/>
    <mergeCell ref="D363:E363"/>
    <mergeCell ref="F363:G363"/>
    <mergeCell ref="M363:N363"/>
    <mergeCell ref="B357:C357"/>
    <mergeCell ref="D357:E357"/>
    <mergeCell ref="F357:G357"/>
    <mergeCell ref="M357:N357"/>
    <mergeCell ref="B358:C358"/>
    <mergeCell ref="D358:E358"/>
    <mergeCell ref="F358:G358"/>
    <mergeCell ref="M358:N358"/>
    <mergeCell ref="B346:C346"/>
    <mergeCell ref="D346:E346"/>
    <mergeCell ref="F346:G346"/>
    <mergeCell ref="M346:N346"/>
    <mergeCell ref="B362:C362"/>
    <mergeCell ref="D362:E362"/>
    <mergeCell ref="F362:G362"/>
    <mergeCell ref="M362:N362"/>
    <mergeCell ref="B355:C355"/>
    <mergeCell ref="D355:E355"/>
    <mergeCell ref="B359:C359"/>
    <mergeCell ref="D359:E359"/>
    <mergeCell ref="F359:G359"/>
    <mergeCell ref="M359:N359"/>
    <mergeCell ref="B361:C361"/>
    <mergeCell ref="D361:E361"/>
    <mergeCell ref="B360:C360"/>
    <mergeCell ref="D360:E360"/>
    <mergeCell ref="I245:L245"/>
    <mergeCell ref="B246:C246"/>
    <mergeCell ref="D246:E246"/>
    <mergeCell ref="F246:G246"/>
    <mergeCell ref="M246:N246"/>
    <mergeCell ref="B247:C247"/>
    <mergeCell ref="D247:E247"/>
    <mergeCell ref="F247:G247"/>
    <mergeCell ref="M247:N247"/>
    <mergeCell ref="B248:C248"/>
    <mergeCell ref="D248:E248"/>
    <mergeCell ref="F248:G248"/>
    <mergeCell ref="M248:N248"/>
    <mergeCell ref="B249:C249"/>
    <mergeCell ref="D249:E249"/>
    <mergeCell ref="F249:G249"/>
    <mergeCell ref="M249:N249"/>
    <mergeCell ref="B250:C250"/>
    <mergeCell ref="D250:E250"/>
    <mergeCell ref="F250:G250"/>
    <mergeCell ref="M250:N250"/>
    <mergeCell ref="B251:C251"/>
    <mergeCell ref="D251:E251"/>
    <mergeCell ref="F251:G251"/>
    <mergeCell ref="M251:N251"/>
    <mergeCell ref="B252:C252"/>
    <mergeCell ref="D252:E252"/>
    <mergeCell ref="F252:G252"/>
    <mergeCell ref="M252:N252"/>
    <mergeCell ref="B253:C253"/>
    <mergeCell ref="D253:E253"/>
    <mergeCell ref="F253:G253"/>
    <mergeCell ref="M253:N253"/>
    <mergeCell ref="B254:C254"/>
    <mergeCell ref="D254:E254"/>
    <mergeCell ref="F254:G254"/>
    <mergeCell ref="M254:N254"/>
    <mergeCell ref="B256:C256"/>
    <mergeCell ref="D256:E256"/>
    <mergeCell ref="F256:G256"/>
    <mergeCell ref="M256:N256"/>
    <mergeCell ref="B257:C257"/>
    <mergeCell ref="D257:E257"/>
    <mergeCell ref="F257:G257"/>
    <mergeCell ref="M257:N257"/>
    <mergeCell ref="B258:C258"/>
    <mergeCell ref="D258:E258"/>
    <mergeCell ref="F258:G258"/>
    <mergeCell ref="M258:N258"/>
    <mergeCell ref="B259:C259"/>
    <mergeCell ref="D259:E259"/>
    <mergeCell ref="F259:G259"/>
    <mergeCell ref="M259:N259"/>
    <mergeCell ref="B260:C260"/>
    <mergeCell ref="D260:E260"/>
    <mergeCell ref="F260:G260"/>
    <mergeCell ref="M260:N260"/>
    <mergeCell ref="B261:C261"/>
    <mergeCell ref="D261:E261"/>
    <mergeCell ref="F261:G261"/>
    <mergeCell ref="M261:N261"/>
    <mergeCell ref="B262:C262"/>
    <mergeCell ref="D262:E262"/>
    <mergeCell ref="F262:G262"/>
    <mergeCell ref="M262:N262"/>
    <mergeCell ref="B263:C263"/>
    <mergeCell ref="D263:E263"/>
    <mergeCell ref="F263:G263"/>
    <mergeCell ref="M263:N263"/>
    <mergeCell ref="B264:C264"/>
    <mergeCell ref="D264:E264"/>
    <mergeCell ref="F264:G264"/>
    <mergeCell ref="M264:N264"/>
    <mergeCell ref="B265:C265"/>
    <mergeCell ref="D265:E265"/>
    <mergeCell ref="F265:G265"/>
    <mergeCell ref="M265:N265"/>
    <mergeCell ref="B266:C266"/>
    <mergeCell ref="D266:E266"/>
    <mergeCell ref="F266:G266"/>
    <mergeCell ref="M266:N266"/>
    <mergeCell ref="B267:C267"/>
    <mergeCell ref="D267:E267"/>
    <mergeCell ref="F267:G267"/>
    <mergeCell ref="M267:N267"/>
    <mergeCell ref="B268:C268"/>
    <mergeCell ref="D268:E268"/>
    <mergeCell ref="F268:G268"/>
    <mergeCell ref="M268:N268"/>
    <mergeCell ref="B269:C269"/>
    <mergeCell ref="D269:E269"/>
    <mergeCell ref="F269:G269"/>
    <mergeCell ref="M269:N269"/>
    <mergeCell ref="B270:C270"/>
    <mergeCell ref="D270:E270"/>
    <mergeCell ref="F270:G270"/>
    <mergeCell ref="M270:N270"/>
    <mergeCell ref="F278:G278"/>
    <mergeCell ref="M278:N278"/>
    <mergeCell ref="B280:C280"/>
    <mergeCell ref="D280:E280"/>
    <mergeCell ref="F280:G280"/>
    <mergeCell ref="M280:N280"/>
    <mergeCell ref="B281:C281"/>
    <mergeCell ref="D281:E281"/>
    <mergeCell ref="F281:G281"/>
    <mergeCell ref="M281:N281"/>
    <mergeCell ref="B271:C271"/>
    <mergeCell ref="D271:E271"/>
    <mergeCell ref="F271:G271"/>
    <mergeCell ref="M271:N271"/>
    <mergeCell ref="B272:C272"/>
    <mergeCell ref="D272:E272"/>
    <mergeCell ref="F272:G272"/>
    <mergeCell ref="M272:N272"/>
    <mergeCell ref="B273:C273"/>
    <mergeCell ref="D273:E273"/>
    <mergeCell ref="F273:G273"/>
    <mergeCell ref="M273:N273"/>
    <mergeCell ref="B274:C274"/>
    <mergeCell ref="D274:E274"/>
    <mergeCell ref="F274:G274"/>
    <mergeCell ref="M274:N274"/>
    <mergeCell ref="B275:C275"/>
    <mergeCell ref="D275:E275"/>
    <mergeCell ref="F275:G275"/>
    <mergeCell ref="M275:N275"/>
    <mergeCell ref="B282:C282"/>
    <mergeCell ref="D282:E282"/>
    <mergeCell ref="F282:G282"/>
    <mergeCell ref="M282:N282"/>
    <mergeCell ref="B283:C283"/>
    <mergeCell ref="D283:E283"/>
    <mergeCell ref="F283:G283"/>
    <mergeCell ref="M283:N283"/>
    <mergeCell ref="B284:C284"/>
    <mergeCell ref="D284:E284"/>
    <mergeCell ref="F284:G284"/>
    <mergeCell ref="M284:N284"/>
    <mergeCell ref="B286:E286"/>
    <mergeCell ref="B287:E287"/>
    <mergeCell ref="B255:C255"/>
    <mergeCell ref="D255:E255"/>
    <mergeCell ref="F255:G255"/>
    <mergeCell ref="M255:N255"/>
    <mergeCell ref="B279:C279"/>
    <mergeCell ref="D279:E279"/>
    <mergeCell ref="F279:G279"/>
    <mergeCell ref="M279:N279"/>
    <mergeCell ref="B276:C276"/>
    <mergeCell ref="D276:E276"/>
    <mergeCell ref="F276:G276"/>
    <mergeCell ref="M276:N276"/>
    <mergeCell ref="B277:C277"/>
    <mergeCell ref="D277:E277"/>
    <mergeCell ref="F277:G277"/>
    <mergeCell ref="M277:N277"/>
    <mergeCell ref="B278:C278"/>
    <mergeCell ref="D278:E278"/>
    <mergeCell ref="I200:L200"/>
    <mergeCell ref="B201:C201"/>
    <mergeCell ref="D201:E201"/>
    <mergeCell ref="F201:G201"/>
    <mergeCell ref="M201:N201"/>
    <mergeCell ref="B202:C202"/>
    <mergeCell ref="D202:E202"/>
    <mergeCell ref="F202:G202"/>
    <mergeCell ref="M202:N202"/>
    <mergeCell ref="B203:C203"/>
    <mergeCell ref="D203:E203"/>
    <mergeCell ref="F203:G203"/>
    <mergeCell ref="M203:N203"/>
    <mergeCell ref="B204:C204"/>
    <mergeCell ref="D204:E204"/>
    <mergeCell ref="F204:G204"/>
    <mergeCell ref="M204:N204"/>
    <mergeCell ref="B205:C205"/>
    <mergeCell ref="D205:E205"/>
    <mergeCell ref="F205:G205"/>
    <mergeCell ref="M205:N205"/>
    <mergeCell ref="B206:C206"/>
    <mergeCell ref="D206:E206"/>
    <mergeCell ref="F206:G206"/>
    <mergeCell ref="M206:N206"/>
    <mergeCell ref="B207:C207"/>
    <mergeCell ref="D207:E207"/>
    <mergeCell ref="F207:G207"/>
    <mergeCell ref="M207:N207"/>
    <mergeCell ref="B208:C208"/>
    <mergeCell ref="D208:E208"/>
    <mergeCell ref="F208:G208"/>
    <mergeCell ref="M208:N208"/>
    <mergeCell ref="B209:C209"/>
    <mergeCell ref="D209:E209"/>
    <mergeCell ref="F209:G209"/>
    <mergeCell ref="M209:N209"/>
    <mergeCell ref="B210:C210"/>
    <mergeCell ref="D210:E210"/>
    <mergeCell ref="F210:G210"/>
    <mergeCell ref="M210:N210"/>
    <mergeCell ref="B211:C211"/>
    <mergeCell ref="D211:E211"/>
    <mergeCell ref="F211:G211"/>
    <mergeCell ref="M211:N211"/>
    <mergeCell ref="B212:C212"/>
    <mergeCell ref="D212:E212"/>
    <mergeCell ref="F212:G212"/>
    <mergeCell ref="M212:N212"/>
    <mergeCell ref="B213:C213"/>
    <mergeCell ref="D213:E213"/>
    <mergeCell ref="F213:G213"/>
    <mergeCell ref="M213:N213"/>
    <mergeCell ref="B214:C214"/>
    <mergeCell ref="D214:E214"/>
    <mergeCell ref="F214:G214"/>
    <mergeCell ref="M214:N214"/>
    <mergeCell ref="B215:C215"/>
    <mergeCell ref="D215:E215"/>
    <mergeCell ref="F215:G215"/>
    <mergeCell ref="M215:N215"/>
    <mergeCell ref="B216:C216"/>
    <mergeCell ref="D216:E216"/>
    <mergeCell ref="F216:G216"/>
    <mergeCell ref="M216:N216"/>
    <mergeCell ref="B217:C217"/>
    <mergeCell ref="D217:E217"/>
    <mergeCell ref="F217:G217"/>
    <mergeCell ref="M217:N217"/>
    <mergeCell ref="B218:C218"/>
    <mergeCell ref="D218:E218"/>
    <mergeCell ref="F218:G218"/>
    <mergeCell ref="M218:N218"/>
    <mergeCell ref="B219:C219"/>
    <mergeCell ref="D219:E219"/>
    <mergeCell ref="F219:G219"/>
    <mergeCell ref="M219:N219"/>
    <mergeCell ref="B220:C220"/>
    <mergeCell ref="D220:E220"/>
    <mergeCell ref="F220:G220"/>
    <mergeCell ref="M220:N220"/>
    <mergeCell ref="B221:C221"/>
    <mergeCell ref="D221:E221"/>
    <mergeCell ref="F221:G221"/>
    <mergeCell ref="M221:N221"/>
    <mergeCell ref="B222:C222"/>
    <mergeCell ref="D222:E222"/>
    <mergeCell ref="F222:G222"/>
    <mergeCell ref="M222:N222"/>
    <mergeCell ref="B223:C223"/>
    <mergeCell ref="D223:E223"/>
    <mergeCell ref="F223:G223"/>
    <mergeCell ref="M223:N223"/>
    <mergeCell ref="B224:C224"/>
    <mergeCell ref="D224:E224"/>
    <mergeCell ref="F224:G224"/>
    <mergeCell ref="M224:N224"/>
    <mergeCell ref="B225:C225"/>
    <mergeCell ref="D225:E225"/>
    <mergeCell ref="F225:G225"/>
    <mergeCell ref="M225:N225"/>
    <mergeCell ref="B226:C226"/>
    <mergeCell ref="D226:E226"/>
    <mergeCell ref="F226:G226"/>
    <mergeCell ref="M226:N226"/>
    <mergeCell ref="B227:C227"/>
    <mergeCell ref="D227:E227"/>
    <mergeCell ref="F227:G227"/>
    <mergeCell ref="M227:N227"/>
    <mergeCell ref="B228:C228"/>
    <mergeCell ref="D228:E228"/>
    <mergeCell ref="F228:G228"/>
    <mergeCell ref="M228:N228"/>
    <mergeCell ref="B229:C229"/>
    <mergeCell ref="D229:E229"/>
    <mergeCell ref="F229:G229"/>
    <mergeCell ref="M229:N229"/>
    <mergeCell ref="B230:C230"/>
    <mergeCell ref="D230:E230"/>
    <mergeCell ref="F230:G230"/>
    <mergeCell ref="M230:N230"/>
    <mergeCell ref="B231:C231"/>
    <mergeCell ref="D231:E231"/>
    <mergeCell ref="F231:G231"/>
    <mergeCell ref="M231:N231"/>
    <mergeCell ref="B232:C232"/>
    <mergeCell ref="D232:E232"/>
    <mergeCell ref="F232:G232"/>
    <mergeCell ref="M232:N232"/>
    <mergeCell ref="B233:C233"/>
    <mergeCell ref="D233:E233"/>
    <mergeCell ref="F233:G233"/>
    <mergeCell ref="M233:N233"/>
    <mergeCell ref="B234:C234"/>
    <mergeCell ref="D234:E234"/>
    <mergeCell ref="F234:G234"/>
    <mergeCell ref="M234:N234"/>
    <mergeCell ref="B242:E242"/>
    <mergeCell ref="B243:E243"/>
    <mergeCell ref="B236:C236"/>
    <mergeCell ref="D236:E236"/>
    <mergeCell ref="F236:G236"/>
    <mergeCell ref="M236:N236"/>
    <mergeCell ref="B237:C237"/>
    <mergeCell ref="D237:E237"/>
    <mergeCell ref="F237:G237"/>
    <mergeCell ref="M237:N237"/>
    <mergeCell ref="B238:C238"/>
    <mergeCell ref="D238:E238"/>
    <mergeCell ref="F238:G238"/>
    <mergeCell ref="M238:N238"/>
    <mergeCell ref="B239:C239"/>
    <mergeCell ref="D239:E239"/>
    <mergeCell ref="F239:G239"/>
    <mergeCell ref="M239:N239"/>
    <mergeCell ref="B240:C240"/>
    <mergeCell ref="D240:E240"/>
    <mergeCell ref="F240:G240"/>
    <mergeCell ref="M240:N240"/>
    <mergeCell ref="I161:L161"/>
    <mergeCell ref="B162:C162"/>
    <mergeCell ref="D162:E162"/>
    <mergeCell ref="F162:G162"/>
    <mergeCell ref="M162:N162"/>
    <mergeCell ref="B163:C163"/>
    <mergeCell ref="D163:E163"/>
    <mergeCell ref="F163:G163"/>
    <mergeCell ref="M163:N163"/>
    <mergeCell ref="B164:C164"/>
    <mergeCell ref="D164:E164"/>
    <mergeCell ref="F164:G164"/>
    <mergeCell ref="M164:N164"/>
    <mergeCell ref="B165:C165"/>
    <mergeCell ref="D165:E165"/>
    <mergeCell ref="F165:G165"/>
    <mergeCell ref="M165:N165"/>
    <mergeCell ref="M172:N172"/>
    <mergeCell ref="D175:E175"/>
    <mergeCell ref="B166:C166"/>
    <mergeCell ref="D166:E166"/>
    <mergeCell ref="F166:G166"/>
    <mergeCell ref="M166:N166"/>
    <mergeCell ref="B167:C167"/>
    <mergeCell ref="D167:E167"/>
    <mergeCell ref="F167:G167"/>
    <mergeCell ref="M167:N167"/>
    <mergeCell ref="B168:C168"/>
    <mergeCell ref="D168:E168"/>
    <mergeCell ref="F168:G168"/>
    <mergeCell ref="M168:N168"/>
    <mergeCell ref="B169:C169"/>
    <mergeCell ref="D169:E169"/>
    <mergeCell ref="F169:G169"/>
    <mergeCell ref="M169:N169"/>
    <mergeCell ref="B170:C170"/>
    <mergeCell ref="D170:E170"/>
    <mergeCell ref="F170:G170"/>
    <mergeCell ref="M170:N170"/>
    <mergeCell ref="B183:C183"/>
    <mergeCell ref="D183:E183"/>
    <mergeCell ref="F183:G183"/>
    <mergeCell ref="M183:N183"/>
    <mergeCell ref="B184:C184"/>
    <mergeCell ref="D184:E184"/>
    <mergeCell ref="F184:G184"/>
    <mergeCell ref="M184:N184"/>
    <mergeCell ref="B185:C185"/>
    <mergeCell ref="D185:E185"/>
    <mergeCell ref="B171:C171"/>
    <mergeCell ref="D171:E171"/>
    <mergeCell ref="F171:G171"/>
    <mergeCell ref="M171:N171"/>
    <mergeCell ref="B173:C173"/>
    <mergeCell ref="D173:E173"/>
    <mergeCell ref="F173:G173"/>
    <mergeCell ref="M173:N173"/>
    <mergeCell ref="B174:C174"/>
    <mergeCell ref="D174:E174"/>
    <mergeCell ref="F174:G174"/>
    <mergeCell ref="M174:N174"/>
    <mergeCell ref="B175:C175"/>
    <mergeCell ref="F175:G175"/>
    <mergeCell ref="M175:N175"/>
    <mergeCell ref="B176:C176"/>
    <mergeCell ref="D176:E176"/>
    <mergeCell ref="F176:G176"/>
    <mergeCell ref="M176:N176"/>
    <mergeCell ref="B172:C172"/>
    <mergeCell ref="D172:E172"/>
    <mergeCell ref="F172:G172"/>
    <mergeCell ref="F190:G190"/>
    <mergeCell ref="F191:G191"/>
    <mergeCell ref="B194:C194"/>
    <mergeCell ref="D194:E194"/>
    <mergeCell ref="F194:G194"/>
    <mergeCell ref="M194:N194"/>
    <mergeCell ref="B190:C190"/>
    <mergeCell ref="D190:E190"/>
    <mergeCell ref="B191:C191"/>
    <mergeCell ref="D191:E191"/>
    <mergeCell ref="M191:N191"/>
    <mergeCell ref="M190:N190"/>
    <mergeCell ref="B178:C178"/>
    <mergeCell ref="D178:E178"/>
    <mergeCell ref="F178:G178"/>
    <mergeCell ref="M178:N178"/>
    <mergeCell ref="B179:C179"/>
    <mergeCell ref="D179:E179"/>
    <mergeCell ref="F179:G179"/>
    <mergeCell ref="M179:N179"/>
    <mergeCell ref="B180:C180"/>
    <mergeCell ref="D180:E180"/>
    <mergeCell ref="F180:G180"/>
    <mergeCell ref="M180:N180"/>
    <mergeCell ref="B181:C181"/>
    <mergeCell ref="D181:E181"/>
    <mergeCell ref="F181:G181"/>
    <mergeCell ref="M181:N181"/>
    <mergeCell ref="B182:C182"/>
    <mergeCell ref="D182:E182"/>
    <mergeCell ref="F182:G182"/>
    <mergeCell ref="M182:N182"/>
    <mergeCell ref="F185:G185"/>
    <mergeCell ref="M185:N185"/>
    <mergeCell ref="B186:C186"/>
    <mergeCell ref="D186:E186"/>
    <mergeCell ref="F186:G186"/>
    <mergeCell ref="M186:N186"/>
    <mergeCell ref="B187:C187"/>
    <mergeCell ref="D187:E187"/>
    <mergeCell ref="F187:G187"/>
    <mergeCell ref="M187:N187"/>
    <mergeCell ref="B195:C195"/>
    <mergeCell ref="D195:E195"/>
    <mergeCell ref="F195:G195"/>
    <mergeCell ref="M195:N195"/>
    <mergeCell ref="B197:E197"/>
    <mergeCell ref="B198:E198"/>
    <mergeCell ref="B188:C188"/>
    <mergeCell ref="D188:E188"/>
    <mergeCell ref="F188:G188"/>
    <mergeCell ref="M188:N188"/>
    <mergeCell ref="B189:C189"/>
    <mergeCell ref="D189:E189"/>
    <mergeCell ref="F189:G189"/>
    <mergeCell ref="M189:N189"/>
    <mergeCell ref="B192:C192"/>
    <mergeCell ref="D192:E192"/>
    <mergeCell ref="F192:G192"/>
    <mergeCell ref="M192:N192"/>
    <mergeCell ref="B193:C193"/>
    <mergeCell ref="D193:E193"/>
    <mergeCell ref="F193:G193"/>
    <mergeCell ref="M193:N193"/>
    <mergeCell ref="I121:L121"/>
    <mergeCell ref="B122:C122"/>
    <mergeCell ref="D122:E122"/>
    <mergeCell ref="F122:G122"/>
    <mergeCell ref="M122:N122"/>
    <mergeCell ref="B123:C123"/>
    <mergeCell ref="D123:E123"/>
    <mergeCell ref="F123:G123"/>
    <mergeCell ref="M123:N123"/>
    <mergeCell ref="B124:C124"/>
    <mergeCell ref="D124:E124"/>
    <mergeCell ref="F124:G124"/>
    <mergeCell ref="M124:N124"/>
    <mergeCell ref="B125:C125"/>
    <mergeCell ref="D125:E125"/>
    <mergeCell ref="F125:G125"/>
    <mergeCell ref="M125:N125"/>
    <mergeCell ref="B136:C136"/>
    <mergeCell ref="D136:E136"/>
    <mergeCell ref="F136:G136"/>
    <mergeCell ref="M136:N136"/>
    <mergeCell ref="B126:C126"/>
    <mergeCell ref="D126:E126"/>
    <mergeCell ref="F126:G126"/>
    <mergeCell ref="M126:N126"/>
    <mergeCell ref="B127:C127"/>
    <mergeCell ref="D127:E127"/>
    <mergeCell ref="F127:G127"/>
    <mergeCell ref="M127:N127"/>
    <mergeCell ref="B128:C128"/>
    <mergeCell ref="D128:E128"/>
    <mergeCell ref="F128:G128"/>
    <mergeCell ref="M128:N128"/>
    <mergeCell ref="B129:C129"/>
    <mergeCell ref="D129:E129"/>
    <mergeCell ref="F129:G129"/>
    <mergeCell ref="M129:N129"/>
    <mergeCell ref="B130:C130"/>
    <mergeCell ref="D130:E130"/>
    <mergeCell ref="F130:G130"/>
    <mergeCell ref="M130:N130"/>
    <mergeCell ref="B132:C132"/>
    <mergeCell ref="D132:E132"/>
    <mergeCell ref="F132:G132"/>
    <mergeCell ref="M132:N132"/>
    <mergeCell ref="B138:C138"/>
    <mergeCell ref="D138:E138"/>
    <mergeCell ref="F138:G138"/>
    <mergeCell ref="M138:N138"/>
    <mergeCell ref="B139:C139"/>
    <mergeCell ref="D139:E139"/>
    <mergeCell ref="F139:G139"/>
    <mergeCell ref="M139:N139"/>
    <mergeCell ref="B140:C140"/>
    <mergeCell ref="D140:E140"/>
    <mergeCell ref="F140:G140"/>
    <mergeCell ref="M140:N140"/>
    <mergeCell ref="B141:C141"/>
    <mergeCell ref="D141:E141"/>
    <mergeCell ref="F141:G141"/>
    <mergeCell ref="M141:N141"/>
    <mergeCell ref="B131:C131"/>
    <mergeCell ref="D131:E131"/>
    <mergeCell ref="F131:G131"/>
    <mergeCell ref="M131:N131"/>
    <mergeCell ref="B133:C133"/>
    <mergeCell ref="D133:E133"/>
    <mergeCell ref="F133:G133"/>
    <mergeCell ref="M133:N133"/>
    <mergeCell ref="B134:C134"/>
    <mergeCell ref="D134:E134"/>
    <mergeCell ref="F134:G134"/>
    <mergeCell ref="M134:N134"/>
    <mergeCell ref="B135:C135"/>
    <mergeCell ref="D135:E135"/>
    <mergeCell ref="F135:G135"/>
    <mergeCell ref="M135:N135"/>
    <mergeCell ref="B142:C142"/>
    <mergeCell ref="D142:E142"/>
    <mergeCell ref="F142:G142"/>
    <mergeCell ref="M142:N142"/>
    <mergeCell ref="B143:C143"/>
    <mergeCell ref="D143:E143"/>
    <mergeCell ref="F143:G143"/>
    <mergeCell ref="M143:N143"/>
    <mergeCell ref="B144:C144"/>
    <mergeCell ref="D144:E144"/>
    <mergeCell ref="F144:G144"/>
    <mergeCell ref="M144:N144"/>
    <mergeCell ref="B145:C145"/>
    <mergeCell ref="D145:E145"/>
    <mergeCell ref="F145:G145"/>
    <mergeCell ref="M145:N145"/>
    <mergeCell ref="B146:C146"/>
    <mergeCell ref="D146:E146"/>
    <mergeCell ref="F146:G146"/>
    <mergeCell ref="M146:N146"/>
    <mergeCell ref="B147:C147"/>
    <mergeCell ref="D147:E147"/>
    <mergeCell ref="F147:G147"/>
    <mergeCell ref="M147:N147"/>
    <mergeCell ref="B148:C148"/>
    <mergeCell ref="D148:E148"/>
    <mergeCell ref="F148:G148"/>
    <mergeCell ref="M148:N148"/>
    <mergeCell ref="B149:C149"/>
    <mergeCell ref="D149:E149"/>
    <mergeCell ref="F149:G149"/>
    <mergeCell ref="M149:N149"/>
    <mergeCell ref="B150:C150"/>
    <mergeCell ref="D150:E150"/>
    <mergeCell ref="F150:G150"/>
    <mergeCell ref="M150:N150"/>
    <mergeCell ref="B151:C151"/>
    <mergeCell ref="D151:E151"/>
    <mergeCell ref="F151:G151"/>
    <mergeCell ref="M151:N151"/>
    <mergeCell ref="B158:E158"/>
    <mergeCell ref="B159:E159"/>
    <mergeCell ref="B152:C152"/>
    <mergeCell ref="D152:E152"/>
    <mergeCell ref="F152:G152"/>
    <mergeCell ref="M152:N152"/>
    <mergeCell ref="B153:C153"/>
    <mergeCell ref="D153:E153"/>
    <mergeCell ref="F153:G153"/>
    <mergeCell ref="M153:N153"/>
    <mergeCell ref="B154:C154"/>
    <mergeCell ref="D154:E154"/>
    <mergeCell ref="F154:G154"/>
    <mergeCell ref="M154:N154"/>
    <mergeCell ref="B155:C155"/>
    <mergeCell ref="D155:E155"/>
    <mergeCell ref="F155:G155"/>
    <mergeCell ref="M155:N155"/>
    <mergeCell ref="B156:C156"/>
    <mergeCell ref="D156:E156"/>
    <mergeCell ref="F156:G156"/>
    <mergeCell ref="M156:N156"/>
    <mergeCell ref="I81:L81"/>
    <mergeCell ref="B82:C82"/>
    <mergeCell ref="D82:E82"/>
    <mergeCell ref="F82:G82"/>
    <mergeCell ref="M82:N82"/>
    <mergeCell ref="B83:C83"/>
    <mergeCell ref="D83:E83"/>
    <mergeCell ref="F83:G83"/>
    <mergeCell ref="M83:N83"/>
    <mergeCell ref="B84:C84"/>
    <mergeCell ref="D84:E84"/>
    <mergeCell ref="F84:G84"/>
    <mergeCell ref="M84:N84"/>
    <mergeCell ref="B85:C85"/>
    <mergeCell ref="D85:E85"/>
    <mergeCell ref="F85:G85"/>
    <mergeCell ref="M85:N85"/>
    <mergeCell ref="B86:C86"/>
    <mergeCell ref="D86:E86"/>
    <mergeCell ref="F86:G86"/>
    <mergeCell ref="M86:N86"/>
    <mergeCell ref="B87:C87"/>
    <mergeCell ref="D87:E87"/>
    <mergeCell ref="F87:G87"/>
    <mergeCell ref="M87:N87"/>
    <mergeCell ref="B88:C88"/>
    <mergeCell ref="D88:E88"/>
    <mergeCell ref="F88:G88"/>
    <mergeCell ref="M88:N88"/>
    <mergeCell ref="B89:C89"/>
    <mergeCell ref="D89:E89"/>
    <mergeCell ref="F89:G89"/>
    <mergeCell ref="M89:N89"/>
    <mergeCell ref="B90:C90"/>
    <mergeCell ref="D90:E90"/>
    <mergeCell ref="F90:G90"/>
    <mergeCell ref="M90:N90"/>
    <mergeCell ref="B91:C91"/>
    <mergeCell ref="D91:E91"/>
    <mergeCell ref="F91:G91"/>
    <mergeCell ref="M91:N91"/>
    <mergeCell ref="B92:C92"/>
    <mergeCell ref="D92:E92"/>
    <mergeCell ref="F92:G92"/>
    <mergeCell ref="M92:N92"/>
    <mergeCell ref="B93:C93"/>
    <mergeCell ref="D93:E93"/>
    <mergeCell ref="F93:G93"/>
    <mergeCell ref="M93:N93"/>
    <mergeCell ref="B94:C94"/>
    <mergeCell ref="D94:E94"/>
    <mergeCell ref="F94:G94"/>
    <mergeCell ref="B95:C95"/>
    <mergeCell ref="D95:E95"/>
    <mergeCell ref="F95:G95"/>
    <mergeCell ref="M95:N95"/>
    <mergeCell ref="B96:C96"/>
    <mergeCell ref="D96:E96"/>
    <mergeCell ref="F96:G96"/>
    <mergeCell ref="M96:N96"/>
    <mergeCell ref="B97:C97"/>
    <mergeCell ref="D97:E97"/>
    <mergeCell ref="F97:G97"/>
    <mergeCell ref="M97:N97"/>
    <mergeCell ref="B98:C98"/>
    <mergeCell ref="D98:E98"/>
    <mergeCell ref="F98:G98"/>
    <mergeCell ref="M98:N98"/>
    <mergeCell ref="B99:C99"/>
    <mergeCell ref="D99:E99"/>
    <mergeCell ref="F99:G99"/>
    <mergeCell ref="M99:N99"/>
    <mergeCell ref="B100:C100"/>
    <mergeCell ref="D100:E100"/>
    <mergeCell ref="F100:G100"/>
    <mergeCell ref="B101:C101"/>
    <mergeCell ref="D101:E101"/>
    <mergeCell ref="F101:G101"/>
    <mergeCell ref="M101:N101"/>
    <mergeCell ref="B102:C102"/>
    <mergeCell ref="D102:E102"/>
    <mergeCell ref="F102:G102"/>
    <mergeCell ref="M102:N102"/>
    <mergeCell ref="B103:C103"/>
    <mergeCell ref="D103:E103"/>
    <mergeCell ref="F103:G103"/>
    <mergeCell ref="M103:N103"/>
    <mergeCell ref="B104:C104"/>
    <mergeCell ref="D104:E104"/>
    <mergeCell ref="F104:G104"/>
    <mergeCell ref="M104:N104"/>
    <mergeCell ref="B105:C105"/>
    <mergeCell ref="D105:E105"/>
    <mergeCell ref="F105:G105"/>
    <mergeCell ref="M105:N105"/>
    <mergeCell ref="B106:C106"/>
    <mergeCell ref="D106:E106"/>
    <mergeCell ref="F106:G106"/>
    <mergeCell ref="M106:N106"/>
    <mergeCell ref="B107:C107"/>
    <mergeCell ref="D107:E107"/>
    <mergeCell ref="F107:G107"/>
    <mergeCell ref="M107:N107"/>
    <mergeCell ref="B108:C108"/>
    <mergeCell ref="D108:E108"/>
    <mergeCell ref="F108:G108"/>
    <mergeCell ref="M108:N108"/>
    <mergeCell ref="B109:C109"/>
    <mergeCell ref="D109:E109"/>
    <mergeCell ref="F109:G109"/>
    <mergeCell ref="M109:N109"/>
    <mergeCell ref="B110:C110"/>
    <mergeCell ref="D110:E110"/>
    <mergeCell ref="F110:G110"/>
    <mergeCell ref="M110:N110"/>
    <mergeCell ref="B116:C116"/>
    <mergeCell ref="D116:E116"/>
    <mergeCell ref="F116:G116"/>
    <mergeCell ref="M116:N116"/>
    <mergeCell ref="B118:E118"/>
    <mergeCell ref="B119:E119"/>
    <mergeCell ref="B111:C111"/>
    <mergeCell ref="D111:E111"/>
    <mergeCell ref="F111:G111"/>
    <mergeCell ref="M111:N111"/>
    <mergeCell ref="B112:C112"/>
    <mergeCell ref="D112:E112"/>
    <mergeCell ref="F112:G112"/>
    <mergeCell ref="M112:N112"/>
    <mergeCell ref="B113:C113"/>
    <mergeCell ref="D113:E113"/>
    <mergeCell ref="F113:G113"/>
    <mergeCell ref="B114:C114"/>
    <mergeCell ref="D114:E114"/>
    <mergeCell ref="F114:G114"/>
    <mergeCell ref="M114:N114"/>
    <mergeCell ref="B115:C115"/>
    <mergeCell ref="D115:E115"/>
    <mergeCell ref="F115:G115"/>
    <mergeCell ref="M115:N115"/>
    <mergeCell ref="I1:L1"/>
    <mergeCell ref="B2:C2"/>
    <mergeCell ref="D2:E2"/>
    <mergeCell ref="F2:G2"/>
    <mergeCell ref="M2:N2"/>
    <mergeCell ref="B3:C3"/>
    <mergeCell ref="D3:E3"/>
    <mergeCell ref="F3:G3"/>
    <mergeCell ref="M3:N3"/>
    <mergeCell ref="B4:C4"/>
    <mergeCell ref="D4:E4"/>
    <mergeCell ref="F4:G4"/>
    <mergeCell ref="M4:N4"/>
    <mergeCell ref="B5:C5"/>
    <mergeCell ref="D5:E5"/>
    <mergeCell ref="F5:G5"/>
    <mergeCell ref="M5:N5"/>
    <mergeCell ref="B6:C6"/>
    <mergeCell ref="D6:E6"/>
    <mergeCell ref="F6:G6"/>
    <mergeCell ref="M6:N6"/>
    <mergeCell ref="B7:C7"/>
    <mergeCell ref="D7:E7"/>
    <mergeCell ref="F7:G7"/>
    <mergeCell ref="M7:N7"/>
    <mergeCell ref="B8:C8"/>
    <mergeCell ref="D8:E8"/>
    <mergeCell ref="F8:G8"/>
    <mergeCell ref="M8:N8"/>
    <mergeCell ref="B9:C9"/>
    <mergeCell ref="D9:E9"/>
    <mergeCell ref="F9:G9"/>
    <mergeCell ref="M9:N9"/>
    <mergeCell ref="B10:C10"/>
    <mergeCell ref="D10:E10"/>
    <mergeCell ref="F10:G10"/>
    <mergeCell ref="M10:N10"/>
    <mergeCell ref="B11:C11"/>
    <mergeCell ref="D11:E11"/>
    <mergeCell ref="F11:G11"/>
    <mergeCell ref="M11:N11"/>
    <mergeCell ref="B12:C12"/>
    <mergeCell ref="D12:E12"/>
    <mergeCell ref="F12:G12"/>
    <mergeCell ref="M12:N12"/>
    <mergeCell ref="B13:C13"/>
    <mergeCell ref="D13:E13"/>
    <mergeCell ref="F13:G13"/>
    <mergeCell ref="M13:N13"/>
    <mergeCell ref="B14:C14"/>
    <mergeCell ref="D14:E14"/>
    <mergeCell ref="F14:G14"/>
    <mergeCell ref="B15:C15"/>
    <mergeCell ref="D15:E15"/>
    <mergeCell ref="F15:G15"/>
    <mergeCell ref="M15:N15"/>
    <mergeCell ref="B16:C16"/>
    <mergeCell ref="D16:E16"/>
    <mergeCell ref="F16:G16"/>
    <mergeCell ref="M16:N16"/>
    <mergeCell ref="B17:C17"/>
    <mergeCell ref="D17:E17"/>
    <mergeCell ref="F17:G17"/>
    <mergeCell ref="M17:N17"/>
    <mergeCell ref="B18:C18"/>
    <mergeCell ref="D18:E18"/>
    <mergeCell ref="F18:G18"/>
    <mergeCell ref="M18:N18"/>
    <mergeCell ref="B20:C20"/>
    <mergeCell ref="D20:E20"/>
    <mergeCell ref="F20:G20"/>
    <mergeCell ref="M20:N20"/>
    <mergeCell ref="B21:C21"/>
    <mergeCell ref="D21:E21"/>
    <mergeCell ref="F21:G21"/>
    <mergeCell ref="B19:C19"/>
    <mergeCell ref="D19:E19"/>
    <mergeCell ref="F19:G19"/>
    <mergeCell ref="M19:N19"/>
    <mergeCell ref="B22:C22"/>
    <mergeCell ref="D22:E22"/>
    <mergeCell ref="F22:G22"/>
    <mergeCell ref="M22:N22"/>
    <mergeCell ref="B23:C23"/>
    <mergeCell ref="D23:E23"/>
    <mergeCell ref="F23:G23"/>
    <mergeCell ref="M23:N23"/>
    <mergeCell ref="B24:C24"/>
    <mergeCell ref="D24:E24"/>
    <mergeCell ref="F24:G24"/>
    <mergeCell ref="M24:N24"/>
    <mergeCell ref="B25:C25"/>
    <mergeCell ref="D25:E25"/>
    <mergeCell ref="F25:G25"/>
    <mergeCell ref="M25:N25"/>
    <mergeCell ref="B26:C26"/>
    <mergeCell ref="D26:E26"/>
    <mergeCell ref="F26:G26"/>
    <mergeCell ref="M26:N26"/>
    <mergeCell ref="B27:C27"/>
    <mergeCell ref="D27:E27"/>
    <mergeCell ref="F27:G27"/>
    <mergeCell ref="M27:N27"/>
    <mergeCell ref="B28:C28"/>
    <mergeCell ref="D28:E28"/>
    <mergeCell ref="F28:G28"/>
    <mergeCell ref="M28:N28"/>
    <mergeCell ref="B29:C29"/>
    <mergeCell ref="D29:E29"/>
    <mergeCell ref="F29:G29"/>
    <mergeCell ref="M29:N29"/>
    <mergeCell ref="B30:C30"/>
    <mergeCell ref="D30:E30"/>
    <mergeCell ref="F30:G30"/>
    <mergeCell ref="M30:N30"/>
    <mergeCell ref="B31:C31"/>
    <mergeCell ref="D31:E31"/>
    <mergeCell ref="F31:G31"/>
    <mergeCell ref="M31:N31"/>
    <mergeCell ref="B37:C37"/>
    <mergeCell ref="D37:E37"/>
    <mergeCell ref="F37:G37"/>
    <mergeCell ref="M37:N37"/>
    <mergeCell ref="B39:E39"/>
    <mergeCell ref="B40:E40"/>
    <mergeCell ref="B32:C32"/>
    <mergeCell ref="D32:E32"/>
    <mergeCell ref="F32:G32"/>
    <mergeCell ref="M32:N32"/>
    <mergeCell ref="B33:C33"/>
    <mergeCell ref="D33:E33"/>
    <mergeCell ref="F33:G33"/>
    <mergeCell ref="M33:N33"/>
    <mergeCell ref="B34:C34"/>
    <mergeCell ref="D34:E34"/>
    <mergeCell ref="F34:G34"/>
    <mergeCell ref="B35:C35"/>
    <mergeCell ref="D35:E35"/>
    <mergeCell ref="F35:G35"/>
    <mergeCell ref="M35:N35"/>
    <mergeCell ref="B36:C36"/>
    <mergeCell ref="D36:E36"/>
    <mergeCell ref="F36:G36"/>
    <mergeCell ref="M36:N36"/>
  </mergeCells>
  <phoneticPr fontId="2" type="noConversion"/>
  <printOptions horizontalCentered="1"/>
  <pageMargins left="0.25" right="0.25" top="1.5" bottom="0" header="0.6" footer="0"/>
  <pageSetup scale="45" fitToHeight="0" orientation="landscape" r:id="rId1"/>
  <headerFooter alignWithMargins="0">
    <oddHeader xml:space="preserve">&amp;C&amp;"Arial,Bold"&amp;22Monte Vista Water District
IEUA Regional Conservation Programs Annual Report&amp;"Arial,Regular"
</oddHeader>
  </headerFooter>
  <rowBreaks count="14" manualBreakCount="14">
    <brk id="79" max="16383" man="1"/>
    <brk id="119" max="13" man="1"/>
    <brk id="159" max="13" man="1"/>
    <brk id="198" max="13" man="1"/>
    <brk id="243" max="13" man="1"/>
    <brk id="287" max="13" man="1"/>
    <brk id="329" max="13" man="1"/>
    <brk id="366" max="13" man="1"/>
    <brk id="400" max="13" man="1"/>
    <brk id="443" max="13" man="1"/>
    <brk id="486" max="13" man="1"/>
    <brk id="526" max="13" man="1"/>
    <brk id="556" max="13" man="1"/>
    <brk id="604" max="13" man="1"/>
  </rowBreak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tabColor rgb="FFFFC000"/>
  </sheetPr>
  <dimension ref="A3:N459"/>
  <sheetViews>
    <sheetView zoomScale="110" zoomScaleNormal="110" zoomScaleSheetLayoutView="100" workbookViewId="0">
      <selection activeCell="A442" sqref="A442"/>
    </sheetView>
  </sheetViews>
  <sheetFormatPr baseColWidth="10" defaultColWidth="8.83203125" defaultRowHeight="13"/>
  <cols>
    <col min="1" max="1" width="48.5" bestFit="1" customWidth="1"/>
    <col min="4" max="4" width="11.5" customWidth="1"/>
    <col min="6" max="6" width="11.5" customWidth="1"/>
    <col min="7" max="7" width="10.6640625" customWidth="1"/>
    <col min="9" max="10" width="10.1640625" bestFit="1" customWidth="1"/>
    <col min="11" max="11" width="11.1640625" bestFit="1" customWidth="1"/>
  </cols>
  <sheetData>
    <row r="3" spans="1:14" ht="14" thickBot="1">
      <c r="B3" s="43" t="s">
        <v>35</v>
      </c>
      <c r="C3" s="43" t="s">
        <v>36</v>
      </c>
      <c r="D3" s="43" t="s">
        <v>37</v>
      </c>
      <c r="E3" s="43" t="s">
        <v>38</v>
      </c>
      <c r="F3" s="43" t="s">
        <v>39</v>
      </c>
      <c r="G3" s="43" t="s">
        <v>40</v>
      </c>
      <c r="H3" s="43" t="s">
        <v>41</v>
      </c>
      <c r="I3" s="43" t="s">
        <v>42</v>
      </c>
      <c r="J3" s="43" t="s">
        <v>43</v>
      </c>
      <c r="K3" s="43" t="s">
        <v>44</v>
      </c>
      <c r="L3" s="43" t="s">
        <v>45</v>
      </c>
      <c r="M3" s="43" t="s">
        <v>46</v>
      </c>
      <c r="N3" s="43" t="s">
        <v>10</v>
      </c>
    </row>
    <row r="4" spans="1:14" ht="17" thickBot="1">
      <c r="A4" s="31" t="s">
        <v>34</v>
      </c>
      <c r="B4" s="24"/>
      <c r="C4" s="24"/>
      <c r="D4" s="22"/>
      <c r="E4" s="22"/>
      <c r="F4" s="25"/>
      <c r="G4" s="25"/>
      <c r="H4" s="22"/>
      <c r="I4" s="22"/>
      <c r="J4" s="22"/>
      <c r="K4" s="22"/>
      <c r="L4" s="24"/>
      <c r="M4" s="24"/>
      <c r="N4" s="26"/>
    </row>
    <row r="5" spans="1:14" ht="14" thickBot="1">
      <c r="A5" s="38" t="s">
        <v>48</v>
      </c>
      <c r="B5" s="39"/>
      <c r="C5" s="39"/>
      <c r="D5" s="39"/>
      <c r="E5" s="39"/>
      <c r="F5" s="39"/>
      <c r="G5" s="39"/>
      <c r="H5" s="39"/>
      <c r="I5" s="39"/>
      <c r="J5" s="39"/>
      <c r="K5" s="39"/>
      <c r="L5" s="39"/>
      <c r="M5" s="39"/>
      <c r="N5" s="40"/>
    </row>
    <row r="6" spans="1:14">
      <c r="A6" s="32" t="s">
        <v>28</v>
      </c>
      <c r="B6" s="1092">
        <v>0</v>
      </c>
      <c r="C6" s="1092">
        <v>0</v>
      </c>
      <c r="D6" s="1092">
        <v>0</v>
      </c>
      <c r="E6" s="1092">
        <v>8</v>
      </c>
      <c r="F6" s="1092">
        <v>4</v>
      </c>
      <c r="G6" s="1092">
        <v>1</v>
      </c>
      <c r="H6" s="1092">
        <v>0</v>
      </c>
      <c r="I6" s="1092">
        <v>4</v>
      </c>
      <c r="J6" s="1092">
        <v>2</v>
      </c>
      <c r="K6" s="1092">
        <v>8</v>
      </c>
      <c r="L6" s="1092">
        <v>0</v>
      </c>
      <c r="M6" s="1092">
        <v>0</v>
      </c>
      <c r="N6" s="27">
        <f t="shared" ref="N6:N26" si="0">SUM(B6:M6)</f>
        <v>27</v>
      </c>
    </row>
    <row r="7" spans="1:14">
      <c r="A7" s="32" t="s">
        <v>29</v>
      </c>
      <c r="B7" s="1092">
        <v>0</v>
      </c>
      <c r="C7" s="1092">
        <v>0</v>
      </c>
      <c r="D7" s="1092">
        <v>0</v>
      </c>
      <c r="E7" s="1092">
        <v>6</v>
      </c>
      <c r="F7" s="1092">
        <v>1</v>
      </c>
      <c r="G7" s="1092">
        <v>0</v>
      </c>
      <c r="H7" s="1092">
        <v>0</v>
      </c>
      <c r="I7" s="1092">
        <v>2</v>
      </c>
      <c r="J7" s="1092">
        <v>2</v>
      </c>
      <c r="K7" s="1092">
        <v>2</v>
      </c>
      <c r="L7" s="1092">
        <v>0</v>
      </c>
      <c r="M7" s="1092">
        <v>2</v>
      </c>
      <c r="N7" s="27">
        <f t="shared" si="0"/>
        <v>15</v>
      </c>
    </row>
    <row r="8" spans="1:14">
      <c r="A8" s="32" t="s">
        <v>33</v>
      </c>
      <c r="B8" s="1092">
        <v>4</v>
      </c>
      <c r="C8" s="1092">
        <v>0</v>
      </c>
      <c r="D8" s="1092">
        <v>37</v>
      </c>
      <c r="E8" s="1092">
        <v>33</v>
      </c>
      <c r="F8" s="1092">
        <v>34</v>
      </c>
      <c r="G8" s="1092">
        <v>15</v>
      </c>
      <c r="H8" s="1092">
        <v>26</v>
      </c>
      <c r="I8" s="1092">
        <v>11</v>
      </c>
      <c r="J8" s="1092">
        <v>17</v>
      </c>
      <c r="K8" s="1092">
        <v>15</v>
      </c>
      <c r="L8" s="1092">
        <v>13</v>
      </c>
      <c r="M8" s="1092">
        <v>31</v>
      </c>
      <c r="N8" s="27">
        <f t="shared" si="0"/>
        <v>236</v>
      </c>
    </row>
    <row r="9" spans="1:14">
      <c r="A9" s="32" t="s">
        <v>56</v>
      </c>
      <c r="B9" s="1092">
        <v>0</v>
      </c>
      <c r="C9" s="1092">
        <v>0</v>
      </c>
      <c r="D9" s="1092">
        <v>15</v>
      </c>
      <c r="E9" s="1092">
        <v>0</v>
      </c>
      <c r="F9" s="1092">
        <v>0</v>
      </c>
      <c r="G9" s="1092">
        <v>0</v>
      </c>
      <c r="H9" s="1092">
        <v>56</v>
      </c>
      <c r="I9" s="1092">
        <v>0</v>
      </c>
      <c r="J9" s="1092">
        <v>0</v>
      </c>
      <c r="K9" s="1092">
        <v>42</v>
      </c>
      <c r="L9" s="1092">
        <v>0</v>
      </c>
      <c r="M9" s="1092">
        <v>30</v>
      </c>
      <c r="N9" s="27">
        <f t="shared" si="0"/>
        <v>143</v>
      </c>
    </row>
    <row r="10" spans="1:14">
      <c r="A10" s="32" t="s">
        <v>52</v>
      </c>
      <c r="B10" s="1092">
        <v>0</v>
      </c>
      <c r="C10" s="1092">
        <v>0</v>
      </c>
      <c r="D10" s="1092">
        <v>0</v>
      </c>
      <c r="E10" s="1092">
        <v>0</v>
      </c>
      <c r="F10" s="1092">
        <v>0</v>
      </c>
      <c r="G10" s="1092">
        <v>1</v>
      </c>
      <c r="H10" s="1092">
        <v>0</v>
      </c>
      <c r="I10" s="1092">
        <v>0</v>
      </c>
      <c r="J10" s="1092">
        <v>0</v>
      </c>
      <c r="K10" s="1092">
        <v>0</v>
      </c>
      <c r="L10" s="1092">
        <v>0</v>
      </c>
      <c r="M10" s="1092">
        <v>1</v>
      </c>
      <c r="N10" s="27">
        <f>SUM(B10:M10)</f>
        <v>2</v>
      </c>
    </row>
    <row r="11" spans="1:14">
      <c r="A11" s="33" t="s">
        <v>90</v>
      </c>
      <c r="B11" s="1092">
        <v>0</v>
      </c>
      <c r="C11" s="1092">
        <v>0</v>
      </c>
      <c r="D11" s="1092">
        <v>0</v>
      </c>
      <c r="E11" s="1092">
        <v>0</v>
      </c>
      <c r="F11" s="1092">
        <v>0</v>
      </c>
      <c r="G11" s="1092">
        <v>0</v>
      </c>
      <c r="H11" s="1092">
        <v>0</v>
      </c>
      <c r="I11" s="1092">
        <v>0</v>
      </c>
      <c r="J11" s="1092">
        <v>0</v>
      </c>
      <c r="K11" s="1092">
        <v>0</v>
      </c>
      <c r="L11" s="1092">
        <v>3</v>
      </c>
      <c r="M11" s="1092">
        <v>5</v>
      </c>
      <c r="N11" s="27">
        <f>SUM(B11:M11)</f>
        <v>8</v>
      </c>
    </row>
    <row r="12" spans="1:14" ht="14" thickBot="1">
      <c r="A12" s="33" t="s">
        <v>91</v>
      </c>
      <c r="B12" s="1092">
        <v>0</v>
      </c>
      <c r="C12" s="1092">
        <v>0</v>
      </c>
      <c r="D12" s="1092">
        <v>0</v>
      </c>
      <c r="E12" s="1092">
        <v>0</v>
      </c>
      <c r="F12" s="1092">
        <v>0</v>
      </c>
      <c r="G12" s="1092">
        <v>0</v>
      </c>
      <c r="H12" s="1092">
        <v>2</v>
      </c>
      <c r="I12" s="1092">
        <v>1</v>
      </c>
      <c r="J12" s="1092">
        <v>0</v>
      </c>
      <c r="K12" s="1092">
        <v>4</v>
      </c>
      <c r="L12" s="1092">
        <v>1</v>
      </c>
      <c r="M12" s="1092">
        <v>3</v>
      </c>
      <c r="N12" s="27">
        <f>SUM(B12:M12)</f>
        <v>11</v>
      </c>
    </row>
    <row r="13" spans="1:14" ht="14" thickBot="1">
      <c r="A13" s="53" t="s">
        <v>60</v>
      </c>
      <c r="B13" s="55">
        <f>SUM(B6:B12)</f>
        <v>4</v>
      </c>
      <c r="C13" s="55">
        <f>SUM(C6:C12)</f>
        <v>0</v>
      </c>
      <c r="D13" s="55">
        <f t="shared" ref="D13:N13" si="1">SUM(D6:D12)</f>
        <v>52</v>
      </c>
      <c r="E13" s="55">
        <f t="shared" si="1"/>
        <v>47</v>
      </c>
      <c r="F13" s="55">
        <f t="shared" si="1"/>
        <v>39</v>
      </c>
      <c r="G13" s="55">
        <f t="shared" si="1"/>
        <v>17</v>
      </c>
      <c r="H13" s="55">
        <f t="shared" si="1"/>
        <v>84</v>
      </c>
      <c r="I13" s="55">
        <f t="shared" si="1"/>
        <v>18</v>
      </c>
      <c r="J13" s="55">
        <f t="shared" si="1"/>
        <v>21</v>
      </c>
      <c r="K13" s="55">
        <f t="shared" si="1"/>
        <v>71</v>
      </c>
      <c r="L13" s="55">
        <f t="shared" si="1"/>
        <v>17</v>
      </c>
      <c r="M13" s="55">
        <f t="shared" si="1"/>
        <v>72</v>
      </c>
      <c r="N13" s="54">
        <f t="shared" si="1"/>
        <v>442</v>
      </c>
    </row>
    <row r="14" spans="1:14" ht="14" thickBot="1">
      <c r="A14" s="38" t="s">
        <v>49</v>
      </c>
      <c r="B14" s="39"/>
      <c r="C14" s="39"/>
      <c r="D14" s="39"/>
      <c r="E14" s="39"/>
      <c r="F14" s="39"/>
      <c r="G14" s="39"/>
      <c r="H14" s="39"/>
      <c r="I14" s="39"/>
      <c r="J14" s="39"/>
      <c r="K14" s="39"/>
      <c r="L14" s="39"/>
      <c r="M14" s="39"/>
      <c r="N14" s="40"/>
    </row>
    <row r="15" spans="1:14" ht="14" thickBot="1">
      <c r="A15" s="33" t="s">
        <v>49</v>
      </c>
      <c r="B15" s="1092">
        <v>292</v>
      </c>
      <c r="C15" s="1092">
        <v>172</v>
      </c>
      <c r="D15" s="1092">
        <v>48</v>
      </c>
      <c r="E15" s="1092">
        <v>289</v>
      </c>
      <c r="F15" s="1092">
        <v>195</v>
      </c>
      <c r="G15" s="1092">
        <v>0</v>
      </c>
      <c r="H15" s="1092">
        <v>48</v>
      </c>
      <c r="I15" s="1092">
        <v>0</v>
      </c>
      <c r="J15" s="1092">
        <v>44</v>
      </c>
      <c r="K15" s="1092">
        <v>326</v>
      </c>
      <c r="L15" s="1092">
        <v>87</v>
      </c>
      <c r="M15" s="1092">
        <v>40</v>
      </c>
      <c r="N15" s="27">
        <f>SUM(B15:M15)</f>
        <v>1541</v>
      </c>
    </row>
    <row r="16" spans="1:14" ht="14" thickBot="1">
      <c r="A16" s="53" t="s">
        <v>60</v>
      </c>
      <c r="B16" s="55">
        <f>SUM(B15)</f>
        <v>292</v>
      </c>
      <c r="C16" s="55">
        <f t="shared" ref="C16:N16" si="2">SUM(C15)</f>
        <v>172</v>
      </c>
      <c r="D16" s="55">
        <f t="shared" si="2"/>
        <v>48</v>
      </c>
      <c r="E16" s="55">
        <f t="shared" si="2"/>
        <v>289</v>
      </c>
      <c r="F16" s="55">
        <f t="shared" si="2"/>
        <v>195</v>
      </c>
      <c r="G16" s="55">
        <f t="shared" si="2"/>
        <v>0</v>
      </c>
      <c r="H16" s="55">
        <f t="shared" si="2"/>
        <v>48</v>
      </c>
      <c r="I16" s="55">
        <f t="shared" si="2"/>
        <v>0</v>
      </c>
      <c r="J16" s="55">
        <f t="shared" si="2"/>
        <v>44</v>
      </c>
      <c r="K16" s="55">
        <f t="shared" si="2"/>
        <v>326</v>
      </c>
      <c r="L16" s="55">
        <f t="shared" si="2"/>
        <v>87</v>
      </c>
      <c r="M16" s="55">
        <f t="shared" si="2"/>
        <v>40</v>
      </c>
      <c r="N16" s="54">
        <f t="shared" si="2"/>
        <v>1541</v>
      </c>
    </row>
    <row r="17" spans="1:14" ht="14" thickBot="1">
      <c r="A17" s="38" t="s">
        <v>50</v>
      </c>
      <c r="B17" s="39"/>
      <c r="C17" s="39"/>
      <c r="D17" s="39"/>
      <c r="E17" s="39"/>
      <c r="F17" s="39"/>
      <c r="G17" s="39"/>
      <c r="H17" s="39"/>
      <c r="I17" s="39"/>
      <c r="J17" s="39"/>
      <c r="K17" s="39"/>
      <c r="L17" s="39"/>
      <c r="M17" s="39"/>
      <c r="N17" s="40"/>
    </row>
    <row r="18" spans="1:14">
      <c r="A18" s="34" t="s">
        <v>26</v>
      </c>
      <c r="B18" s="1092">
        <v>0</v>
      </c>
      <c r="C18" s="1092">
        <v>0</v>
      </c>
      <c r="D18" s="1092">
        <v>0</v>
      </c>
      <c r="E18" s="1092">
        <v>0</v>
      </c>
      <c r="F18" s="1092">
        <v>0</v>
      </c>
      <c r="G18" s="1092">
        <v>0</v>
      </c>
      <c r="H18" s="1092">
        <v>0</v>
      </c>
      <c r="I18" s="1092">
        <v>0</v>
      </c>
      <c r="J18" s="1092">
        <v>0</v>
      </c>
      <c r="K18" s="1092">
        <v>0</v>
      </c>
      <c r="L18" s="1092">
        <v>0</v>
      </c>
      <c r="M18" s="1092">
        <v>0</v>
      </c>
      <c r="N18" s="27">
        <f t="shared" si="0"/>
        <v>0</v>
      </c>
    </row>
    <row r="19" spans="1:14">
      <c r="A19" s="34" t="s">
        <v>25</v>
      </c>
      <c r="B19" s="1092">
        <v>0</v>
      </c>
      <c r="C19" s="1092">
        <v>0</v>
      </c>
      <c r="D19" s="1092">
        <v>0</v>
      </c>
      <c r="E19" s="1092">
        <v>1</v>
      </c>
      <c r="F19" s="1092">
        <v>0</v>
      </c>
      <c r="G19" s="1092">
        <v>0</v>
      </c>
      <c r="H19" s="1092">
        <v>0</v>
      </c>
      <c r="I19" s="1092">
        <v>0</v>
      </c>
      <c r="J19" s="1092">
        <v>0</v>
      </c>
      <c r="K19" s="1092">
        <v>0</v>
      </c>
      <c r="L19" s="1092">
        <v>0</v>
      </c>
      <c r="M19" s="1092">
        <v>0</v>
      </c>
      <c r="N19" s="27">
        <f t="shared" si="0"/>
        <v>1</v>
      </c>
    </row>
    <row r="20" spans="1:14">
      <c r="A20" s="32" t="s">
        <v>29</v>
      </c>
      <c r="B20" s="1092">
        <v>0</v>
      </c>
      <c r="C20" s="1092">
        <v>0</v>
      </c>
      <c r="D20" s="1092">
        <v>0</v>
      </c>
      <c r="E20" s="1092">
        <v>0</v>
      </c>
      <c r="F20" s="1092">
        <v>0</v>
      </c>
      <c r="G20" s="1092">
        <v>0</v>
      </c>
      <c r="H20" s="1092">
        <v>0</v>
      </c>
      <c r="I20" s="1092">
        <v>0</v>
      </c>
      <c r="J20" s="1092">
        <v>0</v>
      </c>
      <c r="K20" s="1092">
        <v>0</v>
      </c>
      <c r="L20" s="1092">
        <v>0</v>
      </c>
      <c r="M20" s="1092">
        <v>472</v>
      </c>
      <c r="N20" s="27">
        <f t="shared" si="0"/>
        <v>472</v>
      </c>
    </row>
    <row r="21" spans="1:14">
      <c r="A21" s="32" t="s">
        <v>51</v>
      </c>
      <c r="B21" s="1092">
        <v>0</v>
      </c>
      <c r="C21" s="1092">
        <v>0</v>
      </c>
      <c r="D21" s="1092">
        <v>0</v>
      </c>
      <c r="E21" s="1092">
        <v>0</v>
      </c>
      <c r="F21" s="1092">
        <v>0</v>
      </c>
      <c r="G21" s="1092">
        <v>0</v>
      </c>
      <c r="H21" s="1092">
        <v>0</v>
      </c>
      <c r="I21" s="1092">
        <v>0</v>
      </c>
      <c r="J21" s="1092">
        <v>0</v>
      </c>
      <c r="K21" s="1092">
        <v>0</v>
      </c>
      <c r="L21" s="1092">
        <v>0</v>
      </c>
      <c r="M21" s="1092">
        <v>0</v>
      </c>
      <c r="N21" s="27">
        <f t="shared" si="0"/>
        <v>0</v>
      </c>
    </row>
    <row r="22" spans="1:14">
      <c r="A22" s="34" t="s">
        <v>20</v>
      </c>
      <c r="B22" s="1092">
        <v>0</v>
      </c>
      <c r="C22" s="1092">
        <v>0</v>
      </c>
      <c r="D22" s="1092">
        <v>0</v>
      </c>
      <c r="E22" s="1092">
        <v>0</v>
      </c>
      <c r="F22" s="1092">
        <v>0</v>
      </c>
      <c r="G22" s="1092">
        <v>0</v>
      </c>
      <c r="H22" s="1092">
        <v>0</v>
      </c>
      <c r="I22" s="1092">
        <v>0</v>
      </c>
      <c r="J22" s="1092">
        <v>0</v>
      </c>
      <c r="K22" s="1092">
        <v>0</v>
      </c>
      <c r="L22" s="1092">
        <v>0</v>
      </c>
      <c r="M22" s="1092">
        <v>0</v>
      </c>
      <c r="N22" s="27">
        <f t="shared" si="0"/>
        <v>0</v>
      </c>
    </row>
    <row r="23" spans="1:14">
      <c r="A23" s="34" t="s">
        <v>204</v>
      </c>
      <c r="B23" s="1092">
        <v>0</v>
      </c>
      <c r="C23" s="1092">
        <v>0</v>
      </c>
      <c r="D23" s="1092">
        <v>0</v>
      </c>
      <c r="E23" s="1092">
        <v>0</v>
      </c>
      <c r="F23" s="1092">
        <v>24</v>
      </c>
      <c r="G23" s="1092">
        <v>0</v>
      </c>
      <c r="H23" s="1092">
        <v>0</v>
      </c>
      <c r="I23" s="1092">
        <v>0</v>
      </c>
      <c r="J23" s="1092">
        <v>7</v>
      </c>
      <c r="K23" s="1092">
        <v>0</v>
      </c>
      <c r="L23" s="1092">
        <v>0</v>
      </c>
      <c r="M23" s="1092">
        <v>0</v>
      </c>
      <c r="N23" s="27">
        <f t="shared" si="0"/>
        <v>31</v>
      </c>
    </row>
    <row r="24" spans="1:14">
      <c r="A24" s="35" t="s">
        <v>47</v>
      </c>
      <c r="B24" s="1092">
        <v>0</v>
      </c>
      <c r="C24" s="1092">
        <v>0</v>
      </c>
      <c r="D24" s="1092">
        <v>0</v>
      </c>
      <c r="E24" s="1092">
        <v>0</v>
      </c>
      <c r="F24" s="1092">
        <v>0</v>
      </c>
      <c r="G24" s="1092">
        <v>0</v>
      </c>
      <c r="H24" s="1092">
        <v>0</v>
      </c>
      <c r="I24" s="1092">
        <v>0</v>
      </c>
      <c r="J24" s="1092">
        <v>0</v>
      </c>
      <c r="K24" s="1092">
        <v>0</v>
      </c>
      <c r="L24" s="1092">
        <v>0</v>
      </c>
      <c r="M24" s="1092">
        <v>0</v>
      </c>
      <c r="N24" s="27">
        <f t="shared" si="0"/>
        <v>0</v>
      </c>
    </row>
    <row r="25" spans="1:14">
      <c r="A25" s="33" t="s">
        <v>52</v>
      </c>
      <c r="B25" s="1092">
        <v>0</v>
      </c>
      <c r="C25" s="1092">
        <v>0</v>
      </c>
      <c r="D25" s="1092">
        <v>0</v>
      </c>
      <c r="E25" s="1092">
        <v>0</v>
      </c>
      <c r="F25" s="1092">
        <v>0</v>
      </c>
      <c r="G25" s="1092">
        <v>0</v>
      </c>
      <c r="H25" s="1092">
        <v>0</v>
      </c>
      <c r="I25" s="1092">
        <v>0</v>
      </c>
      <c r="J25" s="1092">
        <v>0</v>
      </c>
      <c r="K25" s="1092">
        <v>0</v>
      </c>
      <c r="L25" s="1092">
        <v>0</v>
      </c>
      <c r="M25" s="1092">
        <v>0</v>
      </c>
      <c r="N25" s="27">
        <f t="shared" si="0"/>
        <v>0</v>
      </c>
    </row>
    <row r="26" spans="1:14">
      <c r="A26" s="33" t="s">
        <v>53</v>
      </c>
      <c r="B26" s="1092">
        <v>0</v>
      </c>
      <c r="C26" s="1092">
        <v>0</v>
      </c>
      <c r="D26" s="1092">
        <v>0</v>
      </c>
      <c r="E26" s="1092">
        <v>0</v>
      </c>
      <c r="F26" s="1092">
        <v>0</v>
      </c>
      <c r="G26" s="1092">
        <v>0</v>
      </c>
      <c r="H26" s="1092">
        <v>0</v>
      </c>
      <c r="I26" s="1092">
        <v>0</v>
      </c>
      <c r="J26" s="1092">
        <v>0</v>
      </c>
      <c r="K26" s="1092">
        <v>0</v>
      </c>
      <c r="L26" s="1092">
        <v>0</v>
      </c>
      <c r="M26" s="1092">
        <v>0</v>
      </c>
      <c r="N26" s="27">
        <f t="shared" si="0"/>
        <v>0</v>
      </c>
    </row>
    <row r="27" spans="1:14" ht="14" thickBot="1">
      <c r="A27" s="32" t="s">
        <v>56</v>
      </c>
      <c r="B27" s="1092">
        <v>0</v>
      </c>
      <c r="C27" s="1092">
        <v>0</v>
      </c>
      <c r="D27" s="1092">
        <v>0</v>
      </c>
      <c r="E27" s="1092">
        <v>0</v>
      </c>
      <c r="F27" s="1092">
        <v>0</v>
      </c>
      <c r="G27" s="1092">
        <v>0</v>
      </c>
      <c r="H27" s="1092">
        <v>0</v>
      </c>
      <c r="I27" s="1092">
        <v>0</v>
      </c>
      <c r="J27" s="1092">
        <v>0</v>
      </c>
      <c r="K27" s="1092">
        <v>0</v>
      </c>
      <c r="L27" s="1092">
        <v>0</v>
      </c>
      <c r="M27" s="1092">
        <v>0</v>
      </c>
      <c r="N27" s="27">
        <f>SUM(B27:M27)</f>
        <v>0</v>
      </c>
    </row>
    <row r="28" spans="1:14" ht="14" thickBot="1">
      <c r="A28" s="53" t="s">
        <v>60</v>
      </c>
      <c r="B28" s="55">
        <f>SUM(B18:B27)</f>
        <v>0</v>
      </c>
      <c r="C28" s="55">
        <f t="shared" ref="C28:N28" si="3">SUM(C18:C27)</f>
        <v>0</v>
      </c>
      <c r="D28" s="55">
        <f t="shared" si="3"/>
        <v>0</v>
      </c>
      <c r="E28" s="55">
        <f t="shared" si="3"/>
        <v>1</v>
      </c>
      <c r="F28" s="55">
        <f t="shared" si="3"/>
        <v>24</v>
      </c>
      <c r="G28" s="55">
        <f t="shared" si="3"/>
        <v>0</v>
      </c>
      <c r="H28" s="55">
        <f t="shared" si="3"/>
        <v>0</v>
      </c>
      <c r="I28" s="55">
        <f t="shared" si="3"/>
        <v>0</v>
      </c>
      <c r="J28" s="55">
        <f t="shared" si="3"/>
        <v>7</v>
      </c>
      <c r="K28" s="55">
        <f t="shared" si="3"/>
        <v>0</v>
      </c>
      <c r="L28" s="55">
        <f t="shared" si="3"/>
        <v>0</v>
      </c>
      <c r="M28" s="55">
        <f t="shared" si="3"/>
        <v>472</v>
      </c>
      <c r="N28" s="54">
        <f t="shared" si="3"/>
        <v>504</v>
      </c>
    </row>
    <row r="29" spans="1:14" ht="14" thickBot="1">
      <c r="A29" s="38" t="s">
        <v>54</v>
      </c>
      <c r="B29" s="41"/>
      <c r="C29" s="41"/>
      <c r="D29" s="41"/>
      <c r="E29" s="41"/>
      <c r="F29" s="41"/>
      <c r="G29" s="41"/>
      <c r="H29" s="41"/>
      <c r="I29" s="41"/>
      <c r="J29" s="41"/>
      <c r="K29" s="41"/>
      <c r="L29" s="41"/>
      <c r="M29" s="41"/>
      <c r="N29" s="42"/>
    </row>
    <row r="30" spans="1:14">
      <c r="A30" s="36" t="s">
        <v>29</v>
      </c>
      <c r="B30" s="1099">
        <v>0</v>
      </c>
      <c r="C30" s="1100">
        <v>0</v>
      </c>
      <c r="D30" s="1100">
        <v>0</v>
      </c>
      <c r="E30" s="1100">
        <v>0</v>
      </c>
      <c r="F30" s="1100">
        <v>0</v>
      </c>
      <c r="G30" s="1100">
        <v>0</v>
      </c>
      <c r="H30" s="1100">
        <v>0</v>
      </c>
      <c r="I30" s="1100">
        <v>0</v>
      </c>
      <c r="J30" s="1100">
        <v>0</v>
      </c>
      <c r="K30" s="1100">
        <v>0</v>
      </c>
      <c r="L30" s="1100">
        <v>0</v>
      </c>
      <c r="M30" s="1108">
        <v>0</v>
      </c>
      <c r="N30" s="28">
        <f>SUM(B30:M30)</f>
        <v>0</v>
      </c>
    </row>
    <row r="31" spans="1:14">
      <c r="A31" s="34" t="s">
        <v>51</v>
      </c>
      <c r="B31" s="1102">
        <v>0</v>
      </c>
      <c r="C31" s="1092">
        <v>0</v>
      </c>
      <c r="D31" s="1092">
        <v>0</v>
      </c>
      <c r="E31" s="1092">
        <v>0</v>
      </c>
      <c r="F31" s="1092">
        <v>0</v>
      </c>
      <c r="G31" s="1092">
        <v>0</v>
      </c>
      <c r="H31" s="1092">
        <v>0</v>
      </c>
      <c r="I31" s="1092">
        <v>0</v>
      </c>
      <c r="J31" s="1092">
        <v>0</v>
      </c>
      <c r="K31" s="1092">
        <v>0</v>
      </c>
      <c r="L31" s="1092">
        <v>0</v>
      </c>
      <c r="M31" s="1103">
        <v>0</v>
      </c>
      <c r="N31" s="29">
        <f>SUM(B31:M31)</f>
        <v>0</v>
      </c>
    </row>
    <row r="32" spans="1:14">
      <c r="A32" s="34" t="s">
        <v>15</v>
      </c>
      <c r="B32" s="1102">
        <v>0</v>
      </c>
      <c r="C32" s="1092">
        <v>0</v>
      </c>
      <c r="D32" s="1092">
        <v>0</v>
      </c>
      <c r="E32" s="1092">
        <v>0</v>
      </c>
      <c r="F32" s="1092">
        <v>0</v>
      </c>
      <c r="G32" s="1092">
        <v>0</v>
      </c>
      <c r="H32" s="1092">
        <v>0</v>
      </c>
      <c r="I32" s="1092">
        <v>0</v>
      </c>
      <c r="J32" s="1092">
        <v>0</v>
      </c>
      <c r="K32" s="1092">
        <v>0</v>
      </c>
      <c r="L32" s="1092">
        <v>0</v>
      </c>
      <c r="M32" s="1103">
        <v>0</v>
      </c>
      <c r="N32" s="29">
        <f>SUM(B32:M32)</f>
        <v>0</v>
      </c>
    </row>
    <row r="33" spans="1:14">
      <c r="A33" s="34" t="s">
        <v>30</v>
      </c>
      <c r="B33" s="1102">
        <v>0</v>
      </c>
      <c r="C33" s="1092">
        <v>0</v>
      </c>
      <c r="D33" s="1092">
        <v>0</v>
      </c>
      <c r="E33" s="1092">
        <v>0</v>
      </c>
      <c r="F33" s="1092">
        <v>0</v>
      </c>
      <c r="G33" s="1092">
        <v>0</v>
      </c>
      <c r="H33" s="1092">
        <v>0</v>
      </c>
      <c r="I33" s="1092">
        <v>0</v>
      </c>
      <c r="J33" s="1092">
        <v>0</v>
      </c>
      <c r="K33" s="1092">
        <v>0</v>
      </c>
      <c r="L33" s="1092">
        <v>0</v>
      </c>
      <c r="M33" s="1103">
        <v>0</v>
      </c>
      <c r="N33" s="29">
        <f>SUM(B33:M33)</f>
        <v>0</v>
      </c>
    </row>
    <row r="34" spans="1:14" ht="14" thickBot="1">
      <c r="A34" s="37" t="s">
        <v>55</v>
      </c>
      <c r="B34" s="1105">
        <v>0</v>
      </c>
      <c r="C34" s="1106">
        <v>0</v>
      </c>
      <c r="D34" s="1106">
        <v>0</v>
      </c>
      <c r="E34" s="1106">
        <v>0</v>
      </c>
      <c r="F34" s="1106">
        <v>0</v>
      </c>
      <c r="G34" s="1106">
        <v>0</v>
      </c>
      <c r="H34" s="1106">
        <v>0</v>
      </c>
      <c r="I34" s="1106">
        <v>0</v>
      </c>
      <c r="J34" s="1106">
        <v>0</v>
      </c>
      <c r="K34" s="1106">
        <v>0</v>
      </c>
      <c r="L34" s="1106">
        <v>0</v>
      </c>
      <c r="M34" s="1109">
        <v>0</v>
      </c>
      <c r="N34" s="30">
        <f>SUM(B34:M34)</f>
        <v>0</v>
      </c>
    </row>
    <row r="35" spans="1:14" ht="14" thickBot="1">
      <c r="A35" s="53" t="s">
        <v>60</v>
      </c>
      <c r="B35" s="55">
        <f>SUM(B30:B34)</f>
        <v>0</v>
      </c>
      <c r="C35" s="55">
        <f t="shared" ref="C35:N35" si="4">SUM(C30:C34)</f>
        <v>0</v>
      </c>
      <c r="D35" s="55">
        <f t="shared" si="4"/>
        <v>0</v>
      </c>
      <c r="E35" s="55">
        <f t="shared" si="4"/>
        <v>0</v>
      </c>
      <c r="F35" s="55">
        <f t="shared" si="4"/>
        <v>0</v>
      </c>
      <c r="G35" s="55">
        <f t="shared" si="4"/>
        <v>0</v>
      </c>
      <c r="H35" s="55">
        <f t="shared" si="4"/>
        <v>0</v>
      </c>
      <c r="I35" s="55">
        <f t="shared" si="4"/>
        <v>0</v>
      </c>
      <c r="J35" s="55">
        <f t="shared" si="4"/>
        <v>0</v>
      </c>
      <c r="K35" s="55">
        <f t="shared" si="4"/>
        <v>0</v>
      </c>
      <c r="L35" s="55">
        <f t="shared" si="4"/>
        <v>0</v>
      </c>
      <c r="M35" s="55">
        <f t="shared" si="4"/>
        <v>0</v>
      </c>
      <c r="N35" s="55">
        <f t="shared" si="4"/>
        <v>0</v>
      </c>
    </row>
    <row r="36" spans="1:14">
      <c r="A36" s="72"/>
      <c r="B36" s="73"/>
      <c r="C36" s="73"/>
      <c r="D36" s="73"/>
      <c r="E36" s="73"/>
      <c r="F36" s="73"/>
      <c r="G36" s="73"/>
      <c r="H36" s="73"/>
      <c r="I36" s="73"/>
      <c r="J36" s="73"/>
      <c r="K36" s="73"/>
      <c r="L36" s="73"/>
      <c r="M36" s="73"/>
      <c r="N36" s="73"/>
    </row>
    <row r="38" spans="1:14" ht="14" thickBot="1">
      <c r="B38" s="43" t="s">
        <v>35</v>
      </c>
      <c r="C38" s="43" t="s">
        <v>36</v>
      </c>
      <c r="D38" s="43" t="s">
        <v>37</v>
      </c>
      <c r="E38" s="43" t="s">
        <v>38</v>
      </c>
      <c r="F38" s="43" t="s">
        <v>39</v>
      </c>
      <c r="G38" s="43" t="s">
        <v>40</v>
      </c>
      <c r="H38" s="43" t="s">
        <v>41</v>
      </c>
      <c r="I38" s="43" t="s">
        <v>42</v>
      </c>
      <c r="J38" s="43" t="s">
        <v>43</v>
      </c>
      <c r="K38" s="43" t="s">
        <v>44</v>
      </c>
      <c r="L38" s="43" t="s">
        <v>45</v>
      </c>
      <c r="M38" s="43" t="s">
        <v>46</v>
      </c>
      <c r="N38" s="43" t="s">
        <v>10</v>
      </c>
    </row>
    <row r="39" spans="1:14" ht="17" thickBot="1">
      <c r="A39" s="31" t="s">
        <v>99</v>
      </c>
      <c r="B39" s="24"/>
      <c r="C39" s="24"/>
      <c r="D39" s="22"/>
      <c r="E39" s="22"/>
      <c r="F39" s="25"/>
      <c r="G39" s="25"/>
      <c r="H39" s="22"/>
      <c r="I39" s="22"/>
      <c r="J39" s="22"/>
      <c r="K39" s="22"/>
      <c r="L39" s="24"/>
      <c r="M39" s="24"/>
      <c r="N39" s="26"/>
    </row>
    <row r="40" spans="1:14" ht="14" thickBot="1">
      <c r="A40" s="38" t="s">
        <v>48</v>
      </c>
      <c r="B40" s="39"/>
      <c r="C40" s="39"/>
      <c r="D40" s="39"/>
      <c r="E40" s="39"/>
      <c r="F40" s="39"/>
      <c r="G40" s="39"/>
      <c r="H40" s="39"/>
      <c r="I40" s="39"/>
      <c r="J40" s="39"/>
      <c r="K40" s="39"/>
      <c r="L40" s="39"/>
      <c r="M40" s="39"/>
      <c r="N40" s="40"/>
    </row>
    <row r="41" spans="1:14">
      <c r="A41" s="32" t="s">
        <v>28</v>
      </c>
      <c r="B41" s="1092">
        <v>0</v>
      </c>
      <c r="C41" s="1092">
        <v>0</v>
      </c>
      <c r="D41" s="1092">
        <v>0</v>
      </c>
      <c r="E41" s="1092">
        <v>0</v>
      </c>
      <c r="F41" s="1092">
        <v>0</v>
      </c>
      <c r="G41" s="1092">
        <v>0</v>
      </c>
      <c r="H41" s="1092">
        <v>0</v>
      </c>
      <c r="I41" s="1092">
        <v>0</v>
      </c>
      <c r="J41" s="1092">
        <v>0</v>
      </c>
      <c r="K41" s="1092">
        <v>0</v>
      </c>
      <c r="L41" s="1092">
        <v>0</v>
      </c>
      <c r="M41" s="1092">
        <v>0</v>
      </c>
      <c r="N41" s="27">
        <f>SUM(B41:M41)</f>
        <v>0</v>
      </c>
    </row>
    <row r="42" spans="1:14">
      <c r="A42" s="32" t="s">
        <v>29</v>
      </c>
      <c r="B42" s="1092">
        <v>0</v>
      </c>
      <c r="C42" s="1092">
        <v>0</v>
      </c>
      <c r="D42" s="1092">
        <v>6</v>
      </c>
      <c r="E42" s="1092">
        <v>6</v>
      </c>
      <c r="F42" s="1092">
        <v>0</v>
      </c>
      <c r="G42" s="1092">
        <v>3</v>
      </c>
      <c r="H42" s="1092">
        <v>2</v>
      </c>
      <c r="I42" s="1092">
        <v>2</v>
      </c>
      <c r="J42" s="1092">
        <v>18</v>
      </c>
      <c r="K42" s="1092">
        <v>9</v>
      </c>
      <c r="L42" s="1092">
        <v>8</v>
      </c>
      <c r="M42" s="1092">
        <v>20</v>
      </c>
      <c r="N42" s="27">
        <f>SUM(B42:M42)</f>
        <v>74</v>
      </c>
    </row>
    <row r="43" spans="1:14">
      <c r="A43" s="32" t="s">
        <v>33</v>
      </c>
      <c r="B43" s="1092">
        <v>0</v>
      </c>
      <c r="C43" s="1092">
        <v>0</v>
      </c>
      <c r="D43" s="1092">
        <v>16</v>
      </c>
      <c r="E43" s="1092">
        <v>31</v>
      </c>
      <c r="F43" s="1092">
        <v>7</v>
      </c>
      <c r="G43" s="1092">
        <v>15</v>
      </c>
      <c r="H43" s="1092">
        <v>1</v>
      </c>
      <c r="I43" s="1092">
        <v>5</v>
      </c>
      <c r="J43" s="1092">
        <v>29</v>
      </c>
      <c r="K43" s="1092">
        <v>13</v>
      </c>
      <c r="L43" s="1092">
        <v>23</v>
      </c>
      <c r="M43" s="1092">
        <v>15</v>
      </c>
      <c r="N43" s="27">
        <f>SUM(B43:M43)</f>
        <v>155</v>
      </c>
    </row>
    <row r="44" spans="1:14">
      <c r="A44" s="32" t="s">
        <v>56</v>
      </c>
      <c r="B44" s="1092">
        <v>0</v>
      </c>
      <c r="C44" s="1092">
        <v>0</v>
      </c>
      <c r="D44" s="1092">
        <v>0</v>
      </c>
      <c r="E44" s="1092">
        <v>20</v>
      </c>
      <c r="F44" s="1092">
        <v>0</v>
      </c>
      <c r="G44" s="1092">
        <v>0</v>
      </c>
      <c r="H44" s="1092">
        <v>0</v>
      </c>
      <c r="I44" s="1092">
        <v>0</v>
      </c>
      <c r="J44" s="1092">
        <v>0</v>
      </c>
      <c r="K44" s="1092">
        <v>0</v>
      </c>
      <c r="L44" s="1092">
        <v>0</v>
      </c>
      <c r="M44" s="1092">
        <v>0</v>
      </c>
      <c r="N44" s="27">
        <f>SUM(B44:M44)</f>
        <v>20</v>
      </c>
    </row>
    <row r="45" spans="1:14">
      <c r="A45" s="32" t="s">
        <v>52</v>
      </c>
      <c r="B45" s="1092">
        <v>0</v>
      </c>
      <c r="C45" s="1092">
        <v>0</v>
      </c>
      <c r="D45" s="1092">
        <v>0</v>
      </c>
      <c r="E45" s="1092">
        <v>0</v>
      </c>
      <c r="F45" s="1092">
        <v>0</v>
      </c>
      <c r="G45" s="1092">
        <v>0</v>
      </c>
      <c r="H45" s="1092">
        <v>0</v>
      </c>
      <c r="I45" s="1092">
        <v>0</v>
      </c>
      <c r="J45" s="1092">
        <v>0</v>
      </c>
      <c r="K45" s="1092">
        <v>0</v>
      </c>
      <c r="L45" s="1092">
        <v>0</v>
      </c>
      <c r="M45" s="1092">
        <v>1</v>
      </c>
      <c r="N45" s="27">
        <f>SUM(B45:M45)</f>
        <v>1</v>
      </c>
    </row>
    <row r="46" spans="1:14">
      <c r="A46" s="33" t="s">
        <v>108</v>
      </c>
      <c r="B46" s="1092">
        <v>0</v>
      </c>
      <c r="C46" s="1092">
        <v>0</v>
      </c>
      <c r="D46" s="1092">
        <v>0</v>
      </c>
      <c r="E46" s="1092">
        <v>0</v>
      </c>
      <c r="F46" s="1092">
        <v>0</v>
      </c>
      <c r="G46" s="1092">
        <v>0</v>
      </c>
      <c r="H46" s="1092">
        <v>0</v>
      </c>
      <c r="I46" s="1092">
        <v>0</v>
      </c>
      <c r="J46" s="1092">
        <v>0</v>
      </c>
      <c r="K46" s="1092">
        <v>0</v>
      </c>
      <c r="L46" s="1092">
        <v>0</v>
      </c>
      <c r="M46" s="1092">
        <v>0</v>
      </c>
      <c r="N46" s="27">
        <v>21</v>
      </c>
    </row>
    <row r="47" spans="1:14" ht="14" thickBot="1">
      <c r="A47" s="33" t="s">
        <v>109</v>
      </c>
      <c r="B47" s="1092">
        <v>0</v>
      </c>
      <c r="C47" s="1092">
        <v>0</v>
      </c>
      <c r="D47" s="1092">
        <v>0</v>
      </c>
      <c r="E47" s="1092">
        <v>0</v>
      </c>
      <c r="F47" s="1092">
        <v>0</v>
      </c>
      <c r="G47" s="1092">
        <v>0</v>
      </c>
      <c r="H47" s="1092">
        <v>0</v>
      </c>
      <c r="I47" s="1092">
        <v>0</v>
      </c>
      <c r="J47" s="1092">
        <v>0</v>
      </c>
      <c r="K47" s="1092">
        <v>0</v>
      </c>
      <c r="L47" s="1092">
        <v>0</v>
      </c>
      <c r="M47" s="1092">
        <v>0</v>
      </c>
      <c r="N47" s="27">
        <v>13</v>
      </c>
    </row>
    <row r="48" spans="1:14" ht="14" thickBot="1">
      <c r="A48" s="53" t="s">
        <v>60</v>
      </c>
      <c r="B48" s="55">
        <f>SUM(B41:B47)</f>
        <v>0</v>
      </c>
      <c r="C48" s="55">
        <f>SUM(C41:C47)</f>
        <v>0</v>
      </c>
      <c r="D48" s="55">
        <f t="shared" ref="D48:N48" si="5">SUM(D41:D47)</f>
        <v>22</v>
      </c>
      <c r="E48" s="55">
        <f t="shared" si="5"/>
        <v>57</v>
      </c>
      <c r="F48" s="55">
        <f t="shared" si="5"/>
        <v>7</v>
      </c>
      <c r="G48" s="55">
        <f t="shared" si="5"/>
        <v>18</v>
      </c>
      <c r="H48" s="55">
        <f t="shared" si="5"/>
        <v>3</v>
      </c>
      <c r="I48" s="55">
        <f t="shared" si="5"/>
        <v>7</v>
      </c>
      <c r="J48" s="55">
        <f t="shared" si="5"/>
        <v>47</v>
      </c>
      <c r="K48" s="55">
        <f t="shared" si="5"/>
        <v>22</v>
      </c>
      <c r="L48" s="55">
        <f t="shared" si="5"/>
        <v>31</v>
      </c>
      <c r="M48" s="55">
        <f t="shared" si="5"/>
        <v>36</v>
      </c>
      <c r="N48" s="54">
        <f t="shared" si="5"/>
        <v>284</v>
      </c>
    </row>
    <row r="49" spans="1:14" ht="14" thickBot="1">
      <c r="A49" s="38" t="s">
        <v>49</v>
      </c>
      <c r="B49" s="39"/>
      <c r="C49" s="39"/>
      <c r="D49" s="39"/>
      <c r="E49" s="39"/>
      <c r="F49" s="39"/>
      <c r="G49" s="39"/>
      <c r="H49" s="39"/>
      <c r="I49" s="39"/>
      <c r="J49" s="39"/>
      <c r="K49" s="39"/>
      <c r="L49" s="39"/>
      <c r="M49" s="39"/>
      <c r="N49" s="40"/>
    </row>
    <row r="50" spans="1:14" ht="14" thickBot="1">
      <c r="A50" s="33" t="s">
        <v>49</v>
      </c>
      <c r="B50" s="1092">
        <v>63</v>
      </c>
      <c r="C50" s="1092">
        <v>0</v>
      </c>
      <c r="D50" s="1092">
        <v>8</v>
      </c>
      <c r="E50" s="1092">
        <v>0</v>
      </c>
      <c r="F50" s="1092">
        <v>41</v>
      </c>
      <c r="G50" s="1092">
        <v>227</v>
      </c>
      <c r="H50" s="1092">
        <v>0</v>
      </c>
      <c r="I50" s="1092">
        <v>0</v>
      </c>
      <c r="J50" s="1092">
        <v>0</v>
      </c>
      <c r="K50" s="1092">
        <v>0</v>
      </c>
      <c r="L50" s="1092">
        <v>0</v>
      </c>
      <c r="M50" s="1092">
        <v>0</v>
      </c>
      <c r="N50" s="27">
        <f>SUM(B50:M50)</f>
        <v>339</v>
      </c>
    </row>
    <row r="51" spans="1:14" ht="14" thickBot="1">
      <c r="A51" s="53" t="s">
        <v>60</v>
      </c>
      <c r="B51" s="55">
        <f>SUM(B50)</f>
        <v>63</v>
      </c>
      <c r="C51" s="55">
        <f t="shared" ref="C51:N51" si="6">SUM(C50)</f>
        <v>0</v>
      </c>
      <c r="D51" s="55">
        <f t="shared" si="6"/>
        <v>8</v>
      </c>
      <c r="E51" s="55">
        <f t="shared" si="6"/>
        <v>0</v>
      </c>
      <c r="F51" s="55">
        <f t="shared" si="6"/>
        <v>41</v>
      </c>
      <c r="G51" s="55">
        <f t="shared" si="6"/>
        <v>227</v>
      </c>
      <c r="H51" s="55">
        <f t="shared" si="6"/>
        <v>0</v>
      </c>
      <c r="I51" s="55">
        <f t="shared" si="6"/>
        <v>0</v>
      </c>
      <c r="J51" s="55">
        <f t="shared" si="6"/>
        <v>0</v>
      </c>
      <c r="K51" s="55">
        <f t="shared" si="6"/>
        <v>0</v>
      </c>
      <c r="L51" s="55">
        <f t="shared" si="6"/>
        <v>0</v>
      </c>
      <c r="M51" s="55">
        <f t="shared" si="6"/>
        <v>0</v>
      </c>
      <c r="N51" s="54">
        <f t="shared" si="6"/>
        <v>339</v>
      </c>
    </row>
    <row r="52" spans="1:14" ht="14" thickBot="1">
      <c r="A52" s="38" t="s">
        <v>50</v>
      </c>
      <c r="B52" s="39"/>
      <c r="C52" s="39"/>
      <c r="D52" s="39"/>
      <c r="E52" s="39"/>
      <c r="F52" s="39"/>
      <c r="G52" s="39"/>
      <c r="H52" s="39"/>
      <c r="I52" s="39"/>
      <c r="J52" s="39"/>
      <c r="K52" s="39"/>
      <c r="L52" s="39"/>
      <c r="M52" s="39"/>
      <c r="N52" s="40"/>
    </row>
    <row r="53" spans="1:14">
      <c r="A53" s="34" t="s">
        <v>26</v>
      </c>
      <c r="B53" s="1092">
        <v>0</v>
      </c>
      <c r="C53" s="1092">
        <v>0</v>
      </c>
      <c r="D53" s="1092">
        <v>0</v>
      </c>
      <c r="E53" s="1092">
        <v>0</v>
      </c>
      <c r="F53" s="1092">
        <v>0</v>
      </c>
      <c r="G53" s="1092">
        <v>0</v>
      </c>
      <c r="H53" s="1092">
        <v>0</v>
      </c>
      <c r="I53" s="1092">
        <v>0</v>
      </c>
      <c r="J53" s="1092">
        <v>0</v>
      </c>
      <c r="K53" s="1092">
        <v>0</v>
      </c>
      <c r="L53" s="1092">
        <v>0</v>
      </c>
      <c r="M53" s="1092">
        <v>0</v>
      </c>
      <c r="N53" s="27">
        <f t="shared" ref="N53:N61" si="7">SUM(B53:M53)</f>
        <v>0</v>
      </c>
    </row>
    <row r="54" spans="1:14">
      <c r="A54" s="34" t="s">
        <v>25</v>
      </c>
      <c r="B54" s="1092">
        <v>0</v>
      </c>
      <c r="C54" s="1092">
        <v>0</v>
      </c>
      <c r="D54" s="1092">
        <v>0</v>
      </c>
      <c r="E54" s="1092">
        <v>0</v>
      </c>
      <c r="F54" s="1092">
        <v>0</v>
      </c>
      <c r="G54" s="1092">
        <v>0</v>
      </c>
      <c r="H54" s="1092">
        <v>0</v>
      </c>
      <c r="I54" s="1092">
        <v>0</v>
      </c>
      <c r="J54" s="1092">
        <v>0</v>
      </c>
      <c r="K54" s="1092">
        <v>0</v>
      </c>
      <c r="L54" s="1092">
        <v>0</v>
      </c>
      <c r="M54" s="1092">
        <v>0</v>
      </c>
      <c r="N54" s="27">
        <f t="shared" si="7"/>
        <v>0</v>
      </c>
    </row>
    <row r="55" spans="1:14">
      <c r="A55" s="32" t="s">
        <v>29</v>
      </c>
      <c r="B55" s="1092">
        <v>80</v>
      </c>
      <c r="C55" s="1092">
        <v>1</v>
      </c>
      <c r="D55" s="1092">
        <v>54</v>
      </c>
      <c r="E55" s="1092">
        <v>2</v>
      </c>
      <c r="F55" s="1092">
        <v>0</v>
      </c>
      <c r="G55" s="1092">
        <v>0</v>
      </c>
      <c r="H55" s="1092">
        <v>0</v>
      </c>
      <c r="I55" s="1092">
        <v>25</v>
      </c>
      <c r="J55" s="1092">
        <v>0</v>
      </c>
      <c r="K55" s="1092">
        <v>0</v>
      </c>
      <c r="L55" s="1092">
        <v>0</v>
      </c>
      <c r="M55" s="1092">
        <v>0</v>
      </c>
      <c r="N55" s="27">
        <f t="shared" si="7"/>
        <v>162</v>
      </c>
    </row>
    <row r="56" spans="1:14">
      <c r="A56" s="32" t="s">
        <v>51</v>
      </c>
      <c r="B56" s="1092">
        <v>0</v>
      </c>
      <c r="C56" s="1092">
        <v>0</v>
      </c>
      <c r="D56" s="1092">
        <v>0</v>
      </c>
      <c r="E56" s="1092">
        <v>0</v>
      </c>
      <c r="F56" s="1092">
        <v>0</v>
      </c>
      <c r="G56" s="1092">
        <v>0</v>
      </c>
      <c r="H56" s="1092">
        <v>0</v>
      </c>
      <c r="I56" s="1092">
        <v>0</v>
      </c>
      <c r="J56" s="1092">
        <v>0</v>
      </c>
      <c r="K56" s="1092">
        <v>0</v>
      </c>
      <c r="L56" s="1092">
        <v>0</v>
      </c>
      <c r="M56" s="1092">
        <v>0</v>
      </c>
      <c r="N56" s="27">
        <f t="shared" si="7"/>
        <v>0</v>
      </c>
    </row>
    <row r="57" spans="1:14">
      <c r="A57" s="34" t="s">
        <v>20</v>
      </c>
      <c r="B57" s="1092">
        <v>0</v>
      </c>
      <c r="C57" s="1092">
        <v>0</v>
      </c>
      <c r="D57" s="1092">
        <v>0</v>
      </c>
      <c r="E57" s="1092">
        <v>0</v>
      </c>
      <c r="F57" s="1092">
        <v>0</v>
      </c>
      <c r="G57" s="1092">
        <v>0</v>
      </c>
      <c r="H57" s="1092">
        <v>0</v>
      </c>
      <c r="I57" s="1092">
        <v>0</v>
      </c>
      <c r="J57" s="1092">
        <v>0</v>
      </c>
      <c r="K57" s="1092">
        <v>0</v>
      </c>
      <c r="L57" s="1092">
        <v>0</v>
      </c>
      <c r="M57" s="1092">
        <v>0</v>
      </c>
      <c r="N57" s="27">
        <f t="shared" si="7"/>
        <v>0</v>
      </c>
    </row>
    <row r="58" spans="1:14">
      <c r="A58" s="34" t="s">
        <v>13</v>
      </c>
      <c r="B58" s="1092">
        <v>0</v>
      </c>
      <c r="C58" s="1092">
        <v>0</v>
      </c>
      <c r="D58" s="1092">
        <v>0</v>
      </c>
      <c r="E58" s="1092">
        <v>0</v>
      </c>
      <c r="F58" s="1092">
        <v>0</v>
      </c>
      <c r="G58" s="1092">
        <v>0</v>
      </c>
      <c r="H58" s="1092">
        <v>0</v>
      </c>
      <c r="I58" s="1092">
        <v>0</v>
      </c>
      <c r="J58" s="1092">
        <v>0</v>
      </c>
      <c r="K58" s="1092">
        <v>0</v>
      </c>
      <c r="L58" s="1092">
        <v>0</v>
      </c>
      <c r="M58" s="1092">
        <v>0</v>
      </c>
      <c r="N58" s="27">
        <f t="shared" si="7"/>
        <v>0</v>
      </c>
    </row>
    <row r="59" spans="1:14">
      <c r="A59" s="35" t="s">
        <v>47</v>
      </c>
      <c r="B59" s="1092">
        <v>0</v>
      </c>
      <c r="C59" s="1092">
        <v>0</v>
      </c>
      <c r="D59" s="1092">
        <v>0</v>
      </c>
      <c r="E59" s="1092">
        <v>0</v>
      </c>
      <c r="F59" s="1092">
        <v>0</v>
      </c>
      <c r="G59" s="1092">
        <v>0</v>
      </c>
      <c r="H59" s="1092">
        <v>0</v>
      </c>
      <c r="I59" s="1092">
        <v>0</v>
      </c>
      <c r="J59" s="1092">
        <v>0</v>
      </c>
      <c r="K59" s="1092">
        <v>0</v>
      </c>
      <c r="L59" s="1092">
        <v>0</v>
      </c>
      <c r="M59" s="1092">
        <v>0</v>
      </c>
      <c r="N59" s="27">
        <f t="shared" si="7"/>
        <v>0</v>
      </c>
    </row>
    <row r="60" spans="1:14">
      <c r="A60" s="33" t="s">
        <v>52</v>
      </c>
      <c r="B60" s="1092">
        <v>0</v>
      </c>
      <c r="C60" s="1092">
        <v>0</v>
      </c>
      <c r="D60" s="1092">
        <v>0</v>
      </c>
      <c r="E60" s="1092">
        <v>0</v>
      </c>
      <c r="F60" s="1092">
        <v>0</v>
      </c>
      <c r="G60" s="1092">
        <v>0</v>
      </c>
      <c r="H60" s="1092">
        <v>0</v>
      </c>
      <c r="I60" s="1092">
        <v>0</v>
      </c>
      <c r="J60" s="1092">
        <v>0</v>
      </c>
      <c r="K60" s="1092">
        <v>0</v>
      </c>
      <c r="L60" s="1092">
        <v>0</v>
      </c>
      <c r="M60" s="1092">
        <v>0</v>
      </c>
      <c r="N60" s="27">
        <f t="shared" si="7"/>
        <v>0</v>
      </c>
    </row>
    <row r="61" spans="1:14">
      <c r="A61" s="33" t="s">
        <v>53</v>
      </c>
      <c r="B61" s="1092">
        <v>0</v>
      </c>
      <c r="C61" s="1092">
        <v>0</v>
      </c>
      <c r="D61" s="1092">
        <v>0</v>
      </c>
      <c r="E61" s="1092">
        <v>0</v>
      </c>
      <c r="F61" s="1092">
        <v>0</v>
      </c>
      <c r="G61" s="1092">
        <v>0</v>
      </c>
      <c r="H61" s="1092">
        <v>0</v>
      </c>
      <c r="I61" s="1092">
        <v>0</v>
      </c>
      <c r="J61" s="1092">
        <v>0</v>
      </c>
      <c r="K61" s="1092">
        <v>0</v>
      </c>
      <c r="L61" s="1092">
        <v>0</v>
      </c>
      <c r="M61" s="1092">
        <v>0</v>
      </c>
      <c r="N61" s="27">
        <f t="shared" si="7"/>
        <v>0</v>
      </c>
    </row>
    <row r="62" spans="1:14">
      <c r="A62" s="32" t="s">
        <v>56</v>
      </c>
      <c r="B62" s="1092">
        <v>0</v>
      </c>
      <c r="C62" s="1092">
        <v>0</v>
      </c>
      <c r="D62" s="1092">
        <v>0</v>
      </c>
      <c r="E62" s="1092">
        <v>0</v>
      </c>
      <c r="F62" s="1092">
        <v>0</v>
      </c>
      <c r="G62" s="1092">
        <v>0</v>
      </c>
      <c r="H62" s="1092">
        <v>0</v>
      </c>
      <c r="I62" s="1092">
        <v>0</v>
      </c>
      <c r="J62" s="1092">
        <v>0</v>
      </c>
      <c r="K62" s="1092">
        <v>0</v>
      </c>
      <c r="L62" s="1092">
        <v>0</v>
      </c>
      <c r="M62" s="1092">
        <v>0</v>
      </c>
      <c r="N62" s="27">
        <f>SUM(B62:M62)</f>
        <v>0</v>
      </c>
    </row>
    <row r="63" spans="1:14">
      <c r="A63" s="78" t="s">
        <v>122</v>
      </c>
      <c r="B63" s="1092">
        <v>0</v>
      </c>
      <c r="C63" s="1092">
        <v>0</v>
      </c>
      <c r="D63" s="1092">
        <v>0</v>
      </c>
      <c r="E63" s="1092">
        <v>0</v>
      </c>
      <c r="F63" s="1092">
        <v>0</v>
      </c>
      <c r="G63" s="1092">
        <v>0</v>
      </c>
      <c r="H63" s="1092">
        <v>0</v>
      </c>
      <c r="I63" s="1092">
        <v>0</v>
      </c>
      <c r="J63" s="1092">
        <v>0</v>
      </c>
      <c r="K63" s="1092">
        <v>0</v>
      </c>
      <c r="L63" s="1092">
        <v>0</v>
      </c>
      <c r="M63" s="1092">
        <v>0</v>
      </c>
      <c r="N63" s="27">
        <f>SUM(B63:M63)</f>
        <v>0</v>
      </c>
    </row>
    <row r="64" spans="1:14" ht="14" thickBot="1">
      <c r="A64" s="32" t="s">
        <v>102</v>
      </c>
      <c r="B64" s="1092">
        <v>0</v>
      </c>
      <c r="C64" s="1092">
        <v>0</v>
      </c>
      <c r="D64" s="1092">
        <v>0</v>
      </c>
      <c r="E64" s="1092">
        <v>0</v>
      </c>
      <c r="F64" s="1092">
        <v>0</v>
      </c>
      <c r="G64" s="1092">
        <v>0</v>
      </c>
      <c r="H64" s="1092">
        <v>0</v>
      </c>
      <c r="I64" s="1092">
        <v>0</v>
      </c>
      <c r="J64" s="1092">
        <v>0</v>
      </c>
      <c r="K64" s="1092">
        <v>0</v>
      </c>
      <c r="L64" s="1092">
        <v>0</v>
      </c>
      <c r="M64" s="1092">
        <v>0</v>
      </c>
      <c r="N64" s="27">
        <f>SUM(B64:M64)</f>
        <v>0</v>
      </c>
    </row>
    <row r="65" spans="1:14" ht="14" thickBot="1">
      <c r="A65" s="53" t="s">
        <v>60</v>
      </c>
      <c r="B65" s="55">
        <f>SUM(B53:B64)</f>
        <v>80</v>
      </c>
      <c r="C65" s="55">
        <f t="shared" ref="C65:N65" si="8">SUM(C53:C64)</f>
        <v>1</v>
      </c>
      <c r="D65" s="55">
        <f t="shared" si="8"/>
        <v>54</v>
      </c>
      <c r="E65" s="55">
        <f t="shared" si="8"/>
        <v>2</v>
      </c>
      <c r="F65" s="55">
        <f t="shared" si="8"/>
        <v>0</v>
      </c>
      <c r="G65" s="55">
        <f t="shared" si="8"/>
        <v>0</v>
      </c>
      <c r="H65" s="55">
        <f t="shared" si="8"/>
        <v>0</v>
      </c>
      <c r="I65" s="55">
        <f t="shared" si="8"/>
        <v>25</v>
      </c>
      <c r="J65" s="55">
        <f t="shared" si="8"/>
        <v>0</v>
      </c>
      <c r="K65" s="55">
        <f t="shared" si="8"/>
        <v>0</v>
      </c>
      <c r="L65" s="55">
        <f t="shared" si="8"/>
        <v>0</v>
      </c>
      <c r="M65" s="55">
        <f t="shared" si="8"/>
        <v>0</v>
      </c>
      <c r="N65" s="54">
        <f t="shared" si="8"/>
        <v>162</v>
      </c>
    </row>
    <row r="66" spans="1:14" ht="14" thickBot="1">
      <c r="A66" s="38" t="s">
        <v>54</v>
      </c>
      <c r="B66" s="41"/>
      <c r="C66" s="41"/>
      <c r="D66" s="41"/>
      <c r="E66" s="41"/>
      <c r="F66" s="41"/>
      <c r="G66" s="41"/>
      <c r="H66" s="41"/>
      <c r="I66" s="41"/>
      <c r="J66" s="41"/>
      <c r="K66" s="41"/>
      <c r="L66" s="41"/>
      <c r="M66" s="41"/>
      <c r="N66" s="42"/>
    </row>
    <row r="67" spans="1:14">
      <c r="A67" s="36" t="s">
        <v>29</v>
      </c>
      <c r="B67" s="1099">
        <v>0</v>
      </c>
      <c r="C67" s="1100">
        <v>0</v>
      </c>
      <c r="D67" s="1100">
        <v>0</v>
      </c>
      <c r="E67" s="1100">
        <v>0</v>
      </c>
      <c r="F67" s="1100">
        <v>0</v>
      </c>
      <c r="G67" s="1100">
        <v>0</v>
      </c>
      <c r="H67" s="1100">
        <v>0</v>
      </c>
      <c r="I67" s="1100">
        <v>0</v>
      </c>
      <c r="J67" s="1100">
        <v>0</v>
      </c>
      <c r="K67" s="1100">
        <v>0</v>
      </c>
      <c r="L67" s="1100">
        <v>0</v>
      </c>
      <c r="M67" s="1108">
        <v>0</v>
      </c>
      <c r="N67" s="28">
        <f t="shared" ref="N67:N72" si="9">SUM(B67:M67)</f>
        <v>0</v>
      </c>
    </row>
    <row r="68" spans="1:14">
      <c r="A68" s="34" t="s">
        <v>51</v>
      </c>
      <c r="B68" s="1102">
        <v>0</v>
      </c>
      <c r="C68" s="1092">
        <v>0</v>
      </c>
      <c r="D68" s="1092">
        <v>0</v>
      </c>
      <c r="E68" s="1092">
        <v>0</v>
      </c>
      <c r="F68" s="1092">
        <v>0</v>
      </c>
      <c r="G68" s="1092">
        <v>0</v>
      </c>
      <c r="H68" s="1092">
        <v>0</v>
      </c>
      <c r="I68" s="1092">
        <v>0</v>
      </c>
      <c r="J68" s="1092">
        <v>0</v>
      </c>
      <c r="K68" s="1092">
        <v>0</v>
      </c>
      <c r="L68" s="1092">
        <v>0</v>
      </c>
      <c r="M68" s="1103">
        <v>0</v>
      </c>
      <c r="N68" s="29">
        <f t="shared" si="9"/>
        <v>0</v>
      </c>
    </row>
    <row r="69" spans="1:14">
      <c r="A69" s="34" t="s">
        <v>15</v>
      </c>
      <c r="B69" s="1102">
        <v>0</v>
      </c>
      <c r="C69" s="1092">
        <v>0</v>
      </c>
      <c r="D69" s="1092">
        <v>0</v>
      </c>
      <c r="E69" s="1092">
        <v>0</v>
      </c>
      <c r="F69" s="1092">
        <v>0</v>
      </c>
      <c r="G69" s="1092">
        <v>0</v>
      </c>
      <c r="H69" s="1092">
        <v>0</v>
      </c>
      <c r="I69" s="1092">
        <v>0</v>
      </c>
      <c r="J69" s="1092">
        <v>0</v>
      </c>
      <c r="K69" s="1092">
        <v>0</v>
      </c>
      <c r="L69" s="1092">
        <v>0</v>
      </c>
      <c r="M69" s="1103">
        <v>0</v>
      </c>
      <c r="N69" s="29">
        <f t="shared" si="9"/>
        <v>0</v>
      </c>
    </row>
    <row r="70" spans="1:14">
      <c r="A70" s="34" t="s">
        <v>30</v>
      </c>
      <c r="B70" s="1102">
        <v>0</v>
      </c>
      <c r="C70" s="1092">
        <v>0</v>
      </c>
      <c r="D70" s="1092">
        <v>51</v>
      </c>
      <c r="E70" s="1092">
        <v>0</v>
      </c>
      <c r="F70" s="1092">
        <v>0</v>
      </c>
      <c r="G70" s="1092">
        <v>0</v>
      </c>
      <c r="H70" s="1092">
        <v>0</v>
      </c>
      <c r="I70" s="1092">
        <v>0</v>
      </c>
      <c r="J70" s="1092">
        <v>0</v>
      </c>
      <c r="K70" s="1092">
        <v>0</v>
      </c>
      <c r="L70" s="1092">
        <v>0</v>
      </c>
      <c r="M70" s="1103">
        <v>0</v>
      </c>
      <c r="N70" s="29">
        <f t="shared" si="9"/>
        <v>51</v>
      </c>
    </row>
    <row r="71" spans="1:14">
      <c r="A71" s="34" t="s">
        <v>55</v>
      </c>
      <c r="B71" s="1102">
        <v>0</v>
      </c>
      <c r="C71" s="1092">
        <v>0</v>
      </c>
      <c r="D71" s="1092">
        <v>0</v>
      </c>
      <c r="E71" s="1092">
        <v>0</v>
      </c>
      <c r="F71" s="1092">
        <v>0</v>
      </c>
      <c r="G71" s="1092">
        <v>0</v>
      </c>
      <c r="H71" s="1092">
        <v>0</v>
      </c>
      <c r="I71" s="1092">
        <v>0</v>
      </c>
      <c r="J71" s="1092">
        <v>0</v>
      </c>
      <c r="K71" s="1092">
        <v>0</v>
      </c>
      <c r="L71" s="1092">
        <v>0</v>
      </c>
      <c r="M71" s="1103">
        <v>0</v>
      </c>
      <c r="N71" s="29">
        <f t="shared" si="9"/>
        <v>0</v>
      </c>
    </row>
    <row r="72" spans="1:14" s="3" customFormat="1" ht="14" thickBot="1">
      <c r="A72" s="33" t="s">
        <v>53</v>
      </c>
      <c r="B72" s="1092">
        <v>0</v>
      </c>
      <c r="C72" s="1092">
        <v>0</v>
      </c>
      <c r="D72" s="1092">
        <v>0</v>
      </c>
      <c r="E72" s="1092">
        <v>0</v>
      </c>
      <c r="F72" s="1092">
        <v>0</v>
      </c>
      <c r="G72" s="1092">
        <v>0</v>
      </c>
      <c r="H72" s="1092">
        <v>0</v>
      </c>
      <c r="I72" s="1092">
        <v>0</v>
      </c>
      <c r="J72" s="1092">
        <v>0</v>
      </c>
      <c r="K72" s="1092">
        <v>0</v>
      </c>
      <c r="L72" s="1092">
        <v>0</v>
      </c>
      <c r="M72" s="1092">
        <v>0</v>
      </c>
      <c r="N72" s="27">
        <f t="shared" si="9"/>
        <v>0</v>
      </c>
    </row>
    <row r="73" spans="1:14" ht="14" thickBot="1">
      <c r="A73" s="53" t="s">
        <v>60</v>
      </c>
      <c r="B73" s="55">
        <f>SUM(B67:B72)</f>
        <v>0</v>
      </c>
      <c r="C73" s="55">
        <f t="shared" ref="C73:N73" si="10">SUM(C67:C72)</f>
        <v>0</v>
      </c>
      <c r="D73" s="55">
        <f t="shared" si="10"/>
        <v>51</v>
      </c>
      <c r="E73" s="55">
        <f t="shared" si="10"/>
        <v>0</v>
      </c>
      <c r="F73" s="55">
        <f t="shared" si="10"/>
        <v>0</v>
      </c>
      <c r="G73" s="55">
        <f t="shared" si="10"/>
        <v>0</v>
      </c>
      <c r="H73" s="55">
        <f t="shared" si="10"/>
        <v>0</v>
      </c>
      <c r="I73" s="55">
        <f t="shared" si="10"/>
        <v>0</v>
      </c>
      <c r="J73" s="55">
        <f t="shared" si="10"/>
        <v>0</v>
      </c>
      <c r="K73" s="55">
        <f t="shared" si="10"/>
        <v>0</v>
      </c>
      <c r="L73" s="55">
        <f t="shared" si="10"/>
        <v>0</v>
      </c>
      <c r="M73" s="55">
        <f t="shared" si="10"/>
        <v>0</v>
      </c>
      <c r="N73" s="55">
        <f t="shared" si="10"/>
        <v>51</v>
      </c>
    </row>
    <row r="76" spans="1:14" ht="14" thickBot="1">
      <c r="B76" s="43" t="s">
        <v>35</v>
      </c>
      <c r="C76" s="43" t="s">
        <v>36</v>
      </c>
      <c r="D76" s="43" t="s">
        <v>37</v>
      </c>
      <c r="E76" s="43" t="s">
        <v>38</v>
      </c>
      <c r="F76" s="43" t="s">
        <v>39</v>
      </c>
      <c r="G76" s="43" t="s">
        <v>40</v>
      </c>
      <c r="H76" s="43" t="s">
        <v>41</v>
      </c>
      <c r="I76" s="43" t="s">
        <v>42</v>
      </c>
      <c r="J76" s="43" t="s">
        <v>43</v>
      </c>
      <c r="K76" s="43" t="s">
        <v>44</v>
      </c>
      <c r="L76" s="43" t="s">
        <v>45</v>
      </c>
      <c r="M76" s="43" t="s">
        <v>46</v>
      </c>
      <c r="N76" s="43" t="s">
        <v>10</v>
      </c>
    </row>
    <row r="77" spans="1:14" ht="17" thickBot="1">
      <c r="A77" s="31" t="s">
        <v>143</v>
      </c>
      <c r="B77" s="24"/>
      <c r="C77" s="24"/>
      <c r="D77" s="22"/>
      <c r="E77" s="22"/>
      <c r="F77" s="25"/>
      <c r="G77" s="25"/>
      <c r="H77" s="22"/>
      <c r="I77" s="22"/>
      <c r="J77" s="22"/>
      <c r="K77" s="22"/>
      <c r="L77" s="24"/>
      <c r="M77" s="24"/>
      <c r="N77" s="26"/>
    </row>
    <row r="78" spans="1:14" ht="14" thickBot="1">
      <c r="A78" s="38" t="s">
        <v>48</v>
      </c>
      <c r="B78" s="39"/>
      <c r="C78" s="39"/>
      <c r="D78" s="39"/>
      <c r="E78" s="39"/>
      <c r="F78" s="39"/>
      <c r="G78" s="39"/>
      <c r="H78" s="39"/>
      <c r="I78" s="39"/>
      <c r="J78" s="39"/>
      <c r="K78" s="39"/>
      <c r="L78" s="39"/>
      <c r="M78" s="39"/>
      <c r="N78" s="40"/>
    </row>
    <row r="79" spans="1:14">
      <c r="A79" s="32" t="s">
        <v>28</v>
      </c>
      <c r="B79" s="1092">
        <v>0</v>
      </c>
      <c r="C79" s="1092">
        <v>0</v>
      </c>
      <c r="D79" s="1092">
        <v>0</v>
      </c>
      <c r="E79" s="1092">
        <v>0</v>
      </c>
      <c r="F79" s="1092">
        <v>0</v>
      </c>
      <c r="G79" s="1092">
        <v>0</v>
      </c>
      <c r="H79" s="1092">
        <v>0</v>
      </c>
      <c r="I79" s="1092">
        <v>0</v>
      </c>
      <c r="J79" s="1092">
        <v>0</v>
      </c>
      <c r="K79" s="1092">
        <v>0</v>
      </c>
      <c r="L79" s="1092">
        <v>0</v>
      </c>
      <c r="M79" s="1092">
        <v>0</v>
      </c>
      <c r="N79" s="27">
        <f>SUM(B79:M79)</f>
        <v>0</v>
      </c>
    </row>
    <row r="80" spans="1:14">
      <c r="A80" s="32" t="s">
        <v>29</v>
      </c>
      <c r="B80" s="1092">
        <v>14</v>
      </c>
      <c r="C80" s="1092">
        <v>9</v>
      </c>
      <c r="D80" s="1092">
        <v>9</v>
      </c>
      <c r="E80" s="1092">
        <v>0</v>
      </c>
      <c r="F80" s="1092">
        <v>0</v>
      </c>
      <c r="G80" s="1092">
        <v>0</v>
      </c>
      <c r="H80" s="1092">
        <v>1</v>
      </c>
      <c r="I80" s="1092">
        <v>9</v>
      </c>
      <c r="J80" s="1092">
        <v>4</v>
      </c>
      <c r="K80" s="1092">
        <v>5</v>
      </c>
      <c r="L80" s="1092">
        <v>4</v>
      </c>
      <c r="M80" s="1092">
        <v>1</v>
      </c>
      <c r="N80" s="27">
        <f t="shared" ref="N80:N86" si="11">SUM(B80:M80)</f>
        <v>56</v>
      </c>
    </row>
    <row r="81" spans="1:14">
      <c r="A81" s="32" t="s">
        <v>33</v>
      </c>
      <c r="B81" s="1092">
        <v>9</v>
      </c>
      <c r="C81" s="1092">
        <v>4</v>
      </c>
      <c r="D81" s="1092">
        <v>4</v>
      </c>
      <c r="E81" s="1092">
        <v>2</v>
      </c>
      <c r="F81" s="1092">
        <v>0</v>
      </c>
      <c r="G81" s="1092">
        <v>7</v>
      </c>
      <c r="H81" s="1092">
        <v>5</v>
      </c>
      <c r="I81" s="1092">
        <v>5</v>
      </c>
      <c r="J81" s="1092">
        <v>5</v>
      </c>
      <c r="K81" s="1092">
        <v>3</v>
      </c>
      <c r="L81" s="1092">
        <v>10</v>
      </c>
      <c r="M81" s="1092">
        <v>9</v>
      </c>
      <c r="N81" s="27">
        <f t="shared" si="11"/>
        <v>63</v>
      </c>
    </row>
    <row r="82" spans="1:14">
      <c r="A82" s="32" t="s">
        <v>56</v>
      </c>
      <c r="B82" s="1092">
        <v>0</v>
      </c>
      <c r="C82" s="1092">
        <v>0</v>
      </c>
      <c r="D82" s="1092">
        <v>0</v>
      </c>
      <c r="E82" s="1092">
        <v>0</v>
      </c>
      <c r="F82" s="1092">
        <v>0</v>
      </c>
      <c r="G82" s="1092">
        <v>35</v>
      </c>
      <c r="H82" s="1092">
        <v>0</v>
      </c>
      <c r="I82" s="1092">
        <v>0</v>
      </c>
      <c r="J82" s="1092">
        <v>0</v>
      </c>
      <c r="K82" s="1092">
        <v>0</v>
      </c>
      <c r="L82" s="1092">
        <v>0</v>
      </c>
      <c r="M82" s="1092">
        <v>0</v>
      </c>
      <c r="N82" s="27">
        <f t="shared" si="11"/>
        <v>35</v>
      </c>
    </row>
    <row r="83" spans="1:14">
      <c r="A83" s="32" t="s">
        <v>52</v>
      </c>
      <c r="B83" s="1092">
        <v>0</v>
      </c>
      <c r="C83" s="1092">
        <v>0</v>
      </c>
      <c r="D83" s="1092">
        <v>0</v>
      </c>
      <c r="E83" s="1092">
        <v>0</v>
      </c>
      <c r="F83" s="1092">
        <v>0</v>
      </c>
      <c r="G83" s="1092">
        <v>0</v>
      </c>
      <c r="H83" s="1092">
        <v>0</v>
      </c>
      <c r="I83" s="1092">
        <v>0</v>
      </c>
      <c r="J83" s="1092">
        <v>0</v>
      </c>
      <c r="K83" s="1092">
        <v>0</v>
      </c>
      <c r="L83" s="1092">
        <v>0</v>
      </c>
      <c r="M83" s="1092">
        <v>0</v>
      </c>
      <c r="N83" s="27">
        <f t="shared" si="11"/>
        <v>0</v>
      </c>
    </row>
    <row r="84" spans="1:14">
      <c r="A84" s="76" t="s">
        <v>148</v>
      </c>
      <c r="B84" s="1092">
        <v>0</v>
      </c>
      <c r="C84" s="1092">
        <v>0</v>
      </c>
      <c r="D84" s="1092">
        <v>0</v>
      </c>
      <c r="E84" s="1092">
        <v>0</v>
      </c>
      <c r="F84" s="1092">
        <v>0</v>
      </c>
      <c r="G84" s="1092">
        <v>0</v>
      </c>
      <c r="H84" s="1092">
        <v>0</v>
      </c>
      <c r="I84" s="1092">
        <v>0</v>
      </c>
      <c r="J84" s="1092">
        <v>0</v>
      </c>
      <c r="K84" s="1092">
        <v>0</v>
      </c>
      <c r="L84" s="1092">
        <v>0</v>
      </c>
      <c r="M84" s="1092">
        <v>0</v>
      </c>
      <c r="N84" s="27">
        <f t="shared" si="11"/>
        <v>0</v>
      </c>
    </row>
    <row r="85" spans="1:14" ht="14" thickBot="1">
      <c r="A85" s="76" t="s">
        <v>158</v>
      </c>
      <c r="B85" s="1092">
        <v>2</v>
      </c>
      <c r="C85" s="1092">
        <v>0</v>
      </c>
      <c r="D85" s="1092">
        <v>0</v>
      </c>
      <c r="E85" s="1092">
        <v>0</v>
      </c>
      <c r="F85" s="1092">
        <v>0</v>
      </c>
      <c r="G85" s="1092">
        <v>1</v>
      </c>
      <c r="H85" s="1092">
        <v>1</v>
      </c>
      <c r="I85" s="1092">
        <v>0</v>
      </c>
      <c r="J85" s="1092">
        <v>0</v>
      </c>
      <c r="K85" s="1092">
        <v>0</v>
      </c>
      <c r="L85" s="1092">
        <v>0</v>
      </c>
      <c r="M85" s="1092">
        <v>0</v>
      </c>
      <c r="N85" s="27">
        <f t="shared" si="11"/>
        <v>4</v>
      </c>
    </row>
    <row r="86" spans="1:14" ht="14" thickBot="1">
      <c r="A86" s="53" t="s">
        <v>60</v>
      </c>
      <c r="B86" s="55">
        <f>SUM(B79:B85)</f>
        <v>25</v>
      </c>
      <c r="C86" s="55">
        <f>SUM(C79:C85)</f>
        <v>13</v>
      </c>
      <c r="D86" s="55">
        <f t="shared" ref="D86:M86" si="12">SUM(D79:D85)</f>
        <v>13</v>
      </c>
      <c r="E86" s="55">
        <f t="shared" si="12"/>
        <v>2</v>
      </c>
      <c r="F86" s="55">
        <f t="shared" si="12"/>
        <v>0</v>
      </c>
      <c r="G86" s="55">
        <f t="shared" si="12"/>
        <v>43</v>
      </c>
      <c r="H86" s="55">
        <f t="shared" si="12"/>
        <v>7</v>
      </c>
      <c r="I86" s="55">
        <f t="shared" si="12"/>
        <v>14</v>
      </c>
      <c r="J86" s="55">
        <f t="shared" si="12"/>
        <v>9</v>
      </c>
      <c r="K86" s="55">
        <f t="shared" si="12"/>
        <v>8</v>
      </c>
      <c r="L86" s="55">
        <f t="shared" si="12"/>
        <v>14</v>
      </c>
      <c r="M86" s="55">
        <f t="shared" si="12"/>
        <v>10</v>
      </c>
      <c r="N86" s="54">
        <f t="shared" si="11"/>
        <v>158</v>
      </c>
    </row>
    <row r="87" spans="1:14" ht="14" thickBot="1">
      <c r="A87" s="38" t="s">
        <v>49</v>
      </c>
      <c r="B87" s="39"/>
      <c r="C87" s="39"/>
      <c r="D87" s="39"/>
      <c r="E87" s="39"/>
      <c r="F87" s="39"/>
      <c r="G87" s="39"/>
      <c r="H87" s="39"/>
      <c r="I87" s="39"/>
      <c r="J87" s="39"/>
      <c r="K87" s="39"/>
      <c r="L87" s="39"/>
      <c r="M87" s="39"/>
      <c r="N87" s="40"/>
    </row>
    <row r="88" spans="1:14" ht="14" thickBot="1">
      <c r="A88" s="33" t="s">
        <v>49</v>
      </c>
      <c r="B88" s="1092">
        <v>0</v>
      </c>
      <c r="C88" s="1092">
        <v>0</v>
      </c>
      <c r="D88" s="1092">
        <v>0</v>
      </c>
      <c r="E88" s="1092">
        <v>0</v>
      </c>
      <c r="F88" s="1092">
        <v>0</v>
      </c>
      <c r="G88" s="1092">
        <v>0</v>
      </c>
      <c r="H88" s="1092">
        <v>0</v>
      </c>
      <c r="I88" s="1092">
        <v>0</v>
      </c>
      <c r="J88" s="1092">
        <v>0</v>
      </c>
      <c r="K88" s="1092">
        <v>0</v>
      </c>
      <c r="L88" s="1092">
        <v>4</v>
      </c>
      <c r="M88" s="1092">
        <v>0</v>
      </c>
      <c r="N88" s="27">
        <f>SUM(B88:M88)</f>
        <v>4</v>
      </c>
    </row>
    <row r="89" spans="1:14" ht="14" thickBot="1">
      <c r="A89" s="53" t="s">
        <v>60</v>
      </c>
      <c r="B89" s="55">
        <f>SUM(B88)</f>
        <v>0</v>
      </c>
      <c r="C89" s="55">
        <f t="shared" ref="C89:N89" si="13">SUM(C88)</f>
        <v>0</v>
      </c>
      <c r="D89" s="55">
        <f t="shared" si="13"/>
        <v>0</v>
      </c>
      <c r="E89" s="55">
        <f t="shared" si="13"/>
        <v>0</v>
      </c>
      <c r="F89" s="55">
        <f t="shared" si="13"/>
        <v>0</v>
      </c>
      <c r="G89" s="55">
        <f t="shared" si="13"/>
        <v>0</v>
      </c>
      <c r="H89" s="55">
        <f t="shared" si="13"/>
        <v>0</v>
      </c>
      <c r="I89" s="55">
        <f t="shared" si="13"/>
        <v>0</v>
      </c>
      <c r="J89" s="55">
        <f t="shared" si="13"/>
        <v>0</v>
      </c>
      <c r="K89" s="55">
        <f t="shared" si="13"/>
        <v>0</v>
      </c>
      <c r="L89" s="55">
        <f t="shared" si="13"/>
        <v>4</v>
      </c>
      <c r="M89" s="55">
        <f t="shared" si="13"/>
        <v>0</v>
      </c>
      <c r="N89" s="54">
        <f t="shared" si="13"/>
        <v>4</v>
      </c>
    </row>
    <row r="90" spans="1:14" ht="14" thickBot="1">
      <c r="A90" s="38" t="s">
        <v>50</v>
      </c>
      <c r="B90" s="39"/>
      <c r="C90" s="39"/>
      <c r="D90" s="39"/>
      <c r="E90" s="39"/>
      <c r="F90" s="39"/>
      <c r="G90" s="39"/>
      <c r="H90" s="39"/>
      <c r="I90" s="39"/>
      <c r="J90" s="39"/>
      <c r="K90" s="39"/>
      <c r="L90" s="39"/>
      <c r="M90" s="39"/>
      <c r="N90" s="40"/>
    </row>
    <row r="91" spans="1:14">
      <c r="A91" s="34" t="s">
        <v>26</v>
      </c>
      <c r="B91" s="1092">
        <v>0</v>
      </c>
      <c r="C91" s="1092">
        <v>0</v>
      </c>
      <c r="D91" s="1092">
        <v>0</v>
      </c>
      <c r="E91" s="1092">
        <v>0</v>
      </c>
      <c r="F91" s="1092">
        <v>0</v>
      </c>
      <c r="G91" s="1092">
        <v>0</v>
      </c>
      <c r="H91" s="1092">
        <v>0</v>
      </c>
      <c r="I91" s="1092">
        <v>0</v>
      </c>
      <c r="J91" s="1092">
        <v>0</v>
      </c>
      <c r="K91" s="1092">
        <v>0</v>
      </c>
      <c r="L91" s="1092">
        <v>0</v>
      </c>
      <c r="M91" s="1092">
        <v>0</v>
      </c>
      <c r="N91" s="27">
        <f t="shared" ref="N91:N99" si="14">SUM(B91:M91)</f>
        <v>0</v>
      </c>
    </row>
    <row r="92" spans="1:14">
      <c r="A92" s="34" t="s">
        <v>25</v>
      </c>
      <c r="B92" s="1092">
        <v>0</v>
      </c>
      <c r="C92" s="1092">
        <v>0</v>
      </c>
      <c r="D92" s="1092">
        <v>0</v>
      </c>
      <c r="E92" s="1092">
        <v>0</v>
      </c>
      <c r="F92" s="1092">
        <v>0</v>
      </c>
      <c r="G92" s="1092">
        <v>0</v>
      </c>
      <c r="H92" s="1092">
        <v>0</v>
      </c>
      <c r="I92" s="1092">
        <v>0</v>
      </c>
      <c r="J92" s="1092">
        <v>0</v>
      </c>
      <c r="K92" s="1092">
        <v>0</v>
      </c>
      <c r="L92" s="1092">
        <v>0</v>
      </c>
      <c r="M92" s="1092">
        <v>0</v>
      </c>
      <c r="N92" s="27">
        <f t="shared" si="14"/>
        <v>0</v>
      </c>
    </row>
    <row r="93" spans="1:14">
      <c r="A93" s="32" t="s">
        <v>29</v>
      </c>
      <c r="B93" s="1092">
        <v>0</v>
      </c>
      <c r="C93" s="1092">
        <v>0</v>
      </c>
      <c r="D93" s="1092">
        <v>54</v>
      </c>
      <c r="E93" s="1092">
        <v>123</v>
      </c>
      <c r="F93" s="1092">
        <v>14</v>
      </c>
      <c r="G93" s="1092">
        <v>0</v>
      </c>
      <c r="H93" s="1092">
        <v>0</v>
      </c>
      <c r="I93" s="1092">
        <v>0</v>
      </c>
      <c r="J93" s="1092">
        <v>0</v>
      </c>
      <c r="K93" s="1092">
        <v>0</v>
      </c>
      <c r="L93" s="1092">
        <v>3</v>
      </c>
      <c r="M93" s="1092">
        <v>4</v>
      </c>
      <c r="N93" s="27">
        <f t="shared" si="14"/>
        <v>198</v>
      </c>
    </row>
    <row r="94" spans="1:14">
      <c r="A94" s="32" t="s">
        <v>51</v>
      </c>
      <c r="B94" s="1092">
        <v>0</v>
      </c>
      <c r="C94" s="1092">
        <v>0</v>
      </c>
      <c r="D94" s="1092">
        <v>1</v>
      </c>
      <c r="E94" s="1092">
        <v>0</v>
      </c>
      <c r="F94" s="1092">
        <v>0</v>
      </c>
      <c r="G94" s="1092">
        <v>0</v>
      </c>
      <c r="H94" s="1092">
        <v>0</v>
      </c>
      <c r="I94" s="1092">
        <v>0</v>
      </c>
      <c r="J94" s="1092">
        <v>0</v>
      </c>
      <c r="K94" s="1092">
        <v>13</v>
      </c>
      <c r="L94" s="1092">
        <v>8</v>
      </c>
      <c r="M94" s="1092">
        <v>0</v>
      </c>
      <c r="N94" s="27">
        <f t="shared" si="14"/>
        <v>22</v>
      </c>
    </row>
    <row r="95" spans="1:14">
      <c r="A95" s="34" t="s">
        <v>20</v>
      </c>
      <c r="B95" s="1092">
        <v>0</v>
      </c>
      <c r="C95" s="1092">
        <v>0</v>
      </c>
      <c r="D95" s="1092">
        <v>0</v>
      </c>
      <c r="E95" s="1092">
        <v>0</v>
      </c>
      <c r="F95" s="1092">
        <v>0</v>
      </c>
      <c r="G95" s="1092">
        <v>0</v>
      </c>
      <c r="H95" s="1092">
        <v>0</v>
      </c>
      <c r="I95" s="1092">
        <v>0</v>
      </c>
      <c r="J95" s="1092">
        <v>0</v>
      </c>
      <c r="K95" s="1092">
        <v>0</v>
      </c>
      <c r="L95" s="1092">
        <v>0</v>
      </c>
      <c r="M95" s="1092">
        <v>0</v>
      </c>
      <c r="N95" s="27">
        <f t="shared" si="14"/>
        <v>0</v>
      </c>
    </row>
    <row r="96" spans="1:14">
      <c r="A96" s="34" t="s">
        <v>13</v>
      </c>
      <c r="B96" s="1092">
        <v>0</v>
      </c>
      <c r="C96" s="1092">
        <v>28</v>
      </c>
      <c r="D96" s="1092">
        <v>0</v>
      </c>
      <c r="E96" s="1092">
        <v>0</v>
      </c>
      <c r="F96" s="1092">
        <v>1</v>
      </c>
      <c r="G96" s="1092">
        <v>0</v>
      </c>
      <c r="H96" s="1092">
        <v>0</v>
      </c>
      <c r="I96" s="1092">
        <v>0</v>
      </c>
      <c r="J96" s="1092">
        <v>0</v>
      </c>
      <c r="K96" s="1092">
        <v>0</v>
      </c>
      <c r="L96" s="1092">
        <v>0</v>
      </c>
      <c r="M96" s="1092">
        <v>0</v>
      </c>
      <c r="N96" s="27">
        <f t="shared" si="14"/>
        <v>29</v>
      </c>
    </row>
    <row r="97" spans="1:14">
      <c r="A97" s="35" t="s">
        <v>47</v>
      </c>
      <c r="B97" s="1092">
        <v>0</v>
      </c>
      <c r="C97" s="1092">
        <v>0</v>
      </c>
      <c r="D97" s="1092">
        <v>0</v>
      </c>
      <c r="E97" s="1092">
        <v>0</v>
      </c>
      <c r="F97" s="1092">
        <v>0</v>
      </c>
      <c r="G97" s="1092">
        <v>0</v>
      </c>
      <c r="H97" s="1092">
        <v>0</v>
      </c>
      <c r="I97" s="1092">
        <v>0</v>
      </c>
      <c r="J97" s="1092">
        <v>0</v>
      </c>
      <c r="K97" s="1092">
        <v>0</v>
      </c>
      <c r="L97" s="1092">
        <v>0</v>
      </c>
      <c r="M97" s="1092">
        <v>0</v>
      </c>
      <c r="N97" s="27">
        <f t="shared" si="14"/>
        <v>0</v>
      </c>
    </row>
    <row r="98" spans="1:14">
      <c r="A98" s="76" t="s">
        <v>30</v>
      </c>
      <c r="B98" s="1092">
        <v>0</v>
      </c>
      <c r="C98" s="1092">
        <v>10</v>
      </c>
      <c r="D98" s="1092">
        <v>0</v>
      </c>
      <c r="E98" s="1092">
        <v>3</v>
      </c>
      <c r="F98" s="1092">
        <v>2</v>
      </c>
      <c r="G98" s="1092">
        <v>0</v>
      </c>
      <c r="H98" s="1092">
        <v>0</v>
      </c>
      <c r="I98" s="1092">
        <v>0</v>
      </c>
      <c r="J98" s="1092">
        <v>1</v>
      </c>
      <c r="K98" s="1092">
        <v>0</v>
      </c>
      <c r="L98" s="1092">
        <v>0</v>
      </c>
      <c r="M98" s="1092">
        <v>6</v>
      </c>
      <c r="N98" s="27">
        <f t="shared" si="14"/>
        <v>22</v>
      </c>
    </row>
    <row r="99" spans="1:14">
      <c r="A99" s="76" t="s">
        <v>150</v>
      </c>
      <c r="B99" s="1092">
        <v>0</v>
      </c>
      <c r="C99" s="1092">
        <v>0</v>
      </c>
      <c r="D99" s="1092">
        <v>0</v>
      </c>
      <c r="E99" s="1092">
        <v>0</v>
      </c>
      <c r="F99" s="1092">
        <v>0</v>
      </c>
      <c r="G99" s="1092">
        <v>0</v>
      </c>
      <c r="H99" s="1092">
        <v>0</v>
      </c>
      <c r="I99" s="1092">
        <v>0</v>
      </c>
      <c r="J99" s="1092">
        <v>0</v>
      </c>
      <c r="K99" s="1092">
        <v>0</v>
      </c>
      <c r="L99" s="1092">
        <v>0</v>
      </c>
      <c r="M99" s="1092">
        <v>0</v>
      </c>
      <c r="N99" s="27">
        <f t="shared" si="14"/>
        <v>0</v>
      </c>
    </row>
    <row r="100" spans="1:14">
      <c r="A100" s="32" t="s">
        <v>56</v>
      </c>
      <c r="B100" s="1092">
        <v>0</v>
      </c>
      <c r="C100" s="1092">
        <v>0</v>
      </c>
      <c r="D100" s="1092">
        <v>0</v>
      </c>
      <c r="E100" s="1092">
        <v>0</v>
      </c>
      <c r="F100" s="1092">
        <v>1642</v>
      </c>
      <c r="G100" s="1092">
        <v>0</v>
      </c>
      <c r="H100" s="1092">
        <v>0</v>
      </c>
      <c r="I100" s="1092">
        <v>0</v>
      </c>
      <c r="J100" s="1092">
        <v>0</v>
      </c>
      <c r="K100" s="1092">
        <v>0</v>
      </c>
      <c r="L100" s="1092">
        <v>0</v>
      </c>
      <c r="M100" s="1092">
        <v>0</v>
      </c>
      <c r="N100" s="27">
        <f>SUM(B100:M100)</f>
        <v>1642</v>
      </c>
    </row>
    <row r="101" spans="1:14">
      <c r="A101" s="78" t="s">
        <v>122</v>
      </c>
      <c r="B101" s="1092">
        <v>0</v>
      </c>
      <c r="C101" s="1092">
        <v>0</v>
      </c>
      <c r="D101" s="1092">
        <v>0</v>
      </c>
      <c r="E101" s="1092">
        <v>0</v>
      </c>
      <c r="F101" s="1092">
        <v>0</v>
      </c>
      <c r="G101" s="1092">
        <v>0</v>
      </c>
      <c r="H101" s="1092">
        <v>0</v>
      </c>
      <c r="I101" s="1092">
        <v>0</v>
      </c>
      <c r="J101" s="1092">
        <v>0</v>
      </c>
      <c r="K101" s="1092">
        <v>0</v>
      </c>
      <c r="L101" s="1092">
        <v>0</v>
      </c>
      <c r="M101" s="1092">
        <v>0</v>
      </c>
      <c r="N101" s="27">
        <f>SUM(B101:M101)</f>
        <v>0</v>
      </c>
    </row>
    <row r="102" spans="1:14" ht="14" thickBot="1">
      <c r="A102" s="32" t="s">
        <v>102</v>
      </c>
      <c r="B102" s="1092">
        <v>0</v>
      </c>
      <c r="C102" s="1092">
        <v>0</v>
      </c>
      <c r="D102" s="1092">
        <v>0</v>
      </c>
      <c r="E102" s="1092">
        <v>0</v>
      </c>
      <c r="F102" s="1092">
        <v>0</v>
      </c>
      <c r="G102" s="1092">
        <v>0</v>
      </c>
      <c r="H102" s="1092">
        <v>0</v>
      </c>
      <c r="I102" s="1092">
        <v>0</v>
      </c>
      <c r="J102" s="1092">
        <v>0</v>
      </c>
      <c r="K102" s="1092">
        <v>0</v>
      </c>
      <c r="L102" s="1092">
        <v>0</v>
      </c>
      <c r="M102" s="1092">
        <v>0</v>
      </c>
      <c r="N102" s="27">
        <f>SUM(B102:M102)</f>
        <v>0</v>
      </c>
    </row>
    <row r="103" spans="1:14" ht="14" thickBot="1">
      <c r="A103" s="53" t="s">
        <v>60</v>
      </c>
      <c r="B103" s="55">
        <f>SUM(B91:B102)</f>
        <v>0</v>
      </c>
      <c r="C103" s="55">
        <f t="shared" ref="C103:N103" si="15">SUM(C91:C102)</f>
        <v>38</v>
      </c>
      <c r="D103" s="55">
        <f t="shared" si="15"/>
        <v>55</v>
      </c>
      <c r="E103" s="55">
        <f t="shared" si="15"/>
        <v>126</v>
      </c>
      <c r="F103" s="55">
        <f t="shared" si="15"/>
        <v>1659</v>
      </c>
      <c r="G103" s="55">
        <f t="shared" si="15"/>
        <v>0</v>
      </c>
      <c r="H103" s="55">
        <f t="shared" si="15"/>
        <v>0</v>
      </c>
      <c r="I103" s="55">
        <f t="shared" si="15"/>
        <v>0</v>
      </c>
      <c r="J103" s="55">
        <f t="shared" si="15"/>
        <v>1</v>
      </c>
      <c r="K103" s="55">
        <f t="shared" si="15"/>
        <v>13</v>
      </c>
      <c r="L103" s="55">
        <f t="shared" si="15"/>
        <v>11</v>
      </c>
      <c r="M103" s="55">
        <f t="shared" si="15"/>
        <v>10</v>
      </c>
      <c r="N103" s="54">
        <f t="shared" si="15"/>
        <v>1913</v>
      </c>
    </row>
    <row r="104" spans="1:14" ht="14" thickBot="1">
      <c r="A104" s="38" t="s">
        <v>54</v>
      </c>
      <c r="B104" s="41"/>
      <c r="C104" s="41"/>
      <c r="D104" s="41"/>
      <c r="E104" s="41"/>
      <c r="F104" s="41"/>
      <c r="G104" s="41"/>
      <c r="H104" s="41"/>
      <c r="I104" s="41"/>
      <c r="J104" s="41"/>
      <c r="K104" s="41"/>
      <c r="L104" s="41"/>
      <c r="M104" s="41"/>
      <c r="N104" s="42"/>
    </row>
    <row r="105" spans="1:14">
      <c r="A105" s="36" t="s">
        <v>29</v>
      </c>
      <c r="B105" s="1093">
        <v>0</v>
      </c>
      <c r="C105" s="1093">
        <v>0</v>
      </c>
      <c r="D105" s="1093">
        <v>0</v>
      </c>
      <c r="E105" s="1093">
        <v>0</v>
      </c>
      <c r="F105" s="1093">
        <v>0</v>
      </c>
      <c r="G105" s="1093">
        <v>0</v>
      </c>
      <c r="H105" s="1093">
        <v>0</v>
      </c>
      <c r="I105" s="1093">
        <v>0</v>
      </c>
      <c r="J105" s="1093">
        <v>0</v>
      </c>
      <c r="K105" s="1093">
        <v>0</v>
      </c>
      <c r="L105" s="1093">
        <v>0</v>
      </c>
      <c r="M105" s="1093">
        <v>0</v>
      </c>
      <c r="N105" s="28">
        <f t="shared" ref="N105:N110" si="16">SUM(B105:M105)</f>
        <v>0</v>
      </c>
    </row>
    <row r="106" spans="1:14">
      <c r="A106" s="34" t="s">
        <v>51</v>
      </c>
      <c r="B106" s="1092">
        <v>0</v>
      </c>
      <c r="C106" s="1092">
        <v>0</v>
      </c>
      <c r="D106" s="1092">
        <v>0</v>
      </c>
      <c r="E106" s="1092">
        <v>0</v>
      </c>
      <c r="F106" s="1092">
        <v>0</v>
      </c>
      <c r="G106" s="1092">
        <v>0</v>
      </c>
      <c r="H106" s="1092">
        <v>0</v>
      </c>
      <c r="I106" s="1092">
        <v>0</v>
      </c>
      <c r="J106" s="1092">
        <v>0</v>
      </c>
      <c r="K106" s="1092">
        <v>0</v>
      </c>
      <c r="L106" s="1092">
        <v>0</v>
      </c>
      <c r="M106" s="1092">
        <v>0</v>
      </c>
      <c r="N106" s="29">
        <f t="shared" si="16"/>
        <v>0</v>
      </c>
    </row>
    <row r="107" spans="1:14">
      <c r="A107" s="34" t="s">
        <v>15</v>
      </c>
      <c r="B107" s="1092">
        <v>0</v>
      </c>
      <c r="C107" s="1092">
        <v>0</v>
      </c>
      <c r="D107" s="1092">
        <v>0</v>
      </c>
      <c r="E107" s="1092">
        <v>0</v>
      </c>
      <c r="F107" s="1092">
        <v>0</v>
      </c>
      <c r="G107" s="1092">
        <v>0</v>
      </c>
      <c r="H107" s="1092">
        <v>0</v>
      </c>
      <c r="I107" s="1092">
        <v>0</v>
      </c>
      <c r="J107" s="1092">
        <v>0</v>
      </c>
      <c r="K107" s="1092">
        <v>0</v>
      </c>
      <c r="L107" s="1094">
        <v>0</v>
      </c>
      <c r="M107" s="1092">
        <v>0</v>
      </c>
      <c r="N107" s="29">
        <f t="shared" si="16"/>
        <v>0</v>
      </c>
    </row>
    <row r="108" spans="1:14">
      <c r="A108" s="34" t="s">
        <v>30</v>
      </c>
      <c r="B108" s="1092">
        <v>0</v>
      </c>
      <c r="C108" s="1092">
        <v>0</v>
      </c>
      <c r="D108" s="1092">
        <v>0</v>
      </c>
      <c r="E108" s="1092">
        <v>0</v>
      </c>
      <c r="F108" s="1092">
        <v>0</v>
      </c>
      <c r="G108" s="1092">
        <v>0</v>
      </c>
      <c r="H108" s="1092">
        <v>0</v>
      </c>
      <c r="I108" s="1092">
        <v>0</v>
      </c>
      <c r="J108" s="1092">
        <v>0</v>
      </c>
      <c r="K108" s="1092">
        <v>0</v>
      </c>
      <c r="L108" s="1092">
        <v>0</v>
      </c>
      <c r="M108" s="1092">
        <v>0</v>
      </c>
      <c r="N108" s="29">
        <f t="shared" si="16"/>
        <v>0</v>
      </c>
    </row>
    <row r="109" spans="1:14">
      <c r="A109" s="32" t="s">
        <v>55</v>
      </c>
      <c r="B109" s="1094">
        <v>0</v>
      </c>
      <c r="C109" s="1094">
        <v>0</v>
      </c>
      <c r="D109" s="1095">
        <v>0</v>
      </c>
      <c r="E109" s="1094">
        <v>0</v>
      </c>
      <c r="F109" s="1094">
        <v>0</v>
      </c>
      <c r="G109" s="1094">
        <v>0</v>
      </c>
      <c r="H109" s="1094">
        <v>0</v>
      </c>
      <c r="I109" s="1094">
        <v>0</v>
      </c>
      <c r="J109" s="1094">
        <v>0</v>
      </c>
      <c r="K109" s="1094">
        <v>0</v>
      </c>
      <c r="L109" s="1094">
        <v>0</v>
      </c>
      <c r="M109" s="1094">
        <v>0</v>
      </c>
      <c r="N109" s="29">
        <f t="shared" si="16"/>
        <v>0</v>
      </c>
    </row>
    <row r="110" spans="1:14" ht="14" thickBot="1">
      <c r="A110" s="104" t="s">
        <v>150</v>
      </c>
      <c r="B110" s="1096">
        <v>0</v>
      </c>
      <c r="C110" s="1097">
        <v>0</v>
      </c>
      <c r="D110" s="1097">
        <v>0</v>
      </c>
      <c r="E110" s="1097">
        <v>0</v>
      </c>
      <c r="F110" s="1097">
        <v>0</v>
      </c>
      <c r="G110" s="1097">
        <v>0</v>
      </c>
      <c r="H110" s="1097">
        <v>0</v>
      </c>
      <c r="I110" s="1097">
        <v>0</v>
      </c>
      <c r="J110" s="1097">
        <v>0</v>
      </c>
      <c r="K110" s="1097">
        <v>0</v>
      </c>
      <c r="L110" s="1097">
        <v>0</v>
      </c>
      <c r="M110" s="1098">
        <v>0</v>
      </c>
      <c r="N110" s="29">
        <f t="shared" si="16"/>
        <v>0</v>
      </c>
    </row>
    <row r="111" spans="1:14" ht="14" thickBot="1">
      <c r="A111" s="53" t="s">
        <v>60</v>
      </c>
      <c r="B111" s="55">
        <f>SUM(B105:B110)</f>
        <v>0</v>
      </c>
      <c r="C111" s="55">
        <f>SUM(C105:C110)</f>
        <v>0</v>
      </c>
      <c r="D111" s="55">
        <f>SUM(D105:D110)</f>
        <v>0</v>
      </c>
      <c r="E111" s="55">
        <f t="shared" ref="E111:M111" si="17">SUM(E105:E110)</f>
        <v>0</v>
      </c>
      <c r="F111" s="55">
        <f t="shared" si="17"/>
        <v>0</v>
      </c>
      <c r="G111" s="55">
        <f t="shared" si="17"/>
        <v>0</v>
      </c>
      <c r="H111" s="55">
        <f t="shared" si="17"/>
        <v>0</v>
      </c>
      <c r="I111" s="55">
        <f t="shared" si="17"/>
        <v>0</v>
      </c>
      <c r="J111" s="55">
        <f t="shared" si="17"/>
        <v>0</v>
      </c>
      <c r="K111" s="55">
        <f t="shared" si="17"/>
        <v>0</v>
      </c>
      <c r="L111" s="55">
        <f t="shared" si="17"/>
        <v>0</v>
      </c>
      <c r="M111" s="55">
        <f t="shared" si="17"/>
        <v>0</v>
      </c>
      <c r="N111" s="54">
        <f>SUM(N105:N110)</f>
        <v>0</v>
      </c>
    </row>
    <row r="114" spans="1:14" ht="14" thickBot="1">
      <c r="B114" s="43" t="s">
        <v>35</v>
      </c>
      <c r="C114" s="43" t="s">
        <v>36</v>
      </c>
      <c r="D114" s="43" t="s">
        <v>37</v>
      </c>
      <c r="E114" s="43" t="s">
        <v>38</v>
      </c>
      <c r="F114" s="43" t="s">
        <v>39</v>
      </c>
      <c r="G114" s="43" t="s">
        <v>40</v>
      </c>
      <c r="H114" s="43" t="s">
        <v>41</v>
      </c>
      <c r="I114" s="43" t="s">
        <v>42</v>
      </c>
      <c r="J114" s="43" t="s">
        <v>43</v>
      </c>
      <c r="K114" s="43" t="s">
        <v>44</v>
      </c>
      <c r="L114" s="43" t="s">
        <v>45</v>
      </c>
      <c r="M114" s="43" t="s">
        <v>46</v>
      </c>
      <c r="N114" s="43" t="s">
        <v>10</v>
      </c>
    </row>
    <row r="115" spans="1:14" ht="17" thickBot="1">
      <c r="A115" s="31" t="s">
        <v>162</v>
      </c>
      <c r="B115" s="24"/>
      <c r="C115" s="24"/>
      <c r="D115" s="22"/>
      <c r="E115" s="22"/>
      <c r="F115" s="25"/>
      <c r="G115" s="25"/>
      <c r="H115" s="22"/>
      <c r="I115" s="22"/>
      <c r="J115" s="22"/>
      <c r="K115" s="22"/>
      <c r="L115" s="24"/>
      <c r="M115" s="24"/>
      <c r="N115" s="26"/>
    </row>
    <row r="116" spans="1:14" ht="14" thickBot="1">
      <c r="A116" s="38" t="s">
        <v>48</v>
      </c>
      <c r="B116" s="39"/>
      <c r="C116" s="39"/>
      <c r="D116" s="39"/>
      <c r="E116" s="39"/>
      <c r="F116" s="39"/>
      <c r="G116" s="39"/>
      <c r="H116" s="39"/>
      <c r="I116" s="39"/>
      <c r="J116" s="39"/>
      <c r="K116" s="39"/>
      <c r="L116" s="39"/>
      <c r="M116" s="39"/>
      <c r="N116" s="40"/>
    </row>
    <row r="117" spans="1:14">
      <c r="A117" s="32" t="s">
        <v>29</v>
      </c>
      <c r="B117" s="1092">
        <v>2</v>
      </c>
      <c r="C117" s="1092">
        <v>8</v>
      </c>
      <c r="D117" s="1092">
        <v>0</v>
      </c>
      <c r="E117" s="1092">
        <v>0</v>
      </c>
      <c r="F117" s="1092">
        <v>3</v>
      </c>
      <c r="G117" s="1092">
        <v>0</v>
      </c>
      <c r="H117" s="1092">
        <v>0</v>
      </c>
      <c r="I117" s="1092">
        <v>0</v>
      </c>
      <c r="J117" s="1092">
        <v>0</v>
      </c>
      <c r="K117" s="1092">
        <v>0</v>
      </c>
      <c r="L117" s="1092">
        <v>0</v>
      </c>
      <c r="M117" s="1092">
        <v>0</v>
      </c>
      <c r="N117" s="27">
        <f t="shared" ref="N117:N123" si="18">SUM(B117:M117)</f>
        <v>13</v>
      </c>
    </row>
    <row r="118" spans="1:14">
      <c r="A118" s="32" t="s">
        <v>33</v>
      </c>
      <c r="B118" s="1092">
        <v>14</v>
      </c>
      <c r="C118" s="1092">
        <v>10</v>
      </c>
      <c r="D118" s="1092">
        <v>28</v>
      </c>
      <c r="E118" s="1092">
        <v>11</v>
      </c>
      <c r="F118" s="1092">
        <v>49</v>
      </c>
      <c r="G118" s="1092">
        <v>7</v>
      </c>
      <c r="H118" s="1092">
        <v>14</v>
      </c>
      <c r="I118" s="1092">
        <v>0</v>
      </c>
      <c r="J118" s="1092">
        <v>42</v>
      </c>
      <c r="K118" s="1092">
        <v>10</v>
      </c>
      <c r="L118" s="1092">
        <v>29</v>
      </c>
      <c r="M118" s="1092">
        <v>15</v>
      </c>
      <c r="N118" s="27">
        <f t="shared" si="18"/>
        <v>229</v>
      </c>
    </row>
    <row r="119" spans="1:14">
      <c r="A119" s="32" t="s">
        <v>56</v>
      </c>
      <c r="B119" s="1092">
        <v>0</v>
      </c>
      <c r="C119" s="1092">
        <v>0</v>
      </c>
      <c r="D119" s="1092">
        <v>0</v>
      </c>
      <c r="E119" s="1092">
        <v>0</v>
      </c>
      <c r="F119" s="1092">
        <v>136</v>
      </c>
      <c r="G119" s="1092">
        <v>0</v>
      </c>
      <c r="H119" s="1092">
        <v>0</v>
      </c>
      <c r="I119" s="1092">
        <v>0</v>
      </c>
      <c r="J119" s="1092">
        <v>30</v>
      </c>
      <c r="K119" s="1092">
        <v>0</v>
      </c>
      <c r="L119" s="1092">
        <v>81</v>
      </c>
      <c r="M119" s="1092">
        <v>0</v>
      </c>
      <c r="N119" s="27">
        <f t="shared" si="18"/>
        <v>247</v>
      </c>
    </row>
    <row r="120" spans="1:14">
      <c r="A120" s="78" t="s">
        <v>30</v>
      </c>
      <c r="B120" s="1092">
        <v>0</v>
      </c>
      <c r="C120" s="1092">
        <v>0</v>
      </c>
      <c r="D120" s="1092">
        <v>1</v>
      </c>
      <c r="E120" s="1092">
        <v>0</v>
      </c>
      <c r="F120" s="1092">
        <v>1</v>
      </c>
      <c r="G120" s="1092">
        <v>0</v>
      </c>
      <c r="H120" s="1092">
        <v>0</v>
      </c>
      <c r="I120" s="1092">
        <v>0</v>
      </c>
      <c r="J120" s="1092">
        <v>1</v>
      </c>
      <c r="K120" s="1092">
        <v>0</v>
      </c>
      <c r="L120" s="1092">
        <v>1</v>
      </c>
      <c r="M120" s="1092">
        <v>1</v>
      </c>
      <c r="N120" s="27">
        <f t="shared" si="18"/>
        <v>5</v>
      </c>
    </row>
    <row r="121" spans="1:14">
      <c r="A121" s="76" t="s">
        <v>174</v>
      </c>
      <c r="B121" s="1092">
        <v>0</v>
      </c>
      <c r="C121" s="1092">
        <v>0</v>
      </c>
      <c r="D121" s="1092">
        <v>0</v>
      </c>
      <c r="E121" s="1092">
        <v>0</v>
      </c>
      <c r="F121" s="1092">
        <v>694</v>
      </c>
      <c r="G121" s="1092">
        <v>0</v>
      </c>
      <c r="H121" s="1092">
        <v>0</v>
      </c>
      <c r="I121" s="1092">
        <v>0</v>
      </c>
      <c r="J121" s="1092">
        <v>0</v>
      </c>
      <c r="K121" s="1092">
        <v>0</v>
      </c>
      <c r="L121" s="1092">
        <v>0</v>
      </c>
      <c r="M121" s="1092">
        <v>0</v>
      </c>
      <c r="N121" s="27">
        <f t="shared" si="18"/>
        <v>694</v>
      </c>
    </row>
    <row r="122" spans="1:14">
      <c r="A122" s="76" t="s">
        <v>165</v>
      </c>
      <c r="B122" s="1092">
        <v>0</v>
      </c>
      <c r="C122" s="1092">
        <v>0</v>
      </c>
      <c r="D122" s="1092">
        <v>0</v>
      </c>
      <c r="E122" s="1092">
        <v>0</v>
      </c>
      <c r="F122" s="1092">
        <v>0</v>
      </c>
      <c r="G122" s="1092">
        <v>0</v>
      </c>
      <c r="H122" s="1092">
        <v>0</v>
      </c>
      <c r="I122" s="1092">
        <v>0</v>
      </c>
      <c r="J122" s="1092">
        <v>0</v>
      </c>
      <c r="K122" s="1092">
        <v>430</v>
      </c>
      <c r="L122" s="1092">
        <v>0</v>
      </c>
      <c r="M122" s="1092">
        <v>0</v>
      </c>
      <c r="N122" s="27">
        <f t="shared" si="18"/>
        <v>430</v>
      </c>
    </row>
    <row r="123" spans="1:14" ht="14" thickBot="1">
      <c r="A123" s="76" t="s">
        <v>166</v>
      </c>
      <c r="B123" s="1092">
        <v>0</v>
      </c>
      <c r="C123" s="1092">
        <v>0</v>
      </c>
      <c r="D123" s="1092">
        <v>0</v>
      </c>
      <c r="E123" s="1092">
        <v>0</v>
      </c>
      <c r="F123" s="1092">
        <v>0</v>
      </c>
      <c r="G123" s="1092">
        <v>0</v>
      </c>
      <c r="H123" s="1092">
        <v>0</v>
      </c>
      <c r="I123" s="1092">
        <v>0</v>
      </c>
      <c r="J123" s="1092">
        <v>0</v>
      </c>
      <c r="K123" s="1092">
        <v>17</v>
      </c>
      <c r="L123" s="1092">
        <v>0</v>
      </c>
      <c r="M123" s="1092">
        <v>0</v>
      </c>
      <c r="N123" s="27">
        <f t="shared" si="18"/>
        <v>17</v>
      </c>
    </row>
    <row r="124" spans="1:14" ht="14" thickBot="1">
      <c r="A124" s="53" t="s">
        <v>60</v>
      </c>
      <c r="B124" s="55">
        <f>SUM(B117:B123)</f>
        <v>16</v>
      </c>
      <c r="C124" s="55">
        <f t="shared" ref="C124:M124" si="19">SUM(C117:C123)</f>
        <v>18</v>
      </c>
      <c r="D124" s="55">
        <f t="shared" si="19"/>
        <v>29</v>
      </c>
      <c r="E124" s="55">
        <f t="shared" si="19"/>
        <v>11</v>
      </c>
      <c r="F124" s="55">
        <f t="shared" si="19"/>
        <v>883</v>
      </c>
      <c r="G124" s="55">
        <f t="shared" si="19"/>
        <v>7</v>
      </c>
      <c r="H124" s="55">
        <f t="shared" si="19"/>
        <v>14</v>
      </c>
      <c r="I124" s="55">
        <f t="shared" si="19"/>
        <v>0</v>
      </c>
      <c r="J124" s="55">
        <f t="shared" si="19"/>
        <v>73</v>
      </c>
      <c r="K124" s="55">
        <f t="shared" si="19"/>
        <v>457</v>
      </c>
      <c r="L124" s="55">
        <f t="shared" si="19"/>
        <v>111</v>
      </c>
      <c r="M124" s="55">
        <f t="shared" si="19"/>
        <v>16</v>
      </c>
      <c r="N124" s="54">
        <f>SUM(N117:N123)</f>
        <v>1635</v>
      </c>
    </row>
    <row r="125" spans="1:14" ht="14" thickBot="1">
      <c r="A125" s="38" t="s">
        <v>49</v>
      </c>
      <c r="B125" s="39"/>
      <c r="C125" s="39"/>
      <c r="D125" s="39"/>
      <c r="E125" s="39"/>
      <c r="F125" s="39"/>
      <c r="G125" s="39"/>
      <c r="H125" s="39"/>
      <c r="I125" s="39"/>
      <c r="J125" s="39"/>
      <c r="K125" s="39"/>
      <c r="L125" s="39"/>
      <c r="M125" s="39"/>
      <c r="N125" s="40"/>
    </row>
    <row r="126" spans="1:14" ht="14" thickBot="1">
      <c r="A126" s="33" t="s">
        <v>49</v>
      </c>
      <c r="B126" s="1092">
        <v>0</v>
      </c>
      <c r="C126" s="1092">
        <v>0</v>
      </c>
      <c r="D126" s="1092">
        <v>0</v>
      </c>
      <c r="E126" s="1092">
        <v>0</v>
      </c>
      <c r="F126" s="1092">
        <v>65</v>
      </c>
      <c r="G126" s="1092">
        <v>32</v>
      </c>
      <c r="H126" s="1092">
        <v>7</v>
      </c>
      <c r="I126" s="1092">
        <v>13</v>
      </c>
      <c r="J126" s="1092">
        <v>0</v>
      </c>
      <c r="K126" s="1092">
        <v>0</v>
      </c>
      <c r="L126" s="1092">
        <v>0</v>
      </c>
      <c r="M126" s="1092">
        <v>0</v>
      </c>
      <c r="N126" s="27">
        <f>SUM(B126:M126)</f>
        <v>117</v>
      </c>
    </row>
    <row r="127" spans="1:14" ht="14" thickBot="1">
      <c r="A127" s="53" t="s">
        <v>60</v>
      </c>
      <c r="B127" s="320">
        <f>SUM(B126)</f>
        <v>0</v>
      </c>
      <c r="C127" s="320">
        <f t="shared" ref="C127:N127" si="20">SUM(C126)</f>
        <v>0</v>
      </c>
      <c r="D127" s="320">
        <f t="shared" si="20"/>
        <v>0</v>
      </c>
      <c r="E127" s="320">
        <f t="shared" si="20"/>
        <v>0</v>
      </c>
      <c r="F127" s="320">
        <f t="shared" si="20"/>
        <v>65</v>
      </c>
      <c r="G127" s="320">
        <f t="shared" si="20"/>
        <v>32</v>
      </c>
      <c r="H127" s="320">
        <f t="shared" si="20"/>
        <v>7</v>
      </c>
      <c r="I127" s="320">
        <f t="shared" si="20"/>
        <v>13</v>
      </c>
      <c r="J127" s="320">
        <f t="shared" si="20"/>
        <v>0</v>
      </c>
      <c r="K127" s="320">
        <f t="shared" si="20"/>
        <v>0</v>
      </c>
      <c r="L127" s="320">
        <f t="shared" si="20"/>
        <v>0</v>
      </c>
      <c r="M127" s="320">
        <f t="shared" si="20"/>
        <v>0</v>
      </c>
      <c r="N127" s="54">
        <f t="shared" si="20"/>
        <v>117</v>
      </c>
    </row>
    <row r="128" spans="1:14" ht="14" thickBot="1">
      <c r="A128" s="38" t="s">
        <v>50</v>
      </c>
      <c r="B128" s="39"/>
      <c r="C128" s="39"/>
      <c r="D128" s="39"/>
      <c r="E128" s="39"/>
      <c r="F128" s="39"/>
      <c r="G128" s="39"/>
      <c r="H128" s="39"/>
      <c r="I128" s="39"/>
      <c r="J128" s="39"/>
      <c r="K128" s="39"/>
      <c r="L128" s="39"/>
      <c r="M128" s="39"/>
      <c r="N128" s="40"/>
    </row>
    <row r="129" spans="1:14">
      <c r="A129" s="32" t="s">
        <v>29</v>
      </c>
      <c r="B129" s="1092">
        <v>0</v>
      </c>
      <c r="C129" s="1092">
        <v>0</v>
      </c>
      <c r="D129" s="1092">
        <v>0</v>
      </c>
      <c r="E129" s="1092">
        <v>30</v>
      </c>
      <c r="F129" s="1092">
        <v>0</v>
      </c>
      <c r="G129" s="1092">
        <v>0</v>
      </c>
      <c r="H129" s="1092">
        <v>0</v>
      </c>
      <c r="I129" s="1092">
        <v>0</v>
      </c>
      <c r="J129" s="1092">
        <v>0</v>
      </c>
      <c r="K129" s="1092">
        <v>0</v>
      </c>
      <c r="L129" s="1092">
        <v>0</v>
      </c>
      <c r="M129" s="1092">
        <v>0</v>
      </c>
      <c r="N129" s="27">
        <f t="shared" ref="N129:N135" si="21">SUM(B129:M129)</f>
        <v>30</v>
      </c>
    </row>
    <row r="130" spans="1:14">
      <c r="A130" s="32" t="s">
        <v>51</v>
      </c>
      <c r="B130" s="1092">
        <v>0</v>
      </c>
      <c r="C130" s="1092">
        <v>0</v>
      </c>
      <c r="D130" s="1092">
        <v>0</v>
      </c>
      <c r="E130" s="1092">
        <v>0</v>
      </c>
      <c r="F130" s="1092">
        <v>0</v>
      </c>
      <c r="G130" s="1092">
        <v>5</v>
      </c>
      <c r="H130" s="1092">
        <v>0</v>
      </c>
      <c r="I130" s="1092">
        <v>0</v>
      </c>
      <c r="J130" s="1092">
        <v>0</v>
      </c>
      <c r="K130" s="1092">
        <v>0</v>
      </c>
      <c r="L130" s="1092">
        <v>0</v>
      </c>
      <c r="M130" s="1092">
        <v>0</v>
      </c>
      <c r="N130" s="27">
        <f t="shared" si="21"/>
        <v>5</v>
      </c>
    </row>
    <row r="131" spans="1:14">
      <c r="A131" s="34" t="s">
        <v>20</v>
      </c>
      <c r="B131" s="1092">
        <v>0</v>
      </c>
      <c r="C131" s="1092">
        <v>0</v>
      </c>
      <c r="D131" s="1092">
        <v>0</v>
      </c>
      <c r="E131" s="1092">
        <v>0</v>
      </c>
      <c r="F131" s="1092">
        <v>0</v>
      </c>
      <c r="G131" s="1092">
        <v>0</v>
      </c>
      <c r="H131" s="1092">
        <v>0</v>
      </c>
      <c r="I131" s="1092">
        <v>0</v>
      </c>
      <c r="J131" s="1092">
        <v>0</v>
      </c>
      <c r="K131" s="1092">
        <v>0</v>
      </c>
      <c r="L131" s="1092">
        <v>1</v>
      </c>
      <c r="M131" s="1092">
        <v>0</v>
      </c>
      <c r="N131" s="27">
        <f t="shared" si="21"/>
        <v>1</v>
      </c>
    </row>
    <row r="132" spans="1:14">
      <c r="A132" s="34" t="s">
        <v>13</v>
      </c>
      <c r="B132" s="1092">
        <v>0</v>
      </c>
      <c r="C132" s="1092">
        <v>0</v>
      </c>
      <c r="D132" s="1092">
        <v>0</v>
      </c>
      <c r="E132" s="1092">
        <v>0</v>
      </c>
      <c r="F132" s="1092">
        <v>0</v>
      </c>
      <c r="G132" s="1092">
        <v>0</v>
      </c>
      <c r="H132" s="1092">
        <v>0</v>
      </c>
      <c r="I132" s="1092">
        <v>0</v>
      </c>
      <c r="J132" s="1092">
        <v>0</v>
      </c>
      <c r="K132" s="1092">
        <v>0</v>
      </c>
      <c r="L132" s="1092">
        <v>0</v>
      </c>
      <c r="M132" s="1092">
        <v>0</v>
      </c>
      <c r="N132" s="27">
        <f t="shared" si="21"/>
        <v>0</v>
      </c>
    </row>
    <row r="133" spans="1:14">
      <c r="A133" s="35" t="s">
        <v>47</v>
      </c>
      <c r="B133" s="1092">
        <v>0</v>
      </c>
      <c r="C133" s="1092">
        <v>0</v>
      </c>
      <c r="D133" s="1092">
        <v>0</v>
      </c>
      <c r="E133" s="1092">
        <v>0</v>
      </c>
      <c r="F133" s="1092">
        <v>0</v>
      </c>
      <c r="G133" s="1092">
        <v>0</v>
      </c>
      <c r="H133" s="1092">
        <v>0</v>
      </c>
      <c r="I133" s="1092">
        <v>0</v>
      </c>
      <c r="J133" s="1092">
        <v>0</v>
      </c>
      <c r="K133" s="1092">
        <v>0</v>
      </c>
      <c r="L133" s="1092">
        <v>0</v>
      </c>
      <c r="M133" s="1092">
        <v>0</v>
      </c>
      <c r="N133" s="27">
        <f t="shared" si="21"/>
        <v>0</v>
      </c>
    </row>
    <row r="134" spans="1:14">
      <c r="A134" s="76" t="s">
        <v>30</v>
      </c>
      <c r="B134" s="1092">
        <v>0</v>
      </c>
      <c r="C134" s="1092">
        <v>0</v>
      </c>
      <c r="D134" s="1092">
        <v>0</v>
      </c>
      <c r="E134" s="1092">
        <v>0</v>
      </c>
      <c r="F134" s="1092">
        <v>0</v>
      </c>
      <c r="G134" s="1092">
        <v>0</v>
      </c>
      <c r="H134" s="1092">
        <v>0</v>
      </c>
      <c r="I134" s="1092">
        <v>0</v>
      </c>
      <c r="J134" s="1092">
        <v>0</v>
      </c>
      <c r="K134" s="1092">
        <v>0</v>
      </c>
      <c r="L134" s="1092">
        <v>0</v>
      </c>
      <c r="M134" s="1092">
        <v>1</v>
      </c>
      <c r="N134" s="27">
        <f t="shared" si="21"/>
        <v>1</v>
      </c>
    </row>
    <row r="135" spans="1:14">
      <c r="A135" s="76" t="s">
        <v>150</v>
      </c>
      <c r="B135" s="1092">
        <v>0</v>
      </c>
      <c r="C135" s="1092">
        <v>0</v>
      </c>
      <c r="D135" s="1092">
        <v>0</v>
      </c>
      <c r="E135" s="1092">
        <v>0</v>
      </c>
      <c r="F135" s="1092">
        <v>0</v>
      </c>
      <c r="G135" s="1092">
        <v>0</v>
      </c>
      <c r="H135" s="1092">
        <v>0</v>
      </c>
      <c r="I135" s="1092">
        <v>0</v>
      </c>
      <c r="J135" s="1092">
        <v>0</v>
      </c>
      <c r="K135" s="1092">
        <v>0</v>
      </c>
      <c r="L135" s="1092">
        <v>0</v>
      </c>
      <c r="M135" s="1092">
        <v>0</v>
      </c>
      <c r="N135" s="27">
        <f t="shared" si="21"/>
        <v>0</v>
      </c>
    </row>
    <row r="136" spans="1:14">
      <c r="A136" s="32" t="s">
        <v>56</v>
      </c>
      <c r="B136" s="1092">
        <v>0</v>
      </c>
      <c r="C136" s="1092">
        <v>0</v>
      </c>
      <c r="D136" s="1092">
        <v>0</v>
      </c>
      <c r="E136" s="1092">
        <v>0</v>
      </c>
      <c r="F136" s="1092">
        <v>0</v>
      </c>
      <c r="G136" s="1092">
        <v>0</v>
      </c>
      <c r="H136" s="1092">
        <v>0</v>
      </c>
      <c r="I136" s="1092">
        <v>0</v>
      </c>
      <c r="J136" s="1092">
        <v>0</v>
      </c>
      <c r="K136" s="1092">
        <v>0</v>
      </c>
      <c r="L136" s="1092">
        <v>0</v>
      </c>
      <c r="M136" s="1092">
        <v>0</v>
      </c>
      <c r="N136" s="27">
        <f>SUM(B136:M136)</f>
        <v>0</v>
      </c>
    </row>
    <row r="137" spans="1:14">
      <c r="A137" s="78" t="s">
        <v>122</v>
      </c>
      <c r="B137" s="1092">
        <v>0</v>
      </c>
      <c r="C137" s="1092">
        <v>0</v>
      </c>
      <c r="D137" s="1092">
        <v>0</v>
      </c>
      <c r="E137" s="1092">
        <v>0</v>
      </c>
      <c r="F137" s="1092">
        <v>0</v>
      </c>
      <c r="G137" s="1092">
        <v>0</v>
      </c>
      <c r="H137" s="1092">
        <v>0</v>
      </c>
      <c r="I137" s="1092">
        <v>0</v>
      </c>
      <c r="J137" s="1092">
        <v>0</v>
      </c>
      <c r="K137" s="1092">
        <v>0</v>
      </c>
      <c r="L137" s="1092">
        <v>0</v>
      </c>
      <c r="M137" s="1092">
        <v>0</v>
      </c>
      <c r="N137" s="27">
        <f>SUM(B137:M137)</f>
        <v>0</v>
      </c>
    </row>
    <row r="138" spans="1:14">
      <c r="A138" s="32" t="s">
        <v>102</v>
      </c>
      <c r="B138" s="1092">
        <v>0</v>
      </c>
      <c r="C138" s="1092">
        <v>0</v>
      </c>
      <c r="D138" s="1092">
        <v>0</v>
      </c>
      <c r="E138" s="1092">
        <v>0</v>
      </c>
      <c r="F138" s="1092">
        <v>0</v>
      </c>
      <c r="G138" s="1092">
        <v>0</v>
      </c>
      <c r="H138" s="1092">
        <v>0</v>
      </c>
      <c r="I138" s="1092">
        <v>0</v>
      </c>
      <c r="J138" s="1092">
        <v>0</v>
      </c>
      <c r="K138" s="1092">
        <v>0</v>
      </c>
      <c r="L138" s="1092">
        <v>0</v>
      </c>
      <c r="M138" s="1092">
        <v>0</v>
      </c>
      <c r="N138" s="27">
        <f>SUM(B138:M138)</f>
        <v>0</v>
      </c>
    </row>
    <row r="139" spans="1:14" ht="14" thickBot="1">
      <c r="A139" s="78" t="s">
        <v>167</v>
      </c>
      <c r="B139" s="1092">
        <v>0</v>
      </c>
      <c r="C139" s="1092">
        <v>0</v>
      </c>
      <c r="D139" s="1092">
        <v>0</v>
      </c>
      <c r="E139" s="1092">
        <v>0</v>
      </c>
      <c r="F139" s="1092">
        <v>0</v>
      </c>
      <c r="G139" s="1092">
        <v>0</v>
      </c>
      <c r="H139" s="1092">
        <v>0</v>
      </c>
      <c r="I139" s="1092">
        <v>0</v>
      </c>
      <c r="J139" s="1092">
        <v>0</v>
      </c>
      <c r="K139" s="1092">
        <v>0</v>
      </c>
      <c r="L139" s="1092">
        <v>0</v>
      </c>
      <c r="M139" s="1092">
        <v>0</v>
      </c>
      <c r="N139" s="27">
        <f>SUM(B139:M139)</f>
        <v>0</v>
      </c>
    </row>
    <row r="140" spans="1:14" ht="14" thickBot="1">
      <c r="A140" s="53" t="s">
        <v>60</v>
      </c>
      <c r="B140" s="55">
        <f t="shared" ref="B140:N140" si="22">SUM(B129:B138)</f>
        <v>0</v>
      </c>
      <c r="C140" s="55">
        <f t="shared" si="22"/>
        <v>0</v>
      </c>
      <c r="D140" s="55">
        <f t="shared" si="22"/>
        <v>0</v>
      </c>
      <c r="E140" s="55">
        <f t="shared" si="22"/>
        <v>30</v>
      </c>
      <c r="F140" s="55">
        <f t="shared" si="22"/>
        <v>0</v>
      </c>
      <c r="G140" s="55">
        <f t="shared" si="22"/>
        <v>5</v>
      </c>
      <c r="H140" s="55">
        <f t="shared" si="22"/>
        <v>0</v>
      </c>
      <c r="I140" s="55">
        <f t="shared" si="22"/>
        <v>0</v>
      </c>
      <c r="J140" s="55">
        <f t="shared" si="22"/>
        <v>0</v>
      </c>
      <c r="K140" s="55">
        <f t="shared" si="22"/>
        <v>0</v>
      </c>
      <c r="L140" s="55">
        <f t="shared" si="22"/>
        <v>1</v>
      </c>
      <c r="M140" s="55">
        <f t="shared" si="22"/>
        <v>1</v>
      </c>
      <c r="N140" s="54">
        <f t="shared" si="22"/>
        <v>37</v>
      </c>
    </row>
    <row r="143" spans="1:14" ht="14" thickBot="1">
      <c r="B143" s="43" t="s">
        <v>35</v>
      </c>
      <c r="C143" s="43" t="s">
        <v>36</v>
      </c>
      <c r="D143" s="43" t="s">
        <v>37</v>
      </c>
      <c r="E143" s="43" t="s">
        <v>38</v>
      </c>
      <c r="F143" s="43" t="s">
        <v>39</v>
      </c>
      <c r="G143" s="43" t="s">
        <v>40</v>
      </c>
      <c r="H143" s="43" t="s">
        <v>41</v>
      </c>
      <c r="I143" s="43" t="s">
        <v>42</v>
      </c>
      <c r="J143" s="43" t="s">
        <v>43</v>
      </c>
      <c r="K143" s="43" t="s">
        <v>44</v>
      </c>
      <c r="L143" s="43" t="s">
        <v>45</v>
      </c>
      <c r="M143" s="43" t="s">
        <v>46</v>
      </c>
      <c r="N143" s="43" t="s">
        <v>10</v>
      </c>
    </row>
    <row r="144" spans="1:14" ht="17" thickBot="1">
      <c r="A144" s="31" t="s">
        <v>178</v>
      </c>
      <c r="B144" s="24"/>
      <c r="C144" s="24"/>
      <c r="D144" s="22"/>
      <c r="E144" s="22"/>
      <c r="F144" s="25"/>
      <c r="G144" s="25"/>
      <c r="H144" s="22"/>
      <c r="I144" s="22"/>
      <c r="J144" s="22"/>
      <c r="K144" s="22"/>
      <c r="L144" s="24"/>
      <c r="M144" s="24"/>
      <c r="N144" s="26"/>
    </row>
    <row r="145" spans="1:14" ht="14" thickBot="1">
      <c r="A145" s="38" t="s">
        <v>48</v>
      </c>
      <c r="B145" s="39"/>
      <c r="C145" s="39"/>
      <c r="D145" s="39"/>
      <c r="E145" s="39"/>
      <c r="F145" s="39"/>
      <c r="G145" s="39"/>
      <c r="H145" s="39"/>
      <c r="I145" s="39"/>
      <c r="J145" s="39"/>
      <c r="K145" s="39"/>
      <c r="L145" s="39"/>
      <c r="M145" s="39"/>
      <c r="N145" s="40"/>
    </row>
    <row r="146" spans="1:14" hidden="1">
      <c r="A146" s="32" t="s">
        <v>29</v>
      </c>
      <c r="B146" s="44"/>
      <c r="C146" s="44"/>
      <c r="D146" s="44"/>
      <c r="E146" s="44"/>
      <c r="F146" s="44"/>
      <c r="G146" s="44"/>
      <c r="H146" s="44"/>
      <c r="I146" s="44"/>
      <c r="J146" s="44"/>
      <c r="K146" s="44"/>
      <c r="L146" s="44"/>
      <c r="M146" s="44"/>
      <c r="N146" s="27">
        <f t="shared" ref="N146:N152" si="23">SUM(B146:M146)</f>
        <v>0</v>
      </c>
    </row>
    <row r="147" spans="1:14">
      <c r="A147" s="32" t="s">
        <v>33</v>
      </c>
      <c r="B147" s="1092">
        <v>6</v>
      </c>
      <c r="C147" s="1092">
        <v>9</v>
      </c>
      <c r="D147" s="1092">
        <v>5</v>
      </c>
      <c r="E147" s="1092">
        <v>16</v>
      </c>
      <c r="F147" s="1092">
        <v>4</v>
      </c>
      <c r="G147" s="1092">
        <v>21</v>
      </c>
      <c r="H147" s="1092">
        <v>9</v>
      </c>
      <c r="I147" s="1092">
        <v>6</v>
      </c>
      <c r="J147" s="1092">
        <v>20</v>
      </c>
      <c r="K147" s="1092">
        <v>8</v>
      </c>
      <c r="L147" s="1092">
        <v>16</v>
      </c>
      <c r="M147" s="1092">
        <v>10</v>
      </c>
      <c r="N147" s="27">
        <f t="shared" si="23"/>
        <v>130</v>
      </c>
    </row>
    <row r="148" spans="1:14">
      <c r="A148" s="32" t="s">
        <v>56</v>
      </c>
      <c r="B148" s="1092">
        <v>0</v>
      </c>
      <c r="C148" s="1092">
        <v>31</v>
      </c>
      <c r="D148" s="1092">
        <v>0</v>
      </c>
      <c r="E148" s="1092">
        <v>0</v>
      </c>
      <c r="F148" s="1092">
        <v>0</v>
      </c>
      <c r="G148" s="1092">
        <v>0</v>
      </c>
      <c r="H148" s="1092">
        <v>0</v>
      </c>
      <c r="I148" s="1092">
        <v>0</v>
      </c>
      <c r="J148" s="1092">
        <v>0</v>
      </c>
      <c r="K148" s="1092">
        <v>0</v>
      </c>
      <c r="L148" s="1092">
        <v>0</v>
      </c>
      <c r="M148" s="1092">
        <v>0</v>
      </c>
      <c r="N148" s="27">
        <f t="shared" si="23"/>
        <v>31</v>
      </c>
    </row>
    <row r="149" spans="1:14">
      <c r="A149" s="78" t="s">
        <v>30</v>
      </c>
      <c r="B149" s="1092">
        <v>2</v>
      </c>
      <c r="C149" s="1092">
        <v>1</v>
      </c>
      <c r="D149" s="1092">
        <v>2</v>
      </c>
      <c r="E149" s="1092">
        <v>2</v>
      </c>
      <c r="F149" s="1092"/>
      <c r="G149" s="1092">
        <v>2</v>
      </c>
      <c r="H149" s="1092">
        <v>0</v>
      </c>
      <c r="I149" s="1092">
        <v>0</v>
      </c>
      <c r="J149" s="1092">
        <v>0</v>
      </c>
      <c r="K149" s="1092">
        <v>0</v>
      </c>
      <c r="L149" s="1092">
        <v>1</v>
      </c>
      <c r="M149" s="1092">
        <v>1</v>
      </c>
      <c r="N149" s="27">
        <f>SUM(B149:M149)</f>
        <v>11</v>
      </c>
    </row>
    <row r="150" spans="1:14" hidden="1">
      <c r="A150" s="76" t="s">
        <v>182</v>
      </c>
      <c r="B150" s="1092"/>
      <c r="C150" s="1092"/>
      <c r="D150" s="1092"/>
      <c r="E150" s="1092"/>
      <c r="F150" s="1092"/>
      <c r="G150" s="1092"/>
      <c r="H150" s="1092"/>
      <c r="I150" s="1092"/>
      <c r="J150" s="1092"/>
      <c r="K150" s="1092"/>
      <c r="L150" s="1092"/>
      <c r="M150" s="1092"/>
      <c r="N150" s="27">
        <f>SUM(B150:M150)</f>
        <v>0</v>
      </c>
    </row>
    <row r="151" spans="1:14">
      <c r="A151" s="76" t="s">
        <v>165</v>
      </c>
      <c r="B151" s="1092">
        <v>0</v>
      </c>
      <c r="C151" s="1092">
        <v>0</v>
      </c>
      <c r="D151" s="1092">
        <v>0</v>
      </c>
      <c r="E151" s="1092">
        <v>0</v>
      </c>
      <c r="F151" s="1092">
        <v>0</v>
      </c>
      <c r="G151" s="1092">
        <v>0</v>
      </c>
      <c r="H151" s="1092">
        <v>0</v>
      </c>
      <c r="I151" s="1092">
        <v>0</v>
      </c>
      <c r="J151" s="1092">
        <v>0</v>
      </c>
      <c r="K151" s="1092">
        <v>0</v>
      </c>
      <c r="L151" s="1092">
        <v>0</v>
      </c>
      <c r="M151" s="1092">
        <v>10624</v>
      </c>
      <c r="N151" s="27">
        <f>SUM(B151:M151)</f>
        <v>10624</v>
      </c>
    </row>
    <row r="152" spans="1:14" ht="14" thickBot="1">
      <c r="A152" s="76" t="s">
        <v>166</v>
      </c>
      <c r="B152" s="1092">
        <v>0</v>
      </c>
      <c r="C152" s="1092">
        <v>0</v>
      </c>
      <c r="D152" s="1092">
        <v>0</v>
      </c>
      <c r="E152" s="1092">
        <v>0</v>
      </c>
      <c r="F152" s="1092">
        <v>0</v>
      </c>
      <c r="G152" s="1092">
        <v>0</v>
      </c>
      <c r="H152" s="1092">
        <v>0</v>
      </c>
      <c r="I152" s="1092">
        <v>0</v>
      </c>
      <c r="J152" s="1092">
        <v>0</v>
      </c>
      <c r="K152" s="1092">
        <v>0</v>
      </c>
      <c r="L152" s="1092">
        <v>0</v>
      </c>
      <c r="M152" s="1092"/>
      <c r="N152" s="27">
        <f t="shared" si="23"/>
        <v>0</v>
      </c>
    </row>
    <row r="153" spans="1:14" ht="14" thickBot="1">
      <c r="A153" s="53" t="s">
        <v>60</v>
      </c>
      <c r="B153" s="55">
        <f>SUM(B146:B152)</f>
        <v>8</v>
      </c>
      <c r="C153" s="55">
        <f t="shared" ref="C153:N153" si="24">SUM(C146:C152)</f>
        <v>41</v>
      </c>
      <c r="D153" s="55">
        <f t="shared" si="24"/>
        <v>7</v>
      </c>
      <c r="E153" s="55">
        <f t="shared" si="24"/>
        <v>18</v>
      </c>
      <c r="F153" s="55">
        <f t="shared" si="24"/>
        <v>4</v>
      </c>
      <c r="G153" s="55">
        <f t="shared" si="24"/>
        <v>23</v>
      </c>
      <c r="H153" s="55">
        <f t="shared" si="24"/>
        <v>9</v>
      </c>
      <c r="I153" s="55">
        <f t="shared" si="24"/>
        <v>6</v>
      </c>
      <c r="J153" s="55">
        <f t="shared" si="24"/>
        <v>20</v>
      </c>
      <c r="K153" s="55">
        <f t="shared" si="24"/>
        <v>8</v>
      </c>
      <c r="L153" s="55">
        <f t="shared" si="24"/>
        <v>17</v>
      </c>
      <c r="M153" s="55">
        <f t="shared" si="24"/>
        <v>10635</v>
      </c>
      <c r="N153" s="54">
        <f t="shared" si="24"/>
        <v>10796</v>
      </c>
    </row>
    <row r="154" spans="1:14" ht="14" thickBot="1">
      <c r="A154" s="38" t="s">
        <v>49</v>
      </c>
      <c r="B154" s="39"/>
      <c r="C154" s="39"/>
      <c r="D154" s="39"/>
      <c r="E154" s="39"/>
      <c r="F154" s="39"/>
      <c r="G154" s="39"/>
      <c r="H154" s="39"/>
      <c r="I154" s="39"/>
      <c r="J154" s="39"/>
      <c r="K154" s="39"/>
      <c r="L154" s="39"/>
      <c r="M154" s="39"/>
      <c r="N154" s="40"/>
    </row>
    <row r="155" spans="1:14">
      <c r="A155" s="76" t="s">
        <v>147</v>
      </c>
      <c r="B155" s="1092">
        <v>0</v>
      </c>
      <c r="C155" s="1092">
        <v>0</v>
      </c>
      <c r="D155" s="1092">
        <v>0</v>
      </c>
      <c r="E155" s="1092">
        <v>0</v>
      </c>
      <c r="F155" s="1092">
        <v>0</v>
      </c>
      <c r="G155" s="1092">
        <v>0</v>
      </c>
      <c r="H155" s="1092">
        <v>0</v>
      </c>
      <c r="I155" s="1092">
        <v>0</v>
      </c>
      <c r="J155" s="1092">
        <v>0</v>
      </c>
      <c r="K155" s="1092">
        <v>0</v>
      </c>
      <c r="L155" s="1092">
        <v>0</v>
      </c>
      <c r="M155" s="1092">
        <v>36</v>
      </c>
      <c r="N155" s="27">
        <v>36</v>
      </c>
    </row>
    <row r="156" spans="1:14" ht="14" thickBot="1">
      <c r="A156" s="76" t="s">
        <v>179</v>
      </c>
      <c r="B156" s="1092">
        <v>0</v>
      </c>
      <c r="C156" s="1092">
        <v>0</v>
      </c>
      <c r="D156" s="1092">
        <v>0</v>
      </c>
      <c r="E156" s="1092">
        <v>0</v>
      </c>
      <c r="F156" s="1092">
        <v>0</v>
      </c>
      <c r="G156" s="1092">
        <v>0</v>
      </c>
      <c r="H156" s="1092">
        <v>0</v>
      </c>
      <c r="I156" s="1092">
        <v>0</v>
      </c>
      <c r="J156" s="1092">
        <v>0</v>
      </c>
      <c r="K156" s="1092">
        <v>0</v>
      </c>
      <c r="L156" s="1092">
        <v>0</v>
      </c>
      <c r="M156" s="1092">
        <v>794</v>
      </c>
      <c r="N156" s="27">
        <v>794</v>
      </c>
    </row>
    <row r="157" spans="1:14" ht="14" thickBot="1">
      <c r="A157" s="53" t="s">
        <v>60</v>
      </c>
      <c r="B157" s="55">
        <f>SUM(B155)</f>
        <v>0</v>
      </c>
      <c r="C157" s="55">
        <f t="shared" ref="C157:M157" si="25">SUM(C155)</f>
        <v>0</v>
      </c>
      <c r="D157" s="55">
        <f t="shared" si="25"/>
        <v>0</v>
      </c>
      <c r="E157" s="55">
        <f t="shared" si="25"/>
        <v>0</v>
      </c>
      <c r="F157" s="55">
        <f t="shared" si="25"/>
        <v>0</v>
      </c>
      <c r="G157" s="55">
        <f t="shared" si="25"/>
        <v>0</v>
      </c>
      <c r="H157" s="55">
        <f t="shared" si="25"/>
        <v>0</v>
      </c>
      <c r="I157" s="55">
        <f t="shared" si="25"/>
        <v>0</v>
      </c>
      <c r="J157" s="55">
        <f t="shared" si="25"/>
        <v>0</v>
      </c>
      <c r="K157" s="55">
        <f t="shared" si="25"/>
        <v>0</v>
      </c>
      <c r="L157" s="55">
        <f t="shared" si="25"/>
        <v>0</v>
      </c>
      <c r="M157" s="55">
        <f t="shared" si="25"/>
        <v>36</v>
      </c>
      <c r="N157" s="54">
        <f>SUM(N155:N156)</f>
        <v>830</v>
      </c>
    </row>
    <row r="158" spans="1:14" ht="14" thickBot="1">
      <c r="A158" s="38" t="s">
        <v>50</v>
      </c>
      <c r="B158" s="39"/>
      <c r="C158" s="39"/>
      <c r="D158" s="39"/>
      <c r="E158" s="39"/>
      <c r="F158" s="39"/>
      <c r="G158" s="39"/>
      <c r="H158" s="39"/>
      <c r="I158" s="39"/>
      <c r="J158" s="39"/>
      <c r="K158" s="39"/>
      <c r="L158" s="39"/>
      <c r="M158" s="39"/>
      <c r="N158" s="40"/>
    </row>
    <row r="159" spans="1:14">
      <c r="A159" s="32" t="s">
        <v>29</v>
      </c>
      <c r="B159" s="1092">
        <v>0</v>
      </c>
      <c r="C159" s="1092">
        <v>0</v>
      </c>
      <c r="D159" s="1092">
        <v>0</v>
      </c>
      <c r="E159" s="1092">
        <v>0</v>
      </c>
      <c r="F159" s="1092">
        <v>0</v>
      </c>
      <c r="G159" s="1092">
        <v>0</v>
      </c>
      <c r="H159" s="1092">
        <v>0</v>
      </c>
      <c r="I159" s="1092">
        <v>0</v>
      </c>
      <c r="J159" s="1092">
        <v>0</v>
      </c>
      <c r="K159" s="1092">
        <v>0</v>
      </c>
      <c r="L159" s="1092">
        <v>0</v>
      </c>
      <c r="M159" s="1092">
        <v>0</v>
      </c>
      <c r="N159" s="27">
        <f t="shared" ref="N159:N165" si="26">SUM(B159:M159)</f>
        <v>0</v>
      </c>
    </row>
    <row r="160" spans="1:14">
      <c r="A160" s="32" t="s">
        <v>51</v>
      </c>
      <c r="B160" s="1092">
        <v>0</v>
      </c>
      <c r="C160" s="1092">
        <v>0</v>
      </c>
      <c r="D160" s="1092">
        <v>0</v>
      </c>
      <c r="E160" s="1092">
        <v>0</v>
      </c>
      <c r="F160" s="1092">
        <v>0</v>
      </c>
      <c r="G160" s="1092">
        <v>0</v>
      </c>
      <c r="H160" s="1092">
        <v>0</v>
      </c>
      <c r="I160" s="1092">
        <v>0</v>
      </c>
      <c r="J160" s="1092">
        <v>0</v>
      </c>
      <c r="K160" s="1092">
        <v>0</v>
      </c>
      <c r="L160" s="1092">
        <v>0</v>
      </c>
      <c r="M160" s="1092">
        <v>0</v>
      </c>
      <c r="N160" s="27">
        <f t="shared" si="26"/>
        <v>0</v>
      </c>
    </row>
    <row r="161" spans="1:14">
      <c r="A161" s="34" t="s">
        <v>20</v>
      </c>
      <c r="B161" s="1092">
        <v>0</v>
      </c>
      <c r="C161" s="1092">
        <v>0</v>
      </c>
      <c r="D161" s="1092">
        <v>0</v>
      </c>
      <c r="E161" s="1092">
        <v>0</v>
      </c>
      <c r="F161" s="1092">
        <v>0</v>
      </c>
      <c r="G161" s="1092">
        <v>0</v>
      </c>
      <c r="H161" s="1092">
        <v>0</v>
      </c>
      <c r="I161" s="1092">
        <v>0</v>
      </c>
      <c r="J161" s="1092">
        <v>0</v>
      </c>
      <c r="K161" s="1092">
        <v>0</v>
      </c>
      <c r="L161" s="1092">
        <v>0</v>
      </c>
      <c r="M161" s="1092">
        <v>0</v>
      </c>
      <c r="N161" s="27">
        <f t="shared" si="26"/>
        <v>0</v>
      </c>
    </row>
    <row r="162" spans="1:14">
      <c r="A162" s="34" t="s">
        <v>13</v>
      </c>
      <c r="B162" s="1092">
        <v>0</v>
      </c>
      <c r="C162" s="1092">
        <v>0</v>
      </c>
      <c r="D162" s="1092">
        <v>0</v>
      </c>
      <c r="E162" s="1092">
        <v>0</v>
      </c>
      <c r="F162" s="1092">
        <v>0</v>
      </c>
      <c r="G162" s="1092">
        <v>0</v>
      </c>
      <c r="H162" s="1092">
        <v>0</v>
      </c>
      <c r="I162" s="1092">
        <v>0</v>
      </c>
      <c r="J162" s="1092">
        <v>0</v>
      </c>
      <c r="K162" s="1092">
        <v>0</v>
      </c>
      <c r="L162" s="1092">
        <v>0</v>
      </c>
      <c r="M162" s="1092">
        <v>0</v>
      </c>
      <c r="N162" s="27">
        <f t="shared" si="26"/>
        <v>0</v>
      </c>
    </row>
    <row r="163" spans="1:14" hidden="1">
      <c r="A163" s="35" t="s">
        <v>47</v>
      </c>
      <c r="B163" s="1092"/>
      <c r="C163" s="1092">
        <v>0</v>
      </c>
      <c r="D163" s="1092">
        <v>0</v>
      </c>
      <c r="E163" s="1092">
        <v>0</v>
      </c>
      <c r="F163" s="1092">
        <v>0</v>
      </c>
      <c r="G163" s="1092">
        <v>0</v>
      </c>
      <c r="H163" s="1092">
        <v>0</v>
      </c>
      <c r="I163" s="1092">
        <v>0</v>
      </c>
      <c r="J163" s="1092">
        <v>0</v>
      </c>
      <c r="K163" s="1092">
        <v>0</v>
      </c>
      <c r="L163" s="1092">
        <v>0</v>
      </c>
      <c r="M163" s="1092">
        <v>0</v>
      </c>
      <c r="N163" s="27">
        <f t="shared" si="26"/>
        <v>0</v>
      </c>
    </row>
    <row r="164" spans="1:14">
      <c r="A164" s="76" t="s">
        <v>30</v>
      </c>
      <c r="B164" s="1092">
        <v>1</v>
      </c>
      <c r="C164" s="1092">
        <v>0</v>
      </c>
      <c r="D164" s="1092">
        <v>0</v>
      </c>
      <c r="E164" s="1092">
        <v>0</v>
      </c>
      <c r="F164" s="1092">
        <v>0</v>
      </c>
      <c r="G164" s="1092">
        <v>0</v>
      </c>
      <c r="H164" s="1092">
        <v>0</v>
      </c>
      <c r="I164" s="1092">
        <v>0</v>
      </c>
      <c r="J164" s="1092">
        <v>0</v>
      </c>
      <c r="K164" s="1092">
        <v>0</v>
      </c>
      <c r="L164" s="1092">
        <v>0</v>
      </c>
      <c r="M164" s="1092">
        <v>0</v>
      </c>
      <c r="N164" s="27">
        <f t="shared" si="26"/>
        <v>1</v>
      </c>
    </row>
    <row r="165" spans="1:14" hidden="1">
      <c r="A165" s="76" t="s">
        <v>150</v>
      </c>
      <c r="B165" s="1092"/>
      <c r="C165" s="1092">
        <v>0</v>
      </c>
      <c r="D165" s="1092">
        <v>0</v>
      </c>
      <c r="E165" s="1092">
        <v>0</v>
      </c>
      <c r="F165" s="1092">
        <v>0</v>
      </c>
      <c r="G165" s="1092">
        <v>0</v>
      </c>
      <c r="H165" s="1092">
        <v>0</v>
      </c>
      <c r="I165" s="1092">
        <v>0</v>
      </c>
      <c r="J165" s="1092">
        <v>0</v>
      </c>
      <c r="K165" s="1092">
        <v>0</v>
      </c>
      <c r="L165" s="1092">
        <v>0</v>
      </c>
      <c r="M165" s="1092">
        <v>0</v>
      </c>
      <c r="N165" s="27">
        <f t="shared" si="26"/>
        <v>0</v>
      </c>
    </row>
    <row r="166" spans="1:14">
      <c r="A166" s="32" t="s">
        <v>56</v>
      </c>
      <c r="B166" s="1092">
        <v>0</v>
      </c>
      <c r="C166" s="1092">
        <v>0</v>
      </c>
      <c r="D166" s="1092">
        <v>0</v>
      </c>
      <c r="E166" s="1092">
        <v>0</v>
      </c>
      <c r="F166" s="1092">
        <v>0</v>
      </c>
      <c r="G166" s="1092">
        <v>0</v>
      </c>
      <c r="H166" s="1092">
        <v>0</v>
      </c>
      <c r="I166" s="1092">
        <v>0</v>
      </c>
      <c r="J166" s="1092">
        <v>0</v>
      </c>
      <c r="K166" s="1092">
        <v>0</v>
      </c>
      <c r="L166" s="1092">
        <v>0</v>
      </c>
      <c r="M166" s="1092">
        <v>0</v>
      </c>
      <c r="N166" s="27">
        <f>SUM(B166:M166)</f>
        <v>0</v>
      </c>
    </row>
    <row r="167" spans="1:14">
      <c r="A167" s="78" t="s">
        <v>122</v>
      </c>
      <c r="B167" s="1092">
        <v>0</v>
      </c>
      <c r="C167" s="1092">
        <v>0</v>
      </c>
      <c r="D167" s="1092">
        <v>0</v>
      </c>
      <c r="E167" s="1092">
        <v>0</v>
      </c>
      <c r="F167" s="1092">
        <v>0</v>
      </c>
      <c r="G167" s="1092">
        <v>0</v>
      </c>
      <c r="H167" s="1092">
        <v>0</v>
      </c>
      <c r="I167" s="1092">
        <v>0</v>
      </c>
      <c r="J167" s="1092">
        <v>0</v>
      </c>
      <c r="K167" s="1092">
        <v>0</v>
      </c>
      <c r="L167" s="1092">
        <v>0</v>
      </c>
      <c r="M167" s="1092">
        <v>0</v>
      </c>
      <c r="N167" s="27">
        <f>SUM(B167:M167)</f>
        <v>0</v>
      </c>
    </row>
    <row r="168" spans="1:14" ht="14" hidden="1" thickBot="1">
      <c r="A168" s="32" t="s">
        <v>102</v>
      </c>
      <c r="B168" s="1092"/>
      <c r="C168" s="1092">
        <v>0</v>
      </c>
      <c r="D168" s="1092">
        <v>0</v>
      </c>
      <c r="E168" s="1092">
        <v>0</v>
      </c>
      <c r="F168" s="1092">
        <v>0</v>
      </c>
      <c r="G168" s="1092">
        <v>0</v>
      </c>
      <c r="H168" s="1092">
        <v>0</v>
      </c>
      <c r="I168" s="1092">
        <v>0</v>
      </c>
      <c r="J168" s="1092">
        <v>0</v>
      </c>
      <c r="K168" s="1092">
        <v>0</v>
      </c>
      <c r="L168" s="1092">
        <v>0</v>
      </c>
      <c r="M168" s="1092">
        <v>0</v>
      </c>
      <c r="N168" s="27">
        <f>SUM(B168:M168)</f>
        <v>0</v>
      </c>
    </row>
    <row r="169" spans="1:14">
      <c r="A169" s="78" t="s">
        <v>167</v>
      </c>
      <c r="B169" s="1092">
        <v>0</v>
      </c>
      <c r="C169" s="1092">
        <v>0</v>
      </c>
      <c r="D169" s="1092">
        <v>0</v>
      </c>
      <c r="E169" s="1092">
        <v>0</v>
      </c>
      <c r="F169" s="1092">
        <v>0</v>
      </c>
      <c r="G169" s="1092">
        <v>0</v>
      </c>
      <c r="H169" s="1092">
        <v>0</v>
      </c>
      <c r="I169" s="1092">
        <v>0</v>
      </c>
      <c r="J169" s="1092">
        <v>0</v>
      </c>
      <c r="K169" s="1092">
        <v>0</v>
      </c>
      <c r="L169" s="1092">
        <v>0</v>
      </c>
      <c r="M169" s="1092">
        <v>0</v>
      </c>
      <c r="N169" s="27">
        <f>SUM(B169:M169)</f>
        <v>0</v>
      </c>
    </row>
    <row r="170" spans="1:14">
      <c r="A170" s="32" t="s">
        <v>165</v>
      </c>
      <c r="B170" s="1092">
        <v>0</v>
      </c>
      <c r="C170" s="1092">
        <v>0</v>
      </c>
      <c r="D170" s="1092">
        <v>0</v>
      </c>
      <c r="E170" s="1092">
        <v>0</v>
      </c>
      <c r="F170" s="1092">
        <v>0</v>
      </c>
      <c r="G170" s="1092">
        <v>0</v>
      </c>
      <c r="H170" s="1092">
        <v>0</v>
      </c>
      <c r="I170" s="1092">
        <v>0</v>
      </c>
      <c r="J170" s="1092">
        <v>0</v>
      </c>
      <c r="K170" s="1092">
        <v>0</v>
      </c>
      <c r="L170" s="1092">
        <v>0</v>
      </c>
      <c r="M170" s="1092">
        <v>2000</v>
      </c>
      <c r="N170" s="27">
        <v>2000</v>
      </c>
    </row>
    <row r="171" spans="1:14" ht="14" thickBot="1">
      <c r="A171" s="78" t="s">
        <v>184</v>
      </c>
      <c r="B171" s="1092">
        <v>0</v>
      </c>
      <c r="C171" s="1092">
        <v>0</v>
      </c>
      <c r="D171" s="1092">
        <v>0</v>
      </c>
      <c r="E171" s="1092">
        <v>0</v>
      </c>
      <c r="F171" s="1092">
        <v>0</v>
      </c>
      <c r="G171" s="1092">
        <v>0</v>
      </c>
      <c r="H171" s="1092">
        <v>0</v>
      </c>
      <c r="I171" s="1092">
        <v>0</v>
      </c>
      <c r="J171" s="1092">
        <v>0</v>
      </c>
      <c r="K171" s="1092">
        <v>0</v>
      </c>
      <c r="L171" s="1092">
        <v>0</v>
      </c>
      <c r="M171" s="1092">
        <v>0</v>
      </c>
      <c r="N171" s="27">
        <f>SUM(B171:M171)</f>
        <v>0</v>
      </c>
    </row>
    <row r="172" spans="1:14" ht="14" thickBot="1">
      <c r="A172" s="53" t="s">
        <v>60</v>
      </c>
      <c r="B172" s="55">
        <f>SUM(B159:B171)</f>
        <v>1</v>
      </c>
      <c r="C172" s="55">
        <f t="shared" ref="C172:N172" si="27">SUM(C159:C171)</f>
        <v>0</v>
      </c>
      <c r="D172" s="55">
        <f t="shared" si="27"/>
        <v>0</v>
      </c>
      <c r="E172" s="55">
        <f t="shared" si="27"/>
        <v>0</v>
      </c>
      <c r="F172" s="55">
        <f t="shared" si="27"/>
        <v>0</v>
      </c>
      <c r="G172" s="55">
        <f t="shared" si="27"/>
        <v>0</v>
      </c>
      <c r="H172" s="55">
        <f t="shared" si="27"/>
        <v>0</v>
      </c>
      <c r="I172" s="55">
        <f t="shared" si="27"/>
        <v>0</v>
      </c>
      <c r="J172" s="55">
        <f t="shared" si="27"/>
        <v>0</v>
      </c>
      <c r="K172" s="55">
        <f t="shared" si="27"/>
        <v>0</v>
      </c>
      <c r="L172" s="55">
        <f t="shared" si="27"/>
        <v>0</v>
      </c>
      <c r="M172" s="55">
        <f t="shared" si="27"/>
        <v>2000</v>
      </c>
      <c r="N172" s="54">
        <f t="shared" si="27"/>
        <v>2001</v>
      </c>
    </row>
    <row r="175" spans="1:14" ht="14" thickBot="1">
      <c r="B175" s="43" t="s">
        <v>35</v>
      </c>
      <c r="C175" s="43" t="s">
        <v>36</v>
      </c>
      <c r="D175" s="43" t="s">
        <v>37</v>
      </c>
      <c r="E175" s="43" t="s">
        <v>38</v>
      </c>
      <c r="F175" s="43" t="s">
        <v>39</v>
      </c>
      <c r="G175" s="43" t="s">
        <v>40</v>
      </c>
      <c r="H175" s="43" t="s">
        <v>41</v>
      </c>
      <c r="I175" s="43" t="s">
        <v>42</v>
      </c>
      <c r="J175" s="43" t="s">
        <v>43</v>
      </c>
      <c r="K175" s="43" t="s">
        <v>44</v>
      </c>
      <c r="L175" s="43" t="s">
        <v>45</v>
      </c>
      <c r="M175" s="43" t="s">
        <v>46</v>
      </c>
      <c r="N175" s="43" t="s">
        <v>10</v>
      </c>
    </row>
    <row r="176" spans="1:14" ht="17" thickBot="1">
      <c r="A176" s="31" t="s">
        <v>186</v>
      </c>
      <c r="B176" s="24"/>
      <c r="C176" s="24"/>
      <c r="D176" s="22"/>
      <c r="E176" s="22"/>
      <c r="F176" s="25"/>
      <c r="G176" s="25"/>
      <c r="H176" s="22"/>
      <c r="I176" s="22"/>
      <c r="J176" s="22"/>
      <c r="K176" s="22"/>
      <c r="L176" s="24"/>
      <c r="M176" s="24"/>
      <c r="N176" s="26"/>
    </row>
    <row r="177" spans="1:14" ht="14" thickBot="1">
      <c r="A177" s="38" t="str">
        <f>Ontario!A177</f>
        <v>SoCal Water$mart Residential Rebates</v>
      </c>
      <c r="B177" s="39"/>
      <c r="C177" s="39"/>
      <c r="D177" s="39"/>
      <c r="E177" s="39"/>
      <c r="F177" s="39"/>
      <c r="G177" s="39"/>
      <c r="H177" s="39"/>
      <c r="I177" s="39"/>
      <c r="J177" s="39"/>
      <c r="K177" s="39"/>
      <c r="L177" s="39"/>
      <c r="M177" s="39"/>
      <c r="N177" s="40"/>
    </row>
    <row r="178" spans="1:14">
      <c r="A178" s="32" t="str">
        <f>Ontario!A178</f>
        <v>High Efficiency Toilets (HET)</v>
      </c>
      <c r="B178" s="1092">
        <v>0</v>
      </c>
      <c r="C178" s="1092">
        <v>0</v>
      </c>
      <c r="D178" s="1092">
        <v>0</v>
      </c>
      <c r="E178" s="1092">
        <v>0</v>
      </c>
      <c r="F178" s="1092">
        <v>0</v>
      </c>
      <c r="G178" s="1092">
        <v>0</v>
      </c>
      <c r="H178" s="1092">
        <v>0</v>
      </c>
      <c r="I178" s="1092">
        <v>0</v>
      </c>
      <c r="J178" s="1092">
        <v>0</v>
      </c>
      <c r="K178" s="1092">
        <v>0</v>
      </c>
      <c r="L178" s="1092">
        <v>0</v>
      </c>
      <c r="M178" s="1092">
        <v>0</v>
      </c>
      <c r="N178" s="27">
        <f>SUM(B178:M178)</f>
        <v>0</v>
      </c>
    </row>
    <row r="179" spans="1:14">
      <c r="A179" s="32" t="str">
        <f>Ontario!A179</f>
        <v>High Efficiency Clothes Washers (HECW)</v>
      </c>
      <c r="B179" s="1092">
        <v>0</v>
      </c>
      <c r="C179" s="1092">
        <v>15</v>
      </c>
      <c r="D179" s="1092">
        <v>2</v>
      </c>
      <c r="E179" s="1092">
        <v>3</v>
      </c>
      <c r="F179" s="1092">
        <v>6</v>
      </c>
      <c r="G179" s="1092">
        <v>0</v>
      </c>
      <c r="H179" s="1092">
        <v>13</v>
      </c>
      <c r="I179" s="1092">
        <v>12</v>
      </c>
      <c r="J179" s="1092">
        <v>21</v>
      </c>
      <c r="K179" s="1092">
        <v>4</v>
      </c>
      <c r="L179" s="1092">
        <v>17</v>
      </c>
      <c r="M179" s="1092">
        <v>16</v>
      </c>
      <c r="N179" s="27">
        <f>SUM(B179:M179)</f>
        <v>109</v>
      </c>
    </row>
    <row r="180" spans="1:14">
      <c r="A180" s="32" t="str">
        <f>Ontario!A180</f>
        <v>Rotating Nozzles for Pop-up Spray Heads</v>
      </c>
      <c r="B180" s="1092">
        <v>0</v>
      </c>
      <c r="C180" s="1092">
        <v>0</v>
      </c>
      <c r="D180" s="1092">
        <v>1</v>
      </c>
      <c r="E180" s="1092">
        <v>0</v>
      </c>
      <c r="F180" s="1092">
        <v>0</v>
      </c>
      <c r="G180" s="1092">
        <v>0</v>
      </c>
      <c r="H180" s="1092">
        <v>0</v>
      </c>
      <c r="I180" s="1092">
        <v>0</v>
      </c>
      <c r="J180" s="1092">
        <v>0</v>
      </c>
      <c r="K180" s="1092">
        <v>0</v>
      </c>
      <c r="L180" s="1092">
        <v>0</v>
      </c>
      <c r="M180" s="1092">
        <v>0</v>
      </c>
      <c r="N180" s="27">
        <f>SUM(B180:M180)</f>
        <v>1</v>
      </c>
    </row>
    <row r="181" spans="1:14" ht="14" thickBot="1">
      <c r="A181" s="32" t="str">
        <f>Ontario!A181</f>
        <v>Weather Based Irrigation Controllers (WBIC)</v>
      </c>
      <c r="B181" s="1092">
        <v>0</v>
      </c>
      <c r="C181" s="1092">
        <v>1</v>
      </c>
      <c r="D181" s="1092">
        <v>1</v>
      </c>
      <c r="E181" s="1092">
        <v>1</v>
      </c>
      <c r="F181" s="1092">
        <v>0</v>
      </c>
      <c r="G181" s="1092">
        <v>0</v>
      </c>
      <c r="H181" s="1092">
        <v>0</v>
      </c>
      <c r="I181" s="1092">
        <v>0</v>
      </c>
      <c r="J181" s="1092">
        <v>1</v>
      </c>
      <c r="K181" s="1092">
        <v>0</v>
      </c>
      <c r="L181" s="1092">
        <v>1</v>
      </c>
      <c r="M181" s="1092">
        <v>0</v>
      </c>
      <c r="N181" s="27">
        <f>SUM(B181:M181)</f>
        <v>5</v>
      </c>
    </row>
    <row r="182" spans="1:14" hidden="1">
      <c r="A182" s="76" t="s">
        <v>182</v>
      </c>
      <c r="B182" s="44"/>
      <c r="C182" s="44"/>
      <c r="D182" s="44"/>
      <c r="E182" s="44"/>
      <c r="F182" s="44"/>
      <c r="G182" s="44"/>
      <c r="H182" s="44"/>
      <c r="I182" s="44"/>
      <c r="J182" s="44"/>
      <c r="K182" s="44"/>
      <c r="L182" s="44"/>
      <c r="M182" s="44"/>
      <c r="N182" s="27">
        <f>SUM(B182:M182)</f>
        <v>0</v>
      </c>
    </row>
    <row r="183" spans="1:14" ht="14" thickBot="1">
      <c r="A183" s="38" t="str">
        <f>Ontario!A183</f>
        <v>IEUA Locally Implemented Residential Programs</v>
      </c>
      <c r="B183" s="39"/>
      <c r="C183" s="39"/>
      <c r="D183" s="39"/>
      <c r="E183" s="39"/>
      <c r="F183" s="39"/>
      <c r="G183" s="39"/>
      <c r="H183" s="39"/>
      <c r="I183" s="39"/>
      <c r="J183" s="39"/>
      <c r="K183" s="39"/>
      <c r="L183" s="39"/>
      <c r="M183" s="39"/>
      <c r="N183" s="40"/>
    </row>
    <row r="184" spans="1:14">
      <c r="A184" s="32" t="str">
        <f>Ontario!A184</f>
        <v>FreeSprinklerNozzles.com Program</v>
      </c>
      <c r="B184" s="1092">
        <v>0</v>
      </c>
      <c r="C184" s="1092">
        <v>0</v>
      </c>
      <c r="D184" s="1092">
        <v>0</v>
      </c>
      <c r="E184" s="1092">
        <v>0</v>
      </c>
      <c r="F184" s="1092">
        <v>0</v>
      </c>
      <c r="G184" s="1092">
        <v>0</v>
      </c>
      <c r="H184" s="1092">
        <v>0</v>
      </c>
      <c r="I184" s="1092">
        <v>0</v>
      </c>
      <c r="J184" s="1092">
        <v>0</v>
      </c>
      <c r="K184" s="1092">
        <v>0</v>
      </c>
      <c r="L184" s="1092">
        <v>0</v>
      </c>
      <c r="M184" s="1092">
        <v>2525</v>
      </c>
      <c r="N184" s="27">
        <f>SUM(B184:M184)</f>
        <v>2525</v>
      </c>
    </row>
    <row r="185" spans="1:14">
      <c r="A185" s="32" t="str">
        <f>Ontario!A185</f>
        <v>Residential Landscape Retrofit Program</v>
      </c>
      <c r="B185" s="1092">
        <v>0</v>
      </c>
      <c r="C185" s="1092">
        <v>0</v>
      </c>
      <c r="D185" s="1092">
        <v>0</v>
      </c>
      <c r="E185" s="1092">
        <v>0</v>
      </c>
      <c r="F185" s="1092">
        <v>0</v>
      </c>
      <c r="G185" s="1092">
        <v>0</v>
      </c>
      <c r="H185" s="1092">
        <v>8</v>
      </c>
      <c r="I185" s="1092">
        <v>2</v>
      </c>
      <c r="J185" s="1092">
        <v>3</v>
      </c>
      <c r="K185" s="1092">
        <v>5</v>
      </c>
      <c r="L185" s="1092">
        <v>2</v>
      </c>
      <c r="M185" s="1092">
        <v>3</v>
      </c>
      <c r="N185" s="27">
        <f>SUM(B185:M185)</f>
        <v>23</v>
      </c>
    </row>
    <row r="186" spans="1:14" ht="14" thickBot="1">
      <c r="A186" s="32" t="str">
        <f>Ontario!A186</f>
        <v>Landscape Transformation Program</v>
      </c>
      <c r="B186" s="1092">
        <v>0</v>
      </c>
      <c r="C186" s="1092">
        <v>0</v>
      </c>
      <c r="D186" s="1092">
        <v>0</v>
      </c>
      <c r="E186" s="1092">
        <v>0</v>
      </c>
      <c r="F186" s="1092">
        <v>0</v>
      </c>
      <c r="G186" s="1092">
        <v>0</v>
      </c>
      <c r="H186" s="1092">
        <v>0</v>
      </c>
      <c r="I186" s="1092">
        <v>3</v>
      </c>
      <c r="J186" s="1092">
        <v>0</v>
      </c>
      <c r="K186" s="1092">
        <v>0</v>
      </c>
      <c r="L186" s="1092">
        <v>0</v>
      </c>
      <c r="M186" s="1092">
        <v>0</v>
      </c>
      <c r="N186" s="27">
        <f>SUM(B186:M186)</f>
        <v>3</v>
      </c>
    </row>
    <row r="187" spans="1:14" ht="14" thickBot="1">
      <c r="A187" s="53" t="s">
        <v>60</v>
      </c>
      <c r="B187" s="55">
        <f>SUM(B178:B186)</f>
        <v>0</v>
      </c>
      <c r="C187" s="55">
        <f t="shared" ref="C187:M187" si="28">SUM(C178:C186)</f>
        <v>16</v>
      </c>
      <c r="D187" s="55">
        <f t="shared" si="28"/>
        <v>4</v>
      </c>
      <c r="E187" s="55">
        <f t="shared" si="28"/>
        <v>4</v>
      </c>
      <c r="F187" s="55">
        <f t="shared" si="28"/>
        <v>6</v>
      </c>
      <c r="G187" s="55">
        <f t="shared" si="28"/>
        <v>0</v>
      </c>
      <c r="H187" s="55">
        <f t="shared" si="28"/>
        <v>21</v>
      </c>
      <c r="I187" s="55">
        <f t="shared" si="28"/>
        <v>17</v>
      </c>
      <c r="J187" s="55">
        <f t="shared" si="28"/>
        <v>25</v>
      </c>
      <c r="K187" s="55">
        <f t="shared" si="28"/>
        <v>9</v>
      </c>
      <c r="L187" s="55">
        <f>SUM(L178:L186)</f>
        <v>20</v>
      </c>
      <c r="M187" s="55">
        <f t="shared" si="28"/>
        <v>2544</v>
      </c>
      <c r="N187" s="54">
        <f>SUM(N178:N186)</f>
        <v>2666</v>
      </c>
    </row>
    <row r="188" spans="1:14" ht="14" thickBot="1">
      <c r="A188" s="38" t="str">
        <f>Ontario!A188</f>
        <v xml:space="preserve">IEUA High Efficiency Toilet (HET) Installation Prog. </v>
      </c>
      <c r="B188" s="39"/>
      <c r="C188" s="39"/>
      <c r="D188" s="39"/>
      <c r="E188" s="39"/>
      <c r="F188" s="39"/>
      <c r="G188" s="39"/>
      <c r="H188" s="39"/>
      <c r="I188" s="39"/>
      <c r="J188" s="39"/>
      <c r="K188" s="39"/>
      <c r="L188" s="39"/>
      <c r="M188" s="39"/>
      <c r="N188" s="40"/>
    </row>
    <row r="189" spans="1:14">
      <c r="A189" s="32" t="str">
        <f>Ontario!A189</f>
        <v>IEUA Multi-Family Direct Install Prog. (HET/ULFT)</v>
      </c>
      <c r="B189" s="1092">
        <v>5</v>
      </c>
      <c r="C189" s="1092">
        <v>0</v>
      </c>
      <c r="D189" s="1092">
        <v>16</v>
      </c>
      <c r="E189" s="1092">
        <v>0</v>
      </c>
      <c r="F189" s="1092">
        <v>0</v>
      </c>
      <c r="G189" s="1092">
        <v>0</v>
      </c>
      <c r="H189" s="1092">
        <v>0</v>
      </c>
      <c r="I189" s="1092">
        <v>0</v>
      </c>
      <c r="J189" s="1092">
        <v>232</v>
      </c>
      <c r="K189" s="1092">
        <v>3</v>
      </c>
      <c r="L189" s="1092">
        <v>0</v>
      </c>
      <c r="M189" s="1092">
        <v>0</v>
      </c>
      <c r="N189" s="27">
        <f>SUM(B189:M189)</f>
        <v>256</v>
      </c>
    </row>
    <row r="190" spans="1:14" ht="14" thickBot="1">
      <c r="A190" s="32" t="str">
        <f>Ontario!A190</f>
        <v>IEUA Single-Family Direct Install Prog. (HET/ULFT)</v>
      </c>
      <c r="B190" s="1092">
        <v>16</v>
      </c>
      <c r="C190" s="1092">
        <v>17</v>
      </c>
      <c r="D190" s="1092">
        <v>160</v>
      </c>
      <c r="E190" s="1092">
        <v>146</v>
      </c>
      <c r="F190" s="1092">
        <v>78</v>
      </c>
      <c r="G190" s="1092">
        <v>48</v>
      </c>
      <c r="H190" s="1092">
        <v>27</v>
      </c>
      <c r="I190" s="1092">
        <v>24</v>
      </c>
      <c r="J190" s="1092">
        <v>74</v>
      </c>
      <c r="K190" s="1092">
        <v>38</v>
      </c>
      <c r="L190" s="1092">
        <v>5</v>
      </c>
      <c r="M190" s="1092">
        <v>0</v>
      </c>
      <c r="N190" s="27">
        <f>SUM(B190:M190)</f>
        <v>633</v>
      </c>
    </row>
    <row r="191" spans="1:14" ht="14" thickBot="1">
      <c r="A191" s="53" t="s">
        <v>60</v>
      </c>
      <c r="B191" s="55">
        <f>SUM(B189:B190)</f>
        <v>21</v>
      </c>
      <c r="C191" s="55">
        <f t="shared" ref="C191:M191" si="29">SUM(C189:C190)</f>
        <v>17</v>
      </c>
      <c r="D191" s="55">
        <f t="shared" si="29"/>
        <v>176</v>
      </c>
      <c r="E191" s="55">
        <f t="shared" si="29"/>
        <v>146</v>
      </c>
      <c r="F191" s="55">
        <f t="shared" si="29"/>
        <v>78</v>
      </c>
      <c r="G191" s="55">
        <f t="shared" si="29"/>
        <v>48</v>
      </c>
      <c r="H191" s="55">
        <f t="shared" si="29"/>
        <v>27</v>
      </c>
      <c r="I191" s="55">
        <f t="shared" si="29"/>
        <v>24</v>
      </c>
      <c r="J191" s="55">
        <f t="shared" si="29"/>
        <v>306</v>
      </c>
      <c r="K191" s="55">
        <f t="shared" si="29"/>
        <v>41</v>
      </c>
      <c r="L191" s="55">
        <f t="shared" si="29"/>
        <v>5</v>
      </c>
      <c r="M191" s="55">
        <f t="shared" si="29"/>
        <v>0</v>
      </c>
      <c r="N191" s="54">
        <f>SUM(N189:N190)</f>
        <v>889</v>
      </c>
    </row>
    <row r="192" spans="1:14" ht="14" thickBot="1">
      <c r="A192" s="38" t="str">
        <f>Ontario!A192</f>
        <v>SoCal Water$mart Commercial Rebates</v>
      </c>
      <c r="B192" s="39"/>
      <c r="C192" s="39"/>
      <c r="D192" s="39"/>
      <c r="E192" s="39"/>
      <c r="F192" s="39"/>
      <c r="G192" s="39"/>
      <c r="H192" s="39"/>
      <c r="I192" s="39"/>
      <c r="J192" s="39"/>
      <c r="K192" s="39"/>
      <c r="L192" s="39"/>
      <c r="M192" s="39"/>
      <c r="N192" s="40"/>
    </row>
    <row r="193" spans="1:14">
      <c r="A193" s="32" t="str">
        <f>Ontario!A193</f>
        <v>High Efficiency Toilets (HET)</v>
      </c>
      <c r="B193" s="1092">
        <v>0</v>
      </c>
      <c r="C193" s="1092">
        <v>0</v>
      </c>
      <c r="D193" s="1092">
        <v>0</v>
      </c>
      <c r="E193" s="1092">
        <v>0</v>
      </c>
      <c r="F193" s="1092">
        <v>0</v>
      </c>
      <c r="G193" s="1092">
        <v>0</v>
      </c>
      <c r="H193" s="1092">
        <v>0</v>
      </c>
      <c r="I193" s="1092">
        <v>0</v>
      </c>
      <c r="J193" s="1092">
        <v>0</v>
      </c>
      <c r="K193" s="1092">
        <v>0</v>
      </c>
      <c r="L193" s="1092">
        <v>0</v>
      </c>
      <c r="M193" s="1092">
        <v>0</v>
      </c>
      <c r="N193" s="27">
        <f t="shared" ref="N193:N208" si="30">SUM(B193:M193)</f>
        <v>0</v>
      </c>
    </row>
    <row r="194" spans="1:14">
      <c r="A194" s="32" t="str">
        <f>Ontario!A194</f>
        <v>Waterless Urinals</v>
      </c>
      <c r="B194" s="1092">
        <v>0</v>
      </c>
      <c r="C194" s="1092">
        <v>0</v>
      </c>
      <c r="D194" s="1092">
        <v>0</v>
      </c>
      <c r="E194" s="1092">
        <v>0</v>
      </c>
      <c r="F194" s="1092">
        <v>0</v>
      </c>
      <c r="G194" s="1092">
        <v>0</v>
      </c>
      <c r="H194" s="1092">
        <v>0</v>
      </c>
      <c r="I194" s="1092">
        <v>0</v>
      </c>
      <c r="J194" s="1092">
        <v>0</v>
      </c>
      <c r="K194" s="1092">
        <v>0</v>
      </c>
      <c r="L194" s="1092">
        <v>0</v>
      </c>
      <c r="M194" s="1092">
        <v>0</v>
      </c>
      <c r="N194" s="27">
        <f t="shared" si="30"/>
        <v>0</v>
      </c>
    </row>
    <row r="195" spans="1:14">
      <c r="A195" s="32" t="s">
        <v>204</v>
      </c>
      <c r="B195" s="1092">
        <v>0</v>
      </c>
      <c r="C195" s="1092">
        <v>0</v>
      </c>
      <c r="D195" s="1092">
        <v>0</v>
      </c>
      <c r="E195" s="1092">
        <v>0</v>
      </c>
      <c r="F195" s="1092">
        <v>0</v>
      </c>
      <c r="G195" s="1092">
        <v>0</v>
      </c>
      <c r="H195" s="1092">
        <v>0</v>
      </c>
      <c r="I195" s="1092">
        <v>0</v>
      </c>
      <c r="J195" s="1092">
        <v>0</v>
      </c>
      <c r="K195" s="1092">
        <v>0</v>
      </c>
      <c r="L195" s="1092">
        <v>0</v>
      </c>
      <c r="M195" s="1092">
        <v>0</v>
      </c>
      <c r="N195" s="27">
        <f t="shared" si="30"/>
        <v>0</v>
      </c>
    </row>
    <row r="196" spans="1:14">
      <c r="A196" s="32" t="str">
        <f>Ontario!A196</f>
        <v>High Efficiency Clothes Washers</v>
      </c>
      <c r="B196" s="1092">
        <v>0</v>
      </c>
      <c r="C196" s="1092">
        <v>0</v>
      </c>
      <c r="D196" s="1092">
        <v>0</v>
      </c>
      <c r="E196" s="1092">
        <v>0</v>
      </c>
      <c r="F196" s="1092">
        <v>0</v>
      </c>
      <c r="G196" s="1092">
        <v>0</v>
      </c>
      <c r="H196" s="1092">
        <v>0</v>
      </c>
      <c r="I196" s="1092">
        <v>0</v>
      </c>
      <c r="J196" s="1092">
        <v>0</v>
      </c>
      <c r="K196" s="1092">
        <v>0</v>
      </c>
      <c r="L196" s="1092">
        <v>0</v>
      </c>
      <c r="M196" s="1092">
        <v>0</v>
      </c>
      <c r="N196" s="27">
        <f t="shared" si="30"/>
        <v>0</v>
      </c>
    </row>
    <row r="197" spans="1:14" hidden="1">
      <c r="A197" s="35" t="s">
        <v>47</v>
      </c>
      <c r="B197" s="1092">
        <v>0</v>
      </c>
      <c r="C197" s="1092">
        <v>0</v>
      </c>
      <c r="D197" s="1092">
        <v>0</v>
      </c>
      <c r="E197" s="1092">
        <v>0</v>
      </c>
      <c r="F197" s="1092">
        <v>0</v>
      </c>
      <c r="G197" s="1092">
        <v>0</v>
      </c>
      <c r="H197" s="1092"/>
      <c r="I197" s="1092">
        <v>0</v>
      </c>
      <c r="J197" s="1092">
        <v>0</v>
      </c>
      <c r="K197" s="1092"/>
      <c r="L197" s="1092"/>
      <c r="M197" s="1092"/>
      <c r="N197" s="27">
        <f t="shared" si="30"/>
        <v>0</v>
      </c>
    </row>
    <row r="198" spans="1:14">
      <c r="A198" s="32" t="str">
        <f>Ontario!A198</f>
        <v>Weather Based Irrigation Controllers (WBIC)</v>
      </c>
      <c r="B198" s="1092">
        <v>0</v>
      </c>
      <c r="C198" s="1092">
        <v>0</v>
      </c>
      <c r="D198" s="1092">
        <v>0</v>
      </c>
      <c r="E198" s="1092">
        <v>0</v>
      </c>
      <c r="F198" s="1092">
        <v>0</v>
      </c>
      <c r="G198" s="1092">
        <v>0</v>
      </c>
      <c r="H198" s="1092">
        <v>12</v>
      </c>
      <c r="I198" s="1092">
        <v>0</v>
      </c>
      <c r="J198" s="1092">
        <v>0</v>
      </c>
      <c r="K198" s="1092">
        <v>5</v>
      </c>
      <c r="L198" s="1092">
        <v>0</v>
      </c>
      <c r="M198" s="1092">
        <v>0</v>
      </c>
      <c r="N198" s="27">
        <f t="shared" si="30"/>
        <v>17</v>
      </c>
    </row>
    <row r="199" spans="1:14" hidden="1">
      <c r="A199" s="76" t="s">
        <v>150</v>
      </c>
      <c r="B199" s="1092">
        <v>0</v>
      </c>
      <c r="C199" s="1092">
        <v>0</v>
      </c>
      <c r="D199" s="1092">
        <v>0</v>
      </c>
      <c r="E199" s="1092">
        <v>0</v>
      </c>
      <c r="F199" s="1092">
        <v>0</v>
      </c>
      <c r="G199" s="1092">
        <v>0</v>
      </c>
      <c r="H199" s="1092"/>
      <c r="I199" s="1092">
        <v>0</v>
      </c>
      <c r="J199" s="1092">
        <v>0</v>
      </c>
      <c r="K199" s="1092"/>
      <c r="L199" s="1092"/>
      <c r="M199" s="1092"/>
      <c r="N199" s="27">
        <f t="shared" si="30"/>
        <v>0</v>
      </c>
    </row>
    <row r="200" spans="1:14">
      <c r="A200" s="32" t="str">
        <f>Ontario!A200</f>
        <v>Rotating Nozzles for Pop-up Spray Heads</v>
      </c>
      <c r="B200" s="1092">
        <v>0</v>
      </c>
      <c r="C200" s="1092">
        <v>0</v>
      </c>
      <c r="D200" s="1092">
        <v>0</v>
      </c>
      <c r="E200" s="1092">
        <v>0</v>
      </c>
      <c r="F200" s="1092">
        <v>0</v>
      </c>
      <c r="G200" s="1092">
        <v>0</v>
      </c>
      <c r="H200" s="1092">
        <v>0</v>
      </c>
      <c r="I200" s="1092">
        <v>0</v>
      </c>
      <c r="J200" s="1092">
        <v>0</v>
      </c>
      <c r="K200" s="1092">
        <v>0</v>
      </c>
      <c r="L200" s="1092">
        <v>0</v>
      </c>
      <c r="M200" s="1092">
        <v>0</v>
      </c>
      <c r="N200" s="27">
        <f t="shared" si="30"/>
        <v>0</v>
      </c>
    </row>
    <row r="201" spans="1:14">
      <c r="A201" s="32" t="str">
        <f>Ontario!A201</f>
        <v>Large Rotary Nozzles</v>
      </c>
      <c r="B201" s="1092">
        <v>0</v>
      </c>
      <c r="C201" s="1092">
        <v>0</v>
      </c>
      <c r="D201" s="1092">
        <v>0</v>
      </c>
      <c r="E201" s="1092">
        <v>0</v>
      </c>
      <c r="F201" s="1092">
        <v>0</v>
      </c>
      <c r="G201" s="1092">
        <v>0</v>
      </c>
      <c r="H201" s="1092">
        <v>0</v>
      </c>
      <c r="I201" s="1092">
        <v>0</v>
      </c>
      <c r="J201" s="1092">
        <v>0</v>
      </c>
      <c r="K201" s="1092">
        <v>0</v>
      </c>
      <c r="L201" s="1092">
        <v>0</v>
      </c>
      <c r="M201" s="1092">
        <v>0</v>
      </c>
      <c r="N201" s="27">
        <f t="shared" si="30"/>
        <v>0</v>
      </c>
    </row>
    <row r="202" spans="1:14" hidden="1">
      <c r="A202" s="32" t="s">
        <v>102</v>
      </c>
      <c r="B202" s="1092">
        <v>0</v>
      </c>
      <c r="C202" s="1092">
        <v>0</v>
      </c>
      <c r="D202" s="1092">
        <v>0</v>
      </c>
      <c r="E202" s="1092">
        <v>0</v>
      </c>
      <c r="F202" s="1092">
        <v>0</v>
      </c>
      <c r="G202" s="1092">
        <v>0</v>
      </c>
      <c r="H202" s="1092"/>
      <c r="I202" s="1092">
        <v>0</v>
      </c>
      <c r="J202" s="1092">
        <v>0</v>
      </c>
      <c r="K202" s="1092">
        <v>0</v>
      </c>
      <c r="L202" s="1092">
        <v>0</v>
      </c>
      <c r="M202" s="1092">
        <v>0</v>
      </c>
      <c r="N202" s="27">
        <f t="shared" si="30"/>
        <v>0</v>
      </c>
    </row>
    <row r="203" spans="1:14">
      <c r="A203" s="32" t="str">
        <f>Ontario!A203</f>
        <v xml:space="preserve">Central Computerized Irrigation Controller </v>
      </c>
      <c r="B203" s="1092">
        <v>0</v>
      </c>
      <c r="C203" s="1092">
        <v>0</v>
      </c>
      <c r="D203" s="1092">
        <v>0</v>
      </c>
      <c r="E203" s="1092">
        <v>0</v>
      </c>
      <c r="F203" s="1092">
        <v>0</v>
      </c>
      <c r="G203" s="1092">
        <v>0</v>
      </c>
      <c r="H203" s="1092">
        <v>0</v>
      </c>
      <c r="I203" s="1092">
        <v>0</v>
      </c>
      <c r="J203" s="1092">
        <v>0</v>
      </c>
      <c r="K203" s="1092">
        <v>0</v>
      </c>
      <c r="L203" s="1092">
        <v>0</v>
      </c>
      <c r="M203" s="1092">
        <v>0</v>
      </c>
      <c r="N203" s="27">
        <f>SUM(B203:M203)</f>
        <v>0</v>
      </c>
    </row>
    <row r="204" spans="1:14">
      <c r="A204" s="32" t="str">
        <f>Ontario!A204</f>
        <v>Laminar Flow Restrictor</v>
      </c>
      <c r="B204" s="1092">
        <v>0</v>
      </c>
      <c r="C204" s="1092">
        <v>0</v>
      </c>
      <c r="D204" s="1092">
        <v>0</v>
      </c>
      <c r="E204" s="1092">
        <v>0</v>
      </c>
      <c r="F204" s="1092">
        <v>0</v>
      </c>
      <c r="G204" s="1092">
        <v>0</v>
      </c>
      <c r="H204" s="1092">
        <v>0</v>
      </c>
      <c r="I204" s="1092">
        <v>0</v>
      </c>
      <c r="J204" s="1092">
        <v>0</v>
      </c>
      <c r="K204" s="1092">
        <v>1</v>
      </c>
      <c r="L204" s="1092">
        <v>0</v>
      </c>
      <c r="M204" s="1092">
        <v>0</v>
      </c>
      <c r="N204" s="27">
        <f>SUM(B204:M204)</f>
        <v>1</v>
      </c>
    </row>
    <row r="205" spans="1:14" ht="14" thickBot="1">
      <c r="A205" s="32" t="str">
        <f>Ontario!A205</f>
        <v>Air-Cooled Ice Machine</v>
      </c>
      <c r="B205" s="1092">
        <v>0</v>
      </c>
      <c r="C205" s="1092">
        <v>0</v>
      </c>
      <c r="D205" s="1092">
        <v>0</v>
      </c>
      <c r="E205" s="1092">
        <v>0</v>
      </c>
      <c r="F205" s="1092">
        <v>0</v>
      </c>
      <c r="G205" s="1092">
        <v>0</v>
      </c>
      <c r="H205" s="1092">
        <v>0</v>
      </c>
      <c r="I205" s="1092">
        <v>0</v>
      </c>
      <c r="J205" s="1092">
        <v>0</v>
      </c>
      <c r="K205" s="1092">
        <v>0</v>
      </c>
      <c r="L205" s="1092">
        <v>0</v>
      </c>
      <c r="M205" s="1092">
        <v>0</v>
      </c>
      <c r="N205" s="27">
        <f>SUM(B205:M205)</f>
        <v>0</v>
      </c>
    </row>
    <row r="206" spans="1:14" ht="14" thickBot="1">
      <c r="A206" s="38" t="str">
        <f>Ontario!A206</f>
        <v>IEUA Locally Implemented Commercial Programs</v>
      </c>
      <c r="B206" s="39"/>
      <c r="C206" s="39"/>
      <c r="D206" s="39"/>
      <c r="E206" s="39"/>
      <c r="F206" s="39"/>
      <c r="G206" s="39"/>
      <c r="H206" s="39"/>
      <c r="I206" s="39"/>
      <c r="J206" s="39"/>
      <c r="K206" s="39"/>
      <c r="L206" s="39"/>
      <c r="M206" s="39"/>
      <c r="N206" s="40"/>
    </row>
    <row r="207" spans="1:14">
      <c r="A207" s="32" t="str">
        <f>Ontario!A207</f>
        <v>Fontana Unified School Retrofit Program</v>
      </c>
      <c r="B207" s="1092">
        <v>0</v>
      </c>
      <c r="C207" s="1092">
        <v>0</v>
      </c>
      <c r="D207" s="1092">
        <v>0</v>
      </c>
      <c r="E207" s="1092">
        <v>0</v>
      </c>
      <c r="F207" s="1092">
        <v>0</v>
      </c>
      <c r="G207" s="1092">
        <v>0</v>
      </c>
      <c r="H207" s="1092">
        <v>0</v>
      </c>
      <c r="I207" s="1092">
        <v>0</v>
      </c>
      <c r="J207" s="1092">
        <v>0</v>
      </c>
      <c r="K207" s="1092">
        <v>0</v>
      </c>
      <c r="L207" s="1092">
        <v>0</v>
      </c>
      <c r="M207" s="1092">
        <v>0</v>
      </c>
      <c r="N207" s="27">
        <f t="shared" si="30"/>
        <v>0</v>
      </c>
    </row>
    <row r="208" spans="1:14" ht="14" thickBot="1">
      <c r="A208" s="32" t="str">
        <f>Ontario!A208</f>
        <v>FreeSprinklerNozzles.com Program</v>
      </c>
      <c r="B208" s="1092">
        <v>0</v>
      </c>
      <c r="C208" s="1092">
        <v>0</v>
      </c>
      <c r="D208" s="1092">
        <v>0</v>
      </c>
      <c r="E208" s="1092">
        <v>0</v>
      </c>
      <c r="F208" s="1092">
        <v>0</v>
      </c>
      <c r="G208" s="1092">
        <v>0</v>
      </c>
      <c r="H208" s="1092">
        <v>0</v>
      </c>
      <c r="I208" s="1092">
        <v>0</v>
      </c>
      <c r="J208" s="1092">
        <v>0</v>
      </c>
      <c r="K208" s="1092">
        <v>0</v>
      </c>
      <c r="L208" s="1092">
        <v>0</v>
      </c>
      <c r="M208" s="1092">
        <v>5300</v>
      </c>
      <c r="N208" s="27">
        <f t="shared" si="30"/>
        <v>5300</v>
      </c>
    </row>
    <row r="209" spans="1:14" ht="14" thickBot="1">
      <c r="A209" s="53" t="s">
        <v>60</v>
      </c>
      <c r="B209" s="55">
        <f>SUM(B193:B208)</f>
        <v>0</v>
      </c>
      <c r="C209" s="55">
        <f>SUM(C193:C208)</f>
        <v>0</v>
      </c>
      <c r="D209" s="55">
        <f t="shared" ref="D209:M209" si="31">SUM(D193:D208)</f>
        <v>0</v>
      </c>
      <c r="E209" s="55">
        <f t="shared" si="31"/>
        <v>0</v>
      </c>
      <c r="F209" s="55">
        <f t="shared" si="31"/>
        <v>0</v>
      </c>
      <c r="G209" s="55">
        <f t="shared" si="31"/>
        <v>0</v>
      </c>
      <c r="H209" s="55">
        <f t="shared" si="31"/>
        <v>12</v>
      </c>
      <c r="I209" s="55">
        <f t="shared" si="31"/>
        <v>0</v>
      </c>
      <c r="J209" s="55">
        <f t="shared" si="31"/>
        <v>0</v>
      </c>
      <c r="K209" s="55">
        <f t="shared" si="31"/>
        <v>6</v>
      </c>
      <c r="L209" s="55">
        <f t="shared" si="31"/>
        <v>0</v>
      </c>
      <c r="M209" s="55">
        <f t="shared" si="31"/>
        <v>5300</v>
      </c>
      <c r="N209" s="54">
        <f>SUM(N193:N208)</f>
        <v>5318</v>
      </c>
    </row>
    <row r="212" spans="1:14" ht="14" thickBot="1">
      <c r="B212" s="43" t="s">
        <v>35</v>
      </c>
      <c r="C212" s="43" t="s">
        <v>36</v>
      </c>
      <c r="D212" s="43" t="s">
        <v>37</v>
      </c>
      <c r="E212" s="43" t="s">
        <v>38</v>
      </c>
      <c r="F212" s="43" t="s">
        <v>39</v>
      </c>
      <c r="G212" s="43" t="s">
        <v>40</v>
      </c>
      <c r="H212" s="43" t="s">
        <v>41</v>
      </c>
      <c r="I212" s="43" t="s">
        <v>42</v>
      </c>
      <c r="J212" s="43" t="s">
        <v>43</v>
      </c>
      <c r="K212" s="43" t="s">
        <v>44</v>
      </c>
      <c r="L212" s="43" t="s">
        <v>45</v>
      </c>
      <c r="M212" s="43" t="s">
        <v>46</v>
      </c>
      <c r="N212" s="43" t="s">
        <v>10</v>
      </c>
    </row>
    <row r="213" spans="1:14" ht="17" thickBot="1">
      <c r="A213" s="31" t="s">
        <v>210</v>
      </c>
      <c r="B213" s="24"/>
      <c r="C213" s="24"/>
      <c r="D213" s="22"/>
      <c r="E213" s="22"/>
      <c r="F213" s="25"/>
      <c r="G213" s="25"/>
      <c r="H213" s="22"/>
      <c r="I213" s="22"/>
      <c r="J213" s="22"/>
      <c r="K213" s="22"/>
      <c r="L213" s="24"/>
      <c r="M213" s="24"/>
      <c r="N213" s="26"/>
    </row>
    <row r="214" spans="1:14" ht="14" thickBot="1">
      <c r="A214" s="38" t="str">
        <f>Ontario!A214</f>
        <v>SoCal Water$mart Residential Rebates</v>
      </c>
      <c r="B214" s="39"/>
      <c r="C214" s="39"/>
      <c r="D214" s="39"/>
      <c r="E214" s="39"/>
      <c r="F214" s="39"/>
      <c r="G214" s="39"/>
      <c r="H214" s="39"/>
      <c r="I214" s="39"/>
      <c r="J214" s="39"/>
      <c r="K214" s="39"/>
      <c r="L214" s="39"/>
      <c r="M214" s="39"/>
      <c r="N214" s="40"/>
    </row>
    <row r="215" spans="1:14">
      <c r="A215" s="32" t="str">
        <f>Ontario!A215</f>
        <v>High Efficiency Toilets (HET)</v>
      </c>
      <c r="B215" s="1092">
        <v>7</v>
      </c>
      <c r="C215" s="1092">
        <v>0</v>
      </c>
      <c r="D215" s="1092">
        <v>3</v>
      </c>
      <c r="E215" s="1092">
        <v>2</v>
      </c>
      <c r="F215" s="1092">
        <v>2</v>
      </c>
      <c r="G215" s="1092">
        <v>8</v>
      </c>
      <c r="H215" s="1092">
        <v>4</v>
      </c>
      <c r="I215" s="1092">
        <v>0</v>
      </c>
      <c r="J215" s="1092">
        <v>0</v>
      </c>
      <c r="K215" s="1092">
        <v>7</v>
      </c>
      <c r="L215" s="1092">
        <v>10</v>
      </c>
      <c r="M215" s="1092">
        <v>9</v>
      </c>
      <c r="N215" s="27">
        <f>SUM(B215:M215)</f>
        <v>52</v>
      </c>
    </row>
    <row r="216" spans="1:14">
      <c r="A216" s="32" t="str">
        <f>Ontario!A216</f>
        <v>High Efficiency Clothes Washers (HECW)</v>
      </c>
      <c r="B216" s="1092">
        <v>27</v>
      </c>
      <c r="C216" s="1092">
        <v>7</v>
      </c>
      <c r="D216" s="1092">
        <v>7</v>
      </c>
      <c r="E216" s="1092">
        <v>10</v>
      </c>
      <c r="F216" s="1092">
        <v>0</v>
      </c>
      <c r="G216" s="1092">
        <v>10</v>
      </c>
      <c r="H216" s="1092">
        <v>18</v>
      </c>
      <c r="I216" s="1092">
        <v>7</v>
      </c>
      <c r="J216" s="1092">
        <v>5</v>
      </c>
      <c r="K216" s="1092">
        <v>14</v>
      </c>
      <c r="L216" s="1092">
        <v>12</v>
      </c>
      <c r="M216" s="1092">
        <v>8</v>
      </c>
      <c r="N216" s="27">
        <f>SUM(B216:M216)</f>
        <v>125</v>
      </c>
    </row>
    <row r="217" spans="1:14">
      <c r="A217" s="32" t="str">
        <f>Ontario!A217</f>
        <v>Rotating Nozzles for Pop-up Spray Heads</v>
      </c>
      <c r="B217" s="1092">
        <v>0</v>
      </c>
      <c r="C217" s="1092">
        <v>1</v>
      </c>
      <c r="D217" s="1092">
        <v>0</v>
      </c>
      <c r="E217" s="1092">
        <v>0</v>
      </c>
      <c r="F217" s="1092">
        <v>1</v>
      </c>
      <c r="G217" s="1092">
        <v>0</v>
      </c>
      <c r="H217" s="1092">
        <v>0</v>
      </c>
      <c r="I217" s="1092">
        <v>0</v>
      </c>
      <c r="J217" s="1092">
        <v>0</v>
      </c>
      <c r="K217" s="1092">
        <v>0</v>
      </c>
      <c r="L217" s="1092">
        <v>0</v>
      </c>
      <c r="M217" s="1092">
        <v>0</v>
      </c>
      <c r="N217" s="27">
        <f>SUM(B217:M217)</f>
        <v>2</v>
      </c>
    </row>
    <row r="218" spans="1:14">
      <c r="A218" s="32" t="str">
        <f>Ontario!A218</f>
        <v>Weather Based Irrigation Controllers (WBIC)</v>
      </c>
      <c r="B218" s="1092">
        <v>2</v>
      </c>
      <c r="C218" s="1092">
        <v>3</v>
      </c>
      <c r="D218" s="1092">
        <v>2</v>
      </c>
      <c r="E218" s="1092">
        <v>0</v>
      </c>
      <c r="F218" s="1092">
        <v>1</v>
      </c>
      <c r="G218" s="1092">
        <v>1</v>
      </c>
      <c r="H218" s="1092">
        <v>2</v>
      </c>
      <c r="I218" s="1092">
        <v>1</v>
      </c>
      <c r="J218" s="1092">
        <v>0</v>
      </c>
      <c r="K218" s="1092">
        <v>0</v>
      </c>
      <c r="L218" s="1092">
        <v>0</v>
      </c>
      <c r="M218" s="1092">
        <v>0</v>
      </c>
      <c r="N218" s="27">
        <f>SUM(B218:M218)</f>
        <v>12</v>
      </c>
    </row>
    <row r="219" spans="1:14" ht="14" hidden="1" thickBot="1">
      <c r="A219" s="76" t="s">
        <v>182</v>
      </c>
      <c r="B219" s="1092"/>
      <c r="C219" s="1092"/>
      <c r="D219" s="1092"/>
      <c r="E219" s="1092"/>
      <c r="F219" s="1092"/>
      <c r="G219" s="1092"/>
      <c r="H219" s="1092"/>
      <c r="I219" s="1092"/>
      <c r="J219" s="1092"/>
      <c r="K219" s="1092"/>
      <c r="L219" s="1092"/>
      <c r="M219" s="1092"/>
      <c r="N219" s="27">
        <f>SUM(B219:M219)</f>
        <v>0</v>
      </c>
    </row>
    <row r="220" spans="1:14" ht="14" thickBot="1">
      <c r="A220" s="76" t="s">
        <v>212</v>
      </c>
      <c r="B220" s="1092">
        <v>0</v>
      </c>
      <c r="C220" s="1092">
        <v>0</v>
      </c>
      <c r="D220" s="1092">
        <v>0</v>
      </c>
      <c r="E220" s="1092">
        <v>0</v>
      </c>
      <c r="F220" s="1092">
        <v>0</v>
      </c>
      <c r="G220" s="1092">
        <v>0</v>
      </c>
      <c r="H220" s="1092">
        <v>0</v>
      </c>
      <c r="I220" s="1092">
        <v>0</v>
      </c>
      <c r="J220" s="1092">
        <v>0</v>
      </c>
      <c r="K220" s="1092">
        <v>2</v>
      </c>
      <c r="L220" s="1092">
        <v>16</v>
      </c>
      <c r="M220" s="1092">
        <v>9</v>
      </c>
      <c r="N220" s="27">
        <f>M220+L220+K220+J220+I220+H220+G220+F220+E220+D220+C220+B220</f>
        <v>27</v>
      </c>
    </row>
    <row r="221" spans="1:14" ht="14" thickBot="1">
      <c r="A221" s="38" t="str">
        <f>Ontario!A221</f>
        <v>IEUA Locally Implemented Residential Programs</v>
      </c>
      <c r="B221" s="39"/>
      <c r="C221" s="39"/>
      <c r="D221" s="39"/>
      <c r="E221" s="39"/>
      <c r="F221" s="39"/>
      <c r="G221" s="39"/>
      <c r="H221" s="39"/>
      <c r="I221" s="39"/>
      <c r="J221" s="39"/>
      <c r="K221" s="39"/>
      <c r="L221" s="39"/>
      <c r="M221" s="39"/>
      <c r="N221" s="40"/>
    </row>
    <row r="222" spans="1:14">
      <c r="A222" s="32" t="str">
        <f>Ontario!A222</f>
        <v>FreeSprinklerNozzles.com Program</v>
      </c>
      <c r="B222" s="1092">
        <v>2538</v>
      </c>
      <c r="C222" s="1092">
        <v>0</v>
      </c>
      <c r="D222" s="1092">
        <v>0</v>
      </c>
      <c r="E222" s="1092">
        <v>0</v>
      </c>
      <c r="F222" s="1092">
        <v>0</v>
      </c>
      <c r="G222" s="1092">
        <v>0</v>
      </c>
      <c r="H222" s="1092">
        <v>0</v>
      </c>
      <c r="I222" s="1092">
        <v>0</v>
      </c>
      <c r="J222" s="1092">
        <v>0</v>
      </c>
      <c r="K222" s="1092">
        <v>0</v>
      </c>
      <c r="L222" s="1092">
        <v>0</v>
      </c>
      <c r="M222" s="1092">
        <v>0</v>
      </c>
      <c r="N222" s="27">
        <f>SUM(B222:M222)</f>
        <v>2538</v>
      </c>
    </row>
    <row r="223" spans="1:14">
      <c r="A223" s="32" t="str">
        <f>Ontario!A223</f>
        <v>Residential Landscape Retrofit Program</v>
      </c>
      <c r="B223" s="1092">
        <v>0</v>
      </c>
      <c r="C223" s="1092">
        <v>1</v>
      </c>
      <c r="D223" s="1092">
        <v>0</v>
      </c>
      <c r="E223" s="1092">
        <v>0</v>
      </c>
      <c r="F223" s="1092">
        <v>2</v>
      </c>
      <c r="G223" s="1092">
        <v>0</v>
      </c>
      <c r="H223" s="1092">
        <v>11</v>
      </c>
      <c r="I223" s="1092">
        <v>2</v>
      </c>
      <c r="J223" s="1092">
        <v>2</v>
      </c>
      <c r="K223" s="1092">
        <v>5</v>
      </c>
      <c r="L223" s="1092">
        <v>1</v>
      </c>
      <c r="M223" s="1092">
        <v>0</v>
      </c>
      <c r="N223" s="27">
        <f>SUM(B223:M223)</f>
        <v>24</v>
      </c>
    </row>
    <row r="224" spans="1:14" ht="14" thickBot="1">
      <c r="A224" s="32" t="str">
        <f>Ontario!A224</f>
        <v>Landscape Transformation Program</v>
      </c>
      <c r="B224" s="1092">
        <v>0</v>
      </c>
      <c r="C224" s="1092">
        <v>0</v>
      </c>
      <c r="D224" s="1092">
        <v>0</v>
      </c>
      <c r="E224" s="1092">
        <v>0</v>
      </c>
      <c r="F224" s="1092">
        <v>0</v>
      </c>
      <c r="G224" s="1092">
        <v>2</v>
      </c>
      <c r="H224" s="1092">
        <v>1</v>
      </c>
      <c r="I224" s="1092">
        <v>1</v>
      </c>
      <c r="J224" s="1092">
        <v>3</v>
      </c>
      <c r="K224" s="1092">
        <v>0</v>
      </c>
      <c r="L224" s="1092">
        <v>2</v>
      </c>
      <c r="M224" s="1092">
        <v>0</v>
      </c>
      <c r="N224" s="27">
        <f>SUM(B224:M224)</f>
        <v>9</v>
      </c>
    </row>
    <row r="225" spans="1:14" ht="14" thickBot="1">
      <c r="A225" s="53" t="s">
        <v>60</v>
      </c>
      <c r="B225" s="55">
        <f>SUM(B215:B224)</f>
        <v>2574</v>
      </c>
      <c r="C225" s="55">
        <f t="shared" ref="C225:M225" si="32">SUM(C215:C224)</f>
        <v>12</v>
      </c>
      <c r="D225" s="55">
        <f t="shared" si="32"/>
        <v>12</v>
      </c>
      <c r="E225" s="55">
        <f t="shared" si="32"/>
        <v>12</v>
      </c>
      <c r="F225" s="55">
        <f t="shared" si="32"/>
        <v>6</v>
      </c>
      <c r="G225" s="55">
        <f t="shared" si="32"/>
        <v>21</v>
      </c>
      <c r="H225" s="55">
        <f t="shared" si="32"/>
        <v>36</v>
      </c>
      <c r="I225" s="55">
        <f t="shared" si="32"/>
        <v>11</v>
      </c>
      <c r="J225" s="55">
        <f t="shared" si="32"/>
        <v>10</v>
      </c>
      <c r="K225" s="55">
        <f t="shared" si="32"/>
        <v>28</v>
      </c>
      <c r="L225" s="55">
        <f t="shared" si="32"/>
        <v>41</v>
      </c>
      <c r="M225" s="55">
        <f t="shared" si="32"/>
        <v>26</v>
      </c>
      <c r="N225" s="54">
        <f>SUM(N215:N224)</f>
        <v>2789</v>
      </c>
    </row>
    <row r="226" spans="1:14" ht="14" hidden="1" thickBot="1">
      <c r="A226" s="38" t="str">
        <f>Ontario!A226</f>
        <v xml:space="preserve">IEUA High Efficiency Toilet (HET) Installation Prog. </v>
      </c>
      <c r="B226" s="39"/>
      <c r="C226" s="39"/>
      <c r="D226" s="39"/>
      <c r="E226" s="39"/>
      <c r="F226" s="39"/>
      <c r="G226" s="39"/>
      <c r="H226" s="39"/>
      <c r="I226" s="39"/>
      <c r="J226" s="39"/>
      <c r="K226" s="39"/>
      <c r="L226" s="39"/>
      <c r="M226" s="39"/>
      <c r="N226" s="40"/>
    </row>
    <row r="227" spans="1:14" hidden="1">
      <c r="A227" s="32" t="str">
        <f>Ontario!A227</f>
        <v>IEUA Multi-Family Direct Install Prog. (HET/ULFT)</v>
      </c>
      <c r="B227" s="168"/>
      <c r="C227" s="168"/>
      <c r="D227" s="168"/>
      <c r="E227" s="168"/>
      <c r="F227" s="168"/>
      <c r="G227" s="168"/>
      <c r="H227" s="168"/>
      <c r="I227" s="168"/>
      <c r="J227" s="168"/>
      <c r="K227" s="168"/>
      <c r="L227" s="168"/>
      <c r="M227" s="168"/>
      <c r="N227" s="27">
        <f>SUM(B227:M227)</f>
        <v>0</v>
      </c>
    </row>
    <row r="228" spans="1:14" ht="14" hidden="1" thickBot="1">
      <c r="A228" s="32" t="str">
        <f>Ontario!A228</f>
        <v>IEUA Single-Family Direct Install Prog. (HET/ULFT)</v>
      </c>
      <c r="B228" s="168"/>
      <c r="C228" s="168"/>
      <c r="D228" s="168"/>
      <c r="E228" s="168"/>
      <c r="F228" s="168"/>
      <c r="G228" s="168"/>
      <c r="H228" s="168"/>
      <c r="I228" s="168"/>
      <c r="J228" s="168"/>
      <c r="K228" s="168"/>
      <c r="L228" s="168"/>
      <c r="M228" s="168"/>
      <c r="N228" s="27">
        <f>SUM(B228:M228)</f>
        <v>0</v>
      </c>
    </row>
    <row r="229" spans="1:14" ht="14" hidden="1" thickBot="1">
      <c r="A229" s="53" t="s">
        <v>60</v>
      </c>
      <c r="B229" s="55">
        <f>SUM(B227:B228)</f>
        <v>0</v>
      </c>
      <c r="C229" s="55">
        <f t="shared" ref="C229:M229" si="33">SUM(C227:C228)</f>
        <v>0</v>
      </c>
      <c r="D229" s="55">
        <f t="shared" si="33"/>
        <v>0</v>
      </c>
      <c r="E229" s="55">
        <f t="shared" si="33"/>
        <v>0</v>
      </c>
      <c r="F229" s="55">
        <f t="shared" si="33"/>
        <v>0</v>
      </c>
      <c r="G229" s="55">
        <f t="shared" si="33"/>
        <v>0</v>
      </c>
      <c r="H229" s="55">
        <f t="shared" si="33"/>
        <v>0</v>
      </c>
      <c r="I229" s="55">
        <f t="shared" si="33"/>
        <v>0</v>
      </c>
      <c r="J229" s="55">
        <f t="shared" si="33"/>
        <v>0</v>
      </c>
      <c r="K229" s="55">
        <f t="shared" si="33"/>
        <v>0</v>
      </c>
      <c r="L229" s="55">
        <f t="shared" si="33"/>
        <v>0</v>
      </c>
      <c r="M229" s="55">
        <f t="shared" si="33"/>
        <v>0</v>
      </c>
      <c r="N229" s="54">
        <f>SUM(N227:N228)</f>
        <v>0</v>
      </c>
    </row>
    <row r="230" spans="1:14" ht="14" thickBot="1">
      <c r="A230" s="38" t="str">
        <f>Ontario!A230</f>
        <v>SoCal Water$mart Commercial Rebates</v>
      </c>
      <c r="B230" s="39"/>
      <c r="C230" s="39"/>
      <c r="D230" s="39"/>
      <c r="E230" s="39"/>
      <c r="F230" s="39"/>
      <c r="G230" s="39"/>
      <c r="H230" s="39"/>
      <c r="I230" s="39"/>
      <c r="J230" s="39"/>
      <c r="K230" s="39"/>
      <c r="L230" s="39"/>
      <c r="M230" s="39"/>
      <c r="N230" s="40"/>
    </row>
    <row r="231" spans="1:14">
      <c r="A231" s="32" t="str">
        <f>Ontario!A231</f>
        <v>High Efficiency Toilets (HET)</v>
      </c>
      <c r="B231" s="1092">
        <v>0</v>
      </c>
      <c r="C231" s="1092">
        <v>0</v>
      </c>
      <c r="D231" s="1092">
        <v>0</v>
      </c>
      <c r="E231" s="1092">
        <v>0</v>
      </c>
      <c r="F231" s="1092">
        <v>0</v>
      </c>
      <c r="G231" s="1092">
        <v>2</v>
      </c>
      <c r="H231" s="1092">
        <v>0</v>
      </c>
      <c r="I231" s="1092">
        <v>0</v>
      </c>
      <c r="J231" s="1092">
        <v>0</v>
      </c>
      <c r="K231" s="1092">
        <v>0</v>
      </c>
      <c r="L231" s="1092">
        <v>0</v>
      </c>
      <c r="M231" s="1092">
        <v>0</v>
      </c>
      <c r="N231" s="27">
        <f t="shared" ref="N231:N240" si="34">SUM(B231:M231)</f>
        <v>2</v>
      </c>
    </row>
    <row r="232" spans="1:14">
      <c r="A232" s="32" t="str">
        <f>Ontario!A232</f>
        <v>Waterless Urinals</v>
      </c>
      <c r="B232" s="1092">
        <v>0</v>
      </c>
      <c r="C232" s="1092">
        <v>0</v>
      </c>
      <c r="D232" s="1092">
        <v>0</v>
      </c>
      <c r="E232" s="1092">
        <v>0</v>
      </c>
      <c r="F232" s="1092">
        <v>0</v>
      </c>
      <c r="G232" s="1092">
        <v>0</v>
      </c>
      <c r="H232" s="1092">
        <v>0</v>
      </c>
      <c r="I232" s="1092">
        <v>0</v>
      </c>
      <c r="J232" s="1092">
        <v>0</v>
      </c>
      <c r="K232" s="1092">
        <v>0</v>
      </c>
      <c r="L232" s="1092">
        <v>0</v>
      </c>
      <c r="M232" s="1092">
        <v>0</v>
      </c>
      <c r="N232" s="27">
        <f t="shared" si="34"/>
        <v>0</v>
      </c>
    </row>
    <row r="233" spans="1:14">
      <c r="A233" s="32" t="s">
        <v>204</v>
      </c>
      <c r="B233" s="1092">
        <v>0</v>
      </c>
      <c r="C233" s="1092">
        <v>0</v>
      </c>
      <c r="D233" s="1092">
        <v>0</v>
      </c>
      <c r="E233" s="1092">
        <v>0</v>
      </c>
      <c r="F233" s="1092">
        <v>0</v>
      </c>
      <c r="G233" s="1092">
        <v>0</v>
      </c>
      <c r="H233" s="1092">
        <v>0</v>
      </c>
      <c r="I233" s="1092">
        <v>0</v>
      </c>
      <c r="J233" s="1092">
        <v>0</v>
      </c>
      <c r="K233" s="1092">
        <v>0</v>
      </c>
      <c r="L233" s="1092">
        <v>0</v>
      </c>
      <c r="M233" s="1092">
        <v>0</v>
      </c>
      <c r="N233" s="27">
        <f t="shared" si="34"/>
        <v>0</v>
      </c>
    </row>
    <row r="234" spans="1:14" hidden="1">
      <c r="A234" s="32" t="str">
        <f>Ontario!A234</f>
        <v>High Efficiency Clothes Washers</v>
      </c>
      <c r="B234" s="1092"/>
      <c r="C234" s="1092"/>
      <c r="D234" s="1092"/>
      <c r="E234" s="1092"/>
      <c r="F234" s="1092"/>
      <c r="G234" s="1092"/>
      <c r="H234" s="1092"/>
      <c r="I234" s="1092"/>
      <c r="J234" s="1092"/>
      <c r="K234" s="1092"/>
      <c r="L234" s="1092"/>
      <c r="M234" s="1092"/>
      <c r="N234" s="27">
        <f t="shared" si="34"/>
        <v>0</v>
      </c>
    </row>
    <row r="235" spans="1:14" hidden="1">
      <c r="A235" s="35" t="s">
        <v>47</v>
      </c>
      <c r="B235" s="1092"/>
      <c r="C235" s="1092"/>
      <c r="D235" s="1092"/>
      <c r="E235" s="1092"/>
      <c r="F235" s="1092"/>
      <c r="G235" s="1092"/>
      <c r="H235" s="1092"/>
      <c r="I235" s="1092"/>
      <c r="J235" s="1092"/>
      <c r="K235" s="1092"/>
      <c r="L235" s="1092"/>
      <c r="M235" s="1092"/>
      <c r="N235" s="27">
        <f t="shared" si="34"/>
        <v>0</v>
      </c>
    </row>
    <row r="236" spans="1:14">
      <c r="A236" s="32" t="str">
        <f>Ontario!A236</f>
        <v>Weather Based Irrigation Controllers (WBIC)</v>
      </c>
      <c r="B236" s="1092">
        <v>6</v>
      </c>
      <c r="C236" s="1092">
        <v>34</v>
      </c>
      <c r="D236" s="1092">
        <v>4</v>
      </c>
      <c r="E236" s="1092">
        <v>1</v>
      </c>
      <c r="F236" s="1092">
        <v>0</v>
      </c>
      <c r="G236" s="1092">
        <v>0</v>
      </c>
      <c r="H236" s="1092">
        <v>1</v>
      </c>
      <c r="I236" s="1092">
        <v>0</v>
      </c>
      <c r="J236" s="1092">
        <v>0</v>
      </c>
      <c r="K236" s="1092">
        <v>5</v>
      </c>
      <c r="L236" s="1092">
        <v>0</v>
      </c>
      <c r="M236" s="1092">
        <v>0</v>
      </c>
      <c r="N236" s="27">
        <f t="shared" si="34"/>
        <v>51</v>
      </c>
    </row>
    <row r="237" spans="1:14" hidden="1">
      <c r="A237" s="76" t="s">
        <v>150</v>
      </c>
      <c r="B237" s="1092"/>
      <c r="C237" s="1092"/>
      <c r="D237" s="1092"/>
      <c r="E237" s="1092"/>
      <c r="F237" s="1092"/>
      <c r="G237" s="1092"/>
      <c r="H237" s="1092"/>
      <c r="I237" s="1092"/>
      <c r="J237" s="1092"/>
      <c r="K237" s="1092"/>
      <c r="L237" s="1092"/>
      <c r="M237" s="1092"/>
      <c r="N237" s="27">
        <f t="shared" si="34"/>
        <v>0</v>
      </c>
    </row>
    <row r="238" spans="1:14">
      <c r="A238" s="32" t="str">
        <f>Ontario!A238</f>
        <v>Rotating Nozzles for Pop-up Spray Heads</v>
      </c>
      <c r="B238" s="1092">
        <v>0</v>
      </c>
      <c r="C238" s="1092">
        <v>0</v>
      </c>
      <c r="D238" s="1092">
        <v>0</v>
      </c>
      <c r="E238" s="1092">
        <v>0</v>
      </c>
      <c r="F238" s="1092">
        <v>0</v>
      </c>
      <c r="G238" s="1092">
        <v>0</v>
      </c>
      <c r="H238" s="1092">
        <v>0</v>
      </c>
      <c r="I238" s="1092">
        <v>0</v>
      </c>
      <c r="J238" s="1092">
        <v>0</v>
      </c>
      <c r="K238" s="1092">
        <v>0</v>
      </c>
      <c r="L238" s="1092">
        <v>0</v>
      </c>
      <c r="M238" s="1092">
        <v>0</v>
      </c>
      <c r="N238" s="27">
        <f t="shared" si="34"/>
        <v>0</v>
      </c>
    </row>
    <row r="239" spans="1:14">
      <c r="A239" s="32" t="str">
        <f>Ontario!A239</f>
        <v>Large Rotary Nozzles</v>
      </c>
      <c r="B239" s="1092">
        <v>0</v>
      </c>
      <c r="C239" s="1092">
        <v>0</v>
      </c>
      <c r="D239" s="1092">
        <v>0</v>
      </c>
      <c r="E239" s="1092">
        <v>0</v>
      </c>
      <c r="F239" s="1092">
        <v>0</v>
      </c>
      <c r="G239" s="1092">
        <v>0</v>
      </c>
      <c r="H239" s="1092">
        <v>0</v>
      </c>
      <c r="I239" s="1092">
        <v>0</v>
      </c>
      <c r="J239" s="1092">
        <v>0</v>
      </c>
      <c r="K239" s="1092">
        <v>0</v>
      </c>
      <c r="L239" s="1092">
        <v>0</v>
      </c>
      <c r="M239" s="1092">
        <v>0</v>
      </c>
      <c r="N239" s="27">
        <f t="shared" si="34"/>
        <v>0</v>
      </c>
    </row>
    <row r="240" spans="1:14" hidden="1">
      <c r="A240" s="32" t="s">
        <v>102</v>
      </c>
      <c r="B240" s="1092"/>
      <c r="C240" s="1092"/>
      <c r="D240" s="1092"/>
      <c r="E240" s="1092"/>
      <c r="F240" s="1092"/>
      <c r="G240" s="1092"/>
      <c r="H240" s="1092"/>
      <c r="I240" s="1092"/>
      <c r="J240" s="1092"/>
      <c r="K240" s="1092"/>
      <c r="L240" s="1092"/>
      <c r="M240" s="1092"/>
      <c r="N240" s="27">
        <f t="shared" si="34"/>
        <v>0</v>
      </c>
    </row>
    <row r="241" spans="1:14">
      <c r="A241" s="32" t="str">
        <f>Ontario!A241</f>
        <v xml:space="preserve">Central Computerized Irrigation Controller </v>
      </c>
      <c r="B241" s="1092">
        <v>0</v>
      </c>
      <c r="C241" s="1092">
        <v>0</v>
      </c>
      <c r="D241" s="1092">
        <v>0</v>
      </c>
      <c r="E241" s="1092">
        <v>0</v>
      </c>
      <c r="F241" s="1092">
        <v>0</v>
      </c>
      <c r="G241" s="1092">
        <v>0</v>
      </c>
      <c r="H241" s="1092">
        <v>0</v>
      </c>
      <c r="I241" s="1092">
        <v>0</v>
      </c>
      <c r="J241" s="1092">
        <v>0</v>
      </c>
      <c r="K241" s="1092">
        <v>0</v>
      </c>
      <c r="L241" s="1092">
        <v>0</v>
      </c>
      <c r="M241" s="1092">
        <v>0</v>
      </c>
      <c r="N241" s="27">
        <f>SUM(B241:M241)</f>
        <v>0</v>
      </c>
    </row>
    <row r="242" spans="1:14">
      <c r="A242" s="32" t="str">
        <f>Ontario!A242</f>
        <v>Laminar Flow Restrictor</v>
      </c>
      <c r="B242" s="1092">
        <v>170</v>
      </c>
      <c r="C242" s="1092">
        <v>0</v>
      </c>
      <c r="D242" s="1092">
        <v>0</v>
      </c>
      <c r="E242" s="1092">
        <v>0</v>
      </c>
      <c r="F242" s="1092">
        <v>0</v>
      </c>
      <c r="G242" s="1092">
        <v>0</v>
      </c>
      <c r="H242" s="1092">
        <v>0</v>
      </c>
      <c r="I242" s="1092">
        <v>0</v>
      </c>
      <c r="J242" s="1092">
        <v>0</v>
      </c>
      <c r="K242" s="1092">
        <v>145</v>
      </c>
      <c r="L242" s="1092">
        <v>0</v>
      </c>
      <c r="M242" s="1092">
        <v>0</v>
      </c>
      <c r="N242" s="27">
        <f>SUM(B242:M242)</f>
        <v>315</v>
      </c>
    </row>
    <row r="243" spans="1:14">
      <c r="A243" s="32" t="str">
        <f>Ontario!A243</f>
        <v>Air-Cooled Ice Machine</v>
      </c>
      <c r="B243" s="1092">
        <v>0</v>
      </c>
      <c r="C243" s="1092">
        <v>0</v>
      </c>
      <c r="D243" s="1092">
        <v>0</v>
      </c>
      <c r="E243" s="1092">
        <v>0</v>
      </c>
      <c r="F243" s="1092">
        <v>0</v>
      </c>
      <c r="G243" s="1092">
        <v>0</v>
      </c>
      <c r="H243" s="1092">
        <v>0</v>
      </c>
      <c r="I243" s="1092">
        <v>0</v>
      </c>
      <c r="J243" s="1092">
        <v>0</v>
      </c>
      <c r="K243" s="1092">
        <v>0</v>
      </c>
      <c r="L243" s="1092">
        <v>0</v>
      </c>
      <c r="M243" s="1092">
        <v>0</v>
      </c>
      <c r="N243" s="27">
        <f>SUM(B243:M243)</f>
        <v>0</v>
      </c>
    </row>
    <row r="244" spans="1:14" ht="14" thickBot="1">
      <c r="A244" s="32" t="s">
        <v>213</v>
      </c>
      <c r="B244" s="1092">
        <v>0</v>
      </c>
      <c r="C244" s="1092">
        <v>0</v>
      </c>
      <c r="D244" s="1092">
        <v>0</v>
      </c>
      <c r="E244" s="1092">
        <v>0</v>
      </c>
      <c r="F244" s="1092">
        <v>0</v>
      </c>
      <c r="G244" s="1092">
        <v>0</v>
      </c>
      <c r="H244" s="1092">
        <v>0</v>
      </c>
      <c r="I244" s="1092">
        <v>0</v>
      </c>
      <c r="J244" s="1092">
        <v>0</v>
      </c>
      <c r="K244" s="1092">
        <v>0</v>
      </c>
      <c r="L244" s="1092">
        <v>0</v>
      </c>
      <c r="M244" s="1092">
        <v>0</v>
      </c>
      <c r="N244" s="27">
        <f>SUM(B244:M244)</f>
        <v>0</v>
      </c>
    </row>
    <row r="245" spans="1:14" ht="14" thickBot="1">
      <c r="A245" s="38" t="str">
        <f>Ontario!A245</f>
        <v>IEUA Locally Implemented Commercial Programs</v>
      </c>
      <c r="B245" s="39"/>
      <c r="C245" s="39"/>
      <c r="D245" s="39"/>
      <c r="E245" s="39"/>
      <c r="F245" s="39"/>
      <c r="G245" s="39"/>
      <c r="H245" s="39"/>
      <c r="I245" s="39"/>
      <c r="J245" s="39"/>
      <c r="K245" s="39"/>
      <c r="L245" s="39"/>
      <c r="M245" s="39"/>
      <c r="N245" s="40"/>
    </row>
    <row r="246" spans="1:14" hidden="1">
      <c r="A246" s="32" t="str">
        <f>Ontario!A246</f>
        <v>Fontana Unified School Retrofit Program</v>
      </c>
      <c r="B246" s="168"/>
      <c r="C246" s="168"/>
      <c r="D246" s="168"/>
      <c r="E246" s="168"/>
      <c r="F246" s="168"/>
      <c r="G246" s="168"/>
      <c r="H246" s="168"/>
      <c r="I246" s="168"/>
      <c r="J246" s="168"/>
      <c r="K246" s="168"/>
      <c r="L246" s="168"/>
      <c r="M246" s="168"/>
      <c r="N246" s="27">
        <f>SUM(B246:M246)</f>
        <v>0</v>
      </c>
    </row>
    <row r="247" spans="1:14" ht="14" thickBot="1">
      <c r="A247" s="32" t="str">
        <f>Ontario!A247</f>
        <v>FreeSprinklerNozzles.com Program</v>
      </c>
      <c r="B247" s="1092">
        <v>3917</v>
      </c>
      <c r="C247" s="1092">
        <v>0</v>
      </c>
      <c r="D247" s="1092">
        <v>0</v>
      </c>
      <c r="E247" s="1092">
        <v>0</v>
      </c>
      <c r="F247" s="1092">
        <v>0</v>
      </c>
      <c r="G247" s="1092">
        <v>0</v>
      </c>
      <c r="H247" s="1092">
        <v>0</v>
      </c>
      <c r="I247" s="1092">
        <v>0</v>
      </c>
      <c r="J247" s="1092">
        <v>0</v>
      </c>
      <c r="K247" s="1092">
        <v>0</v>
      </c>
      <c r="L247" s="1092">
        <v>0</v>
      </c>
      <c r="M247" s="1092">
        <v>0</v>
      </c>
      <c r="N247" s="27">
        <f>SUM(B247:M247)</f>
        <v>3917</v>
      </c>
    </row>
    <row r="248" spans="1:14" ht="14" thickBot="1">
      <c r="A248" s="53" t="s">
        <v>60</v>
      </c>
      <c r="B248" s="55">
        <f>SUM(B231:B247)</f>
        <v>4093</v>
      </c>
      <c r="C248" s="55">
        <f>SUM(C231:C247)</f>
        <v>34</v>
      </c>
      <c r="D248" s="55">
        <f t="shared" ref="D248:N248" si="35">SUM(D231:D247)</f>
        <v>4</v>
      </c>
      <c r="E248" s="55">
        <f t="shared" si="35"/>
        <v>1</v>
      </c>
      <c r="F248" s="55">
        <f t="shared" si="35"/>
        <v>0</v>
      </c>
      <c r="G248" s="55">
        <f t="shared" si="35"/>
        <v>2</v>
      </c>
      <c r="H248" s="55">
        <f t="shared" si="35"/>
        <v>1</v>
      </c>
      <c r="I248" s="55">
        <f t="shared" si="35"/>
        <v>0</v>
      </c>
      <c r="J248" s="55">
        <f t="shared" si="35"/>
        <v>0</v>
      </c>
      <c r="K248" s="55">
        <f t="shared" si="35"/>
        <v>150</v>
      </c>
      <c r="L248" s="55">
        <f t="shared" si="35"/>
        <v>0</v>
      </c>
      <c r="M248" s="55">
        <f t="shared" si="35"/>
        <v>0</v>
      </c>
      <c r="N248" s="54">
        <f t="shared" si="35"/>
        <v>4285</v>
      </c>
    </row>
    <row r="250" spans="1:14" ht="14" thickBot="1">
      <c r="B250" s="43" t="s">
        <v>35</v>
      </c>
      <c r="C250" s="43" t="s">
        <v>36</v>
      </c>
      <c r="D250" s="43" t="s">
        <v>37</v>
      </c>
      <c r="E250" s="43" t="s">
        <v>38</v>
      </c>
      <c r="F250" s="43" t="s">
        <v>39</v>
      </c>
      <c r="G250" s="43" t="s">
        <v>40</v>
      </c>
      <c r="H250" s="43" t="s">
        <v>41</v>
      </c>
      <c r="I250" s="43" t="s">
        <v>42</v>
      </c>
      <c r="J250" s="43" t="s">
        <v>43</v>
      </c>
      <c r="K250" s="43" t="s">
        <v>44</v>
      </c>
      <c r="L250" s="43" t="s">
        <v>45</v>
      </c>
      <c r="M250" s="43" t="s">
        <v>46</v>
      </c>
      <c r="N250" s="43" t="s">
        <v>10</v>
      </c>
    </row>
    <row r="251" spans="1:14" ht="17" thickBot="1">
      <c r="A251" s="31" t="s">
        <v>234</v>
      </c>
      <c r="B251" s="24"/>
      <c r="C251" s="24"/>
      <c r="D251" s="22"/>
      <c r="E251" s="22"/>
      <c r="F251" s="25"/>
      <c r="G251" s="25"/>
      <c r="H251" s="22"/>
      <c r="I251" s="22"/>
      <c r="J251" s="22"/>
      <c r="K251" s="22"/>
      <c r="L251" s="24"/>
      <c r="M251" s="24"/>
      <c r="N251" s="26"/>
    </row>
    <row r="252" spans="1:14" ht="14" thickBot="1">
      <c r="A252" s="38" t="s">
        <v>189</v>
      </c>
      <c r="B252" s="39"/>
      <c r="C252" s="39"/>
      <c r="D252" s="39"/>
      <c r="E252" s="39"/>
      <c r="F252" s="39"/>
      <c r="G252" s="39"/>
      <c r="H252" s="39"/>
      <c r="I252" s="39"/>
      <c r="J252" s="39"/>
      <c r="K252" s="39"/>
      <c r="L252" s="39"/>
      <c r="M252" s="39"/>
      <c r="N252" s="40"/>
    </row>
    <row r="253" spans="1:14">
      <c r="A253" s="32" t="s">
        <v>29</v>
      </c>
      <c r="B253" s="1092">
        <v>2</v>
      </c>
      <c r="C253" s="1092">
        <v>3</v>
      </c>
      <c r="D253" s="1092">
        <v>8</v>
      </c>
      <c r="E253" s="1092">
        <v>13</v>
      </c>
      <c r="F253" s="1092">
        <v>3</v>
      </c>
      <c r="G253" s="1092">
        <v>1</v>
      </c>
      <c r="H253" s="1092">
        <v>4</v>
      </c>
      <c r="I253" s="1092">
        <v>9</v>
      </c>
      <c r="J253" s="1092">
        <v>17</v>
      </c>
      <c r="K253" s="1092">
        <v>7</v>
      </c>
      <c r="L253" s="1092">
        <v>7</v>
      </c>
      <c r="M253" s="1092">
        <v>4</v>
      </c>
      <c r="N253" s="27">
        <f t="shared" ref="N253:N258" si="36">SUM(B253:M253)</f>
        <v>78</v>
      </c>
    </row>
    <row r="254" spans="1:14">
      <c r="A254" s="32" t="s">
        <v>33</v>
      </c>
      <c r="B254" s="1092">
        <v>9</v>
      </c>
      <c r="C254" s="1092">
        <v>12</v>
      </c>
      <c r="D254" s="1092">
        <v>6</v>
      </c>
      <c r="E254" s="1092">
        <v>19</v>
      </c>
      <c r="F254" s="1092">
        <v>1</v>
      </c>
      <c r="G254" s="1092">
        <v>7</v>
      </c>
      <c r="H254" s="1092">
        <v>7</v>
      </c>
      <c r="I254" s="1092">
        <v>11</v>
      </c>
      <c r="J254" s="1092">
        <v>16</v>
      </c>
      <c r="K254" s="1092">
        <v>9</v>
      </c>
      <c r="L254" s="1092">
        <v>14</v>
      </c>
      <c r="M254" s="1092">
        <v>9</v>
      </c>
      <c r="N254" s="27">
        <f t="shared" si="36"/>
        <v>120</v>
      </c>
    </row>
    <row r="255" spans="1:14">
      <c r="A255" s="32" t="s">
        <v>56</v>
      </c>
      <c r="B255" s="1092">
        <v>0</v>
      </c>
      <c r="C255" s="1092">
        <v>149</v>
      </c>
      <c r="D255" s="1092">
        <v>34</v>
      </c>
      <c r="E255" s="1092">
        <v>0</v>
      </c>
      <c r="F255" s="1092">
        <v>95</v>
      </c>
      <c r="G255" s="1092">
        <v>66</v>
      </c>
      <c r="H255" s="1092">
        <v>0</v>
      </c>
      <c r="I255" s="1092">
        <v>0</v>
      </c>
      <c r="J255" s="1092">
        <v>0</v>
      </c>
      <c r="K255" s="1092">
        <v>0</v>
      </c>
      <c r="L255" s="1092">
        <v>0</v>
      </c>
      <c r="M255" s="1092">
        <v>0</v>
      </c>
      <c r="N255" s="27">
        <f t="shared" si="36"/>
        <v>344</v>
      </c>
    </row>
    <row r="256" spans="1:14">
      <c r="A256" s="78" t="s">
        <v>30</v>
      </c>
      <c r="B256" s="1092">
        <v>0</v>
      </c>
      <c r="C256" s="1092">
        <v>3</v>
      </c>
      <c r="D256" s="1092">
        <v>1</v>
      </c>
      <c r="E256" s="1092">
        <v>2</v>
      </c>
      <c r="F256" s="1092">
        <v>0</v>
      </c>
      <c r="G256" s="1092">
        <v>1</v>
      </c>
      <c r="H256" s="1092">
        <v>0</v>
      </c>
      <c r="I256" s="1092">
        <v>0</v>
      </c>
      <c r="J256" s="1092">
        <v>3</v>
      </c>
      <c r="K256" s="1092">
        <v>0</v>
      </c>
      <c r="L256" s="1092">
        <v>0</v>
      </c>
      <c r="M256" s="1092">
        <v>0</v>
      </c>
      <c r="N256" s="27">
        <f t="shared" si="36"/>
        <v>10</v>
      </c>
    </row>
    <row r="257" spans="1:14">
      <c r="A257" s="76" t="s">
        <v>213</v>
      </c>
      <c r="B257" s="1092">
        <v>0</v>
      </c>
      <c r="C257" s="1092">
        <v>0</v>
      </c>
      <c r="D257" s="1092">
        <v>0</v>
      </c>
      <c r="E257" s="1092">
        <v>0</v>
      </c>
      <c r="F257" s="1092">
        <v>0</v>
      </c>
      <c r="G257" s="1092">
        <v>0</v>
      </c>
      <c r="H257" s="1092">
        <v>0</v>
      </c>
      <c r="I257" s="1092">
        <v>0</v>
      </c>
      <c r="J257" s="1092">
        <v>0</v>
      </c>
      <c r="K257" s="1092">
        <v>0</v>
      </c>
      <c r="L257" s="1092">
        <v>0</v>
      </c>
      <c r="M257" s="1092">
        <v>0</v>
      </c>
      <c r="N257" s="27">
        <f t="shared" si="36"/>
        <v>0</v>
      </c>
    </row>
    <row r="258" spans="1:14" ht="14" thickBot="1">
      <c r="A258" s="76" t="s">
        <v>212</v>
      </c>
      <c r="B258" s="1092">
        <v>0</v>
      </c>
      <c r="C258" s="1092">
        <v>5</v>
      </c>
      <c r="D258" s="1092">
        <v>5</v>
      </c>
      <c r="E258" s="1092">
        <v>0</v>
      </c>
      <c r="F258" s="1092">
        <v>0</v>
      </c>
      <c r="G258" s="1092">
        <v>0</v>
      </c>
      <c r="H258" s="1092">
        <v>0</v>
      </c>
      <c r="I258" s="1092">
        <v>1</v>
      </c>
      <c r="J258" s="1092">
        <v>3</v>
      </c>
      <c r="K258" s="1092">
        <v>0</v>
      </c>
      <c r="L258" s="1092">
        <v>2</v>
      </c>
      <c r="M258" s="1092">
        <v>0</v>
      </c>
      <c r="N258" s="27">
        <f t="shared" si="36"/>
        <v>16</v>
      </c>
    </row>
    <row r="259" spans="1:14" ht="14" thickBot="1">
      <c r="A259" s="38" t="s">
        <v>190</v>
      </c>
      <c r="B259" s="39"/>
      <c r="C259" s="39"/>
      <c r="D259" s="39"/>
      <c r="E259" s="39"/>
      <c r="F259" s="39"/>
      <c r="G259" s="39"/>
      <c r="H259" s="39"/>
      <c r="I259" s="39"/>
      <c r="J259" s="39"/>
      <c r="K259" s="39"/>
      <c r="L259" s="39"/>
      <c r="M259" s="39"/>
      <c r="N259" s="40"/>
    </row>
    <row r="260" spans="1:14">
      <c r="A260" s="76" t="s">
        <v>165</v>
      </c>
      <c r="B260" s="1092">
        <v>860</v>
      </c>
      <c r="C260" s="1092">
        <v>0</v>
      </c>
      <c r="D260" s="1092">
        <v>0</v>
      </c>
      <c r="E260" s="1092">
        <v>0</v>
      </c>
      <c r="F260" s="1092">
        <v>0</v>
      </c>
      <c r="G260" s="1092">
        <v>0</v>
      </c>
      <c r="H260" s="1092">
        <v>0</v>
      </c>
      <c r="I260" s="1092">
        <v>0</v>
      </c>
      <c r="J260" s="1092">
        <v>0</v>
      </c>
      <c r="K260" s="1092">
        <v>0</v>
      </c>
      <c r="L260" s="1092">
        <v>0</v>
      </c>
      <c r="M260" s="1092">
        <v>0</v>
      </c>
      <c r="N260" s="27">
        <f>SUM(B260:M260)</f>
        <v>860</v>
      </c>
    </row>
    <row r="261" spans="1:14">
      <c r="A261" s="76" t="s">
        <v>166</v>
      </c>
      <c r="B261" s="1092">
        <v>0</v>
      </c>
      <c r="C261" s="1092">
        <v>0</v>
      </c>
      <c r="D261" s="1092">
        <v>0</v>
      </c>
      <c r="E261" s="1092">
        <v>0</v>
      </c>
      <c r="F261" s="1092">
        <v>0</v>
      </c>
      <c r="G261" s="1092">
        <v>0</v>
      </c>
      <c r="H261" s="1092">
        <v>0</v>
      </c>
      <c r="I261" s="1092">
        <v>0</v>
      </c>
      <c r="J261" s="1092">
        <v>0</v>
      </c>
      <c r="K261" s="1092">
        <v>0</v>
      </c>
      <c r="L261" s="1092">
        <v>0</v>
      </c>
      <c r="M261" s="1092">
        <v>0</v>
      </c>
      <c r="N261" s="27">
        <f>SUM(B261:M261)</f>
        <v>0</v>
      </c>
    </row>
    <row r="262" spans="1:14">
      <c r="A262" s="76" t="s">
        <v>193</v>
      </c>
      <c r="B262" s="1092">
        <v>1</v>
      </c>
      <c r="C262" s="1092">
        <v>0</v>
      </c>
      <c r="D262" s="1092">
        <v>0</v>
      </c>
      <c r="E262" s="1092">
        <v>1</v>
      </c>
      <c r="F262" s="1092">
        <v>0</v>
      </c>
      <c r="G262" s="1092">
        <v>4</v>
      </c>
      <c r="H262" s="1092">
        <v>2</v>
      </c>
      <c r="I262" s="1092">
        <v>2</v>
      </c>
      <c r="J262" s="1092">
        <v>6</v>
      </c>
      <c r="K262" s="1092">
        <v>1</v>
      </c>
      <c r="L262" s="1092">
        <v>2</v>
      </c>
      <c r="M262" s="1092">
        <v>0</v>
      </c>
      <c r="N262" s="27">
        <f>SUM(B262:M262)</f>
        <v>19</v>
      </c>
    </row>
    <row r="263" spans="1:14" ht="14" thickBot="1">
      <c r="A263" s="76" t="s">
        <v>266</v>
      </c>
      <c r="B263" s="1092">
        <v>0</v>
      </c>
      <c r="C263" s="1092">
        <v>0</v>
      </c>
      <c r="D263" s="1092">
        <v>0</v>
      </c>
      <c r="E263" s="1092">
        <v>0</v>
      </c>
      <c r="F263" s="1092">
        <v>0</v>
      </c>
      <c r="G263" s="1092">
        <v>0</v>
      </c>
      <c r="H263" s="1092">
        <v>0</v>
      </c>
      <c r="I263" s="1092">
        <v>0</v>
      </c>
      <c r="J263" s="1092">
        <v>0</v>
      </c>
      <c r="K263" s="1092">
        <v>0</v>
      </c>
      <c r="L263" s="1092">
        <v>0</v>
      </c>
      <c r="M263" s="1092">
        <v>0</v>
      </c>
      <c r="N263" s="27">
        <f>SUM(B263:M263)</f>
        <v>0</v>
      </c>
    </row>
    <row r="264" spans="1:14" ht="14" thickBot="1">
      <c r="A264" s="53" t="s">
        <v>60</v>
      </c>
      <c r="B264" s="55">
        <f t="shared" ref="B264:K264" si="37">SUM(B253:B263)</f>
        <v>872</v>
      </c>
      <c r="C264" s="55">
        <f t="shared" si="37"/>
        <v>172</v>
      </c>
      <c r="D264" s="55">
        <f t="shared" si="37"/>
        <v>54</v>
      </c>
      <c r="E264" s="55">
        <f t="shared" si="37"/>
        <v>35</v>
      </c>
      <c r="F264" s="55">
        <f t="shared" si="37"/>
        <v>99</v>
      </c>
      <c r="G264" s="55">
        <f t="shared" si="37"/>
        <v>79</v>
      </c>
      <c r="H264" s="55">
        <f t="shared" si="37"/>
        <v>13</v>
      </c>
      <c r="I264" s="55">
        <f t="shared" si="37"/>
        <v>23</v>
      </c>
      <c r="J264" s="55">
        <f t="shared" si="37"/>
        <v>45</v>
      </c>
      <c r="K264" s="55">
        <f t="shared" si="37"/>
        <v>17</v>
      </c>
      <c r="L264" s="55">
        <f>SUM(L253:L263)</f>
        <v>25</v>
      </c>
      <c r="M264" s="55">
        <f>SUM(M253:M263)</f>
        <v>13</v>
      </c>
      <c r="N264" s="54">
        <f>SUM(N253:N263)</f>
        <v>1447</v>
      </c>
    </row>
    <row r="265" spans="1:14" ht="14" hidden="1" thickBot="1">
      <c r="A265" s="38" t="s">
        <v>191</v>
      </c>
      <c r="B265" s="39"/>
      <c r="C265" s="39"/>
      <c r="D265" s="39"/>
      <c r="E265" s="39"/>
      <c r="F265" s="39"/>
      <c r="G265" s="39"/>
      <c r="H265" s="39"/>
      <c r="I265" s="39"/>
      <c r="J265" s="39"/>
      <c r="K265" s="39"/>
      <c r="L265" s="39"/>
      <c r="M265" s="39"/>
      <c r="N265" s="40"/>
    </row>
    <row r="266" spans="1:14" ht="14" hidden="1" thickBot="1">
      <c r="A266" s="76" t="s">
        <v>147</v>
      </c>
      <c r="B266" s="168"/>
      <c r="C266" s="168"/>
      <c r="D266" s="168"/>
      <c r="E266" s="168"/>
      <c r="F266" s="168"/>
      <c r="G266" s="168"/>
      <c r="H266" s="168"/>
      <c r="I266" s="168"/>
      <c r="J266" s="168"/>
      <c r="K266" s="168"/>
      <c r="L266" s="168"/>
      <c r="M266" s="168"/>
      <c r="N266" s="27"/>
    </row>
    <row r="267" spans="1:14" ht="14" hidden="1" thickBot="1">
      <c r="A267" s="76" t="s">
        <v>179</v>
      </c>
      <c r="B267" s="168"/>
      <c r="C267" s="168"/>
      <c r="D267" s="168"/>
      <c r="E267" s="168"/>
      <c r="F267" s="168"/>
      <c r="G267" s="168"/>
      <c r="H267" s="168"/>
      <c r="I267" s="168"/>
      <c r="J267" s="168"/>
      <c r="K267" s="168"/>
      <c r="L267" s="168"/>
      <c r="M267" s="168"/>
      <c r="N267" s="27"/>
    </row>
    <row r="268" spans="1:14" ht="14" hidden="1" thickBot="1">
      <c r="A268" s="53" t="s">
        <v>60</v>
      </c>
      <c r="B268" s="55"/>
      <c r="C268" s="55"/>
      <c r="D268" s="55"/>
      <c r="E268" s="55"/>
      <c r="F268" s="55"/>
      <c r="G268" s="55"/>
      <c r="H268" s="55"/>
      <c r="I268" s="55"/>
      <c r="J268" s="55"/>
      <c r="K268" s="55"/>
      <c r="L268" s="55"/>
      <c r="M268" s="55"/>
      <c r="N268" s="54"/>
    </row>
    <row r="269" spans="1:14" ht="14" thickBot="1">
      <c r="A269" s="38" t="s">
        <v>194</v>
      </c>
      <c r="B269" s="39"/>
      <c r="C269" s="39"/>
      <c r="D269" s="39"/>
      <c r="E269" s="39"/>
      <c r="F269" s="39"/>
      <c r="G269" s="39"/>
      <c r="H269" s="39"/>
      <c r="I269" s="39"/>
      <c r="J269" s="39"/>
      <c r="K269" s="39"/>
      <c r="L269" s="39"/>
      <c r="M269" s="39"/>
      <c r="N269" s="40"/>
    </row>
    <row r="270" spans="1:14">
      <c r="A270" s="32" t="s">
        <v>29</v>
      </c>
      <c r="B270" s="1092">
        <v>0</v>
      </c>
      <c r="C270" s="1092">
        <v>0</v>
      </c>
      <c r="D270" s="1092">
        <v>0</v>
      </c>
      <c r="E270" s="1092">
        <v>0</v>
      </c>
      <c r="F270" s="1092">
        <v>0</v>
      </c>
      <c r="G270" s="1092">
        <v>0</v>
      </c>
      <c r="H270" s="1092">
        <v>25</v>
      </c>
      <c r="I270" s="1092">
        <v>0</v>
      </c>
      <c r="J270" s="1092">
        <v>0</v>
      </c>
      <c r="K270" s="1092">
        <v>0</v>
      </c>
      <c r="L270" s="1092">
        <v>0</v>
      </c>
      <c r="M270" s="1092">
        <v>0</v>
      </c>
      <c r="N270" s="27">
        <f>SUM(B270:M270)</f>
        <v>25</v>
      </c>
    </row>
    <row r="271" spans="1:14">
      <c r="A271" s="32" t="s">
        <v>51</v>
      </c>
      <c r="B271" s="1092">
        <v>0</v>
      </c>
      <c r="C271" s="1092">
        <v>0</v>
      </c>
      <c r="D271" s="1092">
        <v>0</v>
      </c>
      <c r="E271" s="1092">
        <v>0</v>
      </c>
      <c r="F271" s="1092">
        <v>0</v>
      </c>
      <c r="G271" s="1092">
        <v>0</v>
      </c>
      <c r="H271" s="1092">
        <v>0</v>
      </c>
      <c r="I271" s="1092">
        <v>0</v>
      </c>
      <c r="J271" s="1092">
        <v>0</v>
      </c>
      <c r="K271" s="1092">
        <v>0</v>
      </c>
      <c r="L271" s="1092">
        <v>0</v>
      </c>
      <c r="M271" s="1092">
        <v>0</v>
      </c>
      <c r="N271" s="27">
        <f t="shared" ref="N271:N283" si="38">SUM(B271:M271)</f>
        <v>0</v>
      </c>
    </row>
    <row r="272" spans="1:14">
      <c r="A272" s="34" t="s">
        <v>204</v>
      </c>
      <c r="B272" s="1092">
        <v>0</v>
      </c>
      <c r="C272" s="1092">
        <v>0</v>
      </c>
      <c r="D272" s="1092">
        <v>0</v>
      </c>
      <c r="E272" s="1092">
        <v>0</v>
      </c>
      <c r="F272" s="1092">
        <v>0</v>
      </c>
      <c r="G272" s="1092">
        <v>0</v>
      </c>
      <c r="H272" s="1092">
        <v>0</v>
      </c>
      <c r="I272" s="1092">
        <v>0</v>
      </c>
      <c r="J272" s="1092">
        <v>0</v>
      </c>
      <c r="K272" s="1092">
        <v>0</v>
      </c>
      <c r="L272" s="1092">
        <v>0</v>
      </c>
      <c r="M272" s="1092">
        <v>0</v>
      </c>
      <c r="N272" s="27">
        <f t="shared" si="38"/>
        <v>0</v>
      </c>
    </row>
    <row r="273" spans="1:14" hidden="1">
      <c r="A273" s="34" t="s">
        <v>13</v>
      </c>
      <c r="B273" s="1092"/>
      <c r="C273" s="1092"/>
      <c r="D273" s="1092"/>
      <c r="E273" s="1092"/>
      <c r="F273" s="1092"/>
      <c r="G273" s="1092"/>
      <c r="H273" s="1092"/>
      <c r="I273" s="1092"/>
      <c r="J273" s="1092"/>
      <c r="K273" s="1092"/>
      <c r="L273" s="1092"/>
      <c r="M273" s="1092"/>
      <c r="N273" s="27">
        <f t="shared" si="38"/>
        <v>0</v>
      </c>
    </row>
    <row r="274" spans="1:14" hidden="1">
      <c r="A274" s="35" t="s">
        <v>47</v>
      </c>
      <c r="B274" s="1092"/>
      <c r="C274" s="1092"/>
      <c r="D274" s="1092"/>
      <c r="E274" s="1092"/>
      <c r="F274" s="1092"/>
      <c r="G274" s="1092"/>
      <c r="H274" s="1092"/>
      <c r="I274" s="1092"/>
      <c r="J274" s="1092"/>
      <c r="K274" s="1092"/>
      <c r="L274" s="1092"/>
      <c r="M274" s="1092"/>
      <c r="N274" s="27">
        <f t="shared" si="38"/>
        <v>0</v>
      </c>
    </row>
    <row r="275" spans="1:14">
      <c r="A275" s="76" t="s">
        <v>30</v>
      </c>
      <c r="B275" s="1092">
        <v>0</v>
      </c>
      <c r="C275" s="1092">
        <v>0</v>
      </c>
      <c r="D275" s="1092">
        <v>1</v>
      </c>
      <c r="E275" s="1092">
        <v>0</v>
      </c>
      <c r="F275" s="1092">
        <v>0</v>
      </c>
      <c r="G275" s="1092">
        <v>0</v>
      </c>
      <c r="H275" s="1092">
        <v>3</v>
      </c>
      <c r="I275" s="1092">
        <v>0</v>
      </c>
      <c r="J275" s="1092">
        <v>0</v>
      </c>
      <c r="K275" s="1092">
        <v>0</v>
      </c>
      <c r="L275" s="1092">
        <v>0</v>
      </c>
      <c r="M275" s="1092">
        <v>0</v>
      </c>
      <c r="N275" s="27">
        <f t="shared" si="38"/>
        <v>4</v>
      </c>
    </row>
    <row r="276" spans="1:14" hidden="1">
      <c r="A276" s="76" t="s">
        <v>150</v>
      </c>
      <c r="B276" s="1092"/>
      <c r="C276" s="1092"/>
      <c r="D276" s="1092"/>
      <c r="E276" s="1092"/>
      <c r="F276" s="1092"/>
      <c r="G276" s="1092"/>
      <c r="H276" s="1092"/>
      <c r="I276" s="1092"/>
      <c r="J276" s="1092"/>
      <c r="K276" s="1092"/>
      <c r="L276" s="1092"/>
      <c r="M276" s="1092"/>
      <c r="N276" s="27">
        <f t="shared" si="38"/>
        <v>0</v>
      </c>
    </row>
    <row r="277" spans="1:14">
      <c r="A277" s="32" t="s">
        <v>56</v>
      </c>
      <c r="B277" s="1092">
        <v>0</v>
      </c>
      <c r="C277" s="1092">
        <v>0</v>
      </c>
      <c r="D277" s="1092">
        <v>0</v>
      </c>
      <c r="E277" s="1092">
        <v>0</v>
      </c>
      <c r="F277" s="1092">
        <v>0</v>
      </c>
      <c r="G277" s="1092">
        <v>0</v>
      </c>
      <c r="H277" s="1092">
        <v>0</v>
      </c>
      <c r="I277" s="1092">
        <v>0</v>
      </c>
      <c r="J277" s="1092">
        <v>0</v>
      </c>
      <c r="K277" s="1092">
        <v>0</v>
      </c>
      <c r="L277" s="1092">
        <v>0</v>
      </c>
      <c r="M277" s="1092">
        <v>0</v>
      </c>
      <c r="N277" s="27">
        <f t="shared" si="38"/>
        <v>0</v>
      </c>
    </row>
    <row r="278" spans="1:14">
      <c r="A278" s="78" t="s">
        <v>122</v>
      </c>
      <c r="B278" s="1092">
        <v>0</v>
      </c>
      <c r="C278" s="1092">
        <v>0</v>
      </c>
      <c r="D278" s="1092">
        <v>0</v>
      </c>
      <c r="E278" s="1092">
        <v>0</v>
      </c>
      <c r="F278" s="1092">
        <v>0</v>
      </c>
      <c r="G278" s="1092">
        <v>0</v>
      </c>
      <c r="H278" s="1092">
        <v>0</v>
      </c>
      <c r="I278" s="1092">
        <v>0</v>
      </c>
      <c r="J278" s="1092">
        <v>0</v>
      </c>
      <c r="K278" s="1092">
        <v>0</v>
      </c>
      <c r="L278" s="1092">
        <v>0</v>
      </c>
      <c r="M278" s="1092">
        <v>0</v>
      </c>
      <c r="N278" s="27">
        <f t="shared" si="38"/>
        <v>0</v>
      </c>
    </row>
    <row r="279" spans="1:14" hidden="1">
      <c r="A279" s="32" t="s">
        <v>102</v>
      </c>
      <c r="B279" s="1092"/>
      <c r="C279" s="1092"/>
      <c r="D279" s="1092"/>
      <c r="E279" s="1092"/>
      <c r="F279" s="1092"/>
      <c r="G279" s="1092"/>
      <c r="H279" s="1092"/>
      <c r="I279" s="1092"/>
      <c r="J279" s="1092"/>
      <c r="K279" s="1092"/>
      <c r="L279" s="1092"/>
      <c r="M279" s="1092"/>
      <c r="N279" s="27">
        <f t="shared" si="38"/>
        <v>0</v>
      </c>
    </row>
    <row r="280" spans="1:14">
      <c r="A280" s="78" t="s">
        <v>184</v>
      </c>
      <c r="B280" s="1092">
        <v>0</v>
      </c>
      <c r="C280" s="1092">
        <v>0</v>
      </c>
      <c r="D280" s="1092">
        <v>0</v>
      </c>
      <c r="E280" s="1092">
        <v>0</v>
      </c>
      <c r="F280" s="1092">
        <v>0</v>
      </c>
      <c r="G280" s="1092">
        <v>0</v>
      </c>
      <c r="H280" s="1092">
        <v>0</v>
      </c>
      <c r="I280" s="1092">
        <v>0</v>
      </c>
      <c r="J280" s="1092">
        <v>0</v>
      </c>
      <c r="K280" s="1092">
        <v>0</v>
      </c>
      <c r="L280" s="1092">
        <v>0</v>
      </c>
      <c r="M280" s="1092">
        <v>0</v>
      </c>
      <c r="N280" s="27">
        <f t="shared" si="38"/>
        <v>0</v>
      </c>
    </row>
    <row r="281" spans="1:14">
      <c r="A281" s="78" t="s">
        <v>187</v>
      </c>
      <c r="B281" s="1092">
        <v>0</v>
      </c>
      <c r="C281" s="1092">
        <v>0</v>
      </c>
      <c r="D281" s="1092">
        <v>0</v>
      </c>
      <c r="E281" s="1092">
        <v>0</v>
      </c>
      <c r="F281" s="1092">
        <v>0</v>
      </c>
      <c r="G281" s="1092">
        <v>0</v>
      </c>
      <c r="H281" s="1092">
        <v>0</v>
      </c>
      <c r="I281" s="1092">
        <v>0</v>
      </c>
      <c r="J281" s="1092">
        <v>0</v>
      </c>
      <c r="K281" s="1092">
        <v>0</v>
      </c>
      <c r="L281" s="1092">
        <v>0</v>
      </c>
      <c r="M281" s="1092">
        <v>0</v>
      </c>
      <c r="N281" s="27">
        <f t="shared" si="38"/>
        <v>0</v>
      </c>
    </row>
    <row r="282" spans="1:14">
      <c r="A282" s="78" t="s">
        <v>188</v>
      </c>
      <c r="B282" s="1092">
        <v>0</v>
      </c>
      <c r="C282" s="1092">
        <v>0</v>
      </c>
      <c r="D282" s="1092">
        <v>0</v>
      </c>
      <c r="E282" s="1092">
        <v>0</v>
      </c>
      <c r="F282" s="1092">
        <v>0</v>
      </c>
      <c r="G282" s="1092">
        <v>0</v>
      </c>
      <c r="H282" s="1092">
        <v>0</v>
      </c>
      <c r="I282" s="1092">
        <v>0</v>
      </c>
      <c r="J282" s="1092">
        <v>0</v>
      </c>
      <c r="K282" s="1092">
        <v>0</v>
      </c>
      <c r="L282" s="1092">
        <v>0</v>
      </c>
      <c r="M282" s="1092">
        <v>0</v>
      </c>
      <c r="N282" s="27">
        <f t="shared" si="38"/>
        <v>0</v>
      </c>
    </row>
    <row r="283" spans="1:14" ht="14" thickBot="1">
      <c r="A283" s="78" t="s">
        <v>213</v>
      </c>
      <c r="B283" s="1092">
        <v>12</v>
      </c>
      <c r="C283" s="1092">
        <v>0</v>
      </c>
      <c r="D283" s="1092">
        <v>0</v>
      </c>
      <c r="E283" s="1092">
        <v>0</v>
      </c>
      <c r="F283" s="1092">
        <v>0</v>
      </c>
      <c r="G283" s="1092">
        <v>0</v>
      </c>
      <c r="H283" s="1092">
        <v>0</v>
      </c>
      <c r="I283" s="1092">
        <v>0</v>
      </c>
      <c r="J283" s="1092">
        <v>0</v>
      </c>
      <c r="K283" s="1092">
        <v>0</v>
      </c>
      <c r="L283" s="1092">
        <v>0</v>
      </c>
      <c r="M283" s="1092">
        <v>0</v>
      </c>
      <c r="N283" s="27">
        <f t="shared" si="38"/>
        <v>12</v>
      </c>
    </row>
    <row r="284" spans="1:14" ht="14" thickBot="1">
      <c r="A284" s="38" t="s">
        <v>192</v>
      </c>
      <c r="B284" s="39"/>
      <c r="C284" s="39"/>
      <c r="D284" s="39"/>
      <c r="E284" s="39"/>
      <c r="F284" s="39"/>
      <c r="G284" s="39"/>
      <c r="H284" s="39"/>
      <c r="I284" s="39"/>
      <c r="J284" s="39"/>
      <c r="K284" s="39"/>
      <c r="L284" s="39"/>
      <c r="M284" s="39"/>
      <c r="N284" s="40"/>
    </row>
    <row r="285" spans="1:14" hidden="1">
      <c r="A285" s="78" t="s">
        <v>167</v>
      </c>
      <c r="B285" s="168"/>
      <c r="C285" s="168"/>
      <c r="D285" s="168"/>
      <c r="E285" s="168"/>
      <c r="F285" s="168"/>
      <c r="G285" s="168"/>
      <c r="H285" s="168"/>
      <c r="I285" s="168"/>
      <c r="J285" s="168"/>
      <c r="K285" s="168"/>
      <c r="L285" s="168"/>
      <c r="M285" s="168"/>
      <c r="N285" s="27"/>
    </row>
    <row r="286" spans="1:14" ht="14" thickBot="1">
      <c r="A286" s="32" t="s">
        <v>165</v>
      </c>
      <c r="B286" s="1092">
        <v>400</v>
      </c>
      <c r="C286" s="1092">
        <v>0</v>
      </c>
      <c r="D286" s="1092">
        <v>0</v>
      </c>
      <c r="E286" s="1092">
        <v>0</v>
      </c>
      <c r="F286" s="1092">
        <v>0</v>
      </c>
      <c r="G286" s="1092">
        <v>0</v>
      </c>
      <c r="H286" s="1092">
        <v>0</v>
      </c>
      <c r="I286" s="1092">
        <v>0</v>
      </c>
      <c r="J286" s="1092">
        <v>0</v>
      </c>
      <c r="K286" s="1092">
        <v>0</v>
      </c>
      <c r="L286" s="1092">
        <v>0</v>
      </c>
      <c r="M286" s="1092">
        <v>0</v>
      </c>
      <c r="N286" s="27">
        <f>SUM(B286:M286)</f>
        <v>400</v>
      </c>
    </row>
    <row r="287" spans="1:14" ht="14" thickBot="1">
      <c r="A287" s="53" t="s">
        <v>60</v>
      </c>
      <c r="B287" s="55">
        <f t="shared" ref="B287:H287" si="39">SUM(B270:B286)</f>
        <v>412</v>
      </c>
      <c r="C287" s="55">
        <f t="shared" si="39"/>
        <v>0</v>
      </c>
      <c r="D287" s="55">
        <f t="shared" si="39"/>
        <v>1</v>
      </c>
      <c r="E287" s="55">
        <f t="shared" si="39"/>
        <v>0</v>
      </c>
      <c r="F287" s="55">
        <f t="shared" si="39"/>
        <v>0</v>
      </c>
      <c r="G287" s="55">
        <f t="shared" si="39"/>
        <v>0</v>
      </c>
      <c r="H287" s="55">
        <f t="shared" si="39"/>
        <v>28</v>
      </c>
      <c r="I287" s="55">
        <f t="shared" ref="I287:N287" si="40">SUM(I270:I286)</f>
        <v>0</v>
      </c>
      <c r="J287" s="55">
        <f t="shared" si="40"/>
        <v>0</v>
      </c>
      <c r="K287" s="55">
        <f t="shared" si="40"/>
        <v>0</v>
      </c>
      <c r="L287" s="55">
        <f t="shared" si="40"/>
        <v>0</v>
      </c>
      <c r="M287" s="55">
        <f t="shared" si="40"/>
        <v>0</v>
      </c>
      <c r="N287" s="54">
        <f t="shared" si="40"/>
        <v>441</v>
      </c>
    </row>
    <row r="289" spans="1:14" ht="14" thickBot="1">
      <c r="B289" s="43" t="s">
        <v>35</v>
      </c>
      <c r="C289" s="43" t="s">
        <v>36</v>
      </c>
      <c r="D289" s="43" t="s">
        <v>37</v>
      </c>
      <c r="E289" s="43" t="s">
        <v>38</v>
      </c>
      <c r="F289" s="43" t="s">
        <v>39</v>
      </c>
      <c r="G289" s="43" t="s">
        <v>40</v>
      </c>
      <c r="H289" s="43" t="s">
        <v>41</v>
      </c>
      <c r="I289" s="43" t="s">
        <v>42</v>
      </c>
      <c r="J289" s="43" t="s">
        <v>43</v>
      </c>
      <c r="K289" s="43" t="s">
        <v>44</v>
      </c>
      <c r="L289" s="43" t="s">
        <v>45</v>
      </c>
      <c r="M289" s="43" t="s">
        <v>46</v>
      </c>
      <c r="N289" s="43" t="s">
        <v>10</v>
      </c>
    </row>
    <row r="290" spans="1:14" ht="17" thickBot="1">
      <c r="A290" s="31" t="s">
        <v>263</v>
      </c>
      <c r="B290" s="24"/>
      <c r="C290" s="24"/>
      <c r="D290" s="22"/>
      <c r="E290" s="22"/>
      <c r="F290" s="25"/>
      <c r="G290" s="25"/>
      <c r="H290" s="22"/>
      <c r="I290" s="22"/>
      <c r="J290" s="22"/>
      <c r="K290" s="22"/>
      <c r="L290" s="24"/>
      <c r="M290" s="24"/>
      <c r="N290" s="26"/>
    </row>
    <row r="291" spans="1:14" ht="14" thickBot="1">
      <c r="A291" s="38" t="s">
        <v>189</v>
      </c>
      <c r="B291" s="39"/>
      <c r="C291" s="39"/>
      <c r="D291" s="39"/>
      <c r="E291" s="39"/>
      <c r="F291" s="39"/>
      <c r="G291" s="39"/>
      <c r="H291" s="39"/>
      <c r="I291" s="39"/>
      <c r="J291" s="39"/>
      <c r="K291" s="39"/>
      <c r="L291" s="39"/>
      <c r="M291" s="39"/>
      <c r="N291" s="40"/>
    </row>
    <row r="292" spans="1:14">
      <c r="A292" s="32" t="s">
        <v>29</v>
      </c>
      <c r="B292" s="1092">
        <v>22</v>
      </c>
      <c r="C292" s="1092">
        <v>14</v>
      </c>
      <c r="D292" s="1092">
        <v>27</v>
      </c>
      <c r="E292" s="1092">
        <v>96</v>
      </c>
      <c r="F292" s="1092">
        <v>2</v>
      </c>
      <c r="G292" s="1092">
        <v>8</v>
      </c>
      <c r="H292" s="1092">
        <v>7</v>
      </c>
      <c r="I292" s="1092">
        <v>9</v>
      </c>
      <c r="J292" s="1092">
        <v>9</v>
      </c>
      <c r="K292" s="1092">
        <v>0</v>
      </c>
      <c r="L292" s="1092">
        <v>1</v>
      </c>
      <c r="M292" s="1092">
        <v>2</v>
      </c>
      <c r="N292" s="27">
        <f>SUM(B292:M292)</f>
        <v>197</v>
      </c>
    </row>
    <row r="293" spans="1:14">
      <c r="A293" s="32" t="s">
        <v>33</v>
      </c>
      <c r="B293" s="1092">
        <v>6</v>
      </c>
      <c r="C293" s="1092">
        <v>10</v>
      </c>
      <c r="D293" s="1092">
        <v>9</v>
      </c>
      <c r="E293" s="1092">
        <v>10</v>
      </c>
      <c r="F293" s="1092">
        <v>6</v>
      </c>
      <c r="G293" s="1092">
        <v>2</v>
      </c>
      <c r="H293" s="1092">
        <v>1</v>
      </c>
      <c r="I293" s="1092">
        <v>5</v>
      </c>
      <c r="J293" s="1092">
        <v>3</v>
      </c>
      <c r="K293" s="1092">
        <v>3</v>
      </c>
      <c r="L293" s="1092">
        <v>3</v>
      </c>
      <c r="M293" s="1092">
        <v>13</v>
      </c>
      <c r="N293" s="27">
        <f t="shared" ref="N293:N302" si="41">SUM(B293:M293)</f>
        <v>71</v>
      </c>
    </row>
    <row r="294" spans="1:14">
      <c r="A294" s="32" t="s">
        <v>56</v>
      </c>
      <c r="B294" s="1092">
        <v>0</v>
      </c>
      <c r="C294" s="1092">
        <v>0</v>
      </c>
      <c r="D294" s="1092">
        <v>36</v>
      </c>
      <c r="E294" s="1092">
        <v>50</v>
      </c>
      <c r="F294" s="1092">
        <v>0</v>
      </c>
      <c r="G294" s="1092">
        <v>0</v>
      </c>
      <c r="H294" s="1092">
        <v>0</v>
      </c>
      <c r="I294" s="1092">
        <v>0</v>
      </c>
      <c r="J294" s="1092">
        <v>0</v>
      </c>
      <c r="K294" s="1092">
        <v>0</v>
      </c>
      <c r="L294" s="1092">
        <v>0</v>
      </c>
      <c r="M294" s="1092">
        <v>0</v>
      </c>
      <c r="N294" s="27">
        <f t="shared" si="41"/>
        <v>86</v>
      </c>
    </row>
    <row r="295" spans="1:14">
      <c r="A295" s="78" t="s">
        <v>30</v>
      </c>
      <c r="B295" s="1092">
        <v>0</v>
      </c>
      <c r="C295" s="1092">
        <v>2</v>
      </c>
      <c r="D295" s="1092">
        <v>1</v>
      </c>
      <c r="E295" s="1092">
        <v>9</v>
      </c>
      <c r="F295" s="1092">
        <v>1</v>
      </c>
      <c r="G295" s="1092">
        <v>0</v>
      </c>
      <c r="H295" s="1092">
        <v>1</v>
      </c>
      <c r="I295" s="1092">
        <v>0</v>
      </c>
      <c r="J295" s="1092">
        <v>4</v>
      </c>
      <c r="K295" s="1092">
        <v>0</v>
      </c>
      <c r="L295" s="1092">
        <v>3</v>
      </c>
      <c r="M295" s="1092">
        <v>0</v>
      </c>
      <c r="N295" s="27">
        <f t="shared" si="41"/>
        <v>21</v>
      </c>
    </row>
    <row r="296" spans="1:14">
      <c r="A296" s="76" t="s">
        <v>213</v>
      </c>
      <c r="B296" s="1092">
        <v>0</v>
      </c>
      <c r="C296" s="1092">
        <v>1</v>
      </c>
      <c r="D296" s="1092">
        <v>7</v>
      </c>
      <c r="E296" s="1092">
        <v>1</v>
      </c>
      <c r="F296" s="1092">
        <v>2</v>
      </c>
      <c r="G296" s="1092">
        <v>13</v>
      </c>
      <c r="H296" s="1092">
        <v>32</v>
      </c>
      <c r="I296" s="1092">
        <v>24</v>
      </c>
      <c r="J296" s="1092">
        <v>23</v>
      </c>
      <c r="K296" s="1092">
        <v>5</v>
      </c>
      <c r="L296" s="1092">
        <v>0</v>
      </c>
      <c r="M296" s="1092">
        <v>0</v>
      </c>
      <c r="N296" s="27">
        <f t="shared" si="41"/>
        <v>108</v>
      </c>
    </row>
    <row r="297" spans="1:14">
      <c r="A297" s="76" t="s">
        <v>212</v>
      </c>
      <c r="B297" s="1092">
        <v>2</v>
      </c>
      <c r="C297" s="1092">
        <v>14</v>
      </c>
      <c r="D297" s="1092">
        <v>7</v>
      </c>
      <c r="E297" s="1092">
        <v>17</v>
      </c>
      <c r="F297" s="1092">
        <v>2</v>
      </c>
      <c r="G297" s="1092">
        <v>1</v>
      </c>
      <c r="H297" s="1092">
        <v>4</v>
      </c>
      <c r="I297" s="1092">
        <v>0</v>
      </c>
      <c r="J297" s="1092">
        <v>32</v>
      </c>
      <c r="K297" s="1092">
        <v>3</v>
      </c>
      <c r="L297" s="1092">
        <v>15</v>
      </c>
      <c r="M297" s="1092">
        <v>0</v>
      </c>
      <c r="N297" s="27">
        <f t="shared" si="41"/>
        <v>97</v>
      </c>
    </row>
    <row r="298" spans="1:14" ht="14" thickBot="1">
      <c r="A298" s="76" t="s">
        <v>267</v>
      </c>
      <c r="B298" s="1092">
        <v>0</v>
      </c>
      <c r="C298" s="1092">
        <v>1</v>
      </c>
      <c r="D298" s="1092">
        <v>0</v>
      </c>
      <c r="E298" s="1092">
        <v>0</v>
      </c>
      <c r="F298" s="1092">
        <v>0</v>
      </c>
      <c r="G298" s="1092">
        <v>0</v>
      </c>
      <c r="H298" s="1092">
        <v>0</v>
      </c>
      <c r="I298" s="1092">
        <v>0</v>
      </c>
      <c r="J298" s="1092">
        <v>0</v>
      </c>
      <c r="K298" s="1092">
        <v>0</v>
      </c>
      <c r="L298" s="1092">
        <v>0</v>
      </c>
      <c r="M298" s="1092">
        <v>0</v>
      </c>
      <c r="N298" s="27">
        <f t="shared" si="41"/>
        <v>1</v>
      </c>
    </row>
    <row r="299" spans="1:14" ht="14" thickBot="1">
      <c r="A299" s="38" t="s">
        <v>190</v>
      </c>
      <c r="B299" s="281"/>
      <c r="C299" s="39"/>
      <c r="D299" s="39"/>
      <c r="E299" s="39"/>
      <c r="F299" s="39"/>
      <c r="G299" s="39"/>
      <c r="H299" s="39"/>
      <c r="I299" s="39"/>
      <c r="J299" s="39"/>
      <c r="K299" s="39"/>
      <c r="L299" s="39"/>
      <c r="M299" s="39"/>
      <c r="N299" s="280"/>
    </row>
    <row r="300" spans="1:14">
      <c r="A300" s="76" t="s">
        <v>165</v>
      </c>
      <c r="B300" s="1092">
        <v>0</v>
      </c>
      <c r="C300" s="1092">
        <v>0</v>
      </c>
      <c r="D300" s="1092">
        <v>0</v>
      </c>
      <c r="E300" s="1092">
        <v>0</v>
      </c>
      <c r="F300" s="1092">
        <v>0</v>
      </c>
      <c r="G300" s="1092">
        <v>0</v>
      </c>
      <c r="H300" s="1092">
        <v>0</v>
      </c>
      <c r="I300" s="1092">
        <v>0</v>
      </c>
      <c r="J300" s="1092">
        <v>0</v>
      </c>
      <c r="K300" s="1092">
        <v>0</v>
      </c>
      <c r="L300" s="1092">
        <v>0</v>
      </c>
      <c r="M300" s="1092">
        <v>300</v>
      </c>
      <c r="N300" s="27">
        <f t="shared" si="41"/>
        <v>300</v>
      </c>
    </row>
    <row r="301" spans="1:14">
      <c r="A301" s="76" t="s">
        <v>166</v>
      </c>
      <c r="B301" s="1092">
        <v>0</v>
      </c>
      <c r="C301" s="1092">
        <v>0</v>
      </c>
      <c r="D301" s="1092">
        <v>0</v>
      </c>
      <c r="E301" s="1092">
        <v>0</v>
      </c>
      <c r="F301" s="1092">
        <v>1</v>
      </c>
      <c r="G301" s="1092">
        <v>18</v>
      </c>
      <c r="H301" s="1092">
        <v>25</v>
      </c>
      <c r="I301" s="1092">
        <v>6</v>
      </c>
      <c r="J301" s="1092">
        <v>2</v>
      </c>
      <c r="K301" s="1092">
        <v>0</v>
      </c>
      <c r="L301" s="1092">
        <v>0</v>
      </c>
      <c r="M301" s="1092">
        <v>0</v>
      </c>
      <c r="N301" s="27">
        <f t="shared" si="41"/>
        <v>52</v>
      </c>
    </row>
    <row r="302" spans="1:14">
      <c r="A302" s="76" t="s">
        <v>193</v>
      </c>
      <c r="B302" s="1092">
        <v>6</v>
      </c>
      <c r="C302" s="1092">
        <v>1</v>
      </c>
      <c r="D302" s="1092">
        <v>0</v>
      </c>
      <c r="E302" s="1092">
        <v>0</v>
      </c>
      <c r="F302" s="1092">
        <v>0</v>
      </c>
      <c r="G302" s="1092">
        <v>0</v>
      </c>
      <c r="H302" s="1092">
        <v>0</v>
      </c>
      <c r="I302" s="1092">
        <v>0</v>
      </c>
      <c r="J302" s="1092">
        <v>0</v>
      </c>
      <c r="K302" s="1092">
        <v>0</v>
      </c>
      <c r="L302" s="1092">
        <v>0</v>
      </c>
      <c r="M302" s="1092">
        <v>0</v>
      </c>
      <c r="N302" s="27">
        <f t="shared" si="41"/>
        <v>7</v>
      </c>
    </row>
    <row r="303" spans="1:14" ht="14" thickBot="1">
      <c r="A303" s="76" t="s">
        <v>266</v>
      </c>
      <c r="B303" s="1092">
        <v>0</v>
      </c>
      <c r="C303" s="1092">
        <v>0</v>
      </c>
      <c r="D303" s="1092">
        <v>0</v>
      </c>
      <c r="E303" s="1092">
        <v>0</v>
      </c>
      <c r="F303" s="1092">
        <v>0</v>
      </c>
      <c r="G303" s="1092">
        <v>0</v>
      </c>
      <c r="H303" s="1092">
        <v>0</v>
      </c>
      <c r="I303" s="1092">
        <v>0</v>
      </c>
      <c r="J303" s="1092">
        <v>0</v>
      </c>
      <c r="K303" s="1092">
        <v>0</v>
      </c>
      <c r="L303" s="1092">
        <v>0</v>
      </c>
      <c r="M303" s="1092">
        <v>0</v>
      </c>
      <c r="N303" s="27">
        <f>SUM(B303:M303)</f>
        <v>0</v>
      </c>
    </row>
    <row r="304" spans="1:14" ht="14" thickBot="1">
      <c r="A304" s="53" t="s">
        <v>60</v>
      </c>
      <c r="B304" s="55">
        <f t="shared" ref="B304:L304" si="42">SUM(B292:B303)</f>
        <v>36</v>
      </c>
      <c r="C304" s="55">
        <f t="shared" si="42"/>
        <v>43</v>
      </c>
      <c r="D304" s="55">
        <f t="shared" si="42"/>
        <v>87</v>
      </c>
      <c r="E304" s="55">
        <f t="shared" si="42"/>
        <v>183</v>
      </c>
      <c r="F304" s="55">
        <f t="shared" si="42"/>
        <v>14</v>
      </c>
      <c r="G304" s="55">
        <f t="shared" si="42"/>
        <v>42</v>
      </c>
      <c r="H304" s="55">
        <f t="shared" si="42"/>
        <v>70</v>
      </c>
      <c r="I304" s="55">
        <f t="shared" si="42"/>
        <v>44</v>
      </c>
      <c r="J304" s="55">
        <f t="shared" si="42"/>
        <v>73</v>
      </c>
      <c r="K304" s="55">
        <f t="shared" si="42"/>
        <v>11</v>
      </c>
      <c r="L304" s="55">
        <f t="shared" si="42"/>
        <v>22</v>
      </c>
      <c r="M304" s="55">
        <f>SUM(M292:M303)</f>
        <v>315</v>
      </c>
      <c r="N304" s="54">
        <f>SUM(N292:N303)</f>
        <v>940</v>
      </c>
    </row>
    <row r="305" spans="1:14" ht="14" thickBot="1">
      <c r="A305" s="53"/>
      <c r="B305" s="55"/>
      <c r="C305" s="55"/>
      <c r="D305" s="55"/>
      <c r="E305" s="55"/>
      <c r="F305" s="55"/>
      <c r="G305" s="55"/>
      <c r="H305" s="55"/>
      <c r="I305" s="55"/>
      <c r="J305" s="55"/>
      <c r="K305" s="55"/>
      <c r="L305" s="55"/>
      <c r="M305" s="55"/>
      <c r="N305" s="54"/>
    </row>
    <row r="306" spans="1:14" ht="14" thickBot="1">
      <c r="A306" s="38" t="s">
        <v>194</v>
      </c>
      <c r="B306" s="39"/>
      <c r="C306" s="39"/>
      <c r="D306" s="39"/>
      <c r="E306" s="39"/>
      <c r="F306" s="39"/>
      <c r="G306" s="39"/>
      <c r="H306" s="39"/>
      <c r="I306" s="39"/>
      <c r="J306" s="39"/>
      <c r="K306" s="39"/>
      <c r="L306" s="39"/>
      <c r="M306" s="39"/>
      <c r="N306" s="40"/>
    </row>
    <row r="307" spans="1:14">
      <c r="A307" s="32" t="s">
        <v>29</v>
      </c>
      <c r="B307" s="1092">
        <v>0</v>
      </c>
      <c r="C307" s="1092">
        <v>0</v>
      </c>
      <c r="D307" s="1092">
        <v>0</v>
      </c>
      <c r="E307" s="1092">
        <v>203</v>
      </c>
      <c r="F307" s="1092">
        <v>18</v>
      </c>
      <c r="G307" s="1092">
        <v>0</v>
      </c>
      <c r="H307" s="1092">
        <v>72</v>
      </c>
      <c r="I307" s="1092">
        <v>0</v>
      </c>
      <c r="J307" s="1092">
        <v>252</v>
      </c>
      <c r="K307" s="1092">
        <v>0</v>
      </c>
      <c r="L307" s="1092">
        <v>0</v>
      </c>
      <c r="M307" s="1092">
        <v>0</v>
      </c>
      <c r="N307" s="27">
        <f>SUM(B307:M307)</f>
        <v>545</v>
      </c>
    </row>
    <row r="308" spans="1:14">
      <c r="A308" s="78" t="s">
        <v>264</v>
      </c>
      <c r="B308" s="1092">
        <v>0</v>
      </c>
      <c r="C308" s="1092">
        <v>0</v>
      </c>
      <c r="D308" s="1092">
        <v>0</v>
      </c>
      <c r="E308" s="1092">
        <v>0</v>
      </c>
      <c r="F308" s="1092">
        <v>0</v>
      </c>
      <c r="G308" s="1092">
        <v>0</v>
      </c>
      <c r="H308" s="1092">
        <v>0</v>
      </c>
      <c r="I308" s="1092">
        <v>0</v>
      </c>
      <c r="J308" s="1092">
        <v>0</v>
      </c>
      <c r="K308" s="1092">
        <v>0</v>
      </c>
      <c r="L308" s="1092">
        <v>0</v>
      </c>
      <c r="M308" s="1092">
        <v>0</v>
      </c>
      <c r="N308" s="27">
        <f t="shared" ref="N308:N317" si="43">SUM(B308:M308)</f>
        <v>0</v>
      </c>
    </row>
    <row r="309" spans="1:14">
      <c r="A309" s="34" t="s">
        <v>204</v>
      </c>
      <c r="B309" s="1092">
        <v>0</v>
      </c>
      <c r="C309" s="1092">
        <v>0</v>
      </c>
      <c r="D309" s="1092">
        <v>0</v>
      </c>
      <c r="E309" s="1092">
        <v>0</v>
      </c>
      <c r="F309" s="1092">
        <v>0</v>
      </c>
      <c r="G309" s="1092">
        <v>0</v>
      </c>
      <c r="H309" s="1092">
        <v>0</v>
      </c>
      <c r="I309" s="1092">
        <v>0</v>
      </c>
      <c r="J309" s="1092">
        <v>0</v>
      </c>
      <c r="K309" s="1092">
        <v>0</v>
      </c>
      <c r="L309" s="1092">
        <v>0</v>
      </c>
      <c r="M309" s="1092">
        <v>0</v>
      </c>
      <c r="N309" s="27">
        <f t="shared" si="43"/>
        <v>0</v>
      </c>
    </row>
    <row r="310" spans="1:14">
      <c r="A310" s="76" t="s">
        <v>30</v>
      </c>
      <c r="B310" s="1092">
        <v>0</v>
      </c>
      <c r="C310" s="1092">
        <v>0</v>
      </c>
      <c r="D310" s="1092">
        <v>0</v>
      </c>
      <c r="E310" s="1092">
        <v>0</v>
      </c>
      <c r="F310" s="1092">
        <v>0</v>
      </c>
      <c r="G310" s="1092">
        <v>1</v>
      </c>
      <c r="H310" s="1092">
        <v>0</v>
      </c>
      <c r="I310" s="1092">
        <v>0</v>
      </c>
      <c r="J310" s="1092">
        <v>0</v>
      </c>
      <c r="K310" s="1092">
        <v>0</v>
      </c>
      <c r="L310" s="1092">
        <v>1</v>
      </c>
      <c r="M310" s="1092">
        <v>0</v>
      </c>
      <c r="N310" s="27">
        <f t="shared" si="43"/>
        <v>2</v>
      </c>
    </row>
    <row r="311" spans="1:14">
      <c r="A311" s="32" t="s">
        <v>56</v>
      </c>
      <c r="B311" s="1092">
        <v>0</v>
      </c>
      <c r="C311" s="1092">
        <v>0</v>
      </c>
      <c r="D311" s="1092">
        <v>0</v>
      </c>
      <c r="E311" s="1092">
        <v>0</v>
      </c>
      <c r="F311" s="1092">
        <v>0</v>
      </c>
      <c r="G311" s="1092">
        <v>0</v>
      </c>
      <c r="H311" s="1092">
        <v>0</v>
      </c>
      <c r="I311" s="1092">
        <v>0</v>
      </c>
      <c r="J311" s="1092">
        <v>0</v>
      </c>
      <c r="K311" s="1092">
        <v>0</v>
      </c>
      <c r="L311" s="1092">
        <v>1881</v>
      </c>
      <c r="M311" s="1092">
        <v>0</v>
      </c>
      <c r="N311" s="27">
        <f t="shared" si="43"/>
        <v>1881</v>
      </c>
    </row>
    <row r="312" spans="1:14">
      <c r="A312" s="78" t="s">
        <v>122</v>
      </c>
      <c r="B312" s="1092">
        <v>0</v>
      </c>
      <c r="C312" s="1092">
        <v>0</v>
      </c>
      <c r="D312" s="1092">
        <v>0</v>
      </c>
      <c r="E312" s="1092">
        <v>0</v>
      </c>
      <c r="F312" s="1092">
        <v>0</v>
      </c>
      <c r="G312" s="1092">
        <v>0</v>
      </c>
      <c r="H312" s="1092">
        <v>0</v>
      </c>
      <c r="I312" s="1092">
        <v>0</v>
      </c>
      <c r="J312" s="1092">
        <v>0</v>
      </c>
      <c r="K312" s="1092">
        <v>0</v>
      </c>
      <c r="L312" s="1092">
        <v>0</v>
      </c>
      <c r="M312" s="1092">
        <v>0</v>
      </c>
      <c r="N312" s="27">
        <f t="shared" si="43"/>
        <v>0</v>
      </c>
    </row>
    <row r="313" spans="1:14">
      <c r="A313" s="78" t="s">
        <v>184</v>
      </c>
      <c r="B313" s="1092">
        <v>0</v>
      </c>
      <c r="C313" s="1092">
        <v>0</v>
      </c>
      <c r="D313" s="1092">
        <v>0</v>
      </c>
      <c r="E313" s="1092">
        <v>0</v>
      </c>
      <c r="F313" s="1092">
        <v>0</v>
      </c>
      <c r="G313" s="1092">
        <v>0</v>
      </c>
      <c r="H313" s="1092">
        <v>0</v>
      </c>
      <c r="I313" s="1092">
        <v>0</v>
      </c>
      <c r="J313" s="1092">
        <v>0</v>
      </c>
      <c r="K313" s="1092">
        <v>0</v>
      </c>
      <c r="L313" s="1092">
        <v>0</v>
      </c>
      <c r="M313" s="1092">
        <v>0</v>
      </c>
      <c r="N313" s="27">
        <f t="shared" si="43"/>
        <v>0</v>
      </c>
    </row>
    <row r="314" spans="1:14">
      <c r="A314" s="78" t="s">
        <v>187</v>
      </c>
      <c r="B314" s="1092">
        <v>0</v>
      </c>
      <c r="C314" s="1092">
        <v>0</v>
      </c>
      <c r="D314" s="1092">
        <v>0</v>
      </c>
      <c r="E314" s="1092">
        <v>0</v>
      </c>
      <c r="F314" s="1092">
        <v>0</v>
      </c>
      <c r="G314" s="1092">
        <v>0</v>
      </c>
      <c r="H314" s="1092">
        <v>0</v>
      </c>
      <c r="I314" s="1092">
        <v>0</v>
      </c>
      <c r="J314" s="1092">
        <v>0</v>
      </c>
      <c r="K314" s="1092">
        <v>0</v>
      </c>
      <c r="L314" s="1092">
        <v>0</v>
      </c>
      <c r="M314" s="1092">
        <v>210</v>
      </c>
      <c r="N314" s="27">
        <f t="shared" si="43"/>
        <v>210</v>
      </c>
    </row>
    <row r="315" spans="1:14">
      <c r="A315" s="78" t="s">
        <v>188</v>
      </c>
      <c r="B315" s="1092">
        <v>0</v>
      </c>
      <c r="C315" s="1092">
        <v>0</v>
      </c>
      <c r="D315" s="1092">
        <v>0</v>
      </c>
      <c r="E315" s="1092">
        <v>0</v>
      </c>
      <c r="F315" s="1092">
        <v>0</v>
      </c>
      <c r="G315" s="1092">
        <v>0</v>
      </c>
      <c r="H315" s="1092">
        <v>0</v>
      </c>
      <c r="I315" s="1092">
        <v>0</v>
      </c>
      <c r="J315" s="1092">
        <v>0</v>
      </c>
      <c r="K315" s="1092">
        <v>0</v>
      </c>
      <c r="L315" s="1092">
        <v>0</v>
      </c>
      <c r="M315" s="1092">
        <v>0</v>
      </c>
      <c r="N315" s="27">
        <f t="shared" si="43"/>
        <v>0</v>
      </c>
    </row>
    <row r="316" spans="1:14">
      <c r="A316" s="78" t="s">
        <v>213</v>
      </c>
      <c r="B316" s="1092">
        <v>0</v>
      </c>
      <c r="C316" s="1092">
        <v>0</v>
      </c>
      <c r="D316" s="1092">
        <v>0</v>
      </c>
      <c r="E316" s="1092">
        <v>0</v>
      </c>
      <c r="F316" s="1092">
        <v>0</v>
      </c>
      <c r="G316" s="1092">
        <v>1</v>
      </c>
      <c r="H316" s="1092">
        <v>4</v>
      </c>
      <c r="I316" s="1092">
        <v>1</v>
      </c>
      <c r="J316" s="1092">
        <v>4</v>
      </c>
      <c r="K316" s="1092">
        <v>2</v>
      </c>
      <c r="L316" s="1092">
        <v>0</v>
      </c>
      <c r="M316" s="1092">
        <v>0</v>
      </c>
      <c r="N316" s="27">
        <f t="shared" si="43"/>
        <v>12</v>
      </c>
    </row>
    <row r="317" spans="1:14">
      <c r="A317" s="76" t="s">
        <v>267</v>
      </c>
      <c r="B317" s="1092">
        <v>0</v>
      </c>
      <c r="C317" s="1092">
        <v>0</v>
      </c>
      <c r="D317" s="1092">
        <v>0</v>
      </c>
      <c r="E317" s="1092">
        <v>0</v>
      </c>
      <c r="F317" s="1092">
        <v>0</v>
      </c>
      <c r="G317" s="1092">
        <v>0</v>
      </c>
      <c r="H317" s="1092">
        <v>0</v>
      </c>
      <c r="I317" s="1092">
        <v>0</v>
      </c>
      <c r="J317" s="1092">
        <v>0</v>
      </c>
      <c r="K317" s="1092">
        <v>0</v>
      </c>
      <c r="L317" s="1092">
        <v>1</v>
      </c>
      <c r="M317" s="1092">
        <v>0</v>
      </c>
      <c r="N317" s="27">
        <f t="shared" si="43"/>
        <v>1</v>
      </c>
    </row>
    <row r="318" spans="1:14" ht="14" thickBot="1">
      <c r="A318" s="32" t="s">
        <v>268</v>
      </c>
      <c r="B318" s="1092">
        <v>0</v>
      </c>
      <c r="C318" s="1092">
        <v>0</v>
      </c>
      <c r="D318" s="1092">
        <v>0</v>
      </c>
      <c r="E318" s="1092">
        <v>0</v>
      </c>
      <c r="F318" s="1092">
        <v>0</v>
      </c>
      <c r="G318" s="1092">
        <v>0</v>
      </c>
      <c r="H318" s="1092">
        <v>0</v>
      </c>
      <c r="I318" s="1092">
        <v>0</v>
      </c>
      <c r="J318" s="1092">
        <v>0</v>
      </c>
      <c r="K318" s="1092">
        <v>0</v>
      </c>
      <c r="L318" s="1092">
        <v>0</v>
      </c>
      <c r="M318" s="1092">
        <v>706</v>
      </c>
      <c r="N318" s="27">
        <f>SUM(B318:M318)</f>
        <v>706</v>
      </c>
    </row>
    <row r="319" spans="1:14" ht="14" thickBot="1">
      <c r="A319" s="38" t="s">
        <v>192</v>
      </c>
      <c r="B319" s="39"/>
      <c r="C319" s="39"/>
      <c r="D319" s="39"/>
      <c r="E319" s="39"/>
      <c r="F319" s="39"/>
      <c r="G319" s="39"/>
      <c r="H319" s="39"/>
      <c r="I319" s="39"/>
      <c r="J319" s="39"/>
      <c r="K319" s="39"/>
      <c r="L319" s="39"/>
      <c r="M319" s="39"/>
      <c r="N319" s="280"/>
    </row>
    <row r="320" spans="1:14" ht="14" thickBot="1">
      <c r="A320" s="32" t="s">
        <v>165</v>
      </c>
      <c r="B320" s="1092">
        <v>0</v>
      </c>
      <c r="C320" s="1092">
        <v>0</v>
      </c>
      <c r="D320" s="1092">
        <v>0</v>
      </c>
      <c r="E320" s="1092">
        <v>0</v>
      </c>
      <c r="F320" s="1092">
        <v>0</v>
      </c>
      <c r="G320" s="1092">
        <v>0</v>
      </c>
      <c r="H320" s="1092">
        <v>0</v>
      </c>
      <c r="I320" s="1092">
        <v>0</v>
      </c>
      <c r="J320" s="1092">
        <v>0</v>
      </c>
      <c r="K320" s="1092">
        <v>0</v>
      </c>
      <c r="L320" s="1092">
        <v>0</v>
      </c>
      <c r="M320" s="1092">
        <v>100</v>
      </c>
      <c r="N320" s="27">
        <f>SUM(B320:M320)</f>
        <v>100</v>
      </c>
    </row>
    <row r="321" spans="1:14" ht="14" thickBot="1">
      <c r="A321" s="53" t="s">
        <v>60</v>
      </c>
      <c r="B321" s="55">
        <f t="shared" ref="B321:L321" si="44">SUM(B307:B320)</f>
        <v>0</v>
      </c>
      <c r="C321" s="55">
        <f t="shared" si="44"/>
        <v>0</v>
      </c>
      <c r="D321" s="55">
        <f t="shared" si="44"/>
        <v>0</v>
      </c>
      <c r="E321" s="55">
        <f t="shared" si="44"/>
        <v>203</v>
      </c>
      <c r="F321" s="55">
        <f t="shared" si="44"/>
        <v>18</v>
      </c>
      <c r="G321" s="55">
        <f t="shared" si="44"/>
        <v>2</v>
      </c>
      <c r="H321" s="55">
        <f t="shared" si="44"/>
        <v>76</v>
      </c>
      <c r="I321" s="55">
        <f t="shared" si="44"/>
        <v>1</v>
      </c>
      <c r="J321" s="55">
        <f t="shared" si="44"/>
        <v>256</v>
      </c>
      <c r="K321" s="55">
        <f t="shared" si="44"/>
        <v>2</v>
      </c>
      <c r="L321" s="55">
        <f t="shared" si="44"/>
        <v>1883</v>
      </c>
      <c r="M321" s="55">
        <f>SUM(M307:M320)</f>
        <v>1016</v>
      </c>
      <c r="N321" s="54">
        <f>SUM(N307:N320)</f>
        <v>3457</v>
      </c>
    </row>
    <row r="323" spans="1:14" ht="14" thickBot="1">
      <c r="B323" s="43" t="s">
        <v>35</v>
      </c>
      <c r="C323" s="43" t="s">
        <v>36</v>
      </c>
      <c r="D323" s="43" t="s">
        <v>37</v>
      </c>
      <c r="E323" s="43" t="s">
        <v>38</v>
      </c>
      <c r="F323" s="43" t="s">
        <v>39</v>
      </c>
      <c r="G323" s="43" t="s">
        <v>40</v>
      </c>
      <c r="H323" s="43" t="s">
        <v>41</v>
      </c>
      <c r="I323" s="43" t="s">
        <v>42</v>
      </c>
      <c r="J323" s="43" t="s">
        <v>43</v>
      </c>
      <c r="K323" s="43" t="s">
        <v>44</v>
      </c>
      <c r="L323" s="43" t="s">
        <v>45</v>
      </c>
      <c r="M323" s="43" t="s">
        <v>46</v>
      </c>
      <c r="N323" s="43" t="s">
        <v>10</v>
      </c>
    </row>
    <row r="324" spans="1:14" ht="17" thickBot="1">
      <c r="A324" s="31" t="s">
        <v>317</v>
      </c>
      <c r="B324" s="24"/>
      <c r="C324" s="24"/>
      <c r="D324" s="22"/>
      <c r="E324" s="22"/>
      <c r="F324" s="25"/>
      <c r="G324" s="25"/>
      <c r="H324" s="22"/>
      <c r="I324" s="22"/>
      <c r="J324" s="22"/>
      <c r="K324" s="22"/>
      <c r="L324" s="24"/>
      <c r="M324" s="24"/>
      <c r="N324" s="26"/>
    </row>
    <row r="325" spans="1:14" ht="14" thickBot="1">
      <c r="A325" s="38" t="s">
        <v>189</v>
      </c>
      <c r="B325" s="39"/>
      <c r="C325" s="39"/>
      <c r="D325" s="39"/>
      <c r="E325" s="39"/>
      <c r="F325" s="39"/>
      <c r="G325" s="39"/>
      <c r="H325" s="39"/>
      <c r="I325" s="39"/>
      <c r="J325" s="39"/>
      <c r="K325" s="39"/>
      <c r="L325" s="39"/>
      <c r="M325" s="39"/>
      <c r="N325" s="40"/>
    </row>
    <row r="326" spans="1:14">
      <c r="A326" s="32" t="s">
        <v>29</v>
      </c>
      <c r="B326" s="1092">
        <v>2</v>
      </c>
      <c r="C326" s="1092">
        <v>0</v>
      </c>
      <c r="D326" s="1092">
        <v>6</v>
      </c>
      <c r="E326" s="1092">
        <v>0</v>
      </c>
      <c r="F326" s="1092">
        <v>9</v>
      </c>
      <c r="G326" s="1092">
        <v>0</v>
      </c>
      <c r="H326" s="1092">
        <v>2</v>
      </c>
      <c r="I326" s="1092">
        <v>0</v>
      </c>
      <c r="J326" s="1092">
        <v>0</v>
      </c>
      <c r="K326" s="1092">
        <v>5</v>
      </c>
      <c r="L326" s="1092">
        <v>0</v>
      </c>
      <c r="M326" s="1092">
        <v>0</v>
      </c>
      <c r="N326" s="27">
        <f>SUM(B326:M326)</f>
        <v>24</v>
      </c>
    </row>
    <row r="327" spans="1:14">
      <c r="A327" s="32" t="s">
        <v>33</v>
      </c>
      <c r="B327" s="1092">
        <v>6</v>
      </c>
      <c r="C327" s="1092">
        <v>2</v>
      </c>
      <c r="D327" s="1092">
        <v>3</v>
      </c>
      <c r="E327" s="1092">
        <v>7</v>
      </c>
      <c r="F327" s="1092">
        <v>1</v>
      </c>
      <c r="G327" s="1092">
        <v>0</v>
      </c>
      <c r="H327" s="1092">
        <v>1</v>
      </c>
      <c r="I327" s="1092">
        <v>13</v>
      </c>
      <c r="J327" s="1092">
        <v>10</v>
      </c>
      <c r="K327" s="1092">
        <v>5</v>
      </c>
      <c r="L327" s="1092">
        <v>0</v>
      </c>
      <c r="M327" s="1092">
        <v>4</v>
      </c>
      <c r="N327" s="27">
        <f t="shared" ref="N327:N333" si="45">SUM(B327:M327)</f>
        <v>52</v>
      </c>
    </row>
    <row r="328" spans="1:14">
      <c r="A328" s="32" t="s">
        <v>56</v>
      </c>
      <c r="B328" s="1092">
        <v>0</v>
      </c>
      <c r="C328" s="1092">
        <v>0</v>
      </c>
      <c r="D328" s="1092">
        <v>0</v>
      </c>
      <c r="E328" s="1092">
        <v>0</v>
      </c>
      <c r="F328" s="1092">
        <v>0</v>
      </c>
      <c r="G328" s="1092">
        <v>0</v>
      </c>
      <c r="H328" s="1092">
        <v>0</v>
      </c>
      <c r="I328" s="1092">
        <v>0</v>
      </c>
      <c r="J328" s="1092">
        <v>0</v>
      </c>
      <c r="K328" s="1092">
        <v>0</v>
      </c>
      <c r="L328" s="1092">
        <v>0</v>
      </c>
      <c r="M328" s="1092">
        <v>65</v>
      </c>
      <c r="N328" s="27">
        <f t="shared" si="45"/>
        <v>65</v>
      </c>
    </row>
    <row r="329" spans="1:14">
      <c r="A329" s="78" t="s">
        <v>30</v>
      </c>
      <c r="B329" s="1092">
        <v>7</v>
      </c>
      <c r="C329" s="1092">
        <v>2</v>
      </c>
      <c r="D329" s="1092">
        <v>4</v>
      </c>
      <c r="E329" s="1092">
        <v>2</v>
      </c>
      <c r="F329" s="1092">
        <v>2</v>
      </c>
      <c r="G329" s="1092">
        <v>0</v>
      </c>
      <c r="H329" s="1092">
        <v>1</v>
      </c>
      <c r="I329" s="1092">
        <v>2</v>
      </c>
      <c r="J329" s="1092">
        <v>1</v>
      </c>
      <c r="K329" s="1092">
        <v>0</v>
      </c>
      <c r="L329" s="1092">
        <v>10</v>
      </c>
      <c r="M329" s="1092">
        <v>1</v>
      </c>
      <c r="N329" s="27">
        <f t="shared" si="45"/>
        <v>32</v>
      </c>
    </row>
    <row r="330" spans="1:14">
      <c r="A330" s="76" t="s">
        <v>213</v>
      </c>
      <c r="B330" s="1092">
        <v>0</v>
      </c>
      <c r="C330" s="1092">
        <v>1</v>
      </c>
      <c r="D330" s="1092">
        <v>3</v>
      </c>
      <c r="E330" s="1092">
        <v>3</v>
      </c>
      <c r="F330" s="1092">
        <v>4</v>
      </c>
      <c r="G330" s="1092">
        <v>3</v>
      </c>
      <c r="H330" s="1092">
        <v>4</v>
      </c>
      <c r="I330" s="1092">
        <v>3</v>
      </c>
      <c r="J330" s="1092">
        <v>5</v>
      </c>
      <c r="K330" s="1092">
        <v>0</v>
      </c>
      <c r="L330" s="1092">
        <v>0</v>
      </c>
      <c r="M330" s="1092">
        <v>0</v>
      </c>
      <c r="N330" s="27">
        <f t="shared" si="45"/>
        <v>26</v>
      </c>
    </row>
    <row r="331" spans="1:14">
      <c r="A331" s="76" t="s">
        <v>212</v>
      </c>
      <c r="B331" s="1092">
        <v>1</v>
      </c>
      <c r="C331" s="1092">
        <v>4</v>
      </c>
      <c r="D331" s="1092">
        <v>0</v>
      </c>
      <c r="E331" s="1092">
        <v>0</v>
      </c>
      <c r="F331" s="1092">
        <v>1</v>
      </c>
      <c r="G331" s="1092">
        <v>0</v>
      </c>
      <c r="H331" s="1092">
        <v>0</v>
      </c>
      <c r="I331" s="1092">
        <v>0</v>
      </c>
      <c r="J331" s="1092">
        <v>0</v>
      </c>
      <c r="K331" s="1092">
        <v>0</v>
      </c>
      <c r="L331" s="1092">
        <v>0</v>
      </c>
      <c r="M331" s="1092">
        <v>0</v>
      </c>
      <c r="N331" s="27">
        <f t="shared" si="45"/>
        <v>6</v>
      </c>
    </row>
    <row r="332" spans="1:14">
      <c r="A332" s="76" t="s">
        <v>331</v>
      </c>
      <c r="B332" s="1092">
        <v>0</v>
      </c>
      <c r="C332" s="1092">
        <v>0</v>
      </c>
      <c r="D332" s="1092">
        <v>0</v>
      </c>
      <c r="E332" s="1092">
        <v>0</v>
      </c>
      <c r="F332" s="1092">
        <v>0</v>
      </c>
      <c r="G332" s="1092">
        <v>0</v>
      </c>
      <c r="H332" s="1092">
        <v>0</v>
      </c>
      <c r="I332" s="1092">
        <v>0</v>
      </c>
      <c r="J332" s="1092">
        <v>0</v>
      </c>
      <c r="K332" s="1092">
        <v>0</v>
      </c>
      <c r="L332" s="1092">
        <v>0</v>
      </c>
      <c r="M332" s="1092">
        <v>0</v>
      </c>
      <c r="N332" s="27">
        <f t="shared" si="45"/>
        <v>0</v>
      </c>
    </row>
    <row r="333" spans="1:14" ht="14" thickBot="1">
      <c r="A333" s="76" t="s">
        <v>267</v>
      </c>
      <c r="B333" s="1092">
        <v>0</v>
      </c>
      <c r="C333" s="1092">
        <v>0</v>
      </c>
      <c r="D333" s="1092">
        <v>0</v>
      </c>
      <c r="E333" s="1092">
        <v>0</v>
      </c>
      <c r="F333" s="1092">
        <v>0</v>
      </c>
      <c r="G333" s="1092">
        <v>0</v>
      </c>
      <c r="H333" s="1092">
        <v>0</v>
      </c>
      <c r="I333" s="1092">
        <v>0</v>
      </c>
      <c r="J333" s="1092">
        <v>0</v>
      </c>
      <c r="K333" s="1092">
        <v>0</v>
      </c>
      <c r="L333" s="1092">
        <v>0</v>
      </c>
      <c r="M333" s="1092">
        <v>0</v>
      </c>
      <c r="N333" s="27">
        <f t="shared" si="45"/>
        <v>0</v>
      </c>
    </row>
    <row r="334" spans="1:14" ht="14" thickBot="1">
      <c r="A334" s="38" t="s">
        <v>190</v>
      </c>
      <c r="B334" s="281"/>
      <c r="C334" s="39"/>
      <c r="D334" s="39"/>
      <c r="E334" s="39"/>
      <c r="F334" s="39"/>
      <c r="G334" s="39"/>
      <c r="H334" s="39"/>
      <c r="I334" s="39"/>
      <c r="J334" s="39"/>
      <c r="K334" s="39"/>
      <c r="L334" s="39"/>
      <c r="M334" s="39"/>
      <c r="N334" s="280"/>
    </row>
    <row r="335" spans="1:14">
      <c r="A335" s="76" t="s">
        <v>165</v>
      </c>
      <c r="B335" s="1092">
        <v>0</v>
      </c>
      <c r="C335" s="1092">
        <v>0</v>
      </c>
      <c r="D335" s="1092">
        <v>25</v>
      </c>
      <c r="E335" s="1092">
        <v>25</v>
      </c>
      <c r="F335" s="1092">
        <v>25</v>
      </c>
      <c r="G335" s="1092">
        <v>25</v>
      </c>
      <c r="H335" s="1092">
        <v>0</v>
      </c>
      <c r="I335" s="1092">
        <v>0</v>
      </c>
      <c r="J335" s="1092">
        <v>0</v>
      </c>
      <c r="K335" s="1092">
        <v>49</v>
      </c>
      <c r="L335" s="1092">
        <v>25</v>
      </c>
      <c r="M335" s="1092">
        <v>0</v>
      </c>
      <c r="N335" s="27">
        <f t="shared" ref="N335:N337" si="46">SUM(B335:M335)</f>
        <v>174</v>
      </c>
    </row>
    <row r="336" spans="1:14">
      <c r="A336" s="76" t="s">
        <v>166</v>
      </c>
      <c r="B336" s="1092">
        <v>0</v>
      </c>
      <c r="C336" s="1092">
        <v>0</v>
      </c>
      <c r="D336" s="1092">
        <v>0</v>
      </c>
      <c r="E336" s="1092">
        <v>0</v>
      </c>
      <c r="F336" s="1092">
        <v>2</v>
      </c>
      <c r="G336" s="1092">
        <v>1</v>
      </c>
      <c r="H336" s="1092">
        <v>1</v>
      </c>
      <c r="I336" s="1092">
        <v>0</v>
      </c>
      <c r="J336" s="1092">
        <v>0</v>
      </c>
      <c r="K336" s="1092">
        <v>0</v>
      </c>
      <c r="L336" s="1092">
        <v>0</v>
      </c>
      <c r="M336" s="1092">
        <v>0</v>
      </c>
      <c r="N336" s="27">
        <f t="shared" si="46"/>
        <v>4</v>
      </c>
    </row>
    <row r="337" spans="1:14">
      <c r="A337" s="76" t="s">
        <v>336</v>
      </c>
      <c r="B337" s="1092">
        <v>0</v>
      </c>
      <c r="C337" s="1092">
        <v>0</v>
      </c>
      <c r="D337" s="1092">
        <v>0</v>
      </c>
      <c r="E337" s="1092">
        <v>0</v>
      </c>
      <c r="F337" s="1092">
        <v>0</v>
      </c>
      <c r="G337" s="1092">
        <v>0</v>
      </c>
      <c r="H337" s="1092">
        <v>0</v>
      </c>
      <c r="I337" s="1092">
        <v>0</v>
      </c>
      <c r="J337" s="1092">
        <v>0</v>
      </c>
      <c r="K337" s="1092">
        <v>0</v>
      </c>
      <c r="L337" s="1092">
        <v>0</v>
      </c>
      <c r="M337" s="1092">
        <v>0</v>
      </c>
      <c r="N337" s="27">
        <f t="shared" si="46"/>
        <v>0</v>
      </c>
    </row>
    <row r="338" spans="1:14" ht="14" thickBot="1">
      <c r="A338" s="76" t="s">
        <v>266</v>
      </c>
      <c r="B338" s="1092">
        <v>0</v>
      </c>
      <c r="C338" s="1092">
        <v>0</v>
      </c>
      <c r="D338" s="1092">
        <v>0</v>
      </c>
      <c r="E338" s="1092">
        <v>0</v>
      </c>
      <c r="F338" s="1092">
        <v>0</v>
      </c>
      <c r="G338" s="1092">
        <v>0</v>
      </c>
      <c r="H338" s="1092">
        <v>0</v>
      </c>
      <c r="I338" s="1092">
        <v>0</v>
      </c>
      <c r="J338" s="1092">
        <v>0</v>
      </c>
      <c r="K338" s="1092">
        <v>0</v>
      </c>
      <c r="L338" s="1092">
        <v>0</v>
      </c>
      <c r="M338" s="1092">
        <v>0</v>
      </c>
      <c r="N338" s="27">
        <f>SUM(B338:M338)</f>
        <v>0</v>
      </c>
    </row>
    <row r="339" spans="1:14" ht="14" thickBot="1">
      <c r="A339" s="53" t="s">
        <v>60</v>
      </c>
      <c r="B339" s="55">
        <f t="shared" ref="B339:N339" si="47">SUM(B326:B338)</f>
        <v>16</v>
      </c>
      <c r="C339" s="55">
        <f t="shared" si="47"/>
        <v>9</v>
      </c>
      <c r="D339" s="55">
        <f t="shared" si="47"/>
        <v>41</v>
      </c>
      <c r="E339" s="55">
        <f t="shared" si="47"/>
        <v>37</v>
      </c>
      <c r="F339" s="55">
        <f t="shared" si="47"/>
        <v>44</v>
      </c>
      <c r="G339" s="55">
        <f t="shared" si="47"/>
        <v>29</v>
      </c>
      <c r="H339" s="55">
        <f t="shared" si="47"/>
        <v>9</v>
      </c>
      <c r="I339" s="55">
        <f t="shared" si="47"/>
        <v>18</v>
      </c>
      <c r="J339" s="55">
        <f t="shared" si="47"/>
        <v>16</v>
      </c>
      <c r="K339" s="55">
        <f t="shared" si="47"/>
        <v>59</v>
      </c>
      <c r="L339" s="55">
        <f t="shared" si="47"/>
        <v>35</v>
      </c>
      <c r="M339" s="55">
        <f t="shared" si="47"/>
        <v>70</v>
      </c>
      <c r="N339" s="54">
        <f t="shared" si="47"/>
        <v>383</v>
      </c>
    </row>
    <row r="340" spans="1:14" ht="14" thickBot="1">
      <c r="A340" s="53"/>
      <c r="B340" s="55"/>
      <c r="C340" s="55"/>
      <c r="D340" s="55"/>
      <c r="E340" s="55"/>
      <c r="F340" s="55"/>
      <c r="G340" s="55"/>
      <c r="H340" s="55"/>
      <c r="I340" s="55"/>
      <c r="J340" s="55"/>
      <c r="K340" s="55"/>
      <c r="L340" s="55"/>
      <c r="M340" s="55"/>
      <c r="N340" s="54"/>
    </row>
    <row r="341" spans="1:14" ht="14" thickBot="1">
      <c r="A341" s="38" t="s">
        <v>194</v>
      </c>
      <c r="B341" s="39"/>
      <c r="C341" s="39"/>
      <c r="D341" s="39"/>
      <c r="E341" s="39"/>
      <c r="F341" s="39"/>
      <c r="G341" s="39"/>
      <c r="H341" s="39"/>
      <c r="I341" s="39"/>
      <c r="J341" s="39"/>
      <c r="K341" s="39"/>
      <c r="L341" s="39"/>
      <c r="M341" s="39"/>
      <c r="N341" s="40"/>
    </row>
    <row r="342" spans="1:14">
      <c r="A342" s="32" t="s">
        <v>29</v>
      </c>
      <c r="B342" s="1092">
        <v>0</v>
      </c>
      <c r="C342" s="1092">
        <v>0</v>
      </c>
      <c r="D342" s="1092">
        <v>0</v>
      </c>
      <c r="E342" s="1092">
        <v>0</v>
      </c>
      <c r="F342" s="1092">
        <v>0</v>
      </c>
      <c r="G342" s="1092">
        <v>0</v>
      </c>
      <c r="H342" s="1092">
        <v>0</v>
      </c>
      <c r="I342" s="1092">
        <v>0</v>
      </c>
      <c r="J342" s="1092">
        <v>0</v>
      </c>
      <c r="K342" s="1092">
        <v>0</v>
      </c>
      <c r="L342" s="1092">
        <v>0</v>
      </c>
      <c r="M342" s="1092">
        <v>0</v>
      </c>
      <c r="N342" s="27">
        <f>SUM(B342:M342)</f>
        <v>0</v>
      </c>
    </row>
    <row r="343" spans="1:14">
      <c r="A343" s="78" t="s">
        <v>264</v>
      </c>
      <c r="B343" s="1092">
        <v>0</v>
      </c>
      <c r="C343" s="1092">
        <v>0</v>
      </c>
      <c r="D343" s="1092">
        <v>0</v>
      </c>
      <c r="E343" s="1092">
        <v>0</v>
      </c>
      <c r="F343" s="1092">
        <v>0</v>
      </c>
      <c r="G343" s="1092">
        <v>0</v>
      </c>
      <c r="H343" s="1092">
        <v>0</v>
      </c>
      <c r="I343" s="1092">
        <v>0</v>
      </c>
      <c r="J343" s="1092">
        <v>0</v>
      </c>
      <c r="K343" s="1092">
        <v>0</v>
      </c>
      <c r="L343" s="1092">
        <v>0</v>
      </c>
      <c r="M343" s="1092">
        <v>0</v>
      </c>
      <c r="N343" s="27">
        <f t="shared" ref="N343:N352" si="48">SUM(B343:M343)</f>
        <v>0</v>
      </c>
    </row>
    <row r="344" spans="1:14">
      <c r="A344" s="34" t="s">
        <v>204</v>
      </c>
      <c r="B344" s="1092">
        <v>0</v>
      </c>
      <c r="C344" s="1092">
        <v>0</v>
      </c>
      <c r="D344" s="1092">
        <v>0</v>
      </c>
      <c r="E344" s="1092">
        <v>0</v>
      </c>
      <c r="F344" s="1092">
        <v>0</v>
      </c>
      <c r="G344" s="1092">
        <v>0</v>
      </c>
      <c r="H344" s="1092">
        <v>0</v>
      </c>
      <c r="I344" s="1092">
        <v>0</v>
      </c>
      <c r="J344" s="1092">
        <v>0</v>
      </c>
      <c r="K344" s="1092">
        <v>0</v>
      </c>
      <c r="L344" s="1092">
        <v>0</v>
      </c>
      <c r="M344" s="1092">
        <v>0</v>
      </c>
      <c r="N344" s="27">
        <f t="shared" si="48"/>
        <v>0</v>
      </c>
    </row>
    <row r="345" spans="1:14">
      <c r="A345" s="76" t="s">
        <v>30</v>
      </c>
      <c r="B345" s="1092">
        <v>0</v>
      </c>
      <c r="C345" s="1092">
        <v>10</v>
      </c>
      <c r="D345" s="1092">
        <v>0</v>
      </c>
      <c r="E345" s="1092">
        <v>0</v>
      </c>
      <c r="F345" s="1092">
        <v>0</v>
      </c>
      <c r="G345" s="1092">
        <v>0</v>
      </c>
      <c r="H345" s="1092">
        <v>0</v>
      </c>
      <c r="I345" s="1092">
        <v>0</v>
      </c>
      <c r="J345" s="1092">
        <v>0</v>
      </c>
      <c r="K345" s="1092">
        <v>0</v>
      </c>
      <c r="L345" s="1092">
        <v>0</v>
      </c>
      <c r="M345" s="1092">
        <v>0</v>
      </c>
      <c r="N345" s="27">
        <f t="shared" si="48"/>
        <v>10</v>
      </c>
    </row>
    <row r="346" spans="1:14">
      <c r="A346" s="32" t="s">
        <v>56</v>
      </c>
      <c r="B346" s="1092">
        <v>0</v>
      </c>
      <c r="C346" s="1092">
        <v>0</v>
      </c>
      <c r="D346" s="1092">
        <v>0</v>
      </c>
      <c r="E346" s="1092">
        <v>0</v>
      </c>
      <c r="F346" s="1092">
        <v>0</v>
      </c>
      <c r="G346" s="1092">
        <v>0</v>
      </c>
      <c r="H346" s="1092">
        <v>0</v>
      </c>
      <c r="I346" s="1092">
        <v>0</v>
      </c>
      <c r="J346" s="1092">
        <v>0</v>
      </c>
      <c r="K346" s="1092">
        <v>0</v>
      </c>
      <c r="L346" s="1092">
        <v>0</v>
      </c>
      <c r="M346" s="1092">
        <v>0</v>
      </c>
      <c r="N346" s="27">
        <f t="shared" si="48"/>
        <v>0</v>
      </c>
    </row>
    <row r="347" spans="1:14">
      <c r="A347" s="78" t="s">
        <v>122</v>
      </c>
      <c r="B347" s="1092">
        <v>0</v>
      </c>
      <c r="C347" s="1092">
        <v>0</v>
      </c>
      <c r="D347" s="1092">
        <v>0</v>
      </c>
      <c r="E347" s="1092">
        <v>0</v>
      </c>
      <c r="F347" s="1092">
        <v>0</v>
      </c>
      <c r="G347" s="1092">
        <v>0</v>
      </c>
      <c r="H347" s="1092">
        <v>0</v>
      </c>
      <c r="I347" s="1092">
        <v>0</v>
      </c>
      <c r="J347" s="1092">
        <v>0</v>
      </c>
      <c r="K347" s="1092">
        <v>0</v>
      </c>
      <c r="L347" s="1092">
        <v>0</v>
      </c>
      <c r="M347" s="1092">
        <v>0</v>
      </c>
      <c r="N347" s="27">
        <f t="shared" si="48"/>
        <v>0</v>
      </c>
    </row>
    <row r="348" spans="1:14">
      <c r="A348" s="78" t="s">
        <v>184</v>
      </c>
      <c r="B348" s="1092">
        <v>0</v>
      </c>
      <c r="C348" s="1092">
        <v>0</v>
      </c>
      <c r="D348" s="1092">
        <v>0</v>
      </c>
      <c r="E348" s="1092">
        <v>0</v>
      </c>
      <c r="F348" s="1092">
        <v>0</v>
      </c>
      <c r="G348" s="1092">
        <v>0</v>
      </c>
      <c r="H348" s="1092">
        <v>0</v>
      </c>
      <c r="I348" s="1092">
        <v>0</v>
      </c>
      <c r="J348" s="1092">
        <v>0</v>
      </c>
      <c r="K348" s="1092">
        <v>0</v>
      </c>
      <c r="L348" s="1092">
        <v>0</v>
      </c>
      <c r="M348" s="1092">
        <v>0</v>
      </c>
      <c r="N348" s="27">
        <f t="shared" si="48"/>
        <v>0</v>
      </c>
    </row>
    <row r="349" spans="1:14">
      <c r="A349" s="78" t="s">
        <v>187</v>
      </c>
      <c r="B349" s="1092">
        <v>0</v>
      </c>
      <c r="C349" s="1092">
        <v>0</v>
      </c>
      <c r="D349" s="1092">
        <v>0</v>
      </c>
      <c r="E349" s="1092">
        <v>0</v>
      </c>
      <c r="F349" s="1092">
        <v>0</v>
      </c>
      <c r="G349" s="1092">
        <v>0</v>
      </c>
      <c r="H349" s="1092">
        <v>0</v>
      </c>
      <c r="I349" s="1092">
        <v>0</v>
      </c>
      <c r="J349" s="1092">
        <v>0</v>
      </c>
      <c r="K349" s="1092">
        <v>0</v>
      </c>
      <c r="L349" s="1092">
        <v>0</v>
      </c>
      <c r="M349" s="1092">
        <v>0</v>
      </c>
      <c r="N349" s="27">
        <f t="shared" si="48"/>
        <v>0</v>
      </c>
    </row>
    <row r="350" spans="1:14">
      <c r="A350" s="78" t="s">
        <v>188</v>
      </c>
      <c r="B350" s="1092">
        <v>0</v>
      </c>
      <c r="C350" s="1092">
        <v>0</v>
      </c>
      <c r="D350" s="1092">
        <v>0</v>
      </c>
      <c r="E350" s="1092">
        <v>0</v>
      </c>
      <c r="F350" s="1092">
        <v>0</v>
      </c>
      <c r="G350" s="1092">
        <v>0</v>
      </c>
      <c r="H350" s="1092">
        <v>0</v>
      </c>
      <c r="I350" s="1092">
        <v>0</v>
      </c>
      <c r="J350" s="1092">
        <v>0</v>
      </c>
      <c r="K350" s="1092">
        <v>0</v>
      </c>
      <c r="L350" s="1092">
        <v>0</v>
      </c>
      <c r="M350" s="1092">
        <v>0</v>
      </c>
      <c r="N350" s="27">
        <f t="shared" si="48"/>
        <v>0</v>
      </c>
    </row>
    <row r="351" spans="1:14">
      <c r="A351" s="78" t="s">
        <v>213</v>
      </c>
      <c r="B351" s="1092">
        <v>0</v>
      </c>
      <c r="C351" s="1092">
        <v>0</v>
      </c>
      <c r="D351" s="1092">
        <v>0</v>
      </c>
      <c r="E351" s="1092">
        <v>0</v>
      </c>
      <c r="F351" s="1092">
        <v>0</v>
      </c>
      <c r="G351" s="1092">
        <v>0</v>
      </c>
      <c r="H351" s="1092">
        <v>0</v>
      </c>
      <c r="I351" s="1092">
        <v>0</v>
      </c>
      <c r="J351" s="1092">
        <v>0</v>
      </c>
      <c r="K351" s="1092">
        <v>0</v>
      </c>
      <c r="L351" s="1092">
        <v>0</v>
      </c>
      <c r="M351" s="1092">
        <v>0</v>
      </c>
      <c r="N351" s="27">
        <f t="shared" si="48"/>
        <v>0</v>
      </c>
    </row>
    <row r="352" spans="1:14">
      <c r="A352" s="76" t="s">
        <v>267</v>
      </c>
      <c r="B352" s="1092">
        <v>0</v>
      </c>
      <c r="C352" s="1092">
        <v>0</v>
      </c>
      <c r="D352" s="1092">
        <v>0</v>
      </c>
      <c r="E352" s="1092">
        <v>0</v>
      </c>
      <c r="F352" s="1092">
        <v>0</v>
      </c>
      <c r="G352" s="1092">
        <v>0</v>
      </c>
      <c r="H352" s="1092">
        <v>0</v>
      </c>
      <c r="I352" s="1092">
        <v>0</v>
      </c>
      <c r="J352" s="1092">
        <v>0</v>
      </c>
      <c r="K352" s="1092">
        <v>0</v>
      </c>
      <c r="L352" s="1092">
        <v>0</v>
      </c>
      <c r="M352" s="1092">
        <v>0</v>
      </c>
      <c r="N352" s="27">
        <f t="shared" si="48"/>
        <v>0</v>
      </c>
    </row>
    <row r="353" spans="1:14" ht="14" thickBot="1">
      <c r="A353" s="32" t="s">
        <v>268</v>
      </c>
      <c r="B353" s="1092">
        <v>0</v>
      </c>
      <c r="C353" s="1092">
        <v>0</v>
      </c>
      <c r="D353" s="1092">
        <v>0</v>
      </c>
      <c r="E353" s="1092">
        <v>0</v>
      </c>
      <c r="F353" s="1092">
        <v>0</v>
      </c>
      <c r="G353" s="1092">
        <v>0</v>
      </c>
      <c r="H353" s="1092">
        <v>0</v>
      </c>
      <c r="I353" s="1092">
        <v>0</v>
      </c>
      <c r="J353" s="1092">
        <v>0</v>
      </c>
      <c r="K353" s="1092">
        <v>0</v>
      </c>
      <c r="L353" s="1092">
        <v>0</v>
      </c>
      <c r="M353" s="1092">
        <v>0</v>
      </c>
      <c r="N353" s="27">
        <f>SUM(B353:M353)</f>
        <v>0</v>
      </c>
    </row>
    <row r="354" spans="1:14" ht="14" thickBot="1">
      <c r="A354" s="38" t="s">
        <v>192</v>
      </c>
      <c r="B354" s="39"/>
      <c r="C354" s="39"/>
      <c r="D354" s="39"/>
      <c r="E354" s="39"/>
      <c r="F354" s="39"/>
      <c r="G354" s="39"/>
      <c r="H354" s="39"/>
      <c r="I354" s="39"/>
      <c r="J354" s="39"/>
      <c r="K354" s="39"/>
      <c r="L354" s="39"/>
      <c r="M354" s="39"/>
      <c r="N354" s="280"/>
    </row>
    <row r="355" spans="1:14" ht="14" thickBot="1">
      <c r="A355" s="32" t="s">
        <v>165</v>
      </c>
      <c r="B355" s="1092">
        <v>0</v>
      </c>
      <c r="C355" s="1092">
        <v>0</v>
      </c>
      <c r="D355" s="1092">
        <v>0</v>
      </c>
      <c r="E355" s="1092">
        <v>0</v>
      </c>
      <c r="F355" s="1092">
        <v>0</v>
      </c>
      <c r="G355" s="1092">
        <v>0</v>
      </c>
      <c r="H355" s="1092">
        <v>0</v>
      </c>
      <c r="I355" s="1092">
        <v>0</v>
      </c>
      <c r="J355" s="1092">
        <v>0</v>
      </c>
      <c r="K355" s="1092">
        <v>0</v>
      </c>
      <c r="L355" s="1092">
        <v>0</v>
      </c>
      <c r="M355" s="1092">
        <v>100</v>
      </c>
      <c r="N355" s="27">
        <f>SUM(B355:M355)</f>
        <v>100</v>
      </c>
    </row>
    <row r="356" spans="1:14" ht="14" thickBot="1">
      <c r="A356" s="53" t="s">
        <v>60</v>
      </c>
      <c r="B356" s="55">
        <f t="shared" ref="B356:L356" si="49">SUM(B342:B355)</f>
        <v>0</v>
      </c>
      <c r="C356" s="55">
        <f t="shared" si="49"/>
        <v>10</v>
      </c>
      <c r="D356" s="55">
        <f t="shared" si="49"/>
        <v>0</v>
      </c>
      <c r="E356" s="55">
        <f t="shared" si="49"/>
        <v>0</v>
      </c>
      <c r="F356" s="55">
        <f t="shared" si="49"/>
        <v>0</v>
      </c>
      <c r="G356" s="55">
        <f t="shared" si="49"/>
        <v>0</v>
      </c>
      <c r="H356" s="55">
        <f t="shared" si="49"/>
        <v>0</v>
      </c>
      <c r="I356" s="55">
        <f t="shared" si="49"/>
        <v>0</v>
      </c>
      <c r="J356" s="55">
        <f t="shared" si="49"/>
        <v>0</v>
      </c>
      <c r="K356" s="55">
        <f t="shared" si="49"/>
        <v>0</v>
      </c>
      <c r="L356" s="55">
        <f t="shared" si="49"/>
        <v>0</v>
      </c>
      <c r="M356" s="55">
        <f>SUM(M342:M355)</f>
        <v>100</v>
      </c>
      <c r="N356" s="54">
        <f>SUM(N342:N355)</f>
        <v>110</v>
      </c>
    </row>
    <row r="358" spans="1:14" ht="14" thickBot="1">
      <c r="B358" s="43" t="s">
        <v>35</v>
      </c>
      <c r="C358" s="43" t="s">
        <v>36</v>
      </c>
      <c r="D358" s="43" t="s">
        <v>37</v>
      </c>
      <c r="E358" s="43" t="s">
        <v>38</v>
      </c>
      <c r="F358" s="43" t="s">
        <v>39</v>
      </c>
      <c r="G358" s="43" t="s">
        <v>40</v>
      </c>
      <c r="H358" s="43" t="s">
        <v>41</v>
      </c>
      <c r="I358" s="43" t="s">
        <v>42</v>
      </c>
      <c r="J358" s="43" t="s">
        <v>43</v>
      </c>
      <c r="K358" s="43" t="s">
        <v>44</v>
      </c>
      <c r="L358" s="43" t="s">
        <v>45</v>
      </c>
      <c r="M358" s="43" t="s">
        <v>46</v>
      </c>
      <c r="N358" s="43" t="s">
        <v>10</v>
      </c>
    </row>
    <row r="359" spans="1:14" ht="17" thickBot="1">
      <c r="A359" s="31" t="s">
        <v>350</v>
      </c>
      <c r="B359" s="24"/>
      <c r="C359" s="24"/>
      <c r="D359" s="22"/>
      <c r="E359" s="22"/>
      <c r="F359" s="25"/>
      <c r="G359" s="25"/>
      <c r="H359" s="22"/>
      <c r="I359" s="22"/>
      <c r="J359" s="22"/>
      <c r="K359" s="22"/>
      <c r="L359" s="24"/>
      <c r="M359" s="24"/>
      <c r="N359" s="26"/>
    </row>
    <row r="360" spans="1:14" ht="14" thickBot="1">
      <c r="A360" s="38" t="s">
        <v>189</v>
      </c>
      <c r="B360" s="39"/>
      <c r="C360" s="39"/>
      <c r="D360" s="39"/>
      <c r="E360" s="39"/>
      <c r="F360" s="39"/>
      <c r="G360" s="39"/>
      <c r="H360" s="39"/>
      <c r="I360" s="39"/>
      <c r="J360" s="39"/>
      <c r="K360" s="39"/>
      <c r="L360" s="39"/>
      <c r="M360" s="39"/>
      <c r="N360" s="40"/>
    </row>
    <row r="361" spans="1:14">
      <c r="A361" s="32" t="s">
        <v>29</v>
      </c>
      <c r="B361" s="1092">
        <v>0</v>
      </c>
      <c r="C361" s="1092">
        <v>0</v>
      </c>
      <c r="D361" s="1092">
        <v>0</v>
      </c>
      <c r="E361" s="1092">
        <v>0</v>
      </c>
      <c r="F361" s="1092">
        <v>0</v>
      </c>
      <c r="G361" s="1092">
        <v>8</v>
      </c>
      <c r="H361" s="1092">
        <v>0</v>
      </c>
      <c r="I361" s="1092">
        <v>0</v>
      </c>
      <c r="J361" s="1092">
        <v>0</v>
      </c>
      <c r="K361" s="1092">
        <v>0</v>
      </c>
      <c r="L361" s="1092">
        <v>0</v>
      </c>
      <c r="M361" s="1092">
        <v>0</v>
      </c>
      <c r="N361" s="27">
        <f t="shared" ref="N361:N368" si="50">SUM(B361:M361)</f>
        <v>8</v>
      </c>
    </row>
    <row r="362" spans="1:14">
      <c r="A362" s="32" t="s">
        <v>33</v>
      </c>
      <c r="B362" s="1092">
        <v>3</v>
      </c>
      <c r="C362" s="1092">
        <v>5</v>
      </c>
      <c r="D362" s="1092">
        <v>6</v>
      </c>
      <c r="E362" s="1092">
        <v>3</v>
      </c>
      <c r="F362" s="1092">
        <v>6</v>
      </c>
      <c r="G362" s="1092">
        <v>10</v>
      </c>
      <c r="H362" s="1092">
        <v>3</v>
      </c>
      <c r="I362" s="1092">
        <v>4</v>
      </c>
      <c r="J362" s="1092">
        <v>1</v>
      </c>
      <c r="K362" s="1092">
        <v>1</v>
      </c>
      <c r="L362" s="1092">
        <v>0</v>
      </c>
      <c r="M362" s="1092">
        <v>1</v>
      </c>
      <c r="N362" s="27">
        <f t="shared" si="50"/>
        <v>43</v>
      </c>
    </row>
    <row r="363" spans="1:14">
      <c r="A363" s="32" t="s">
        <v>56</v>
      </c>
      <c r="B363" s="1092">
        <v>30</v>
      </c>
      <c r="C363" s="1092">
        <v>0</v>
      </c>
      <c r="D363" s="1092">
        <v>0</v>
      </c>
      <c r="E363" s="1092">
        <v>0</v>
      </c>
      <c r="F363" s="1092">
        <v>0</v>
      </c>
      <c r="G363" s="1092">
        <v>0</v>
      </c>
      <c r="H363" s="1092">
        <v>0</v>
      </c>
      <c r="I363" s="1092">
        <v>0</v>
      </c>
      <c r="J363" s="1092">
        <v>0</v>
      </c>
      <c r="K363" s="1092">
        <v>0</v>
      </c>
      <c r="L363" s="1092">
        <v>0</v>
      </c>
      <c r="M363" s="1092">
        <v>0</v>
      </c>
      <c r="N363" s="27">
        <f t="shared" si="50"/>
        <v>30</v>
      </c>
    </row>
    <row r="364" spans="1:14">
      <c r="A364" s="78" t="s">
        <v>30</v>
      </c>
      <c r="B364" s="1092">
        <v>12</v>
      </c>
      <c r="C364" s="1092">
        <v>0</v>
      </c>
      <c r="D364" s="1092">
        <v>0</v>
      </c>
      <c r="E364" s="1092">
        <v>0</v>
      </c>
      <c r="F364" s="1092">
        <v>2</v>
      </c>
      <c r="G364" s="1092">
        <v>1</v>
      </c>
      <c r="H364" s="1092">
        <v>1</v>
      </c>
      <c r="I364" s="1092">
        <v>4</v>
      </c>
      <c r="J364" s="1092">
        <v>0</v>
      </c>
      <c r="K364" s="1092">
        <v>0</v>
      </c>
      <c r="L364" s="1092">
        <v>0</v>
      </c>
      <c r="M364" s="1092">
        <v>14</v>
      </c>
      <c r="N364" s="27">
        <f t="shared" si="50"/>
        <v>34</v>
      </c>
    </row>
    <row r="365" spans="1:14">
      <c r="A365" s="76" t="s">
        <v>213</v>
      </c>
      <c r="B365" s="1092">
        <v>0</v>
      </c>
      <c r="C365" s="1092">
        <v>0</v>
      </c>
      <c r="D365" s="1092">
        <v>0</v>
      </c>
      <c r="E365" s="1092">
        <v>0</v>
      </c>
      <c r="F365" s="1092">
        <v>0</v>
      </c>
      <c r="G365" s="1092">
        <v>0</v>
      </c>
      <c r="H365" s="1092">
        <v>0</v>
      </c>
      <c r="I365" s="1092">
        <v>0</v>
      </c>
      <c r="J365" s="1092">
        <v>0</v>
      </c>
      <c r="K365" s="1092">
        <v>0</v>
      </c>
      <c r="L365" s="1092">
        <v>0</v>
      </c>
      <c r="M365" s="1092">
        <v>0</v>
      </c>
      <c r="N365" s="27">
        <f t="shared" si="50"/>
        <v>0</v>
      </c>
    </row>
    <row r="366" spans="1:14">
      <c r="A366" s="76" t="s">
        <v>212</v>
      </c>
      <c r="B366" s="1092">
        <v>0</v>
      </c>
      <c r="C366" s="1092">
        <v>0</v>
      </c>
      <c r="D366" s="1092">
        <v>0</v>
      </c>
      <c r="E366" s="1092">
        <v>0</v>
      </c>
      <c r="F366" s="1092">
        <v>0</v>
      </c>
      <c r="G366" s="1092">
        <v>0</v>
      </c>
      <c r="H366" s="1092">
        <v>0</v>
      </c>
      <c r="I366" s="1092">
        <v>2</v>
      </c>
      <c r="J366" s="1092">
        <v>0</v>
      </c>
      <c r="K366" s="1092">
        <v>0</v>
      </c>
      <c r="L366" s="1092">
        <v>0</v>
      </c>
      <c r="M366" s="1092">
        <v>0</v>
      </c>
      <c r="N366" s="27">
        <f t="shared" si="50"/>
        <v>2</v>
      </c>
    </row>
    <row r="367" spans="1:14">
      <c r="A367" s="76" t="s">
        <v>331</v>
      </c>
      <c r="B367" s="1092">
        <v>0</v>
      </c>
      <c r="C367" s="1092">
        <v>0</v>
      </c>
      <c r="D367" s="1092">
        <v>0</v>
      </c>
      <c r="E367" s="1092">
        <v>0</v>
      </c>
      <c r="F367" s="1092">
        <v>0</v>
      </c>
      <c r="G367" s="1092">
        <v>0</v>
      </c>
      <c r="H367" s="1092">
        <v>0</v>
      </c>
      <c r="I367" s="1092">
        <v>0</v>
      </c>
      <c r="J367" s="1092">
        <v>0</v>
      </c>
      <c r="K367" s="1092">
        <v>0</v>
      </c>
      <c r="L367" s="1092">
        <v>0</v>
      </c>
      <c r="M367" s="1092">
        <v>0</v>
      </c>
      <c r="N367" s="27">
        <f t="shared" si="50"/>
        <v>0</v>
      </c>
    </row>
    <row r="368" spans="1:14" ht="14" thickBot="1">
      <c r="A368" s="76" t="s">
        <v>267</v>
      </c>
      <c r="B368" s="1092">
        <v>0</v>
      </c>
      <c r="C368" s="1092">
        <v>0</v>
      </c>
      <c r="D368" s="1092">
        <v>0</v>
      </c>
      <c r="E368" s="1092">
        <v>0</v>
      </c>
      <c r="F368" s="1092">
        <v>0</v>
      </c>
      <c r="G368" s="1092">
        <v>0</v>
      </c>
      <c r="H368" s="1092">
        <v>0</v>
      </c>
      <c r="I368" s="1092">
        <v>0</v>
      </c>
      <c r="J368" s="1092">
        <v>0</v>
      </c>
      <c r="K368" s="1092">
        <v>0</v>
      </c>
      <c r="L368" s="1092">
        <v>0</v>
      </c>
      <c r="M368" s="1092">
        <v>0</v>
      </c>
      <c r="N368" s="27">
        <f t="shared" si="50"/>
        <v>0</v>
      </c>
    </row>
    <row r="369" spans="1:14" ht="14" thickBot="1">
      <c r="A369" s="38" t="s">
        <v>190</v>
      </c>
      <c r="B369" s="39"/>
      <c r="C369" s="39"/>
      <c r="D369" s="39"/>
      <c r="E369" s="39"/>
      <c r="F369" s="39"/>
      <c r="G369" s="39"/>
      <c r="H369" s="39"/>
      <c r="I369" s="39"/>
      <c r="J369" s="39"/>
      <c r="K369" s="39"/>
      <c r="L369" s="39"/>
      <c r="M369" s="39"/>
      <c r="N369" s="280"/>
    </row>
    <row r="370" spans="1:14">
      <c r="A370" s="76" t="s">
        <v>165</v>
      </c>
      <c r="B370" s="1092">
        <v>0</v>
      </c>
      <c r="C370" s="1092">
        <v>0</v>
      </c>
      <c r="D370" s="1092">
        <v>0</v>
      </c>
      <c r="E370" s="1092">
        <v>0</v>
      </c>
      <c r="F370" s="1092">
        <v>25</v>
      </c>
      <c r="G370" s="1092">
        <v>0</v>
      </c>
      <c r="H370" s="1092">
        <v>0</v>
      </c>
      <c r="I370" s="1092">
        <v>0</v>
      </c>
      <c r="J370" s="1092">
        <v>0</v>
      </c>
      <c r="K370" s="1092">
        <v>0</v>
      </c>
      <c r="L370" s="1092">
        <v>0</v>
      </c>
      <c r="M370" s="1092">
        <v>25</v>
      </c>
      <c r="N370" s="27">
        <f>SUM(B370:M370)</f>
        <v>50</v>
      </c>
    </row>
    <row r="371" spans="1:14">
      <c r="A371" s="76" t="s">
        <v>166</v>
      </c>
      <c r="B371" s="1092">
        <v>1</v>
      </c>
      <c r="C371" s="1092">
        <v>0</v>
      </c>
      <c r="D371" s="1092">
        <v>0</v>
      </c>
      <c r="E371" s="1092">
        <v>0</v>
      </c>
      <c r="F371" s="1092">
        <v>0</v>
      </c>
      <c r="G371" s="1092">
        <v>0</v>
      </c>
      <c r="H371" s="1092">
        <v>1</v>
      </c>
      <c r="I371" s="1092">
        <v>2</v>
      </c>
      <c r="J371" s="1092">
        <v>0</v>
      </c>
      <c r="K371" s="1092">
        <v>1</v>
      </c>
      <c r="L371" s="1092">
        <v>1</v>
      </c>
      <c r="M371" s="1092">
        <v>0</v>
      </c>
      <c r="N371" s="27">
        <f>SUM(B371:M371)</f>
        <v>6</v>
      </c>
    </row>
    <row r="372" spans="1:14">
      <c r="A372" s="76" t="s">
        <v>336</v>
      </c>
      <c r="B372" s="1092">
        <v>1</v>
      </c>
      <c r="C372" s="1092">
        <v>0</v>
      </c>
      <c r="D372" s="1092">
        <v>0</v>
      </c>
      <c r="E372" s="1092">
        <v>0</v>
      </c>
      <c r="F372" s="1092">
        <v>0</v>
      </c>
      <c r="G372" s="1092">
        <v>0</v>
      </c>
      <c r="H372" s="1092">
        <v>0</v>
      </c>
      <c r="I372" s="1092">
        <v>0</v>
      </c>
      <c r="J372" s="1092">
        <v>0</v>
      </c>
      <c r="K372" s="1092">
        <v>0</v>
      </c>
      <c r="L372" s="1092">
        <v>0</v>
      </c>
      <c r="M372" s="1092">
        <v>0</v>
      </c>
      <c r="N372" s="27">
        <f>SUM(B372:M372)</f>
        <v>1</v>
      </c>
    </row>
    <row r="373" spans="1:14" ht="14" thickBot="1">
      <c r="A373" s="76" t="s">
        <v>266</v>
      </c>
      <c r="B373" s="1092">
        <v>0</v>
      </c>
      <c r="C373" s="1092">
        <v>0</v>
      </c>
      <c r="D373" s="1092">
        <v>0</v>
      </c>
      <c r="E373" s="1092">
        <v>0</v>
      </c>
      <c r="F373" s="1092">
        <v>1</v>
      </c>
      <c r="G373" s="1092">
        <v>2</v>
      </c>
      <c r="H373" s="1092">
        <v>3</v>
      </c>
      <c r="I373" s="1092">
        <v>1</v>
      </c>
      <c r="J373" s="1092">
        <v>2</v>
      </c>
      <c r="K373" s="1092">
        <v>1</v>
      </c>
      <c r="L373" s="1092">
        <v>0</v>
      </c>
      <c r="M373" s="1092">
        <v>3</v>
      </c>
      <c r="N373" s="27">
        <f>SUM(B373:M373)</f>
        <v>13</v>
      </c>
    </row>
    <row r="374" spans="1:14" ht="14" thickBot="1">
      <c r="A374" s="53" t="s">
        <v>60</v>
      </c>
      <c r="B374" s="55">
        <f t="shared" ref="B374:M374" si="51">SUM(B361:B373)</f>
        <v>47</v>
      </c>
      <c r="C374" s="55">
        <f t="shared" si="51"/>
        <v>5</v>
      </c>
      <c r="D374" s="55">
        <f t="shared" si="51"/>
        <v>6</v>
      </c>
      <c r="E374" s="55">
        <f t="shared" si="51"/>
        <v>3</v>
      </c>
      <c r="F374" s="55">
        <f t="shared" si="51"/>
        <v>34</v>
      </c>
      <c r="G374" s="55">
        <f t="shared" si="51"/>
        <v>21</v>
      </c>
      <c r="H374" s="55">
        <f t="shared" si="51"/>
        <v>8</v>
      </c>
      <c r="I374" s="55">
        <f t="shared" si="51"/>
        <v>13</v>
      </c>
      <c r="J374" s="55">
        <f t="shared" si="51"/>
        <v>3</v>
      </c>
      <c r="K374" s="55">
        <f t="shared" si="51"/>
        <v>3</v>
      </c>
      <c r="L374" s="55">
        <f t="shared" si="51"/>
        <v>1</v>
      </c>
      <c r="M374" s="55">
        <f t="shared" si="51"/>
        <v>43</v>
      </c>
      <c r="N374" s="54"/>
    </row>
    <row r="375" spans="1:14" ht="14" thickBot="1">
      <c r="A375" s="38" t="s">
        <v>194</v>
      </c>
      <c r="B375" s="39"/>
      <c r="C375" s="39"/>
      <c r="D375" s="39"/>
      <c r="E375" s="39"/>
      <c r="F375" s="39"/>
      <c r="G375" s="39"/>
      <c r="H375" s="39"/>
      <c r="I375" s="39"/>
      <c r="J375" s="39"/>
      <c r="K375" s="39"/>
      <c r="L375" s="39"/>
      <c r="M375" s="39"/>
      <c r="N375" s="40"/>
    </row>
    <row r="376" spans="1:14">
      <c r="A376" s="32" t="s">
        <v>29</v>
      </c>
      <c r="B376" s="1092">
        <v>0</v>
      </c>
      <c r="C376" s="1092">
        <v>0</v>
      </c>
      <c r="D376" s="1092">
        <v>0</v>
      </c>
      <c r="E376" s="1092">
        <v>0</v>
      </c>
      <c r="F376" s="1092">
        <v>0</v>
      </c>
      <c r="G376" s="1092">
        <v>214</v>
      </c>
      <c r="H376" s="1092">
        <v>0</v>
      </c>
      <c r="I376" s="1092">
        <v>70</v>
      </c>
      <c r="J376" s="1092">
        <v>0</v>
      </c>
      <c r="K376" s="1092">
        <v>0</v>
      </c>
      <c r="L376" s="1092">
        <v>0</v>
      </c>
      <c r="M376" s="1092">
        <v>0</v>
      </c>
      <c r="N376" s="27">
        <f t="shared" ref="N376:N387" si="52">SUM(B376:M376)</f>
        <v>284</v>
      </c>
    </row>
    <row r="377" spans="1:14">
      <c r="A377" s="78" t="s">
        <v>264</v>
      </c>
      <c r="B377" s="1092">
        <v>0</v>
      </c>
      <c r="C377" s="1092">
        <v>0</v>
      </c>
      <c r="D377" s="1092">
        <v>0</v>
      </c>
      <c r="E377" s="1092">
        <v>0</v>
      </c>
      <c r="F377" s="1092">
        <v>0</v>
      </c>
      <c r="G377" s="1092">
        <v>0</v>
      </c>
      <c r="H377" s="1092">
        <v>0</v>
      </c>
      <c r="I377" s="1092">
        <v>0</v>
      </c>
      <c r="J377" s="1092">
        <v>0</v>
      </c>
      <c r="K377" s="1092">
        <v>0</v>
      </c>
      <c r="L377" s="1092">
        <v>0</v>
      </c>
      <c r="M377" s="1092">
        <v>0</v>
      </c>
      <c r="N377" s="27">
        <f t="shared" si="52"/>
        <v>0</v>
      </c>
    </row>
    <row r="378" spans="1:14">
      <c r="A378" s="34" t="s">
        <v>204</v>
      </c>
      <c r="B378" s="1092">
        <v>0</v>
      </c>
      <c r="C378" s="1092">
        <v>0</v>
      </c>
      <c r="D378" s="1092">
        <v>0</v>
      </c>
      <c r="E378" s="1092">
        <v>0</v>
      </c>
      <c r="F378" s="1092">
        <v>0</v>
      </c>
      <c r="G378" s="1092">
        <v>0</v>
      </c>
      <c r="H378" s="1092">
        <v>0</v>
      </c>
      <c r="I378" s="1092">
        <v>0</v>
      </c>
      <c r="J378" s="1092">
        <v>0</v>
      </c>
      <c r="K378" s="1092">
        <v>0</v>
      </c>
      <c r="L378" s="1092">
        <v>0</v>
      </c>
      <c r="M378" s="1092">
        <v>0</v>
      </c>
      <c r="N378" s="27">
        <f t="shared" si="52"/>
        <v>0</v>
      </c>
    </row>
    <row r="379" spans="1:14">
      <c r="A379" s="76" t="s">
        <v>30</v>
      </c>
      <c r="B379" s="1092">
        <v>1</v>
      </c>
      <c r="C379" s="1092">
        <v>12</v>
      </c>
      <c r="D379" s="1092">
        <v>2</v>
      </c>
      <c r="E379" s="1092">
        <v>6</v>
      </c>
      <c r="F379" s="1092">
        <v>0</v>
      </c>
      <c r="G379" s="1092">
        <v>0</v>
      </c>
      <c r="H379" s="1092">
        <v>0</v>
      </c>
      <c r="I379" s="1092">
        <v>0</v>
      </c>
      <c r="J379" s="1092">
        <v>0</v>
      </c>
      <c r="K379" s="1092">
        <v>0</v>
      </c>
      <c r="L379" s="1092">
        <v>0</v>
      </c>
      <c r="M379" s="1092">
        <v>0</v>
      </c>
      <c r="N379" s="27">
        <f t="shared" si="52"/>
        <v>21</v>
      </c>
    </row>
    <row r="380" spans="1:14">
      <c r="A380" s="32" t="s">
        <v>56</v>
      </c>
      <c r="B380" s="1092">
        <v>1000</v>
      </c>
      <c r="C380" s="1092">
        <v>3260</v>
      </c>
      <c r="D380" s="1092">
        <v>1680</v>
      </c>
      <c r="E380" s="1092">
        <v>1630</v>
      </c>
      <c r="F380" s="1092">
        <v>0</v>
      </c>
      <c r="G380" s="1092">
        <v>0</v>
      </c>
      <c r="H380" s="1092">
        <v>0</v>
      </c>
      <c r="I380" s="1092">
        <v>0</v>
      </c>
      <c r="J380" s="1092">
        <v>0</v>
      </c>
      <c r="K380" s="1092">
        <v>0</v>
      </c>
      <c r="L380" s="1092">
        <v>0</v>
      </c>
      <c r="M380" s="1092">
        <v>0</v>
      </c>
      <c r="N380" s="27">
        <f t="shared" si="52"/>
        <v>7570</v>
      </c>
    </row>
    <row r="381" spans="1:14">
      <c r="A381" s="78" t="s">
        <v>122</v>
      </c>
      <c r="B381" s="1092">
        <v>0</v>
      </c>
      <c r="C381" s="1092">
        <v>0</v>
      </c>
      <c r="D381" s="1092">
        <v>0</v>
      </c>
      <c r="E381" s="1092">
        <v>0</v>
      </c>
      <c r="F381" s="1092">
        <v>0</v>
      </c>
      <c r="G381" s="1092">
        <v>0</v>
      </c>
      <c r="H381" s="1092">
        <v>0</v>
      </c>
      <c r="I381" s="1092">
        <v>0</v>
      </c>
      <c r="J381" s="1092">
        <v>0</v>
      </c>
      <c r="K381" s="1092">
        <v>0</v>
      </c>
      <c r="L381" s="1092">
        <v>0</v>
      </c>
      <c r="M381" s="1092">
        <v>0</v>
      </c>
      <c r="N381" s="27">
        <f t="shared" si="52"/>
        <v>0</v>
      </c>
    </row>
    <row r="382" spans="1:14">
      <c r="A382" s="78" t="s">
        <v>184</v>
      </c>
      <c r="B382" s="1092">
        <v>0</v>
      </c>
      <c r="C382" s="1092">
        <v>0</v>
      </c>
      <c r="D382" s="1092">
        <v>0</v>
      </c>
      <c r="E382" s="1092">
        <v>0</v>
      </c>
      <c r="F382" s="1092">
        <v>0</v>
      </c>
      <c r="G382" s="1092">
        <v>0</v>
      </c>
      <c r="H382" s="1092">
        <v>0</v>
      </c>
      <c r="I382" s="1092">
        <v>0</v>
      </c>
      <c r="J382" s="1092">
        <v>0</v>
      </c>
      <c r="K382" s="1092">
        <v>0</v>
      </c>
      <c r="L382" s="1092">
        <v>0</v>
      </c>
      <c r="M382" s="1092">
        <v>0</v>
      </c>
      <c r="N382" s="27">
        <f t="shared" si="52"/>
        <v>0</v>
      </c>
    </row>
    <row r="383" spans="1:14">
      <c r="A383" s="78" t="s">
        <v>187</v>
      </c>
      <c r="B383" s="1092">
        <v>0</v>
      </c>
      <c r="C383" s="1092">
        <v>0</v>
      </c>
      <c r="D383" s="1092">
        <v>0</v>
      </c>
      <c r="E383" s="1092">
        <v>0</v>
      </c>
      <c r="F383" s="1092">
        <v>0</v>
      </c>
      <c r="G383" s="1092">
        <v>0</v>
      </c>
      <c r="H383" s="1092">
        <v>0</v>
      </c>
      <c r="I383" s="1092">
        <v>0</v>
      </c>
      <c r="J383" s="1092">
        <v>0</v>
      </c>
      <c r="K383" s="1092">
        <v>0</v>
      </c>
      <c r="L383" s="1092">
        <v>0</v>
      </c>
      <c r="M383" s="1092">
        <v>0</v>
      </c>
      <c r="N383" s="27">
        <f t="shared" si="52"/>
        <v>0</v>
      </c>
    </row>
    <row r="384" spans="1:14">
      <c r="A384" s="78" t="s">
        <v>188</v>
      </c>
      <c r="B384" s="1092">
        <v>0</v>
      </c>
      <c r="C384" s="1092">
        <v>0</v>
      </c>
      <c r="D384" s="1092">
        <v>0</v>
      </c>
      <c r="E384" s="1092">
        <v>0</v>
      </c>
      <c r="F384" s="1092">
        <v>0</v>
      </c>
      <c r="G384" s="1092">
        <v>0</v>
      </c>
      <c r="H384" s="1092">
        <v>0</v>
      </c>
      <c r="I384" s="1092">
        <v>0</v>
      </c>
      <c r="J384" s="1092">
        <v>0</v>
      </c>
      <c r="K384" s="1092">
        <v>0</v>
      </c>
      <c r="L384" s="1092">
        <v>0</v>
      </c>
      <c r="M384" s="1092">
        <v>0</v>
      </c>
      <c r="N384" s="27">
        <f t="shared" si="52"/>
        <v>0</v>
      </c>
    </row>
    <row r="385" spans="1:14">
      <c r="A385" s="78" t="s">
        <v>213</v>
      </c>
      <c r="B385" s="1092">
        <v>0</v>
      </c>
      <c r="C385" s="1092">
        <v>0</v>
      </c>
      <c r="D385" s="1092">
        <v>0</v>
      </c>
      <c r="E385" s="1092">
        <v>0</v>
      </c>
      <c r="F385" s="1092">
        <v>0</v>
      </c>
      <c r="G385" s="1092">
        <v>0</v>
      </c>
      <c r="H385" s="1092">
        <v>0</v>
      </c>
      <c r="I385" s="1092">
        <v>0</v>
      </c>
      <c r="J385" s="1092">
        <v>0</v>
      </c>
      <c r="K385" s="1092">
        <v>0</v>
      </c>
      <c r="L385" s="1092">
        <v>0</v>
      </c>
      <c r="M385" s="1092">
        <v>0</v>
      </c>
      <c r="N385" s="27">
        <f t="shared" si="52"/>
        <v>0</v>
      </c>
    </row>
    <row r="386" spans="1:14">
      <c r="A386" s="76" t="s">
        <v>267</v>
      </c>
      <c r="B386" s="1092">
        <v>0</v>
      </c>
      <c r="C386" s="1092">
        <v>0</v>
      </c>
      <c r="D386" s="1092">
        <v>0</v>
      </c>
      <c r="E386" s="1092">
        <v>0</v>
      </c>
      <c r="F386" s="1092">
        <v>0</v>
      </c>
      <c r="G386" s="1092">
        <v>0</v>
      </c>
      <c r="H386" s="1092">
        <v>0</v>
      </c>
      <c r="I386" s="1092">
        <v>0</v>
      </c>
      <c r="J386" s="1092">
        <v>0</v>
      </c>
      <c r="K386" s="1092">
        <v>0</v>
      </c>
      <c r="L386" s="1092">
        <v>0</v>
      </c>
      <c r="M386" s="1092">
        <v>0</v>
      </c>
      <c r="N386" s="27">
        <f t="shared" si="52"/>
        <v>0</v>
      </c>
    </row>
    <row r="387" spans="1:14" ht="14" thickBot="1">
      <c r="A387" s="78" t="s">
        <v>268</v>
      </c>
      <c r="B387" s="1092">
        <v>0</v>
      </c>
      <c r="C387" s="1092">
        <v>0</v>
      </c>
      <c r="D387" s="1092">
        <v>0</v>
      </c>
      <c r="E387" s="1092">
        <v>0</v>
      </c>
      <c r="F387" s="1092">
        <v>0</v>
      </c>
      <c r="G387" s="1092">
        <v>0</v>
      </c>
      <c r="H387" s="1092">
        <v>0</v>
      </c>
      <c r="I387" s="1092">
        <v>0</v>
      </c>
      <c r="J387" s="1092">
        <v>0</v>
      </c>
      <c r="K387" s="1092">
        <v>0</v>
      </c>
      <c r="L387" s="1092">
        <v>0</v>
      </c>
      <c r="M387" s="1092">
        <v>0</v>
      </c>
      <c r="N387" s="27">
        <f t="shared" si="52"/>
        <v>0</v>
      </c>
    </row>
    <row r="388" spans="1:14" ht="14" thickBot="1">
      <c r="A388" s="38" t="s">
        <v>192</v>
      </c>
      <c r="B388" s="39"/>
      <c r="C388" s="39"/>
      <c r="D388" s="39"/>
      <c r="E388" s="39"/>
      <c r="F388" s="39"/>
      <c r="G388" s="39"/>
      <c r="H388" s="39"/>
      <c r="I388" s="39"/>
      <c r="J388" s="39"/>
      <c r="K388" s="39"/>
      <c r="L388" s="39"/>
      <c r="M388" s="39"/>
      <c r="N388" s="40"/>
    </row>
    <row r="389" spans="1:14" ht="14" thickBot="1">
      <c r="A389" s="32" t="s">
        <v>165</v>
      </c>
      <c r="B389" s="1092">
        <v>132</v>
      </c>
      <c r="C389" s="1092">
        <v>30</v>
      </c>
      <c r="D389" s="1092">
        <v>0</v>
      </c>
      <c r="E389" s="1092">
        <v>0</v>
      </c>
      <c r="F389" s="1092">
        <v>0</v>
      </c>
      <c r="G389" s="1092">
        <v>0</v>
      </c>
      <c r="H389" s="1092">
        <v>1400</v>
      </c>
      <c r="I389" s="1092">
        <v>0</v>
      </c>
      <c r="J389" s="1092">
        <v>25</v>
      </c>
      <c r="K389" s="1092">
        <v>0</v>
      </c>
      <c r="L389" s="1092">
        <v>0</v>
      </c>
      <c r="M389" s="1092">
        <v>0</v>
      </c>
      <c r="N389" s="27">
        <f>SUM(B389:M389)</f>
        <v>1587</v>
      </c>
    </row>
    <row r="390" spans="1:14" ht="14" thickBot="1">
      <c r="A390" s="53" t="s">
        <v>60</v>
      </c>
      <c r="B390" s="55">
        <f t="shared" ref="B390:M390" si="53">SUM(B376:B389)</f>
        <v>1133</v>
      </c>
      <c r="C390" s="55">
        <f t="shared" si="53"/>
        <v>3302</v>
      </c>
      <c r="D390" s="55">
        <f t="shared" si="53"/>
        <v>1682</v>
      </c>
      <c r="E390" s="55">
        <f t="shared" si="53"/>
        <v>1636</v>
      </c>
      <c r="F390" s="55">
        <f t="shared" si="53"/>
        <v>0</v>
      </c>
      <c r="G390" s="55">
        <f t="shared" si="53"/>
        <v>214</v>
      </c>
      <c r="H390" s="55">
        <f t="shared" si="53"/>
        <v>1400</v>
      </c>
      <c r="I390" s="55">
        <f t="shared" si="53"/>
        <v>70</v>
      </c>
      <c r="J390" s="55">
        <f t="shared" si="53"/>
        <v>25</v>
      </c>
      <c r="K390" s="55">
        <f t="shared" si="53"/>
        <v>0</v>
      </c>
      <c r="L390" s="55">
        <f t="shared" si="53"/>
        <v>0</v>
      </c>
      <c r="M390" s="55">
        <f t="shared" si="53"/>
        <v>0</v>
      </c>
      <c r="N390" s="54"/>
    </row>
    <row r="392" spans="1:14" ht="14" thickBot="1">
      <c r="B392" s="43" t="s">
        <v>35</v>
      </c>
      <c r="C392" s="43" t="s">
        <v>36</v>
      </c>
      <c r="D392" s="43" t="s">
        <v>37</v>
      </c>
      <c r="E392" s="43" t="s">
        <v>38</v>
      </c>
      <c r="F392" s="43" t="s">
        <v>39</v>
      </c>
      <c r="G392" s="43" t="s">
        <v>40</v>
      </c>
      <c r="H392" s="43" t="s">
        <v>41</v>
      </c>
      <c r="I392" s="43" t="s">
        <v>42</v>
      </c>
      <c r="J392" s="43" t="s">
        <v>43</v>
      </c>
      <c r="K392" s="43" t="s">
        <v>44</v>
      </c>
      <c r="L392" s="43" t="s">
        <v>45</v>
      </c>
      <c r="M392" s="43" t="s">
        <v>46</v>
      </c>
      <c r="N392" s="43" t="s">
        <v>10</v>
      </c>
    </row>
    <row r="393" spans="1:14" ht="17" thickBot="1">
      <c r="A393" s="31" t="s">
        <v>392</v>
      </c>
      <c r="B393" s="24"/>
      <c r="C393" s="24"/>
      <c r="D393" s="22"/>
      <c r="E393" s="22"/>
      <c r="F393" s="25"/>
      <c r="G393" s="25"/>
      <c r="H393" s="22"/>
      <c r="I393" s="22"/>
      <c r="J393" s="22"/>
      <c r="K393" s="22"/>
      <c r="L393" s="24"/>
      <c r="M393" s="24"/>
      <c r="N393" s="26"/>
    </row>
    <row r="394" spans="1:14" ht="14" thickBot="1">
      <c r="A394" s="38" t="s">
        <v>189</v>
      </c>
      <c r="B394" s="39"/>
      <c r="C394" s="39"/>
      <c r="D394" s="39"/>
      <c r="E394" s="39"/>
      <c r="F394" s="39"/>
      <c r="G394" s="39"/>
      <c r="H394" s="39"/>
      <c r="I394" s="39"/>
      <c r="J394" s="39"/>
      <c r="K394" s="39"/>
      <c r="L394" s="39"/>
      <c r="M394" s="39"/>
      <c r="N394" s="40"/>
    </row>
    <row r="395" spans="1:14">
      <c r="A395" s="32" t="s">
        <v>29</v>
      </c>
      <c r="B395" s="1092">
        <v>0</v>
      </c>
      <c r="C395" s="1092">
        <v>0</v>
      </c>
      <c r="D395" s="1092">
        <v>2</v>
      </c>
      <c r="E395" s="1092">
        <v>0</v>
      </c>
      <c r="F395" s="1092">
        <v>1</v>
      </c>
      <c r="G395" s="1092">
        <v>3</v>
      </c>
      <c r="H395" s="1092">
        <v>0</v>
      </c>
      <c r="I395" s="1092">
        <v>1</v>
      </c>
      <c r="J395" s="1092">
        <v>0</v>
      </c>
      <c r="K395" s="1092">
        <v>0</v>
      </c>
      <c r="L395" s="1092">
        <v>14</v>
      </c>
      <c r="M395" s="1092">
        <v>0</v>
      </c>
      <c r="N395" s="27">
        <f t="shared" ref="N395:N402" si="54">SUM(B395:M395)</f>
        <v>21</v>
      </c>
    </row>
    <row r="396" spans="1:14">
      <c r="A396" s="32" t="s">
        <v>33</v>
      </c>
      <c r="B396" s="1092">
        <v>1</v>
      </c>
      <c r="C396" s="1092">
        <v>1</v>
      </c>
      <c r="D396" s="1092">
        <v>9</v>
      </c>
      <c r="E396" s="1092">
        <v>1</v>
      </c>
      <c r="F396" s="1092">
        <v>1</v>
      </c>
      <c r="G396" s="1092">
        <v>5</v>
      </c>
      <c r="H396" s="1092">
        <v>2</v>
      </c>
      <c r="I396" s="1092">
        <v>3</v>
      </c>
      <c r="J396" s="1092">
        <v>9</v>
      </c>
      <c r="K396" s="1092">
        <v>1</v>
      </c>
      <c r="L396" s="1092">
        <v>2</v>
      </c>
      <c r="M396" s="1092">
        <v>8</v>
      </c>
      <c r="N396" s="27">
        <f t="shared" si="54"/>
        <v>43</v>
      </c>
    </row>
    <row r="397" spans="1:14">
      <c r="A397" s="32" t="s">
        <v>56</v>
      </c>
      <c r="B397" s="1092">
        <v>0</v>
      </c>
      <c r="C397" s="1092">
        <v>0</v>
      </c>
      <c r="D397" s="1092">
        <v>0</v>
      </c>
      <c r="E397" s="1092">
        <v>0</v>
      </c>
      <c r="F397" s="1092">
        <v>0</v>
      </c>
      <c r="G397" s="1092">
        <v>0</v>
      </c>
      <c r="H397" s="1092">
        <v>0</v>
      </c>
      <c r="I397" s="1092">
        <v>0</v>
      </c>
      <c r="J397" s="1092">
        <v>0</v>
      </c>
      <c r="K397" s="1092">
        <v>0</v>
      </c>
      <c r="L397" s="1092">
        <v>0</v>
      </c>
      <c r="M397" s="1092">
        <v>0</v>
      </c>
      <c r="N397" s="27">
        <f t="shared" si="54"/>
        <v>0</v>
      </c>
    </row>
    <row r="398" spans="1:14">
      <c r="A398" s="78" t="s">
        <v>30</v>
      </c>
      <c r="B398" s="1092">
        <v>1</v>
      </c>
      <c r="C398" s="1092">
        <v>8</v>
      </c>
      <c r="D398" s="1092">
        <v>13</v>
      </c>
      <c r="E398" s="1092">
        <v>3</v>
      </c>
      <c r="F398" s="1092">
        <v>1</v>
      </c>
      <c r="G398" s="1092">
        <v>11</v>
      </c>
      <c r="H398" s="1092">
        <v>2</v>
      </c>
      <c r="I398" s="1092">
        <v>0</v>
      </c>
      <c r="J398" s="1092">
        <v>5</v>
      </c>
      <c r="K398" s="1092">
        <v>5</v>
      </c>
      <c r="L398" s="1092">
        <v>0</v>
      </c>
      <c r="M398" s="1092">
        <v>15</v>
      </c>
      <c r="N398" s="27">
        <f t="shared" si="54"/>
        <v>64</v>
      </c>
    </row>
    <row r="399" spans="1:14">
      <c r="A399" s="76" t="s">
        <v>213</v>
      </c>
      <c r="B399" s="1092">
        <v>0</v>
      </c>
      <c r="C399" s="1092">
        <v>0</v>
      </c>
      <c r="D399" s="1092">
        <v>0</v>
      </c>
      <c r="E399" s="1092">
        <v>0</v>
      </c>
      <c r="F399" s="1092">
        <v>0</v>
      </c>
      <c r="G399" s="1092">
        <v>0</v>
      </c>
      <c r="H399" s="1092">
        <v>1</v>
      </c>
      <c r="I399" s="1092">
        <v>0</v>
      </c>
      <c r="J399" s="1092">
        <v>0</v>
      </c>
      <c r="K399" s="1092">
        <v>2</v>
      </c>
      <c r="L399" s="1092">
        <v>3</v>
      </c>
      <c r="M399" s="1092">
        <v>2</v>
      </c>
      <c r="N399" s="27">
        <f t="shared" si="54"/>
        <v>8</v>
      </c>
    </row>
    <row r="400" spans="1:14">
      <c r="A400" s="76" t="s">
        <v>212</v>
      </c>
      <c r="B400" s="1092">
        <v>0</v>
      </c>
      <c r="C400" s="1092">
        <v>2</v>
      </c>
      <c r="D400" s="1092">
        <v>2</v>
      </c>
      <c r="E400" s="1092">
        <v>0</v>
      </c>
      <c r="F400" s="1092">
        <v>0</v>
      </c>
      <c r="G400" s="1092">
        <v>0</v>
      </c>
      <c r="H400" s="1092">
        <v>1</v>
      </c>
      <c r="I400" s="1092">
        <v>2</v>
      </c>
      <c r="J400" s="1092">
        <v>0</v>
      </c>
      <c r="K400" s="1092">
        <v>0</v>
      </c>
      <c r="L400" s="1092">
        <v>0</v>
      </c>
      <c r="M400" s="1092">
        <v>0</v>
      </c>
      <c r="N400" s="27">
        <f t="shared" si="54"/>
        <v>7</v>
      </c>
    </row>
    <row r="401" spans="1:14">
      <c r="A401" s="76" t="s">
        <v>331</v>
      </c>
      <c r="B401" s="1092">
        <v>0</v>
      </c>
      <c r="C401" s="1092">
        <v>0</v>
      </c>
      <c r="D401" s="1092">
        <v>0</v>
      </c>
      <c r="E401" s="1092">
        <v>0</v>
      </c>
      <c r="F401" s="1092">
        <v>0</v>
      </c>
      <c r="G401" s="1092">
        <v>0</v>
      </c>
      <c r="H401" s="1092">
        <v>0</v>
      </c>
      <c r="I401" s="1092">
        <v>0</v>
      </c>
      <c r="J401" s="1092">
        <v>0</v>
      </c>
      <c r="K401" s="1092">
        <v>0</v>
      </c>
      <c r="L401" s="1092">
        <v>0</v>
      </c>
      <c r="M401" s="1092">
        <v>0</v>
      </c>
      <c r="N401" s="27">
        <f t="shared" si="54"/>
        <v>0</v>
      </c>
    </row>
    <row r="402" spans="1:14" ht="14" thickBot="1">
      <c r="A402" s="76" t="s">
        <v>267</v>
      </c>
      <c r="B402" s="1092">
        <v>0</v>
      </c>
      <c r="C402" s="1092">
        <v>0</v>
      </c>
      <c r="D402" s="1092">
        <v>0</v>
      </c>
      <c r="E402" s="1092">
        <v>0</v>
      </c>
      <c r="F402" s="1092">
        <v>0</v>
      </c>
      <c r="G402" s="1092">
        <v>0</v>
      </c>
      <c r="H402" s="1092">
        <v>0</v>
      </c>
      <c r="I402" s="1092">
        <v>0</v>
      </c>
      <c r="J402" s="1092">
        <v>0</v>
      </c>
      <c r="K402" s="1092">
        <v>0</v>
      </c>
      <c r="L402" s="1092">
        <v>0</v>
      </c>
      <c r="M402" s="1092">
        <v>0</v>
      </c>
      <c r="N402" s="27">
        <f t="shared" si="54"/>
        <v>0</v>
      </c>
    </row>
    <row r="403" spans="1:14" ht="14" thickBot="1">
      <c r="A403" s="38" t="s">
        <v>190</v>
      </c>
      <c r="B403" s="39"/>
      <c r="C403" s="39"/>
      <c r="D403" s="39"/>
      <c r="E403" s="39"/>
      <c r="F403" s="39"/>
      <c r="G403" s="39"/>
      <c r="H403" s="39"/>
      <c r="I403" s="39"/>
      <c r="J403" s="39"/>
      <c r="K403" s="39"/>
      <c r="L403" s="39"/>
      <c r="M403" s="39"/>
      <c r="N403" s="280"/>
    </row>
    <row r="404" spans="1:14">
      <c r="A404" s="76" t="s">
        <v>393</v>
      </c>
      <c r="B404" s="1092">
        <v>0</v>
      </c>
      <c r="C404" s="1092">
        <v>0</v>
      </c>
      <c r="D404" s="1092">
        <v>0</v>
      </c>
      <c r="E404" s="1092">
        <v>0</v>
      </c>
      <c r="F404" s="1092">
        <v>0</v>
      </c>
      <c r="G404" s="1092">
        <v>0</v>
      </c>
      <c r="H404" s="1092">
        <v>0</v>
      </c>
      <c r="I404" s="1092">
        <v>0</v>
      </c>
      <c r="J404" s="1092">
        <v>13</v>
      </c>
      <c r="K404" s="1092">
        <v>9</v>
      </c>
      <c r="L404" s="1092">
        <v>0</v>
      </c>
      <c r="M404" s="1092">
        <v>2</v>
      </c>
      <c r="N404" s="27">
        <f>SUM(B404:M404)</f>
        <v>24</v>
      </c>
    </row>
    <row r="405" spans="1:14">
      <c r="A405" s="76" t="s">
        <v>166</v>
      </c>
      <c r="B405" s="1092">
        <v>0</v>
      </c>
      <c r="C405" s="1092">
        <v>4</v>
      </c>
      <c r="D405" s="1092">
        <v>1</v>
      </c>
      <c r="E405" s="1092">
        <v>1</v>
      </c>
      <c r="F405" s="1092">
        <v>2</v>
      </c>
      <c r="G405" s="1092">
        <v>0</v>
      </c>
      <c r="H405" s="1092">
        <v>0</v>
      </c>
      <c r="I405" s="1092">
        <v>2</v>
      </c>
      <c r="J405" s="1092">
        <v>2</v>
      </c>
      <c r="K405" s="1092">
        <v>6</v>
      </c>
      <c r="L405" s="1092">
        <v>1</v>
      </c>
      <c r="M405" s="1092">
        <v>5</v>
      </c>
      <c r="N405" s="27">
        <f>SUM(B405:M405)</f>
        <v>24</v>
      </c>
    </row>
    <row r="406" spans="1:14">
      <c r="A406" s="76" t="s">
        <v>336</v>
      </c>
      <c r="B406" s="1092">
        <v>1</v>
      </c>
      <c r="C406" s="1092">
        <v>9</v>
      </c>
      <c r="D406" s="1092">
        <v>3</v>
      </c>
      <c r="E406" s="1092">
        <v>10</v>
      </c>
      <c r="F406" s="1092">
        <v>3</v>
      </c>
      <c r="G406" s="1092">
        <v>5</v>
      </c>
      <c r="H406" s="1092">
        <v>1</v>
      </c>
      <c r="I406" s="1092">
        <v>0</v>
      </c>
      <c r="J406" s="1092">
        <v>14</v>
      </c>
      <c r="K406" s="1092">
        <v>6</v>
      </c>
      <c r="L406" s="1092">
        <v>0</v>
      </c>
      <c r="M406" s="1092">
        <v>3</v>
      </c>
      <c r="N406" s="27">
        <f>SUM(B406:M406)</f>
        <v>55</v>
      </c>
    </row>
    <row r="407" spans="1:14" ht="14" thickBot="1">
      <c r="A407" s="76" t="s">
        <v>266</v>
      </c>
      <c r="B407" s="1092">
        <v>9</v>
      </c>
      <c r="C407" s="1092">
        <v>9</v>
      </c>
      <c r="D407" s="1092">
        <v>8</v>
      </c>
      <c r="E407" s="1092">
        <v>9</v>
      </c>
      <c r="F407" s="1092">
        <v>5</v>
      </c>
      <c r="G407" s="1092">
        <v>0</v>
      </c>
      <c r="H407" s="1092">
        <v>7</v>
      </c>
      <c r="I407" s="1092">
        <v>1</v>
      </c>
      <c r="J407" s="1092">
        <v>0</v>
      </c>
      <c r="K407" s="1092">
        <v>3</v>
      </c>
      <c r="L407" s="1092">
        <v>2</v>
      </c>
      <c r="M407" s="1092">
        <v>4</v>
      </c>
      <c r="N407" s="27">
        <f>SUM(B407:M407)</f>
        <v>57</v>
      </c>
    </row>
    <row r="408" spans="1:14" ht="14" thickBot="1">
      <c r="A408" s="53" t="s">
        <v>60</v>
      </c>
      <c r="B408" s="55"/>
      <c r="C408" s="55"/>
      <c r="D408" s="55"/>
      <c r="E408" s="55"/>
      <c r="F408" s="55"/>
      <c r="G408" s="55"/>
      <c r="H408" s="55"/>
      <c r="I408" s="55"/>
      <c r="J408" s="55"/>
      <c r="K408" s="55"/>
      <c r="L408" s="55"/>
      <c r="M408" s="55"/>
      <c r="N408" s="54"/>
    </row>
    <row r="409" spans="1:14" ht="14" thickBot="1">
      <c r="A409" s="38" t="s">
        <v>194</v>
      </c>
      <c r="B409" s="39"/>
      <c r="C409" s="39"/>
      <c r="D409" s="39"/>
      <c r="E409" s="39"/>
      <c r="F409" s="39"/>
      <c r="G409" s="39"/>
      <c r="H409" s="39"/>
      <c r="I409" s="39"/>
      <c r="J409" s="39"/>
      <c r="K409" s="39"/>
      <c r="L409" s="39"/>
      <c r="M409" s="39"/>
      <c r="N409" s="40"/>
    </row>
    <row r="410" spans="1:14">
      <c r="A410" s="32" t="s">
        <v>29</v>
      </c>
      <c r="B410" s="1092">
        <v>0</v>
      </c>
      <c r="C410" s="1092">
        <v>0</v>
      </c>
      <c r="D410" s="1092">
        <v>61</v>
      </c>
      <c r="E410" s="1092">
        <v>0</v>
      </c>
      <c r="F410" s="1092">
        <v>0</v>
      </c>
      <c r="G410" s="1092">
        <v>0</v>
      </c>
      <c r="H410" s="1092">
        <v>85</v>
      </c>
      <c r="I410" s="1092">
        <v>0</v>
      </c>
      <c r="J410" s="1092">
        <v>0</v>
      </c>
      <c r="K410" s="1092">
        <v>0</v>
      </c>
      <c r="L410" s="1092">
        <v>0</v>
      </c>
      <c r="M410" s="1092">
        <v>0</v>
      </c>
      <c r="N410" s="27">
        <f t="shared" ref="N410:N421" si="55">SUM(B410:M410)</f>
        <v>146</v>
      </c>
    </row>
    <row r="411" spans="1:14">
      <c r="A411" s="78" t="s">
        <v>264</v>
      </c>
      <c r="B411" s="1092">
        <v>0</v>
      </c>
      <c r="C411" s="1092">
        <v>0</v>
      </c>
      <c r="D411" s="1092">
        <v>0</v>
      </c>
      <c r="E411" s="1092">
        <v>0</v>
      </c>
      <c r="F411" s="1092">
        <v>0</v>
      </c>
      <c r="G411" s="1092">
        <v>0</v>
      </c>
      <c r="H411" s="1092">
        <v>0</v>
      </c>
      <c r="I411" s="1092">
        <v>0</v>
      </c>
      <c r="J411" s="1092">
        <v>0</v>
      </c>
      <c r="K411" s="1092">
        <v>0</v>
      </c>
      <c r="L411" s="1092">
        <v>0</v>
      </c>
      <c r="M411" s="1092">
        <v>0</v>
      </c>
      <c r="N411" s="27">
        <f t="shared" si="55"/>
        <v>0</v>
      </c>
    </row>
    <row r="412" spans="1:14">
      <c r="A412" s="34" t="s">
        <v>204</v>
      </c>
      <c r="B412" s="1092">
        <v>0</v>
      </c>
      <c r="C412" s="1092">
        <v>0</v>
      </c>
      <c r="D412" s="1092">
        <v>0</v>
      </c>
      <c r="E412" s="1092">
        <v>0</v>
      </c>
      <c r="F412" s="1092">
        <v>0</v>
      </c>
      <c r="G412" s="1092">
        <v>0</v>
      </c>
      <c r="H412" s="1092">
        <v>0</v>
      </c>
      <c r="I412" s="1092">
        <v>0</v>
      </c>
      <c r="J412" s="1092">
        <v>0</v>
      </c>
      <c r="K412" s="1092">
        <v>0</v>
      </c>
      <c r="L412" s="1092">
        <v>0</v>
      </c>
      <c r="M412" s="1092">
        <v>0</v>
      </c>
      <c r="N412" s="27">
        <f t="shared" si="55"/>
        <v>0</v>
      </c>
    </row>
    <row r="413" spans="1:14">
      <c r="A413" s="76" t="s">
        <v>30</v>
      </c>
      <c r="B413" s="1092">
        <v>0</v>
      </c>
      <c r="C413" s="1092">
        <v>0</v>
      </c>
      <c r="D413" s="1092">
        <v>0</v>
      </c>
      <c r="E413" s="1092">
        <v>0</v>
      </c>
      <c r="F413" s="1092">
        <v>0</v>
      </c>
      <c r="G413" s="1092">
        <v>0</v>
      </c>
      <c r="H413" s="1092">
        <v>0</v>
      </c>
      <c r="I413" s="1092">
        <v>0</v>
      </c>
      <c r="J413" s="1092">
        <v>2</v>
      </c>
      <c r="K413" s="1092">
        <v>0</v>
      </c>
      <c r="L413" s="1092">
        <v>0</v>
      </c>
      <c r="M413" s="1092">
        <v>0</v>
      </c>
      <c r="N413" s="27">
        <f t="shared" si="55"/>
        <v>2</v>
      </c>
    </row>
    <row r="414" spans="1:14">
      <c r="A414" s="32" t="s">
        <v>56</v>
      </c>
      <c r="B414" s="1092">
        <v>0</v>
      </c>
      <c r="C414" s="1092">
        <v>0</v>
      </c>
      <c r="D414" s="1092">
        <v>0</v>
      </c>
      <c r="E414" s="1092">
        <v>0</v>
      </c>
      <c r="F414" s="1092">
        <v>0</v>
      </c>
      <c r="G414" s="1092">
        <v>0</v>
      </c>
      <c r="H414" s="1092">
        <v>0</v>
      </c>
      <c r="I414" s="1092">
        <v>0</v>
      </c>
      <c r="J414" s="1092">
        <v>0</v>
      </c>
      <c r="K414" s="1092">
        <v>0</v>
      </c>
      <c r="L414" s="1092">
        <v>0</v>
      </c>
      <c r="M414" s="1092">
        <v>0</v>
      </c>
      <c r="N414" s="27">
        <f t="shared" si="55"/>
        <v>0</v>
      </c>
    </row>
    <row r="415" spans="1:14">
      <c r="A415" s="78" t="s">
        <v>122</v>
      </c>
      <c r="B415" s="1092">
        <v>0</v>
      </c>
      <c r="C415" s="1092">
        <v>0</v>
      </c>
      <c r="D415" s="1092">
        <v>0</v>
      </c>
      <c r="E415" s="1092">
        <v>0</v>
      </c>
      <c r="F415" s="1092">
        <v>0</v>
      </c>
      <c r="G415" s="1092">
        <v>0</v>
      </c>
      <c r="H415" s="1092">
        <v>0</v>
      </c>
      <c r="I415" s="1092">
        <v>0</v>
      </c>
      <c r="J415" s="1092">
        <v>0</v>
      </c>
      <c r="K415" s="1092">
        <v>0</v>
      </c>
      <c r="L415" s="1092">
        <v>0</v>
      </c>
      <c r="M415" s="1092">
        <v>0</v>
      </c>
      <c r="N415" s="27">
        <f t="shared" si="55"/>
        <v>0</v>
      </c>
    </row>
    <row r="416" spans="1:14">
      <c r="A416" s="78" t="s">
        <v>184</v>
      </c>
      <c r="B416" s="1092">
        <v>0</v>
      </c>
      <c r="C416" s="1092">
        <v>0</v>
      </c>
      <c r="D416" s="1092">
        <v>0</v>
      </c>
      <c r="E416" s="1092">
        <v>0</v>
      </c>
      <c r="F416" s="1092">
        <v>0</v>
      </c>
      <c r="G416" s="1092">
        <v>0</v>
      </c>
      <c r="H416" s="1092">
        <v>0</v>
      </c>
      <c r="I416" s="1092">
        <v>0</v>
      </c>
      <c r="J416" s="1092">
        <v>0</v>
      </c>
      <c r="K416" s="1092">
        <v>0</v>
      </c>
      <c r="L416" s="1092">
        <v>0</v>
      </c>
      <c r="M416" s="1092">
        <v>0</v>
      </c>
      <c r="N416" s="27">
        <f t="shared" si="55"/>
        <v>0</v>
      </c>
    </row>
    <row r="417" spans="1:14">
      <c r="A417" s="78" t="s">
        <v>187</v>
      </c>
      <c r="B417" s="1092">
        <v>0</v>
      </c>
      <c r="C417" s="1092">
        <v>0</v>
      </c>
      <c r="D417" s="1092">
        <v>0</v>
      </c>
      <c r="E417" s="1092">
        <v>0</v>
      </c>
      <c r="F417" s="1092">
        <v>0</v>
      </c>
      <c r="G417" s="1092">
        <v>0</v>
      </c>
      <c r="H417" s="1092">
        <v>0</v>
      </c>
      <c r="I417" s="1092">
        <v>0</v>
      </c>
      <c r="J417" s="1092">
        <v>0</v>
      </c>
      <c r="K417" s="1092">
        <v>0</v>
      </c>
      <c r="L417" s="1092">
        <v>0</v>
      </c>
      <c r="M417" s="1092">
        <v>0</v>
      </c>
      <c r="N417" s="27">
        <f t="shared" si="55"/>
        <v>0</v>
      </c>
    </row>
    <row r="418" spans="1:14">
      <c r="A418" s="78" t="s">
        <v>188</v>
      </c>
      <c r="B418" s="1092">
        <v>0</v>
      </c>
      <c r="C418" s="1092">
        <v>0</v>
      </c>
      <c r="D418" s="1092">
        <v>0</v>
      </c>
      <c r="E418" s="1092">
        <v>0</v>
      </c>
      <c r="F418" s="1092">
        <v>0</v>
      </c>
      <c r="G418" s="1092">
        <v>0</v>
      </c>
      <c r="H418" s="1092">
        <v>0</v>
      </c>
      <c r="I418" s="1092">
        <v>0</v>
      </c>
      <c r="J418" s="1092">
        <v>0</v>
      </c>
      <c r="K418" s="1092">
        <v>0</v>
      </c>
      <c r="L418" s="1092">
        <v>0</v>
      </c>
      <c r="M418" s="1092">
        <v>0</v>
      </c>
      <c r="N418" s="27">
        <f t="shared" si="55"/>
        <v>0</v>
      </c>
    </row>
    <row r="419" spans="1:14">
      <c r="A419" s="78" t="s">
        <v>213</v>
      </c>
      <c r="B419" s="1092">
        <v>0</v>
      </c>
      <c r="C419" s="1092">
        <v>0</v>
      </c>
      <c r="D419" s="1092">
        <v>0</v>
      </c>
      <c r="E419" s="1092">
        <v>0</v>
      </c>
      <c r="F419" s="1092">
        <v>0</v>
      </c>
      <c r="G419" s="1092">
        <v>0</v>
      </c>
      <c r="H419" s="1092">
        <v>0</v>
      </c>
      <c r="I419" s="1092">
        <v>0</v>
      </c>
      <c r="J419" s="1092">
        <v>0</v>
      </c>
      <c r="K419" s="1092">
        <v>0</v>
      </c>
      <c r="L419" s="1092">
        <v>2</v>
      </c>
      <c r="M419" s="1092">
        <v>0</v>
      </c>
      <c r="N419" s="27">
        <f t="shared" si="55"/>
        <v>2</v>
      </c>
    </row>
    <row r="420" spans="1:14">
      <c r="A420" s="76" t="s">
        <v>267</v>
      </c>
      <c r="B420" s="1092">
        <v>0</v>
      </c>
      <c r="C420" s="1092">
        <v>0</v>
      </c>
      <c r="D420" s="1092">
        <v>0</v>
      </c>
      <c r="E420" s="1092">
        <v>0</v>
      </c>
      <c r="F420" s="1092">
        <v>0</v>
      </c>
      <c r="G420" s="1092">
        <v>0</v>
      </c>
      <c r="H420" s="1092">
        <v>0</v>
      </c>
      <c r="I420" s="1092">
        <v>0</v>
      </c>
      <c r="J420" s="1092">
        <v>0</v>
      </c>
      <c r="K420" s="1092">
        <v>0</v>
      </c>
      <c r="L420" s="1092">
        <v>0</v>
      </c>
      <c r="M420" s="1092">
        <v>0</v>
      </c>
      <c r="N420" s="27">
        <f t="shared" si="55"/>
        <v>0</v>
      </c>
    </row>
    <row r="421" spans="1:14" ht="14" thickBot="1">
      <c r="A421" s="78" t="s">
        <v>268</v>
      </c>
      <c r="B421" s="1092">
        <v>0</v>
      </c>
      <c r="C421" s="1092">
        <v>0</v>
      </c>
      <c r="D421" s="1092">
        <v>0</v>
      </c>
      <c r="E421" s="1092">
        <v>0</v>
      </c>
      <c r="F421" s="1092">
        <v>0</v>
      </c>
      <c r="G421" s="1092">
        <v>0</v>
      </c>
      <c r="H421" s="1092">
        <v>0</v>
      </c>
      <c r="I421" s="1092">
        <v>0</v>
      </c>
      <c r="J421" s="1092">
        <v>0</v>
      </c>
      <c r="K421" s="1092">
        <v>0</v>
      </c>
      <c r="L421" s="1092">
        <v>0</v>
      </c>
      <c r="M421" s="1092">
        <v>0</v>
      </c>
      <c r="N421" s="27">
        <f t="shared" si="55"/>
        <v>0</v>
      </c>
    </row>
    <row r="422" spans="1:14" ht="14" thickBot="1">
      <c r="A422" s="38" t="s">
        <v>192</v>
      </c>
      <c r="B422" s="39"/>
      <c r="C422" s="39"/>
      <c r="D422" s="39"/>
      <c r="E422" s="39"/>
      <c r="F422" s="39"/>
      <c r="G422" s="39"/>
      <c r="H422" s="39"/>
      <c r="I422" s="39"/>
      <c r="J422" s="39"/>
      <c r="K422" s="39"/>
      <c r="L422" s="39"/>
      <c r="M422" s="39"/>
      <c r="N422" s="40"/>
    </row>
    <row r="423" spans="1:14" ht="14" thickBot="1">
      <c r="A423" s="76" t="s">
        <v>193</v>
      </c>
      <c r="B423" s="1092"/>
      <c r="C423" s="1092"/>
      <c r="D423" s="1092"/>
      <c r="E423" s="1092"/>
      <c r="F423" s="1092"/>
      <c r="G423" s="1092"/>
      <c r="H423" s="1092"/>
      <c r="I423" s="1092"/>
      <c r="J423" s="1092"/>
      <c r="K423" s="1092"/>
      <c r="L423" s="1092"/>
      <c r="M423" s="1092"/>
      <c r="N423" s="27">
        <f>SUM(B423:M423)</f>
        <v>0</v>
      </c>
    </row>
    <row r="424" spans="1:14" ht="14" thickBot="1">
      <c r="A424" s="53" t="s">
        <v>60</v>
      </c>
      <c r="B424" s="55">
        <f t="shared" ref="B424:M424" si="56">SUM(B410:B423)</f>
        <v>0</v>
      </c>
      <c r="C424" s="55">
        <f t="shared" si="56"/>
        <v>0</v>
      </c>
      <c r="D424" s="55">
        <f t="shared" si="56"/>
        <v>61</v>
      </c>
      <c r="E424" s="55">
        <f t="shared" si="56"/>
        <v>0</v>
      </c>
      <c r="F424" s="55">
        <f t="shared" si="56"/>
        <v>0</v>
      </c>
      <c r="G424" s="55">
        <f t="shared" si="56"/>
        <v>0</v>
      </c>
      <c r="H424" s="55">
        <f t="shared" si="56"/>
        <v>85</v>
      </c>
      <c r="I424" s="55">
        <f t="shared" si="56"/>
        <v>0</v>
      </c>
      <c r="J424" s="55">
        <f t="shared" si="56"/>
        <v>2</v>
      </c>
      <c r="K424" s="55">
        <f t="shared" si="56"/>
        <v>0</v>
      </c>
      <c r="L424" s="55">
        <f t="shared" si="56"/>
        <v>2</v>
      </c>
      <c r="M424" s="55">
        <f t="shared" si="56"/>
        <v>0</v>
      </c>
      <c r="N424" s="54"/>
    </row>
    <row r="426" spans="1:14" ht="14" thickBot="1">
      <c r="B426" s="43" t="s">
        <v>35</v>
      </c>
      <c r="C426" s="43" t="s">
        <v>36</v>
      </c>
      <c r="D426" s="43" t="s">
        <v>37</v>
      </c>
      <c r="E426" s="43" t="s">
        <v>38</v>
      </c>
      <c r="F426" s="43" t="s">
        <v>39</v>
      </c>
      <c r="G426" s="43" t="s">
        <v>40</v>
      </c>
      <c r="H426" s="43" t="s">
        <v>41</v>
      </c>
      <c r="I426" s="43" t="s">
        <v>42</v>
      </c>
      <c r="J426" s="43" t="s">
        <v>43</v>
      </c>
      <c r="K426" s="43" t="s">
        <v>44</v>
      </c>
      <c r="L426" s="43" t="s">
        <v>45</v>
      </c>
      <c r="M426" s="43" t="s">
        <v>46</v>
      </c>
      <c r="N426" s="43" t="s">
        <v>10</v>
      </c>
    </row>
    <row r="427" spans="1:14" ht="17" thickBot="1">
      <c r="A427" s="31" t="s">
        <v>434</v>
      </c>
      <c r="B427" s="24"/>
      <c r="C427" s="24"/>
      <c r="D427" s="22"/>
      <c r="E427" s="22"/>
      <c r="F427" s="25"/>
      <c r="G427" s="25"/>
      <c r="H427" s="22"/>
      <c r="I427" s="22"/>
      <c r="J427" s="22"/>
      <c r="K427" s="22"/>
      <c r="L427" s="24"/>
      <c r="M427" s="24"/>
      <c r="N427" s="26"/>
    </row>
    <row r="428" spans="1:14" ht="14" thickBot="1">
      <c r="A428" s="38" t="s">
        <v>189</v>
      </c>
      <c r="B428" s="39"/>
      <c r="C428" s="39"/>
      <c r="D428" s="39"/>
      <c r="E428" s="39"/>
      <c r="F428" s="39"/>
      <c r="G428" s="39"/>
      <c r="H428" s="39"/>
      <c r="I428" s="39"/>
      <c r="J428" s="39"/>
      <c r="K428" s="39"/>
      <c r="L428" s="39"/>
      <c r="M428" s="39"/>
      <c r="N428" s="40"/>
    </row>
    <row r="429" spans="1:14">
      <c r="A429" s="32" t="s">
        <v>29</v>
      </c>
      <c r="B429" s="1092"/>
      <c r="C429" s="1092">
        <v>2</v>
      </c>
      <c r="D429" s="1092">
        <v>2</v>
      </c>
      <c r="E429" s="1092"/>
      <c r="F429" s="1092">
        <v>2</v>
      </c>
      <c r="G429" s="1092"/>
      <c r="H429" s="1092"/>
      <c r="I429" s="1092"/>
      <c r="J429" s="1092"/>
      <c r="K429" s="1092"/>
      <c r="L429" s="1092"/>
      <c r="M429" s="1092"/>
      <c r="N429" s="27">
        <f t="shared" ref="N429:N436" si="57">SUM(B429:M429)</f>
        <v>6</v>
      </c>
    </row>
    <row r="430" spans="1:14">
      <c r="A430" s="32" t="s">
        <v>33</v>
      </c>
      <c r="B430" s="1092">
        <v>2</v>
      </c>
      <c r="C430" s="1092">
        <v>6</v>
      </c>
      <c r="D430" s="1092">
        <v>2</v>
      </c>
      <c r="E430" s="1092">
        <v>2</v>
      </c>
      <c r="F430" s="1092">
        <v>4</v>
      </c>
      <c r="G430" s="1092">
        <v>1</v>
      </c>
      <c r="H430" s="1092">
        <v>4</v>
      </c>
      <c r="I430" s="1092">
        <v>7</v>
      </c>
      <c r="J430" s="1092">
        <v>6</v>
      </c>
      <c r="K430" s="1092">
        <v>3</v>
      </c>
      <c r="L430" s="1092">
        <v>5</v>
      </c>
      <c r="M430" s="1092">
        <v>3</v>
      </c>
      <c r="N430" s="27">
        <f t="shared" si="57"/>
        <v>45</v>
      </c>
    </row>
    <row r="431" spans="1:14">
      <c r="A431" s="32" t="s">
        <v>56</v>
      </c>
      <c r="B431" s="1092"/>
      <c r="C431" s="1092"/>
      <c r="D431" s="1092"/>
      <c r="E431" s="1092"/>
      <c r="F431" s="1092"/>
      <c r="G431" s="1092"/>
      <c r="H431" s="1092"/>
      <c r="I431" s="1092"/>
      <c r="J431" s="1092"/>
      <c r="K431" s="1092"/>
      <c r="L431" s="1092"/>
      <c r="M431" s="1092"/>
      <c r="N431" s="27">
        <f t="shared" si="57"/>
        <v>0</v>
      </c>
    </row>
    <row r="432" spans="1:14">
      <c r="A432" s="78" t="s">
        <v>30</v>
      </c>
      <c r="B432" s="1092">
        <v>7</v>
      </c>
      <c r="C432" s="1092">
        <v>16</v>
      </c>
      <c r="D432" s="1092">
        <v>20</v>
      </c>
      <c r="E432" s="1092">
        <v>6</v>
      </c>
      <c r="F432" s="1092">
        <v>11</v>
      </c>
      <c r="G432" s="1092">
        <v>4</v>
      </c>
      <c r="H432" s="1092">
        <v>2</v>
      </c>
      <c r="I432" s="1092">
        <v>8</v>
      </c>
      <c r="J432" s="1092">
        <v>12</v>
      </c>
      <c r="K432" s="1092">
        <v>4</v>
      </c>
      <c r="L432" s="1092">
        <v>3</v>
      </c>
      <c r="M432" s="1092">
        <v>7</v>
      </c>
      <c r="N432" s="27">
        <f t="shared" si="57"/>
        <v>100</v>
      </c>
    </row>
    <row r="433" spans="1:14">
      <c r="A433" s="76" t="s">
        <v>213</v>
      </c>
      <c r="B433" s="1092">
        <v>2</v>
      </c>
      <c r="C433" s="1092">
        <v>2</v>
      </c>
      <c r="D433" s="1092"/>
      <c r="E433" s="1092">
        <v>3</v>
      </c>
      <c r="F433" s="1092">
        <v>5</v>
      </c>
      <c r="G433" s="1092">
        <v>2</v>
      </c>
      <c r="H433" s="1092">
        <v>3</v>
      </c>
      <c r="I433" s="1092"/>
      <c r="J433" s="1092">
        <v>3</v>
      </c>
      <c r="K433" s="1092">
        <v>1</v>
      </c>
      <c r="L433" s="1092">
        <v>1</v>
      </c>
      <c r="M433" s="1092">
        <v>2</v>
      </c>
      <c r="N433" s="27">
        <f t="shared" si="57"/>
        <v>24</v>
      </c>
    </row>
    <row r="434" spans="1:14">
      <c r="A434" s="76" t="s">
        <v>212</v>
      </c>
      <c r="B434" s="1092"/>
      <c r="C434" s="1092"/>
      <c r="D434" s="1092"/>
      <c r="E434" s="1092"/>
      <c r="F434" s="1092">
        <v>1</v>
      </c>
      <c r="G434" s="1092"/>
      <c r="H434" s="1092"/>
      <c r="I434" s="1092">
        <v>1</v>
      </c>
      <c r="J434" s="1092"/>
      <c r="K434" s="1092"/>
      <c r="L434" s="1092"/>
      <c r="M434" s="1092"/>
      <c r="N434" s="27">
        <f t="shared" si="57"/>
        <v>2</v>
      </c>
    </row>
    <row r="435" spans="1:14">
      <c r="A435" s="76" t="s">
        <v>331</v>
      </c>
      <c r="B435" s="1092"/>
      <c r="C435" s="1092"/>
      <c r="D435" s="1092"/>
      <c r="E435" s="1092"/>
      <c r="F435" s="1092"/>
      <c r="G435" s="1092"/>
      <c r="H435" s="1092"/>
      <c r="I435" s="1092"/>
      <c r="J435" s="1092"/>
      <c r="K435" s="1092"/>
      <c r="L435" s="1092"/>
      <c r="M435" s="1092"/>
      <c r="N435" s="27">
        <f t="shared" si="57"/>
        <v>0</v>
      </c>
    </row>
    <row r="436" spans="1:14" ht="14" thickBot="1">
      <c r="A436" s="76" t="s">
        <v>267</v>
      </c>
      <c r="B436" s="1092"/>
      <c r="C436" s="1092"/>
      <c r="D436" s="1092"/>
      <c r="E436" s="1092"/>
      <c r="F436" s="1092"/>
      <c r="G436" s="1092"/>
      <c r="H436" s="1092"/>
      <c r="I436" s="1092"/>
      <c r="J436" s="1092"/>
      <c r="K436" s="1092"/>
      <c r="L436" s="1092"/>
      <c r="M436" s="1092"/>
      <c r="N436" s="27">
        <f t="shared" si="57"/>
        <v>0</v>
      </c>
    </row>
    <row r="437" spans="1:14" ht="14" thickBot="1">
      <c r="A437" s="38" t="s">
        <v>190</v>
      </c>
      <c r="B437" s="39"/>
      <c r="C437" s="39"/>
      <c r="D437" s="39"/>
      <c r="E437" s="39"/>
      <c r="F437" s="39"/>
      <c r="G437" s="39"/>
      <c r="H437" s="39"/>
      <c r="I437" s="39"/>
      <c r="J437" s="39"/>
      <c r="K437" s="39"/>
      <c r="L437" s="39"/>
      <c r="M437" s="39"/>
      <c r="N437" s="280"/>
    </row>
    <row r="438" spans="1:14">
      <c r="A438" s="76" t="s">
        <v>393</v>
      </c>
      <c r="B438" s="1092">
        <v>10</v>
      </c>
      <c r="C438" s="1092">
        <v>17</v>
      </c>
      <c r="D438" s="1092"/>
      <c r="E438" s="1092"/>
      <c r="F438" s="1092"/>
      <c r="G438" s="1092"/>
      <c r="H438" s="1092"/>
      <c r="I438" s="1092"/>
      <c r="J438" s="1092">
        <v>19</v>
      </c>
      <c r="K438" s="1092"/>
      <c r="L438" s="1092">
        <v>1</v>
      </c>
      <c r="M438" s="1092">
        <v>11</v>
      </c>
      <c r="N438" s="27">
        <f>SUM(B438:M438)</f>
        <v>58</v>
      </c>
    </row>
    <row r="439" spans="1:14">
      <c r="A439" s="76" t="s">
        <v>166</v>
      </c>
      <c r="B439" s="1092">
        <v>9</v>
      </c>
      <c r="C439" s="1140">
        <v>13</v>
      </c>
      <c r="D439" s="1092">
        <v>5</v>
      </c>
      <c r="E439" s="1092">
        <v>3</v>
      </c>
      <c r="F439" s="1092">
        <v>11</v>
      </c>
      <c r="G439" s="1092">
        <v>2</v>
      </c>
      <c r="H439" s="1092">
        <v>2</v>
      </c>
      <c r="I439" s="1092">
        <v>14</v>
      </c>
      <c r="J439" s="1092">
        <v>2</v>
      </c>
      <c r="K439" s="1092">
        <v>0</v>
      </c>
      <c r="L439" s="1092">
        <v>0</v>
      </c>
      <c r="M439" s="1092">
        <v>0</v>
      </c>
      <c r="N439" s="27">
        <f>SUM(B439:M439)</f>
        <v>61</v>
      </c>
    </row>
    <row r="440" spans="1:14">
      <c r="A440" s="76" t="s">
        <v>336</v>
      </c>
      <c r="B440" s="1092">
        <v>0</v>
      </c>
      <c r="C440" s="1092">
        <v>12</v>
      </c>
      <c r="D440" s="1092">
        <v>4</v>
      </c>
      <c r="E440" s="1092">
        <v>2</v>
      </c>
      <c r="F440" s="1092">
        <v>10</v>
      </c>
      <c r="G440" s="1092">
        <v>0</v>
      </c>
      <c r="H440" s="1092">
        <v>0</v>
      </c>
      <c r="I440" s="1092">
        <v>13</v>
      </c>
      <c r="J440" s="1092">
        <v>0</v>
      </c>
      <c r="K440" s="1092">
        <v>0</v>
      </c>
      <c r="L440" s="1092">
        <v>0</v>
      </c>
      <c r="M440" s="1092">
        <v>2</v>
      </c>
      <c r="N440" s="27">
        <f>SUM(B440:M440)</f>
        <v>43</v>
      </c>
    </row>
    <row r="441" spans="1:14">
      <c r="A441" s="76" t="s">
        <v>266</v>
      </c>
      <c r="B441" s="1092">
        <v>4</v>
      </c>
      <c r="C441" s="1092">
        <v>1</v>
      </c>
      <c r="D441" s="1092">
        <v>2</v>
      </c>
      <c r="E441" s="1092">
        <v>9</v>
      </c>
      <c r="F441" s="1092">
        <v>5</v>
      </c>
      <c r="G441" s="1092">
        <v>4</v>
      </c>
      <c r="H441" s="1092">
        <v>6</v>
      </c>
      <c r="I441" s="1092">
        <v>4</v>
      </c>
      <c r="J441" s="1092">
        <v>4</v>
      </c>
      <c r="K441" s="1092">
        <v>0</v>
      </c>
      <c r="L441" s="1092">
        <v>0</v>
      </c>
      <c r="M441" s="1092">
        <v>3</v>
      </c>
      <c r="N441" s="27">
        <f>SUM(B441:M441)</f>
        <v>42</v>
      </c>
    </row>
    <row r="442" spans="1:14" ht="14" thickBot="1">
      <c r="A442" s="76" t="s">
        <v>467</v>
      </c>
      <c r="B442" s="1092"/>
      <c r="C442" s="1092"/>
      <c r="D442" s="1092"/>
      <c r="E442" s="1092"/>
      <c r="F442" s="1092"/>
      <c r="G442" s="1092"/>
      <c r="H442" s="1092"/>
      <c r="I442" s="1092"/>
      <c r="J442" s="1092"/>
      <c r="K442" s="1092"/>
      <c r="L442" s="1092"/>
      <c r="M442" s="1092"/>
      <c r="N442" s="27">
        <f>SUM(B442:M442)</f>
        <v>0</v>
      </c>
    </row>
    <row r="443" spans="1:14" ht="14" thickBot="1">
      <c r="A443" s="53" t="s">
        <v>60</v>
      </c>
      <c r="B443" s="55">
        <f>SUM(B429:B442)</f>
        <v>34</v>
      </c>
      <c r="C443" s="55">
        <f t="shared" ref="C443:M443" si="58">SUM(C429:C442)</f>
        <v>69</v>
      </c>
      <c r="D443" s="55">
        <f>SUM(D429:D442)</f>
        <v>35</v>
      </c>
      <c r="E443" s="55">
        <f t="shared" si="58"/>
        <v>25</v>
      </c>
      <c r="F443" s="55">
        <f t="shared" si="58"/>
        <v>49</v>
      </c>
      <c r="G443" s="55">
        <f t="shared" si="58"/>
        <v>13</v>
      </c>
      <c r="H443" s="55">
        <f t="shared" si="58"/>
        <v>17</v>
      </c>
      <c r="I443" s="55">
        <f t="shared" si="58"/>
        <v>47</v>
      </c>
      <c r="J443" s="55">
        <f t="shared" si="58"/>
        <v>46</v>
      </c>
      <c r="K443" s="55">
        <f t="shared" si="58"/>
        <v>8</v>
      </c>
      <c r="L443" s="55">
        <f t="shared" si="58"/>
        <v>10</v>
      </c>
      <c r="M443" s="55">
        <f t="shared" si="58"/>
        <v>28</v>
      </c>
      <c r="N443" s="54"/>
    </row>
    <row r="444" spans="1:14" ht="14" thickBot="1">
      <c r="A444" s="38" t="s">
        <v>194</v>
      </c>
      <c r="B444" s="39"/>
      <c r="C444" s="39"/>
      <c r="D444" s="39"/>
      <c r="E444" s="39"/>
      <c r="F444" s="39"/>
      <c r="G444" s="39"/>
      <c r="H444" s="39"/>
      <c r="I444" s="39"/>
      <c r="J444" s="39"/>
      <c r="K444" s="39"/>
      <c r="L444" s="39"/>
      <c r="M444" s="39"/>
      <c r="N444" s="40"/>
    </row>
    <row r="445" spans="1:14">
      <c r="A445" s="32" t="s">
        <v>29</v>
      </c>
      <c r="B445" s="1092"/>
      <c r="C445" s="1092"/>
      <c r="D445" s="1092"/>
      <c r="E445" s="1092"/>
      <c r="F445" s="1092">
        <v>237</v>
      </c>
      <c r="G445" s="1092"/>
      <c r="H445" s="1092"/>
      <c r="I445" s="1092"/>
      <c r="J445" s="1092"/>
      <c r="K445" s="1092"/>
      <c r="L445" s="1092"/>
      <c r="M445" s="1092"/>
      <c r="N445" s="27">
        <f t="shared" ref="N445:N456" si="59">SUM(B445:M445)</f>
        <v>237</v>
      </c>
    </row>
    <row r="446" spans="1:14">
      <c r="A446" s="78" t="s">
        <v>264</v>
      </c>
      <c r="B446" s="1092"/>
      <c r="C446" s="1092"/>
      <c r="D446" s="1092"/>
      <c r="E446" s="1092"/>
      <c r="F446" s="1092"/>
      <c r="G446" s="1092"/>
      <c r="H446" s="1092"/>
      <c r="I446" s="1092"/>
      <c r="J446" s="1092"/>
      <c r="K446" s="1092"/>
      <c r="L446" s="1092"/>
      <c r="M446" s="1092"/>
      <c r="N446" s="27">
        <f t="shared" si="59"/>
        <v>0</v>
      </c>
    </row>
    <row r="447" spans="1:14">
      <c r="A447" s="34" t="s">
        <v>204</v>
      </c>
      <c r="B447" s="1092"/>
      <c r="C447" s="1092"/>
      <c r="D447" s="1092"/>
      <c r="E447" s="1092"/>
      <c r="F447" s="1092"/>
      <c r="G447" s="1092"/>
      <c r="H447" s="1092"/>
      <c r="I447" s="1092"/>
      <c r="J447" s="1092"/>
      <c r="K447" s="1092"/>
      <c r="L447" s="1092"/>
      <c r="M447" s="1092"/>
      <c r="N447" s="27">
        <f t="shared" si="59"/>
        <v>0</v>
      </c>
    </row>
    <row r="448" spans="1:14">
      <c r="A448" s="76" t="s">
        <v>30</v>
      </c>
      <c r="B448" s="1092"/>
      <c r="C448" s="1092"/>
      <c r="D448" s="1092"/>
      <c r="E448" s="1092"/>
      <c r="F448" s="1092">
        <v>5</v>
      </c>
      <c r="G448" s="1092"/>
      <c r="H448" s="1092"/>
      <c r="I448" s="1092">
        <v>7</v>
      </c>
      <c r="J448" s="1092"/>
      <c r="K448" s="1092"/>
      <c r="L448" s="1092"/>
      <c r="M448" s="1092"/>
      <c r="N448" s="27">
        <f t="shared" si="59"/>
        <v>12</v>
      </c>
    </row>
    <row r="449" spans="1:14">
      <c r="A449" s="32" t="s">
        <v>56</v>
      </c>
      <c r="B449" s="1092"/>
      <c r="C449" s="1092"/>
      <c r="D449" s="1092"/>
      <c r="E449" s="1092"/>
      <c r="F449" s="1092"/>
      <c r="G449" s="1092"/>
      <c r="H449" s="1092"/>
      <c r="I449" s="1092"/>
      <c r="J449" s="1092"/>
      <c r="K449" s="1092"/>
      <c r="L449" s="1092"/>
      <c r="M449" s="1092"/>
      <c r="N449" s="27">
        <f t="shared" si="59"/>
        <v>0</v>
      </c>
    </row>
    <row r="450" spans="1:14">
      <c r="A450" s="78" t="s">
        <v>122</v>
      </c>
      <c r="B450" s="1092"/>
      <c r="C450" s="1092"/>
      <c r="D450" s="1092"/>
      <c r="E450" s="1092"/>
      <c r="F450" s="1092"/>
      <c r="G450" s="1092"/>
      <c r="H450" s="1092"/>
      <c r="I450" s="1092"/>
      <c r="J450" s="1092"/>
      <c r="K450" s="1092"/>
      <c r="L450" s="1092"/>
      <c r="M450" s="1092"/>
      <c r="N450" s="27">
        <f t="shared" si="59"/>
        <v>0</v>
      </c>
    </row>
    <row r="451" spans="1:14">
      <c r="A451" s="78" t="s">
        <v>184</v>
      </c>
      <c r="B451" s="1092"/>
      <c r="C451" s="1092"/>
      <c r="D451" s="1092"/>
      <c r="E451" s="1092"/>
      <c r="F451" s="1092"/>
      <c r="G451" s="1092"/>
      <c r="H451" s="1092"/>
      <c r="I451" s="1092"/>
      <c r="J451" s="1092"/>
      <c r="K451" s="1092"/>
      <c r="L451" s="1092"/>
      <c r="M451" s="1092"/>
      <c r="N451" s="27">
        <f t="shared" si="59"/>
        <v>0</v>
      </c>
    </row>
    <row r="452" spans="1:14">
      <c r="A452" s="78" t="s">
        <v>187</v>
      </c>
      <c r="B452" s="1092"/>
      <c r="C452" s="1092"/>
      <c r="D452" s="1092"/>
      <c r="E452" s="1092"/>
      <c r="F452" s="1092"/>
      <c r="G452" s="1092"/>
      <c r="H452" s="1092"/>
      <c r="I452" s="1092"/>
      <c r="J452" s="1092"/>
      <c r="K452" s="1092"/>
      <c r="L452" s="1092"/>
      <c r="M452" s="1092"/>
      <c r="N452" s="27">
        <f t="shared" si="59"/>
        <v>0</v>
      </c>
    </row>
    <row r="453" spans="1:14">
      <c r="A453" s="78" t="s">
        <v>188</v>
      </c>
      <c r="B453" s="1092"/>
      <c r="C453" s="1092"/>
      <c r="D453" s="1092"/>
      <c r="E453" s="1092"/>
      <c r="F453" s="1092"/>
      <c r="G453" s="1092"/>
      <c r="H453" s="1092"/>
      <c r="I453" s="1092"/>
      <c r="J453" s="1092"/>
      <c r="K453" s="1092"/>
      <c r="L453" s="1092"/>
      <c r="M453" s="1092"/>
      <c r="N453" s="27">
        <f t="shared" si="59"/>
        <v>0</v>
      </c>
    </row>
    <row r="454" spans="1:14">
      <c r="A454" s="78" t="s">
        <v>213</v>
      </c>
      <c r="B454" s="1092"/>
      <c r="C454" s="1092"/>
      <c r="D454" s="1092"/>
      <c r="E454" s="1092"/>
      <c r="F454" s="1092"/>
      <c r="G454" s="1092">
        <v>8</v>
      </c>
      <c r="H454" s="1092"/>
      <c r="I454" s="1092"/>
      <c r="J454" s="1092">
        <v>1</v>
      </c>
      <c r="K454" s="1092"/>
      <c r="L454" s="1092"/>
      <c r="M454" s="1092">
        <v>1</v>
      </c>
      <c r="N454" s="27">
        <f t="shared" si="59"/>
        <v>10</v>
      </c>
    </row>
    <row r="455" spans="1:14">
      <c r="A455" s="76" t="s">
        <v>267</v>
      </c>
      <c r="B455" s="1092"/>
      <c r="C455" s="1092"/>
      <c r="D455" s="1092"/>
      <c r="E455" s="1092"/>
      <c r="F455" s="1092"/>
      <c r="G455" s="1092"/>
      <c r="H455" s="1092"/>
      <c r="I455" s="1092"/>
      <c r="J455" s="1092"/>
      <c r="K455" s="1092"/>
      <c r="L455" s="1092"/>
      <c r="M455" s="1092"/>
      <c r="N455" s="27">
        <f t="shared" si="59"/>
        <v>0</v>
      </c>
    </row>
    <row r="456" spans="1:14" ht="14" thickBot="1">
      <c r="A456" s="78" t="s">
        <v>268</v>
      </c>
      <c r="B456" s="1092"/>
      <c r="C456" s="1092"/>
      <c r="D456" s="1092"/>
      <c r="E456" s="1092"/>
      <c r="F456" s="1092"/>
      <c r="G456" s="1092"/>
      <c r="H456" s="1092"/>
      <c r="I456" s="1092"/>
      <c r="J456" s="1092"/>
      <c r="K456" s="1092"/>
      <c r="L456" s="1092"/>
      <c r="M456" s="1092"/>
      <c r="N456" s="27">
        <f t="shared" si="59"/>
        <v>0</v>
      </c>
    </row>
    <row r="457" spans="1:14" ht="14" thickBot="1">
      <c r="A457" s="38" t="s">
        <v>192</v>
      </c>
      <c r="B457" s="39"/>
      <c r="C457" s="39"/>
      <c r="D457" s="39"/>
      <c r="E457" s="39"/>
      <c r="F457" s="39"/>
      <c r="G457" s="39"/>
      <c r="H457" s="39"/>
      <c r="I457" s="39"/>
      <c r="J457" s="39"/>
      <c r="K457" s="39"/>
      <c r="L457" s="39"/>
      <c r="M457" s="39"/>
      <c r="N457" s="40"/>
    </row>
    <row r="458" spans="1:14" ht="14" thickBot="1">
      <c r="A458" s="76" t="s">
        <v>193</v>
      </c>
      <c r="B458" s="1092"/>
      <c r="C458" s="1092"/>
      <c r="D458" s="1092"/>
      <c r="E458" s="1092"/>
      <c r="F458" s="1092"/>
      <c r="G458" s="1092"/>
      <c r="H458" s="1092"/>
      <c r="I458" s="1092"/>
      <c r="J458" s="1092"/>
      <c r="K458" s="1092"/>
      <c r="L458" s="1092"/>
      <c r="M458" s="1092"/>
      <c r="N458" s="27">
        <f>SUM(B458:M458)</f>
        <v>0</v>
      </c>
    </row>
    <row r="459" spans="1:14" ht="14" thickBot="1">
      <c r="A459" s="53" t="s">
        <v>60</v>
      </c>
      <c r="B459" s="55">
        <f t="shared" ref="B459:M459" si="60">SUM(B445:B458)</f>
        <v>0</v>
      </c>
      <c r="C459" s="55">
        <f t="shared" si="60"/>
        <v>0</v>
      </c>
      <c r="D459" s="55">
        <f t="shared" si="60"/>
        <v>0</v>
      </c>
      <c r="E459" s="55">
        <f t="shared" si="60"/>
        <v>0</v>
      </c>
      <c r="F459" s="55">
        <f t="shared" si="60"/>
        <v>242</v>
      </c>
      <c r="G459" s="55">
        <f t="shared" si="60"/>
        <v>8</v>
      </c>
      <c r="H459" s="55">
        <f t="shared" si="60"/>
        <v>0</v>
      </c>
      <c r="I459" s="55">
        <f t="shared" si="60"/>
        <v>7</v>
      </c>
      <c r="J459" s="55">
        <f t="shared" si="60"/>
        <v>1</v>
      </c>
      <c r="K459" s="55">
        <f t="shared" si="60"/>
        <v>0</v>
      </c>
      <c r="L459" s="55">
        <f t="shared" si="60"/>
        <v>0</v>
      </c>
      <c r="M459" s="55">
        <f t="shared" si="60"/>
        <v>1</v>
      </c>
      <c r="N459" s="54"/>
    </row>
  </sheetData>
  <printOptions gridLines="1"/>
  <pageMargins left="0.75" right="0.75" top="1" bottom="1" header="0.5" footer="0.5"/>
  <pageSetup scale="70"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FF0000"/>
    <pageSetUpPr fitToPage="1"/>
  </sheetPr>
  <dimension ref="A1:U647"/>
  <sheetViews>
    <sheetView showGridLines="0" zoomScaleNormal="100" zoomScaleSheetLayoutView="75" workbookViewId="0">
      <selection activeCell="M2" sqref="M2:N3"/>
    </sheetView>
  </sheetViews>
  <sheetFormatPr baseColWidth="10" defaultColWidth="9.1640625" defaultRowHeight="13"/>
  <cols>
    <col min="1" max="1" width="57.33203125" style="508" customWidth="1"/>
    <col min="2" max="7" width="8.83203125" style="508" customWidth="1"/>
    <col min="8" max="8" width="17.1640625" style="660" customWidth="1"/>
    <col min="9" max="12" width="17.1640625" style="508" customWidth="1"/>
    <col min="13" max="14" width="8.83203125" style="508" customWidth="1"/>
    <col min="15" max="16384" width="9.1640625" style="508"/>
  </cols>
  <sheetData>
    <row r="1" spans="1:14" s="363" customFormat="1" ht="16">
      <c r="A1" s="98"/>
      <c r="B1" s="99"/>
      <c r="C1" s="99"/>
      <c r="D1" s="99"/>
      <c r="E1" s="99"/>
      <c r="F1" s="421"/>
      <c r="G1" s="421"/>
      <c r="H1" s="421"/>
      <c r="I1" s="1468" t="s">
        <v>0</v>
      </c>
      <c r="J1" s="1468"/>
      <c r="K1" s="1468"/>
      <c r="L1" s="1468"/>
      <c r="M1" s="99"/>
      <c r="N1" s="101"/>
    </row>
    <row r="2" spans="1:14" customFormat="1" ht="16">
      <c r="A2" s="97"/>
      <c r="B2" s="1469" t="s">
        <v>1</v>
      </c>
      <c r="C2" s="1469"/>
      <c r="D2" s="1469" t="s">
        <v>2</v>
      </c>
      <c r="E2" s="1469"/>
      <c r="F2" s="1470" t="s">
        <v>3</v>
      </c>
      <c r="G2" s="1470"/>
      <c r="H2" s="1314" t="s">
        <v>3</v>
      </c>
      <c r="I2" s="127" t="s">
        <v>195</v>
      </c>
      <c r="J2" s="102"/>
      <c r="K2" s="102"/>
      <c r="L2" s="128"/>
      <c r="M2" s="1471" t="s">
        <v>469</v>
      </c>
      <c r="N2" s="1472"/>
    </row>
    <row r="3" spans="1:14" customFormat="1" ht="19" thickBot="1">
      <c r="A3" s="103" t="s">
        <v>5</v>
      </c>
      <c r="B3" s="1473" t="s">
        <v>6</v>
      </c>
      <c r="C3" s="1473"/>
      <c r="D3" s="1473" t="s">
        <v>7</v>
      </c>
      <c r="E3" s="1473"/>
      <c r="F3" s="1474" t="s">
        <v>7</v>
      </c>
      <c r="G3" s="1474"/>
      <c r="H3" s="1317" t="s">
        <v>58</v>
      </c>
      <c r="I3" s="1318" t="s">
        <v>196</v>
      </c>
      <c r="J3" s="1316" t="s">
        <v>8</v>
      </c>
      <c r="K3" s="1316" t="s">
        <v>9</v>
      </c>
      <c r="L3" s="401" t="s">
        <v>10</v>
      </c>
      <c r="M3" s="1473" t="s">
        <v>470</v>
      </c>
      <c r="N3" s="1475"/>
    </row>
    <row r="4" spans="1:14" customFormat="1" ht="24" thickBot="1">
      <c r="A4" s="88" t="s">
        <v>435</v>
      </c>
      <c r="B4" s="1476"/>
      <c r="C4" s="1477"/>
      <c r="D4" s="1478"/>
      <c r="E4" s="1479"/>
      <c r="F4" s="1480"/>
      <c r="G4" s="1481"/>
      <c r="H4" s="1324"/>
      <c r="I4" s="213"/>
      <c r="J4" s="213"/>
      <c r="K4" s="213"/>
      <c r="L4" s="214"/>
      <c r="M4" s="1482"/>
      <c r="N4" s="1483"/>
    </row>
    <row r="5" spans="1:14" s="1161" customFormat="1" ht="17" thickBot="1">
      <c r="A5" s="110" t="s">
        <v>189</v>
      </c>
      <c r="B5" s="1456"/>
      <c r="C5" s="1457"/>
      <c r="D5" s="1457"/>
      <c r="E5" s="1457"/>
      <c r="F5" s="1484"/>
      <c r="G5" s="1484"/>
      <c r="H5" s="1320"/>
      <c r="I5" s="1319"/>
      <c r="J5" s="1319"/>
      <c r="K5" s="1319"/>
      <c r="L5" s="1319"/>
      <c r="M5" s="1485"/>
      <c r="N5" s="1486"/>
    </row>
    <row r="6" spans="1:14" s="121" customFormat="1">
      <c r="A6" s="69" t="s">
        <v>29</v>
      </c>
      <c r="B6" s="1465">
        <f>Upland!N429</f>
        <v>6</v>
      </c>
      <c r="C6" s="1466"/>
      <c r="D6" s="1432">
        <f>F6*325900</f>
        <v>48102.840000000004</v>
      </c>
      <c r="E6" s="1433"/>
      <c r="F6" s="1467">
        <f>0.0246*B6</f>
        <v>0.14760000000000001</v>
      </c>
      <c r="G6" s="1433"/>
      <c r="H6" s="1325">
        <f>F6*20</f>
        <v>2.952</v>
      </c>
      <c r="I6" s="173">
        <v>0</v>
      </c>
      <c r="J6" s="173">
        <f>B6*60</f>
        <v>360</v>
      </c>
      <c r="K6" s="173">
        <f>B6*40</f>
        <v>240</v>
      </c>
      <c r="L6" s="174">
        <f>K6+J6+I6</f>
        <v>600</v>
      </c>
      <c r="M6" s="1427">
        <f>J6/(F6*830)</f>
        <v>2.9385836027034968</v>
      </c>
      <c r="N6" s="1428"/>
    </row>
    <row r="7" spans="1:14" s="121" customFormat="1">
      <c r="A7" s="69" t="s">
        <v>33</v>
      </c>
      <c r="B7" s="1435">
        <f>Upland!N430</f>
        <v>45</v>
      </c>
      <c r="C7" s="1433"/>
      <c r="D7" s="1432">
        <f t="shared" ref="D7" si="0">F7*325900</f>
        <v>505959.75000000006</v>
      </c>
      <c r="E7" s="1433"/>
      <c r="F7" s="1467">
        <f>0.0345*B7</f>
        <v>1.5525000000000002</v>
      </c>
      <c r="G7" s="1433"/>
      <c r="H7" s="1325">
        <f>F7*14</f>
        <v>21.735000000000003</v>
      </c>
      <c r="I7" s="173">
        <f>0*B7</f>
        <v>0</v>
      </c>
      <c r="J7" s="173">
        <f>B7*75</f>
        <v>3375</v>
      </c>
      <c r="K7" s="173">
        <f>B7*85</f>
        <v>3825</v>
      </c>
      <c r="L7" s="174">
        <f t="shared" ref="L7" si="1">K7+J7+I7</f>
        <v>7200</v>
      </c>
      <c r="M7" s="1427">
        <f t="shared" ref="M7:M11" si="2">J7/(F7*830)</f>
        <v>2.6191723415400729</v>
      </c>
      <c r="N7" s="1428"/>
    </row>
    <row r="8" spans="1:14" s="121" customFormat="1">
      <c r="A8" s="254" t="s">
        <v>363</v>
      </c>
      <c r="B8" s="1435">
        <f>Upland!N431</f>
        <v>0</v>
      </c>
      <c r="C8" s="1433"/>
      <c r="D8" s="1432">
        <f>F8*325900</f>
        <v>0</v>
      </c>
      <c r="E8" s="1433"/>
      <c r="F8" s="1460">
        <v>0</v>
      </c>
      <c r="G8" s="1461"/>
      <c r="H8" s="1325">
        <f>F8*5</f>
        <v>0</v>
      </c>
      <c r="I8" s="173">
        <f>0*0</f>
        <v>0</v>
      </c>
      <c r="J8" s="173">
        <f>3*0</f>
        <v>0</v>
      </c>
      <c r="K8" s="173">
        <f>2*0</f>
        <v>0</v>
      </c>
      <c r="L8" s="174">
        <f>K8+J8+I8</f>
        <v>0</v>
      </c>
      <c r="M8" s="1427">
        <v>0</v>
      </c>
      <c r="N8" s="1428"/>
    </row>
    <row r="9" spans="1:14" s="121" customFormat="1">
      <c r="A9" s="69" t="s">
        <v>52</v>
      </c>
      <c r="B9" s="1435">
        <f>Upland!N432</f>
        <v>100</v>
      </c>
      <c r="C9" s="1433"/>
      <c r="D9" s="1432">
        <f>F9*325900</f>
        <v>1349226</v>
      </c>
      <c r="E9" s="1433"/>
      <c r="F9" s="1467">
        <f>0.0414*B9</f>
        <v>4.1399999999999997</v>
      </c>
      <c r="G9" s="1433"/>
      <c r="H9" s="1325">
        <f>F9*10</f>
        <v>41.4</v>
      </c>
      <c r="I9" s="173">
        <v>0</v>
      </c>
      <c r="J9" s="173">
        <f>B9*80</f>
        <v>8000</v>
      </c>
      <c r="K9" s="173">
        <f>B9*80</f>
        <v>8000</v>
      </c>
      <c r="L9" s="174">
        <f>K9+J9+I9</f>
        <v>16000</v>
      </c>
      <c r="M9" s="1427">
        <f t="shared" si="2"/>
        <v>2.3281531924800651</v>
      </c>
      <c r="N9" s="1428"/>
    </row>
    <row r="10" spans="1:14" s="121" customFormat="1">
      <c r="A10" s="254" t="s">
        <v>458</v>
      </c>
      <c r="B10" s="1435">
        <f>Upland!N433</f>
        <v>24</v>
      </c>
      <c r="C10" s="1433"/>
      <c r="D10" s="1451">
        <f>F10*325900</f>
        <v>1292107</v>
      </c>
      <c r="E10" s="1448"/>
      <c r="F10" s="1447">
        <f>30049*43/325900</f>
        <v>3.9647345811598651</v>
      </c>
      <c r="G10" s="1448"/>
      <c r="H10" s="1321">
        <f>F10*10</f>
        <v>39.647345811598655</v>
      </c>
      <c r="I10" s="173">
        <v>0</v>
      </c>
      <c r="J10" s="173">
        <v>26784</v>
      </c>
      <c r="K10" s="173">
        <v>60098</v>
      </c>
      <c r="L10" s="174">
        <f t="shared" ref="L10:L13" si="3">K10+J10+I10</f>
        <v>86882</v>
      </c>
      <c r="M10" s="1427">
        <f t="shared" si="2"/>
        <v>8.1392282024164864</v>
      </c>
      <c r="N10" s="1428"/>
    </row>
    <row r="11" spans="1:14" s="121" customFormat="1">
      <c r="A11" s="254" t="s">
        <v>214</v>
      </c>
      <c r="B11" s="1435">
        <f>Upland!N434</f>
        <v>2</v>
      </c>
      <c r="C11" s="1433"/>
      <c r="D11" s="1432">
        <f t="shared" ref="D11" si="4">F11*325900</f>
        <v>1238.42</v>
      </c>
      <c r="E11" s="1433"/>
      <c r="F11" s="1460">
        <f>0.0019*B11</f>
        <v>3.8E-3</v>
      </c>
      <c r="G11" s="1461"/>
      <c r="H11" s="1325">
        <f>F11*5</f>
        <v>1.9E-2</v>
      </c>
      <c r="I11" s="173">
        <v>0</v>
      </c>
      <c r="J11" s="173">
        <f>B11*0</f>
        <v>0</v>
      </c>
      <c r="K11" s="173">
        <f>B11*35</f>
        <v>70</v>
      </c>
      <c r="L11" s="174">
        <f t="shared" si="3"/>
        <v>70</v>
      </c>
      <c r="M11" s="1427">
        <f t="shared" si="2"/>
        <v>0</v>
      </c>
      <c r="N11" s="1428"/>
    </row>
    <row r="12" spans="1:14" s="121" customFormat="1">
      <c r="A12" s="254" t="s">
        <v>331</v>
      </c>
      <c r="B12" s="1435">
        <f>Upland!N435</f>
        <v>0</v>
      </c>
      <c r="C12" s="1433"/>
      <c r="D12" s="1432">
        <f>F12*325900</f>
        <v>0</v>
      </c>
      <c r="E12" s="1433"/>
      <c r="F12" s="1460">
        <v>0</v>
      </c>
      <c r="G12" s="1461"/>
      <c r="H12" s="1325">
        <v>0</v>
      </c>
      <c r="I12" s="173">
        <v>0</v>
      </c>
      <c r="J12" s="173">
        <f>B12*0</f>
        <v>0</v>
      </c>
      <c r="K12" s="173">
        <f>B12*300</f>
        <v>0</v>
      </c>
      <c r="L12" s="174">
        <f t="shared" si="3"/>
        <v>0</v>
      </c>
      <c r="M12" s="1427">
        <v>0</v>
      </c>
      <c r="N12" s="1428"/>
    </row>
    <row r="13" spans="1:14" s="121" customFormat="1" ht="14" thickBot="1">
      <c r="A13" s="254" t="s">
        <v>269</v>
      </c>
      <c r="B13" s="1462">
        <f>Upland!N436</f>
        <v>0</v>
      </c>
      <c r="C13" s="1437"/>
      <c r="D13" s="1432">
        <f t="shared" ref="D13" si="5">F13*325900</f>
        <v>0</v>
      </c>
      <c r="E13" s="1433"/>
      <c r="F13" s="1460">
        <f>0.0414*B13</f>
        <v>0</v>
      </c>
      <c r="G13" s="1461"/>
      <c r="H13" s="1325">
        <f>F13*10</f>
        <v>0</v>
      </c>
      <c r="I13" s="173">
        <v>0</v>
      </c>
      <c r="J13" s="173">
        <f t="shared" ref="J13" si="6">B13*65</f>
        <v>0</v>
      </c>
      <c r="K13" s="173">
        <f t="shared" ref="K13" si="7">B13*40</f>
        <v>0</v>
      </c>
      <c r="L13" s="174">
        <f t="shared" si="3"/>
        <v>0</v>
      </c>
      <c r="M13" s="1427">
        <v>0</v>
      </c>
      <c r="N13" s="1428"/>
    </row>
    <row r="14" spans="1:14" s="1161" customFormat="1" ht="17" thickBot="1">
      <c r="A14" s="110" t="s">
        <v>190</v>
      </c>
      <c r="B14" s="1456"/>
      <c r="C14" s="1457"/>
      <c r="D14" s="1457"/>
      <c r="E14" s="1457"/>
      <c r="F14" s="1457"/>
      <c r="G14" s="1457"/>
      <c r="H14" s="1319"/>
      <c r="I14" s="195"/>
      <c r="J14" s="195"/>
      <c r="K14" s="195"/>
      <c r="L14" s="195"/>
      <c r="M14" s="195"/>
      <c r="N14" s="1190"/>
    </row>
    <row r="15" spans="1:14" s="121" customFormat="1">
      <c r="A15" s="76" t="s">
        <v>393</v>
      </c>
      <c r="B15" s="1435">
        <f>Upland!N438</f>
        <v>58</v>
      </c>
      <c r="C15" s="1433"/>
      <c r="D15" s="1432">
        <f>F15*325900</f>
        <v>4385310.4000000004</v>
      </c>
      <c r="E15" s="1433"/>
      <c r="F15" s="1463">
        <f>B15*0.232</f>
        <v>13.456000000000001</v>
      </c>
      <c r="G15" s="1464"/>
      <c r="H15" s="1413">
        <f>F15*2</f>
        <v>26.912000000000003</v>
      </c>
      <c r="I15" s="173">
        <v>0</v>
      </c>
      <c r="J15" s="173">
        <f>L15-K15</f>
        <v>7064.7164325630583</v>
      </c>
      <c r="K15" s="173">
        <v>13443.5</v>
      </c>
      <c r="L15" s="174">
        <v>20508.216432563058</v>
      </c>
      <c r="M15" s="1427">
        <f t="shared" ref="M15:M17" si="8">J15/(F15*830)</f>
        <v>0.63255845312549763</v>
      </c>
      <c r="N15" s="1428"/>
    </row>
    <row r="16" spans="1:14" s="120" customFormat="1">
      <c r="A16" s="254" t="s">
        <v>462</v>
      </c>
      <c r="B16" s="1435">
        <f>Upland!N439</f>
        <v>61</v>
      </c>
      <c r="C16" s="1433"/>
      <c r="D16" s="1451">
        <f>F16*325900</f>
        <v>1153360.1000000001</v>
      </c>
      <c r="E16" s="1448"/>
      <c r="F16" s="1447">
        <f>(0.0414*79)+(0.0044*61)</f>
        <v>3.5390000000000001</v>
      </c>
      <c r="G16" s="1448"/>
      <c r="H16" s="1404">
        <f>((0.0414*79)*10)+((0.0044*61)*5)</f>
        <v>34.048000000000002</v>
      </c>
      <c r="I16" s="173">
        <v>853.82</v>
      </c>
      <c r="J16" s="173">
        <f>L16-K16-I16</f>
        <v>22555.924160409872</v>
      </c>
      <c r="K16" s="173">
        <v>23860.5</v>
      </c>
      <c r="L16" s="174">
        <v>47270.244160409871</v>
      </c>
      <c r="M16" s="1427">
        <f t="shared" si="8"/>
        <v>7.6789523146249428</v>
      </c>
      <c r="N16" s="1428"/>
    </row>
    <row r="17" spans="1:21" s="121" customFormat="1">
      <c r="A17" s="254" t="s">
        <v>450</v>
      </c>
      <c r="B17" s="1435">
        <f>Upland!N440</f>
        <v>43</v>
      </c>
      <c r="C17" s="1433"/>
      <c r="D17" s="1451">
        <f>F17*325900</f>
        <v>674613</v>
      </c>
      <c r="E17" s="1448"/>
      <c r="F17" s="1447">
        <f>0.0414*50</f>
        <v>2.0699999999999998</v>
      </c>
      <c r="G17" s="1448"/>
      <c r="H17" s="1321">
        <f>F17*10</f>
        <v>20.7</v>
      </c>
      <c r="I17" s="173">
        <v>0</v>
      </c>
      <c r="J17" s="173">
        <f>L17-K17</f>
        <v>18152.801721909818</v>
      </c>
      <c r="K17" s="173">
        <v>11384.1</v>
      </c>
      <c r="L17" s="174">
        <v>29536.90172190982</v>
      </c>
      <c r="M17" s="1427">
        <f t="shared" si="8"/>
        <v>10.565625820330492</v>
      </c>
      <c r="N17" s="1428"/>
    </row>
    <row r="18" spans="1:21" s="121" customFormat="1">
      <c r="A18" s="254" t="s">
        <v>266</v>
      </c>
      <c r="B18" s="1435">
        <f>Upland!N441</f>
        <v>42</v>
      </c>
      <c r="C18" s="1433"/>
      <c r="D18" s="1447">
        <f>F18*325900</f>
        <v>188891.64</v>
      </c>
      <c r="E18" s="1448"/>
      <c r="F18" s="1451">
        <f>B18*0.0138</f>
        <v>0.5796</v>
      </c>
      <c r="G18" s="1448"/>
      <c r="H18" s="1321">
        <f>F18*10</f>
        <v>5.7960000000000003</v>
      </c>
      <c r="I18" s="173">
        <v>0</v>
      </c>
      <c r="J18" s="286">
        <f>L18-K18</f>
        <v>14270.74</v>
      </c>
      <c r="K18" s="286">
        <v>10704.9</v>
      </c>
      <c r="L18" s="174">
        <v>24975.64</v>
      </c>
      <c r="M18" s="1427">
        <f>J18/(F18*830)</f>
        <v>29.66470436611872</v>
      </c>
      <c r="N18" s="1428"/>
    </row>
    <row r="19" spans="1:21" s="121" customFormat="1" ht="14" thickBot="1">
      <c r="A19" s="76" t="s">
        <v>467</v>
      </c>
      <c r="B19" s="1435">
        <f>Upland!N442</f>
        <v>0</v>
      </c>
      <c r="C19" s="1433"/>
      <c r="D19" s="1458">
        <f>F19*325900</f>
        <v>0</v>
      </c>
      <c r="E19" s="1459"/>
      <c r="F19" s="1458">
        <f>B19*0.075</f>
        <v>0</v>
      </c>
      <c r="G19" s="1459"/>
      <c r="H19" s="1410">
        <f>F19*10</f>
        <v>0</v>
      </c>
      <c r="I19" s="286">
        <v>0</v>
      </c>
      <c r="J19" s="286">
        <v>0</v>
      </c>
      <c r="K19" s="286">
        <v>0</v>
      </c>
      <c r="L19" s="174">
        <f>SUM(I19:K19)</f>
        <v>0</v>
      </c>
      <c r="M19" s="1427">
        <v>0</v>
      </c>
      <c r="N19" s="1428"/>
    </row>
    <row r="20" spans="1:21" customFormat="1" ht="14" thickBot="1">
      <c r="A20" s="53" t="s">
        <v>60</v>
      </c>
      <c r="B20" s="1452">
        <f>SUM(B6:C19)</f>
        <v>381</v>
      </c>
      <c r="C20" s="1453"/>
      <c r="D20" s="1452">
        <f t="shared" ref="D20" si="9">SUM(D6:E19)</f>
        <v>9598809.1500000004</v>
      </c>
      <c r="E20" s="1453"/>
      <c r="F20" s="1452">
        <f t="shared" ref="F20" si="10">SUM(F6:G19)</f>
        <v>29.453234581159869</v>
      </c>
      <c r="G20" s="1453"/>
      <c r="H20" s="1322">
        <f>SUM(H6:H19)</f>
        <v>193.20934581159864</v>
      </c>
      <c r="I20" s="515">
        <f>SUM(I6:I19)</f>
        <v>853.82</v>
      </c>
      <c r="J20" s="515">
        <f t="shared" ref="J20:L20" si="11">SUM(J6:J19)</f>
        <v>100563.18231488274</v>
      </c>
      <c r="K20" s="515">
        <f t="shared" si="11"/>
        <v>131626</v>
      </c>
      <c r="L20" s="515">
        <f t="shared" si="11"/>
        <v>233043.00231488276</v>
      </c>
      <c r="M20" s="1454"/>
      <c r="N20" s="1455"/>
    </row>
    <row r="21" spans="1:21" s="1161" customFormat="1" ht="17" thickBot="1">
      <c r="A21" s="110" t="s">
        <v>194</v>
      </c>
      <c r="B21" s="1456"/>
      <c r="C21" s="1457"/>
      <c r="D21" s="1457"/>
      <c r="E21" s="1457"/>
      <c r="F21" s="1457"/>
      <c r="G21" s="1457"/>
      <c r="H21" s="1319"/>
      <c r="I21" s="1334"/>
      <c r="J21" s="1334"/>
      <c r="K21" s="1334"/>
      <c r="L21" s="1334"/>
      <c r="M21" s="1334"/>
      <c r="N21" s="1335"/>
    </row>
    <row r="22" spans="1:21" customFormat="1">
      <c r="A22" s="68" t="s">
        <v>29</v>
      </c>
      <c r="B22" s="1421">
        <f>Upland!N445</f>
        <v>237</v>
      </c>
      <c r="C22" s="1422"/>
      <c r="D22" s="1431">
        <f>F22*325900</f>
        <v>1900062.1800000002</v>
      </c>
      <c r="E22" s="1422"/>
      <c r="F22" s="1444">
        <f>0.0246*B22</f>
        <v>5.8302000000000005</v>
      </c>
      <c r="G22" s="1422"/>
      <c r="H22" s="1326">
        <f>F22*20</f>
        <v>116.60400000000001</v>
      </c>
      <c r="I22" s="151">
        <v>0</v>
      </c>
      <c r="J22" s="150">
        <f>B22*60</f>
        <v>14220</v>
      </c>
      <c r="K22" s="150">
        <f>B22*40</f>
        <v>9480</v>
      </c>
      <c r="L22" s="174">
        <f t="shared" ref="L22:L25" si="12">K22+J22+I22</f>
        <v>23700</v>
      </c>
      <c r="M22" s="1427">
        <f>J22/(F22*830)</f>
        <v>2.9385836027034964</v>
      </c>
      <c r="N22" s="1428"/>
      <c r="U22" s="3"/>
    </row>
    <row r="23" spans="1:21" customFormat="1">
      <c r="A23" s="68" t="s">
        <v>51</v>
      </c>
      <c r="B23" s="1421">
        <f>Upland!N446</f>
        <v>0</v>
      </c>
      <c r="C23" s="1422"/>
      <c r="D23" s="1431">
        <f>F23*325900</f>
        <v>0</v>
      </c>
      <c r="E23" s="1422"/>
      <c r="F23" s="1444">
        <f>0.1227*B23</f>
        <v>0</v>
      </c>
      <c r="G23" s="1422"/>
      <c r="H23" s="1326">
        <f>F23*20</f>
        <v>0</v>
      </c>
      <c r="I23" s="151">
        <v>0</v>
      </c>
      <c r="J23" s="150">
        <f>B23*200</f>
        <v>0</v>
      </c>
      <c r="K23" s="150">
        <f>B23*200</f>
        <v>0</v>
      </c>
      <c r="L23" s="174">
        <f t="shared" si="12"/>
        <v>0</v>
      </c>
      <c r="M23" s="1427">
        <v>0</v>
      </c>
      <c r="N23" s="1428"/>
    </row>
    <row r="24" spans="1:21" customFormat="1">
      <c r="A24" s="2" t="s">
        <v>204</v>
      </c>
      <c r="B24" s="1421">
        <f>Upland!N447</f>
        <v>0</v>
      </c>
      <c r="C24" s="1422"/>
      <c r="D24" s="1431">
        <f>F24*325900</f>
        <v>0</v>
      </c>
      <c r="E24" s="1422"/>
      <c r="F24" s="1444">
        <f>0.644*B24</f>
        <v>0</v>
      </c>
      <c r="G24" s="1422"/>
      <c r="H24" s="1326">
        <f>F24*5</f>
        <v>0</v>
      </c>
      <c r="I24" s="151">
        <v>0</v>
      </c>
      <c r="J24" s="150">
        <f>B24*375</f>
        <v>0</v>
      </c>
      <c r="K24" s="150">
        <f>B24*625</f>
        <v>0</v>
      </c>
      <c r="L24" s="174">
        <f t="shared" si="12"/>
        <v>0</v>
      </c>
      <c r="M24" s="1427">
        <v>0</v>
      </c>
      <c r="N24" s="1428"/>
    </row>
    <row r="25" spans="1:21" customFormat="1">
      <c r="A25" s="254" t="s">
        <v>30</v>
      </c>
      <c r="B25" s="1421">
        <f>Upland!N448</f>
        <v>12</v>
      </c>
      <c r="C25" s="1422"/>
      <c r="D25" s="1431">
        <f t="shared" ref="D25:D33" si="13">F25*325900</f>
        <v>50449.32</v>
      </c>
      <c r="E25" s="1422"/>
      <c r="F25" s="1449">
        <f>0.0129*B25</f>
        <v>0.15479999999999999</v>
      </c>
      <c r="G25" s="1450"/>
      <c r="H25" s="1326">
        <f>F25*10</f>
        <v>1.548</v>
      </c>
      <c r="I25" s="151">
        <v>0</v>
      </c>
      <c r="J25" s="150">
        <f>B25*15</f>
        <v>180</v>
      </c>
      <c r="K25" s="150">
        <f>B25*35</f>
        <v>420</v>
      </c>
      <c r="L25" s="174">
        <f t="shared" si="12"/>
        <v>600</v>
      </c>
      <c r="M25" s="1427">
        <f t="shared" ref="M25:M31" si="14">J25/(F25*830)</f>
        <v>1.4009526478005045</v>
      </c>
      <c r="N25" s="1428"/>
    </row>
    <row r="26" spans="1:21" customFormat="1">
      <c r="A26" s="254" t="s">
        <v>436</v>
      </c>
      <c r="B26" s="1421">
        <f>Upland!N449</f>
        <v>0</v>
      </c>
      <c r="C26" s="1422"/>
      <c r="D26" s="1431">
        <f t="shared" si="13"/>
        <v>0</v>
      </c>
      <c r="E26" s="1422"/>
      <c r="F26" s="1425">
        <f>0.0044*0</f>
        <v>0</v>
      </c>
      <c r="G26" s="1426"/>
      <c r="H26" s="1326">
        <f>F26*5</f>
        <v>0</v>
      </c>
      <c r="I26" s="151">
        <v>0</v>
      </c>
      <c r="J26" s="150">
        <f>B26*3</f>
        <v>0</v>
      </c>
      <c r="K26" s="150">
        <f>B26*2</f>
        <v>0</v>
      </c>
      <c r="L26" s="174">
        <f>K26+J26+I26</f>
        <v>0</v>
      </c>
      <c r="M26" s="1427">
        <v>0</v>
      </c>
      <c r="N26" s="1428"/>
    </row>
    <row r="27" spans="1:21" customFormat="1">
      <c r="A27" s="254" t="s">
        <v>122</v>
      </c>
      <c r="B27" s="1421">
        <f>Upland!N450</f>
        <v>0</v>
      </c>
      <c r="C27" s="1422"/>
      <c r="D27" s="1431">
        <f t="shared" si="13"/>
        <v>0</v>
      </c>
      <c r="E27" s="1422"/>
      <c r="F27" s="1444">
        <f>0.018*B27</f>
        <v>0</v>
      </c>
      <c r="G27" s="1422"/>
      <c r="H27" s="1326">
        <f>F27*10</f>
        <v>0</v>
      </c>
      <c r="I27" s="151">
        <v>0</v>
      </c>
      <c r="J27" s="150">
        <f>B27*5</f>
        <v>0</v>
      </c>
      <c r="K27" s="150">
        <f>B27*13</f>
        <v>0</v>
      </c>
      <c r="L27" s="174">
        <f t="shared" ref="L27:L33" si="15">K27+J27+I27</f>
        <v>0</v>
      </c>
      <c r="M27" s="1427">
        <v>0</v>
      </c>
      <c r="N27" s="1428"/>
    </row>
    <row r="28" spans="1:21" customFormat="1">
      <c r="A28" s="257" t="s">
        <v>184</v>
      </c>
      <c r="B28" s="1421">
        <f>Upland!N451</f>
        <v>0</v>
      </c>
      <c r="C28" s="1422"/>
      <c r="D28" s="1431">
        <f t="shared" si="13"/>
        <v>0</v>
      </c>
      <c r="E28" s="1422"/>
      <c r="F28" s="1444">
        <f>0.0129*B28</f>
        <v>0</v>
      </c>
      <c r="G28" s="1422"/>
      <c r="H28" s="1326">
        <f>F28*10</f>
        <v>0</v>
      </c>
      <c r="I28" s="151">
        <v>0</v>
      </c>
      <c r="J28" s="150">
        <f>B28*15</f>
        <v>0</v>
      </c>
      <c r="K28" s="150">
        <f>B28*35</f>
        <v>0</v>
      </c>
      <c r="L28" s="174">
        <f t="shared" si="15"/>
        <v>0</v>
      </c>
      <c r="M28" s="1427">
        <v>0</v>
      </c>
      <c r="N28" s="1428"/>
    </row>
    <row r="29" spans="1:21" s="57" customFormat="1">
      <c r="A29" s="258" t="s">
        <v>187</v>
      </c>
      <c r="B29" s="1421">
        <f>Upland!N452</f>
        <v>0</v>
      </c>
      <c r="C29" s="1422"/>
      <c r="D29" s="1431">
        <f t="shared" si="13"/>
        <v>0</v>
      </c>
      <c r="E29" s="1422"/>
      <c r="F29" s="1444">
        <f>0.023*B29</f>
        <v>0</v>
      </c>
      <c r="G29" s="1422"/>
      <c r="H29" s="1326">
        <f>F29*5</f>
        <v>0</v>
      </c>
      <c r="I29" s="151">
        <v>0</v>
      </c>
      <c r="J29" s="150">
        <f>B29*10</f>
        <v>0</v>
      </c>
      <c r="K29" s="150">
        <f>B29*10</f>
        <v>0</v>
      </c>
      <c r="L29" s="174">
        <f t="shared" si="15"/>
        <v>0</v>
      </c>
      <c r="M29" s="1427">
        <v>0</v>
      </c>
      <c r="N29" s="1428"/>
    </row>
    <row r="30" spans="1:21" s="57" customFormat="1">
      <c r="A30" s="258" t="s">
        <v>188</v>
      </c>
      <c r="B30" s="1421">
        <f>Upland!N453</f>
        <v>0</v>
      </c>
      <c r="C30" s="1422"/>
      <c r="D30" s="1431">
        <f t="shared" si="13"/>
        <v>0</v>
      </c>
      <c r="E30" s="1422"/>
      <c r="F30" s="1445">
        <f>B30*0.154</f>
        <v>0</v>
      </c>
      <c r="G30" s="1446"/>
      <c r="H30" s="1329">
        <f>F30*10</f>
        <v>0</v>
      </c>
      <c r="I30" s="151">
        <v>0</v>
      </c>
      <c r="J30" s="150">
        <f>B30*1000</f>
        <v>0</v>
      </c>
      <c r="K30" s="150">
        <f>B30*1000</f>
        <v>0</v>
      </c>
      <c r="L30" s="174">
        <f t="shared" si="15"/>
        <v>0</v>
      </c>
      <c r="M30" s="1427">
        <v>0</v>
      </c>
      <c r="N30" s="1428"/>
    </row>
    <row r="31" spans="1:21" s="57" customFormat="1">
      <c r="A31" s="258" t="s">
        <v>441</v>
      </c>
      <c r="B31" s="1421">
        <f>Upland!N454</f>
        <v>10</v>
      </c>
      <c r="C31" s="1422"/>
      <c r="D31" s="1423">
        <f t="shared" si="13"/>
        <v>2327332</v>
      </c>
      <c r="E31" s="1424"/>
      <c r="F31" s="1447">
        <f>54124*43/325900</f>
        <v>7.1412457809143906</v>
      </c>
      <c r="G31" s="1448"/>
      <c r="H31" s="1321">
        <f>F31*10</f>
        <v>71.412457809143902</v>
      </c>
      <c r="I31" s="151">
        <v>20487</v>
      </c>
      <c r="J31" s="150">
        <v>33637</v>
      </c>
      <c r="K31" s="150">
        <v>108248</v>
      </c>
      <c r="L31" s="174">
        <f t="shared" si="15"/>
        <v>162372</v>
      </c>
      <c r="M31" s="1427">
        <f t="shared" si="14"/>
        <v>5.6749910684221305</v>
      </c>
      <c r="N31" s="1428"/>
    </row>
    <row r="32" spans="1:21" s="57" customFormat="1">
      <c r="A32" s="258" t="s">
        <v>269</v>
      </c>
      <c r="B32" s="1421">
        <f>Upland!N455</f>
        <v>0</v>
      </c>
      <c r="C32" s="1422"/>
      <c r="D32" s="1423">
        <f t="shared" si="13"/>
        <v>0</v>
      </c>
      <c r="E32" s="1424"/>
      <c r="F32" s="1425">
        <f t="shared" ref="F32" si="16">0.0129*B32</f>
        <v>0</v>
      </c>
      <c r="G32" s="1426"/>
      <c r="H32" s="1323">
        <f>F32*10</f>
        <v>0</v>
      </c>
      <c r="I32" s="151">
        <v>0</v>
      </c>
      <c r="J32" s="150">
        <v>0</v>
      </c>
      <c r="K32" s="150">
        <v>0</v>
      </c>
      <c r="L32" s="174">
        <v>0</v>
      </c>
      <c r="M32" s="1427">
        <v>0</v>
      </c>
      <c r="N32" s="1428"/>
    </row>
    <row r="33" spans="1:14" s="57" customFormat="1" ht="14" thickBot="1">
      <c r="A33" s="258" t="s">
        <v>268</v>
      </c>
      <c r="B33" s="1421">
        <f>Upland!N456</f>
        <v>0</v>
      </c>
      <c r="C33" s="1422"/>
      <c r="D33" s="1431">
        <f t="shared" si="13"/>
        <v>0</v>
      </c>
      <c r="E33" s="1422"/>
      <c r="F33" s="1432">
        <f>(B33*0.0084)/2</f>
        <v>0</v>
      </c>
      <c r="G33" s="1433"/>
      <c r="H33" s="1325">
        <f>F33*10</f>
        <v>0</v>
      </c>
      <c r="I33" s="151">
        <v>0</v>
      </c>
      <c r="J33" s="150">
        <f>B33*5</f>
        <v>0</v>
      </c>
      <c r="K33" s="150">
        <f>B33*5</f>
        <v>0</v>
      </c>
      <c r="L33" s="174">
        <f t="shared" si="15"/>
        <v>0</v>
      </c>
      <c r="M33" s="1427">
        <v>0</v>
      </c>
      <c r="N33" s="1428"/>
    </row>
    <row r="34" spans="1:14" s="91" customFormat="1" ht="16.5" hidden="1" customHeight="1" thickBot="1">
      <c r="A34" s="1046" t="s">
        <v>192</v>
      </c>
      <c r="B34" s="1434"/>
      <c r="C34" s="1434"/>
      <c r="D34" s="1434"/>
      <c r="E34" s="1434"/>
      <c r="F34" s="1425">
        <f t="shared" ref="F34:F35" si="17">0.0129*B34</f>
        <v>0</v>
      </c>
      <c r="G34" s="1426"/>
      <c r="H34" s="1327"/>
      <c r="I34" s="1133"/>
      <c r="J34" s="1133"/>
      <c r="K34" s="1133"/>
      <c r="L34" s="1133"/>
      <c r="M34" s="1133"/>
      <c r="N34" s="1134"/>
    </row>
    <row r="35" spans="1:14" s="121" customFormat="1" ht="13.5" hidden="1" customHeight="1" thickBot="1">
      <c r="A35" s="76" t="s">
        <v>193</v>
      </c>
      <c r="B35" s="1435"/>
      <c r="C35" s="1433"/>
      <c r="D35" s="1436">
        <f>F35*325900</f>
        <v>0</v>
      </c>
      <c r="E35" s="1437"/>
      <c r="F35" s="1425">
        <f t="shared" si="17"/>
        <v>0</v>
      </c>
      <c r="G35" s="1426"/>
      <c r="H35" s="1325">
        <f>F35*5</f>
        <v>0</v>
      </c>
      <c r="I35" s="216">
        <v>0</v>
      </c>
      <c r="J35" s="216">
        <f>L35-K35</f>
        <v>0</v>
      </c>
      <c r="K35" s="216">
        <f>B35*2</f>
        <v>0</v>
      </c>
      <c r="L35" s="174">
        <v>0</v>
      </c>
      <c r="M35" s="1427">
        <f>IF(ISERROR(L35/(F35*771)),0,L35/(F35*771))</f>
        <v>0</v>
      </c>
      <c r="N35" s="1428"/>
    </row>
    <row r="36" spans="1:14" customFormat="1" ht="14" thickBot="1">
      <c r="A36" s="53" t="s">
        <v>60</v>
      </c>
      <c r="B36" s="1438">
        <f>SUM(B22:C35)</f>
        <v>259</v>
      </c>
      <c r="C36" s="1439"/>
      <c r="D36" s="1440">
        <f>SUM(D22:E35)</f>
        <v>4277843.5</v>
      </c>
      <c r="E36" s="1439"/>
      <c r="F36" s="1441">
        <f>SUM(F22:G35)</f>
        <v>13.126245780914392</v>
      </c>
      <c r="G36" s="1439"/>
      <c r="H36" s="1313">
        <f>SUM(H22:H35)</f>
        <v>189.5644578091439</v>
      </c>
      <c r="I36" s="1336">
        <f>SUM(I22:I35)</f>
        <v>20487</v>
      </c>
      <c r="J36" s="1336">
        <f>SUM(J22:J35)</f>
        <v>48037</v>
      </c>
      <c r="K36" s="1336">
        <f>SUM(K22:K35)</f>
        <v>118148</v>
      </c>
      <c r="L36" s="1336">
        <f>SUM(L22:L35)</f>
        <v>186672</v>
      </c>
      <c r="M36" s="1442"/>
      <c r="N36" s="1443"/>
    </row>
    <row r="37" spans="1:14" s="1161" customFormat="1" ht="17" thickBot="1">
      <c r="A37" s="1163" t="s">
        <v>17</v>
      </c>
      <c r="B37" s="1414">
        <f>SUM(,B20,B36)</f>
        <v>640</v>
      </c>
      <c r="C37" s="1415"/>
      <c r="D37" s="1416">
        <f>SUM(,D20,D36)</f>
        <v>13876652.65</v>
      </c>
      <c r="E37" s="1415"/>
      <c r="F37" s="1416">
        <f>SUM(,F20,F36)</f>
        <v>42.579480362074264</v>
      </c>
      <c r="G37" s="1415"/>
      <c r="H37" s="1312">
        <f>SUM(H20,H36)</f>
        <v>382.77380362074257</v>
      </c>
      <c r="I37" s="1165">
        <f>SUM(,I20,I36)</f>
        <v>21340.82</v>
      </c>
      <c r="J37" s="1165">
        <f>SUM(,J20,J36)</f>
        <v>148600.18231488275</v>
      </c>
      <c r="K37" s="1165">
        <f>SUM(,K20,K36)</f>
        <v>249774</v>
      </c>
      <c r="L37" s="1165">
        <f>SUM(,L20,L36)</f>
        <v>419715.00231488276</v>
      </c>
      <c r="M37" s="1417"/>
      <c r="N37" s="1418"/>
    </row>
    <row r="38" spans="1:14" customFormat="1">
      <c r="A38" s="50"/>
      <c r="B38" s="1332"/>
      <c r="C38" s="1332"/>
      <c r="D38" s="1332"/>
      <c r="E38" s="1332"/>
      <c r="F38" s="1331"/>
      <c r="G38" s="1331"/>
      <c r="H38" s="1331"/>
      <c r="I38" s="21"/>
      <c r="J38" s="21"/>
      <c r="K38" s="21"/>
      <c r="L38" s="21"/>
      <c r="M38" s="1328"/>
      <c r="N38" s="1328"/>
    </row>
    <row r="39" spans="1:14" customFormat="1" ht="15">
      <c r="A39" s="9" t="s">
        <v>18</v>
      </c>
      <c r="B39" s="1419" t="s">
        <v>59</v>
      </c>
      <c r="C39" s="1419"/>
      <c r="D39" s="1419"/>
      <c r="E39" s="1419"/>
      <c r="F39" s="1331"/>
      <c r="G39" s="1331"/>
      <c r="H39" s="1331"/>
      <c r="I39" s="21"/>
      <c r="J39" s="21"/>
      <c r="K39" s="21"/>
      <c r="L39" s="21"/>
      <c r="M39" s="1328"/>
      <c r="N39" s="1328"/>
    </row>
    <row r="40" spans="1:14" customFormat="1" ht="14" thickBot="1">
      <c r="B40" s="1420" t="s">
        <v>19</v>
      </c>
      <c r="C40" s="1420"/>
      <c r="D40" s="1420"/>
      <c r="E40" s="1420"/>
      <c r="F40" s="1331"/>
      <c r="G40" s="1331"/>
      <c r="H40" s="1331"/>
      <c r="I40" s="21"/>
      <c r="J40" s="21"/>
      <c r="K40" s="21"/>
      <c r="L40" s="21"/>
      <c r="N40" s="1328"/>
    </row>
    <row r="41" spans="1:14" s="363" customFormat="1" ht="16">
      <c r="A41" s="98"/>
      <c r="B41" s="99"/>
      <c r="C41" s="99"/>
      <c r="D41" s="99"/>
      <c r="E41" s="99"/>
      <c r="F41" s="421"/>
      <c r="G41" s="421"/>
      <c r="H41" s="421"/>
      <c r="I41" s="1468" t="s">
        <v>0</v>
      </c>
      <c r="J41" s="1468"/>
      <c r="K41" s="1468"/>
      <c r="L41" s="1468"/>
      <c r="M41" s="99"/>
      <c r="N41" s="101"/>
    </row>
    <row r="42" spans="1:14" customFormat="1" ht="16">
      <c r="A42" s="97"/>
      <c r="B42" s="1469" t="s">
        <v>1</v>
      </c>
      <c r="C42" s="1469"/>
      <c r="D42" s="1469" t="s">
        <v>2</v>
      </c>
      <c r="E42" s="1469"/>
      <c r="F42" s="1470" t="s">
        <v>3</v>
      </c>
      <c r="G42" s="1470"/>
      <c r="H42" s="1116" t="s">
        <v>3</v>
      </c>
      <c r="I42" s="127" t="s">
        <v>195</v>
      </c>
      <c r="J42" s="102"/>
      <c r="K42" s="102"/>
      <c r="L42" s="128"/>
      <c r="M42" s="1525" t="s">
        <v>4</v>
      </c>
      <c r="N42" s="1526"/>
    </row>
    <row r="43" spans="1:14" customFormat="1" ht="19" thickBot="1">
      <c r="A43" s="103" t="s">
        <v>5</v>
      </c>
      <c r="B43" s="1473" t="s">
        <v>6</v>
      </c>
      <c r="C43" s="1473"/>
      <c r="D43" s="1473" t="s">
        <v>7</v>
      </c>
      <c r="E43" s="1473"/>
      <c r="F43" s="1474" t="s">
        <v>7</v>
      </c>
      <c r="G43" s="1474"/>
      <c r="H43" s="1118" t="s">
        <v>58</v>
      </c>
      <c r="I43" s="1121" t="s">
        <v>196</v>
      </c>
      <c r="J43" s="1117" t="s">
        <v>8</v>
      </c>
      <c r="K43" s="1117" t="s">
        <v>9</v>
      </c>
      <c r="L43" s="401" t="s">
        <v>10</v>
      </c>
      <c r="M43" s="1527" t="s">
        <v>145</v>
      </c>
      <c r="N43" s="1475"/>
    </row>
    <row r="44" spans="1:14" customFormat="1" ht="24" thickBot="1">
      <c r="A44" s="88" t="s">
        <v>391</v>
      </c>
      <c r="B44" s="1476"/>
      <c r="C44" s="1477"/>
      <c r="D44" s="1478"/>
      <c r="E44" s="1479"/>
      <c r="F44" s="1480"/>
      <c r="G44" s="1481"/>
      <c r="H44" s="1126"/>
      <c r="I44" s="213"/>
      <c r="J44" s="213"/>
      <c r="K44" s="213"/>
      <c r="L44" s="214"/>
      <c r="M44" s="1482"/>
      <c r="N44" s="1483"/>
    </row>
    <row r="45" spans="1:14" s="1161" customFormat="1" ht="17" thickBot="1">
      <c r="A45" s="110" t="s">
        <v>189</v>
      </c>
      <c r="B45" s="1456"/>
      <c r="C45" s="1457"/>
      <c r="D45" s="1457"/>
      <c r="E45" s="1457"/>
      <c r="F45" s="1484"/>
      <c r="G45" s="1484"/>
      <c r="H45" s="1158"/>
      <c r="I45" s="1141"/>
      <c r="J45" s="1141"/>
      <c r="K45" s="1141"/>
      <c r="L45" s="1141"/>
      <c r="M45" s="1485"/>
      <c r="N45" s="1486"/>
    </row>
    <row r="46" spans="1:14" s="121" customFormat="1">
      <c r="A46" s="69" t="s">
        <v>29</v>
      </c>
      <c r="B46" s="1435">
        <f>Upland!N395</f>
        <v>21</v>
      </c>
      <c r="C46" s="1433"/>
      <c r="D46" s="1432">
        <f t="shared" ref="D46:D47" si="18">F46*325900</f>
        <v>168359.94000000003</v>
      </c>
      <c r="E46" s="1433"/>
      <c r="F46" s="1974">
        <f>0.0246*B46</f>
        <v>0.51660000000000006</v>
      </c>
      <c r="G46" s="1973"/>
      <c r="H46" s="1124">
        <f>F46*20</f>
        <v>10.332000000000001</v>
      </c>
      <c r="I46" s="173">
        <v>0</v>
      </c>
      <c r="J46" s="173">
        <f>B46*60</f>
        <v>1260</v>
      </c>
      <c r="K46" s="173">
        <f>B46*40</f>
        <v>840</v>
      </c>
      <c r="L46" s="174">
        <f>K46+J46+I46</f>
        <v>2100</v>
      </c>
      <c r="M46" s="1427">
        <f>IF(ISERROR(L46/(F46*771)),0,L46/(F46*799))</f>
        <v>5.087660388493747</v>
      </c>
      <c r="N46" s="1428"/>
    </row>
    <row r="47" spans="1:14" s="121" customFormat="1">
      <c r="A47" s="69" t="s">
        <v>33</v>
      </c>
      <c r="B47" s="1435">
        <f>Upland!N396</f>
        <v>43</v>
      </c>
      <c r="C47" s="1433"/>
      <c r="D47" s="1432">
        <f t="shared" si="18"/>
        <v>483472.65</v>
      </c>
      <c r="E47" s="1433"/>
      <c r="F47" s="1460">
        <f>B47*0.0345</f>
        <v>1.4835</v>
      </c>
      <c r="G47" s="1461"/>
      <c r="H47" s="1124">
        <f>F47*14</f>
        <v>20.769000000000002</v>
      </c>
      <c r="I47" s="173">
        <f>0*B47</f>
        <v>0</v>
      </c>
      <c r="J47" s="173">
        <f>B47*75</f>
        <v>3225</v>
      </c>
      <c r="K47" s="173">
        <f>B47*85</f>
        <v>3655</v>
      </c>
      <c r="L47" s="174">
        <f t="shared" ref="L47:L53" si="19">K47+J47+I47</f>
        <v>6880</v>
      </c>
      <c r="M47" s="1427">
        <f t="shared" ref="M47:M53" si="20">IF(ISERROR(L47/(F47*771)),0,L47/(F47*799))</f>
        <v>5.804356895394605</v>
      </c>
      <c r="N47" s="1428"/>
    </row>
    <row r="48" spans="1:14" s="121" customFormat="1">
      <c r="A48" s="254" t="s">
        <v>363</v>
      </c>
      <c r="B48" s="1435">
        <f>Upland!N397</f>
        <v>0</v>
      </c>
      <c r="C48" s="1433"/>
      <c r="D48" s="1432">
        <f>F48*325900</f>
        <v>0</v>
      </c>
      <c r="E48" s="1433"/>
      <c r="F48" s="1460">
        <f>0.0044*0</f>
        <v>0</v>
      </c>
      <c r="G48" s="1461"/>
      <c r="H48" s="1289">
        <f>F48*5</f>
        <v>0</v>
      </c>
      <c r="I48" s="173">
        <f>0*0</f>
        <v>0</v>
      </c>
      <c r="J48" s="173">
        <f t="shared" ref="J48:K48" si="21">0*0</f>
        <v>0</v>
      </c>
      <c r="K48" s="173">
        <f t="shared" si="21"/>
        <v>0</v>
      </c>
      <c r="L48" s="174">
        <f t="shared" si="19"/>
        <v>0</v>
      </c>
      <c r="M48" s="1427">
        <f t="shared" si="20"/>
        <v>0</v>
      </c>
      <c r="N48" s="1428"/>
    </row>
    <row r="49" spans="1:21" s="121" customFormat="1">
      <c r="A49" s="69" t="s">
        <v>52</v>
      </c>
      <c r="B49" s="1435">
        <f>Upland!N398</f>
        <v>64</v>
      </c>
      <c r="C49" s="1433"/>
      <c r="D49" s="1432">
        <f>F49*325900</f>
        <v>863504.64</v>
      </c>
      <c r="E49" s="1433"/>
      <c r="F49" s="1460">
        <f>0.0414*B49</f>
        <v>2.6496</v>
      </c>
      <c r="G49" s="1461"/>
      <c r="H49" s="1124">
        <f>F49*10</f>
        <v>26.495999999999999</v>
      </c>
      <c r="I49" s="173">
        <v>0</v>
      </c>
      <c r="J49" s="173">
        <f>B49*80</f>
        <v>5120</v>
      </c>
      <c r="K49" s="173">
        <f>B49*80</f>
        <v>5120</v>
      </c>
      <c r="L49" s="174">
        <f t="shared" si="19"/>
        <v>10240</v>
      </c>
      <c r="M49" s="1427">
        <f t="shared" si="20"/>
        <v>4.8369640794955044</v>
      </c>
      <c r="N49" s="1428"/>
    </row>
    <row r="50" spans="1:21" s="121" customFormat="1">
      <c r="A50" s="254" t="s">
        <v>405</v>
      </c>
      <c r="B50" s="1435">
        <f>Upland!N399</f>
        <v>8</v>
      </c>
      <c r="C50" s="1433"/>
      <c r="D50" s="1451">
        <f>F50*325900</f>
        <v>575296.99883900001</v>
      </c>
      <c r="E50" s="1448"/>
      <c r="F50" s="1447">
        <v>1.76525621</v>
      </c>
      <c r="G50" s="1448"/>
      <c r="H50" s="1115">
        <f>F50*10</f>
        <v>17.652562100000001</v>
      </c>
      <c r="I50" s="173">
        <v>0</v>
      </c>
      <c r="J50" s="173">
        <v>10551</v>
      </c>
      <c r="K50" s="173">
        <v>25318</v>
      </c>
      <c r="L50" s="174">
        <f t="shared" si="19"/>
        <v>35869</v>
      </c>
      <c r="M50" s="1427">
        <f t="shared" si="20"/>
        <v>25.431076351699126</v>
      </c>
      <c r="N50" s="1428"/>
    </row>
    <row r="51" spans="1:21" s="121" customFormat="1">
      <c r="A51" s="254" t="s">
        <v>214</v>
      </c>
      <c r="B51" s="1435">
        <f>Upland!N400</f>
        <v>7</v>
      </c>
      <c r="C51" s="1433"/>
      <c r="D51" s="1432">
        <f t="shared" ref="D51:D53" si="22">F51*325900</f>
        <v>4334.4699999999993</v>
      </c>
      <c r="E51" s="1433"/>
      <c r="F51" s="1460">
        <f>0.0019*B51</f>
        <v>1.3299999999999999E-2</v>
      </c>
      <c r="G51" s="1461"/>
      <c r="H51" s="1124">
        <f>F51*5</f>
        <v>6.6500000000000004E-2</v>
      </c>
      <c r="I51" s="173">
        <v>0</v>
      </c>
      <c r="J51" s="173">
        <f>B51*0</f>
        <v>0</v>
      </c>
      <c r="K51" s="173">
        <f>B51*35</f>
        <v>245</v>
      </c>
      <c r="L51" s="174">
        <f t="shared" si="19"/>
        <v>245</v>
      </c>
      <c r="M51" s="1427">
        <f t="shared" si="20"/>
        <v>23.055134707858507</v>
      </c>
      <c r="N51" s="1428"/>
    </row>
    <row r="52" spans="1:21" s="121" customFormat="1">
      <c r="A52" s="254" t="s">
        <v>331</v>
      </c>
      <c r="B52" s="1435">
        <f>Upland!N401</f>
        <v>0</v>
      </c>
      <c r="C52" s="1433"/>
      <c r="D52" s="1432">
        <f t="shared" si="22"/>
        <v>0</v>
      </c>
      <c r="E52" s="1433"/>
      <c r="F52" s="1460">
        <v>0</v>
      </c>
      <c r="G52" s="1461"/>
      <c r="H52" s="1124">
        <v>0</v>
      </c>
      <c r="I52" s="173">
        <v>0</v>
      </c>
      <c r="J52" s="173">
        <f>B52*0</f>
        <v>0</v>
      </c>
      <c r="K52" s="173">
        <f>B52*300</f>
        <v>0</v>
      </c>
      <c r="L52" s="174">
        <f t="shared" si="19"/>
        <v>0</v>
      </c>
      <c r="M52" s="1427">
        <f t="shared" si="20"/>
        <v>0</v>
      </c>
      <c r="N52" s="1428"/>
    </row>
    <row r="53" spans="1:21" s="121" customFormat="1" ht="14" thickBot="1">
      <c r="A53" s="254" t="s">
        <v>269</v>
      </c>
      <c r="B53" s="1435">
        <f>Upland!N402</f>
        <v>0</v>
      </c>
      <c r="C53" s="1433"/>
      <c r="D53" s="1432">
        <f t="shared" si="22"/>
        <v>0</v>
      </c>
      <c r="E53" s="1433"/>
      <c r="F53" s="1506">
        <f>0.0414*B53</f>
        <v>0</v>
      </c>
      <c r="G53" s="1505"/>
      <c r="H53" s="1124">
        <f>F53*10</f>
        <v>0</v>
      </c>
      <c r="I53" s="173">
        <v>0</v>
      </c>
      <c r="J53" s="173">
        <f t="shared" ref="J53" si="23">B53*65</f>
        <v>0</v>
      </c>
      <c r="K53" s="173">
        <f t="shared" ref="K53" si="24">B53*40</f>
        <v>0</v>
      </c>
      <c r="L53" s="174">
        <f t="shared" si="19"/>
        <v>0</v>
      </c>
      <c r="M53" s="1427">
        <f t="shared" si="20"/>
        <v>0</v>
      </c>
      <c r="N53" s="1428"/>
    </row>
    <row r="54" spans="1:21" s="1161" customFormat="1" ht="17" thickBot="1">
      <c r="A54" s="110" t="s">
        <v>190</v>
      </c>
      <c r="B54" s="1456"/>
      <c r="C54" s="1457"/>
      <c r="D54" s="1457"/>
      <c r="E54" s="1457"/>
      <c r="F54" s="1457"/>
      <c r="G54" s="1457"/>
      <c r="H54" s="1141"/>
      <c r="I54" s="195"/>
      <c r="J54" s="195"/>
      <c r="K54" s="195"/>
      <c r="L54" s="195"/>
      <c r="M54" s="195"/>
      <c r="N54" s="1190"/>
    </row>
    <row r="55" spans="1:21" s="121" customFormat="1">
      <c r="A55" s="76" t="s">
        <v>419</v>
      </c>
      <c r="B55" s="1435">
        <f>Upland!N404</f>
        <v>24</v>
      </c>
      <c r="C55" s="1433"/>
      <c r="D55" s="1432" t="s">
        <v>22</v>
      </c>
      <c r="E55" s="1433"/>
      <c r="F55" s="1467" t="s">
        <v>22</v>
      </c>
      <c r="G55" s="1433"/>
      <c r="H55" s="1292" t="s">
        <v>22</v>
      </c>
      <c r="I55" s="173">
        <f>B55*541.27</f>
        <v>12990.48</v>
      </c>
      <c r="J55" s="173">
        <v>0</v>
      </c>
      <c r="K55" s="173">
        <v>0</v>
      </c>
      <c r="L55" s="174">
        <f>I55+J55+K55</f>
        <v>12990.48</v>
      </c>
      <c r="M55" s="1427">
        <f t="shared" ref="M55:M58" si="25">IF(ISERROR(L55/(F55*771)),0,L55/(F55*799))</f>
        <v>0</v>
      </c>
      <c r="N55" s="1428"/>
    </row>
    <row r="56" spans="1:21" s="121" customFormat="1">
      <c r="A56" s="254" t="s">
        <v>397</v>
      </c>
      <c r="B56" s="1435">
        <f>Upland!N405</f>
        <v>24</v>
      </c>
      <c r="C56" s="1433"/>
      <c r="D56" s="1451">
        <f>F56*325900</f>
        <v>4857213.5999999996</v>
      </c>
      <c r="E56" s="1448"/>
      <c r="F56" s="1447">
        <v>14.904</v>
      </c>
      <c r="G56" s="1448"/>
      <c r="H56" s="1115">
        <v>24.54</v>
      </c>
      <c r="I56" s="173">
        <f>(B56*922.51)*0.49</f>
        <v>10848.717599999998</v>
      </c>
      <c r="J56" s="173">
        <f>(B56*922.5)*0</f>
        <v>0</v>
      </c>
      <c r="K56" s="173">
        <f>(B56*922.51)*0.51</f>
        <v>11291.5224</v>
      </c>
      <c r="L56" s="174">
        <f t="shared" ref="L56:L58" si="26">K56+J56+I56</f>
        <v>22140.239999999998</v>
      </c>
      <c r="M56" s="1427">
        <f t="shared" si="25"/>
        <v>1.8592282220730822</v>
      </c>
      <c r="N56" s="1428"/>
    </row>
    <row r="57" spans="1:21" s="121" customFormat="1">
      <c r="A57" s="254" t="s">
        <v>425</v>
      </c>
      <c r="B57" s="1435">
        <f>Upland!N406</f>
        <v>55</v>
      </c>
      <c r="C57" s="1433"/>
      <c r="D57" s="1451">
        <f>F57*325900</f>
        <v>850012.38</v>
      </c>
      <c r="E57" s="1448"/>
      <c r="F57" s="1447">
        <f>0.0414*63</f>
        <v>2.6082000000000001</v>
      </c>
      <c r="G57" s="1448"/>
      <c r="H57" s="1115">
        <f>F57*10</f>
        <v>26.082000000000001</v>
      </c>
      <c r="I57" s="173">
        <v>0</v>
      </c>
      <c r="J57" s="173">
        <f>(B57*674.7)*0.62</f>
        <v>23007.27</v>
      </c>
      <c r="K57" s="173">
        <f>(B57*674.7)*0.38</f>
        <v>14101.23</v>
      </c>
      <c r="L57" s="174">
        <f>K57+J57+I57</f>
        <v>37108.5</v>
      </c>
      <c r="M57" s="1427">
        <f t="shared" si="25"/>
        <v>17.806793803964176</v>
      </c>
      <c r="N57" s="1428"/>
    </row>
    <row r="58" spans="1:21" s="121" customFormat="1" ht="14" thickBot="1">
      <c r="A58" s="254" t="s">
        <v>266</v>
      </c>
      <c r="B58" s="1435">
        <f>Upland!N407</f>
        <v>57</v>
      </c>
      <c r="C58" s="1433"/>
      <c r="D58" s="1458">
        <f>F58*325900</f>
        <v>2192003.4</v>
      </c>
      <c r="E58" s="1459"/>
      <c r="F58" s="1693">
        <f>B58*0.118</f>
        <v>6.726</v>
      </c>
      <c r="G58" s="1459"/>
      <c r="H58" s="1115">
        <f>F58*10</f>
        <v>67.260000000000005</v>
      </c>
      <c r="I58" s="173">
        <v>0</v>
      </c>
      <c r="J58" s="286">
        <f>(B58*520.03)*0.51</f>
        <v>15117.2721</v>
      </c>
      <c r="K58" s="286">
        <f>(B58*520.03)*0.49</f>
        <v>14524.437899999999</v>
      </c>
      <c r="L58" s="174">
        <f t="shared" si="26"/>
        <v>29641.71</v>
      </c>
      <c r="M58" s="1427">
        <f t="shared" si="25"/>
        <v>5.5156869816083667</v>
      </c>
      <c r="N58" s="1428"/>
    </row>
    <row r="59" spans="1:21" customFormat="1" ht="14" thickBot="1">
      <c r="A59" s="53" t="s">
        <v>60</v>
      </c>
      <c r="B59" s="1452">
        <f>SUM(B46:C58)</f>
        <v>303</v>
      </c>
      <c r="C59" s="1453"/>
      <c r="D59" s="1694">
        <f>SUM(D46:E58)</f>
        <v>9994198.0788389985</v>
      </c>
      <c r="E59" s="1453"/>
      <c r="F59" s="1452">
        <v>8.309800000000001</v>
      </c>
      <c r="G59" s="1453"/>
      <c r="H59" s="1122">
        <f>SUM(H46:H58)</f>
        <v>193.19806210000002</v>
      </c>
      <c r="I59" s="1132">
        <f>SUM(I46:I58)</f>
        <v>23839.1976</v>
      </c>
      <c r="J59" s="1132">
        <f>SUM(J46:J58)</f>
        <v>58280.542100000006</v>
      </c>
      <c r="K59" s="1132">
        <f t="shared" ref="K59:L59" si="27">SUM(K46:K58)</f>
        <v>75095.190300000002</v>
      </c>
      <c r="L59" s="1132">
        <f t="shared" si="27"/>
        <v>157214.93</v>
      </c>
      <c r="M59" s="1454">
        <f t="shared" ref="M59" si="28">IF(ISERROR(L59/(F59*744)),0,L59/(F59*744))</f>
        <v>25.429058435214593</v>
      </c>
      <c r="N59" s="1455"/>
    </row>
    <row r="60" spans="1:21" s="1161" customFormat="1" ht="17" thickBot="1">
      <c r="A60" s="110" t="s">
        <v>194</v>
      </c>
      <c r="B60" s="1456"/>
      <c r="C60" s="1457"/>
      <c r="D60" s="1457"/>
      <c r="E60" s="1457"/>
      <c r="F60" s="1457"/>
      <c r="G60" s="1457"/>
      <c r="H60" s="1141"/>
      <c r="I60" s="997"/>
      <c r="J60" s="997"/>
      <c r="K60" s="997"/>
      <c r="L60" s="997"/>
      <c r="M60" s="997"/>
      <c r="N60" s="998"/>
    </row>
    <row r="61" spans="1:21" customFormat="1">
      <c r="A61" s="68" t="s">
        <v>29</v>
      </c>
      <c r="B61" s="1421">
        <f>Upland!N410</f>
        <v>146</v>
      </c>
      <c r="C61" s="1422"/>
      <c r="D61" s="1431">
        <f>F61*325900</f>
        <v>1170502.44</v>
      </c>
      <c r="E61" s="1422"/>
      <c r="F61" s="1961">
        <f>0.0246*B61</f>
        <v>3.5916000000000001</v>
      </c>
      <c r="G61" s="1960"/>
      <c r="H61" s="1123">
        <f>F61*20</f>
        <v>71.832000000000008</v>
      </c>
      <c r="I61" s="151">
        <v>0</v>
      </c>
      <c r="J61" s="150">
        <f>B61*60</f>
        <v>8760</v>
      </c>
      <c r="K61" s="150">
        <f>B61*40</f>
        <v>5840</v>
      </c>
      <c r="L61" s="174">
        <f t="shared" ref="L61:L70" si="29">K61+J61+I61</f>
        <v>14600</v>
      </c>
      <c r="M61" s="1427">
        <f t="shared" ref="M61:M72" si="30">IF(ISERROR(L61/(F61*771)),0,L61/(F61*799))</f>
        <v>5.087660388493747</v>
      </c>
      <c r="N61" s="1428"/>
      <c r="U61" s="3"/>
    </row>
    <row r="62" spans="1:21" customFormat="1">
      <c r="A62" s="68" t="s">
        <v>51</v>
      </c>
      <c r="B62" s="1421">
        <f>Upland!N411</f>
        <v>0</v>
      </c>
      <c r="C62" s="1422"/>
      <c r="D62" s="1431">
        <f>F62*325900</f>
        <v>0</v>
      </c>
      <c r="E62" s="1422"/>
      <c r="F62" s="1500">
        <f>0.1227*B62</f>
        <v>0</v>
      </c>
      <c r="G62" s="1426"/>
      <c r="H62" s="1123">
        <f>F62*20</f>
        <v>0</v>
      </c>
      <c r="I62" s="151">
        <v>0</v>
      </c>
      <c r="J62" s="150">
        <f>B62*200</f>
        <v>0</v>
      </c>
      <c r="K62" s="150">
        <f>B62*200</f>
        <v>0</v>
      </c>
      <c r="L62" s="174">
        <f t="shared" si="29"/>
        <v>0</v>
      </c>
      <c r="M62" s="1427">
        <f t="shared" si="30"/>
        <v>0</v>
      </c>
      <c r="N62" s="1428"/>
    </row>
    <row r="63" spans="1:21" customFormat="1">
      <c r="A63" s="2" t="s">
        <v>204</v>
      </c>
      <c r="B63" s="1421">
        <f>Upland!N412</f>
        <v>0</v>
      </c>
      <c r="C63" s="1422"/>
      <c r="D63" s="1431">
        <f>F63*325900</f>
        <v>0</v>
      </c>
      <c r="E63" s="1422"/>
      <c r="F63" s="1500">
        <f>B63*0.644</f>
        <v>0</v>
      </c>
      <c r="G63" s="1426"/>
      <c r="H63" s="1123">
        <f>F63*5</f>
        <v>0</v>
      </c>
      <c r="I63" s="151">
        <v>0</v>
      </c>
      <c r="J63" s="150">
        <f>B63*375</f>
        <v>0</v>
      </c>
      <c r="K63" s="150">
        <f>B63*625</f>
        <v>0</v>
      </c>
      <c r="L63" s="174">
        <f t="shared" si="29"/>
        <v>0</v>
      </c>
      <c r="M63" s="1427">
        <f t="shared" si="30"/>
        <v>0</v>
      </c>
      <c r="N63" s="1428"/>
    </row>
    <row r="64" spans="1:21" customFormat="1">
      <c r="A64" s="254" t="s">
        <v>30</v>
      </c>
      <c r="B64" s="1421">
        <f>Upland!N413</f>
        <v>2</v>
      </c>
      <c r="C64" s="1422"/>
      <c r="D64" s="1431">
        <f t="shared" ref="D64:D72" si="31">F64*325900</f>
        <v>8408.2199999999993</v>
      </c>
      <c r="E64" s="1422"/>
      <c r="F64" s="1964">
        <f>0.0129*B64</f>
        <v>2.58E-2</v>
      </c>
      <c r="G64" s="1514"/>
      <c r="H64" s="1123">
        <f>F64*10</f>
        <v>0.25800000000000001</v>
      </c>
      <c r="I64" s="151">
        <v>0</v>
      </c>
      <c r="J64" s="150">
        <f>B64*15</f>
        <v>30</v>
      </c>
      <c r="K64" s="150">
        <f>B64*35</f>
        <v>70</v>
      </c>
      <c r="L64" s="174">
        <f t="shared" si="29"/>
        <v>100</v>
      </c>
      <c r="M64" s="1427">
        <f t="shared" si="30"/>
        <v>4.8510250215870609</v>
      </c>
      <c r="N64" s="1428"/>
    </row>
    <row r="65" spans="1:14" customFormat="1">
      <c r="A65" s="254" t="s">
        <v>363</v>
      </c>
      <c r="B65" s="1421">
        <f>Upland!N414</f>
        <v>0</v>
      </c>
      <c r="C65" s="1422"/>
      <c r="D65" s="1431">
        <f t="shared" si="31"/>
        <v>0</v>
      </c>
      <c r="E65" s="1422"/>
      <c r="F65" s="1425">
        <f>0.0044*0</f>
        <v>0</v>
      </c>
      <c r="G65" s="1426"/>
      <c r="H65" s="1288">
        <f>F65*5</f>
        <v>0</v>
      </c>
      <c r="I65" s="151">
        <v>0</v>
      </c>
      <c r="J65" s="150">
        <f>0*3</f>
        <v>0</v>
      </c>
      <c r="K65" s="150">
        <f>0*2</f>
        <v>0</v>
      </c>
      <c r="L65" s="174">
        <f t="shared" si="29"/>
        <v>0</v>
      </c>
      <c r="M65" s="1427">
        <f t="shared" si="30"/>
        <v>0</v>
      </c>
      <c r="N65" s="1428"/>
    </row>
    <row r="66" spans="1:14" customFormat="1">
      <c r="A66" s="254" t="s">
        <v>122</v>
      </c>
      <c r="B66" s="1421">
        <f>Upland!N415</f>
        <v>0</v>
      </c>
      <c r="C66" s="1422"/>
      <c r="D66" s="1431">
        <f t="shared" si="31"/>
        <v>0</v>
      </c>
      <c r="E66" s="1422"/>
      <c r="F66" s="1500">
        <f>0.018*B66</f>
        <v>0</v>
      </c>
      <c r="G66" s="1426"/>
      <c r="H66" s="1123">
        <f>F66*10</f>
        <v>0</v>
      </c>
      <c r="I66" s="151">
        <v>0</v>
      </c>
      <c r="J66" s="150">
        <f>B66*5</f>
        <v>0</v>
      </c>
      <c r="K66" s="150">
        <f>B66*13</f>
        <v>0</v>
      </c>
      <c r="L66" s="174">
        <f t="shared" si="29"/>
        <v>0</v>
      </c>
      <c r="M66" s="1427">
        <f t="shared" si="30"/>
        <v>0</v>
      </c>
      <c r="N66" s="1428"/>
    </row>
    <row r="67" spans="1:14" customFormat="1">
      <c r="A67" s="257" t="s">
        <v>184</v>
      </c>
      <c r="B67" s="1421">
        <f>Upland!N416</f>
        <v>0</v>
      </c>
      <c r="C67" s="1422"/>
      <c r="D67" s="1431">
        <f t="shared" si="31"/>
        <v>0</v>
      </c>
      <c r="E67" s="1422"/>
      <c r="F67" s="1500">
        <f>0.0129*B67</f>
        <v>0</v>
      </c>
      <c r="G67" s="1426"/>
      <c r="H67" s="1123">
        <f>F67*10</f>
        <v>0</v>
      </c>
      <c r="I67" s="151">
        <v>0</v>
      </c>
      <c r="J67" s="150">
        <f>B67*15</f>
        <v>0</v>
      </c>
      <c r="K67" s="150">
        <f>B67*35</f>
        <v>0</v>
      </c>
      <c r="L67" s="174">
        <f t="shared" si="29"/>
        <v>0</v>
      </c>
      <c r="M67" s="1427">
        <f t="shared" si="30"/>
        <v>0</v>
      </c>
      <c r="N67" s="1428"/>
    </row>
    <row r="68" spans="1:14" s="57" customFormat="1">
      <c r="A68" s="258" t="s">
        <v>187</v>
      </c>
      <c r="B68" s="1421">
        <f>Upland!N417</f>
        <v>0</v>
      </c>
      <c r="C68" s="1422"/>
      <c r="D68" s="1431">
        <f t="shared" si="31"/>
        <v>0</v>
      </c>
      <c r="E68" s="1422"/>
      <c r="F68" s="1500">
        <v>0</v>
      </c>
      <c r="G68" s="1426"/>
      <c r="H68" s="1123">
        <f>F68*5</f>
        <v>0</v>
      </c>
      <c r="I68" s="151">
        <v>0</v>
      </c>
      <c r="J68" s="150">
        <f>B68*10</f>
        <v>0</v>
      </c>
      <c r="K68" s="150">
        <f>B68*10</f>
        <v>0</v>
      </c>
      <c r="L68" s="174">
        <f t="shared" si="29"/>
        <v>0</v>
      </c>
      <c r="M68" s="1427">
        <f t="shared" si="30"/>
        <v>0</v>
      </c>
      <c r="N68" s="1428"/>
    </row>
    <row r="69" spans="1:14" s="57" customFormat="1">
      <c r="A69" s="258" t="s">
        <v>188</v>
      </c>
      <c r="B69" s="1421">
        <f>Upland!N418</f>
        <v>0</v>
      </c>
      <c r="C69" s="1422"/>
      <c r="D69" s="1431">
        <f t="shared" si="31"/>
        <v>0</v>
      </c>
      <c r="E69" s="1422"/>
      <c r="F69" s="1958">
        <f>0.154*B69</f>
        <v>0</v>
      </c>
      <c r="G69" s="1510"/>
      <c r="H69" s="1130">
        <f>F69*10</f>
        <v>0</v>
      </c>
      <c r="I69" s="151">
        <v>0</v>
      </c>
      <c r="J69" s="150">
        <f>B69*1000</f>
        <v>0</v>
      </c>
      <c r="K69" s="150">
        <f>B69*1000</f>
        <v>0</v>
      </c>
      <c r="L69" s="174">
        <f t="shared" si="29"/>
        <v>0</v>
      </c>
      <c r="M69" s="1427">
        <f t="shared" si="30"/>
        <v>0</v>
      </c>
      <c r="N69" s="1428"/>
    </row>
    <row r="70" spans="1:14" s="57" customFormat="1">
      <c r="A70" s="258" t="s">
        <v>432</v>
      </c>
      <c r="B70" s="1421">
        <f>Upland!N419</f>
        <v>2</v>
      </c>
      <c r="C70" s="1422"/>
      <c r="D70" s="1423">
        <f t="shared" si="31"/>
        <v>603634.00057999999</v>
      </c>
      <c r="E70" s="1424"/>
      <c r="F70" s="1451">
        <v>1.8522061999999999</v>
      </c>
      <c r="G70" s="1448"/>
      <c r="H70" s="1115">
        <f>F70*10</f>
        <v>18.522061999999998</v>
      </c>
      <c r="I70" s="151">
        <v>0</v>
      </c>
      <c r="J70" s="150">
        <v>12512</v>
      </c>
      <c r="K70" s="150">
        <v>28076</v>
      </c>
      <c r="L70" s="174">
        <f t="shared" si="29"/>
        <v>40588</v>
      </c>
      <c r="M70" s="1427">
        <f t="shared" si="30"/>
        <v>27.425941087257627</v>
      </c>
      <c r="N70" s="1428"/>
    </row>
    <row r="71" spans="1:14" s="57" customFormat="1">
      <c r="A71" s="258" t="s">
        <v>269</v>
      </c>
      <c r="B71" s="1421">
        <f>Upland!N420</f>
        <v>0</v>
      </c>
      <c r="C71" s="1422"/>
      <c r="D71" s="1423">
        <f t="shared" si="31"/>
        <v>0</v>
      </c>
      <c r="E71" s="1424"/>
      <c r="F71" s="1948">
        <f>0.0129*B71</f>
        <v>0</v>
      </c>
      <c r="G71" s="1499"/>
      <c r="H71" s="1113">
        <f>F71*10</f>
        <v>0</v>
      </c>
      <c r="I71" s="151">
        <v>0</v>
      </c>
      <c r="J71" s="150">
        <f>B71*15</f>
        <v>0</v>
      </c>
      <c r="K71" s="150">
        <f>B71*35</f>
        <v>0</v>
      </c>
      <c r="L71" s="174">
        <f t="shared" ref="L71:L72" si="32">K71+J71+I71</f>
        <v>0</v>
      </c>
      <c r="M71" s="1427">
        <f t="shared" si="30"/>
        <v>0</v>
      </c>
      <c r="N71" s="1428"/>
    </row>
    <row r="72" spans="1:14" s="57" customFormat="1" ht="14" thickBot="1">
      <c r="A72" s="258" t="s">
        <v>268</v>
      </c>
      <c r="B72" s="1421">
        <f>Upland!N421</f>
        <v>0</v>
      </c>
      <c r="C72" s="1422"/>
      <c r="D72" s="1431">
        <f t="shared" si="31"/>
        <v>0</v>
      </c>
      <c r="E72" s="1422"/>
      <c r="F72" s="1506">
        <f>(B72*0.0084)/2</f>
        <v>0</v>
      </c>
      <c r="G72" s="1505"/>
      <c r="H72" s="1124">
        <f>F72*10</f>
        <v>0</v>
      </c>
      <c r="I72" s="151">
        <v>0</v>
      </c>
      <c r="J72" s="150">
        <f>B72*5</f>
        <v>0</v>
      </c>
      <c r="K72" s="150">
        <f>B72*5</f>
        <v>0</v>
      </c>
      <c r="L72" s="174">
        <f t="shared" si="32"/>
        <v>0</v>
      </c>
      <c r="M72" s="1427">
        <f t="shared" si="30"/>
        <v>0</v>
      </c>
      <c r="N72" s="1428"/>
    </row>
    <row r="73" spans="1:14" s="91" customFormat="1" ht="17" hidden="1" thickBot="1">
      <c r="A73" s="1046" t="s">
        <v>192</v>
      </c>
      <c r="B73" s="1434"/>
      <c r="C73" s="1434"/>
      <c r="D73" s="1434"/>
      <c r="E73" s="1434"/>
      <c r="F73" s="1434"/>
      <c r="G73" s="1434"/>
      <c r="H73" s="1114"/>
      <c r="I73" s="1133"/>
      <c r="J73" s="1133"/>
      <c r="K73" s="1133"/>
      <c r="L73" s="1133"/>
      <c r="M73" s="1133"/>
      <c r="N73" s="1134"/>
    </row>
    <row r="74" spans="1:14" s="121" customFormat="1" ht="14" hidden="1" thickBot="1">
      <c r="A74" s="76" t="s">
        <v>193</v>
      </c>
      <c r="B74" s="1435">
        <f>Upland!N423</f>
        <v>0</v>
      </c>
      <c r="C74" s="1433"/>
      <c r="D74" s="1436">
        <f>F74*325900</f>
        <v>0</v>
      </c>
      <c r="E74" s="1437"/>
      <c r="F74" s="1744">
        <f>0.004*B74</f>
        <v>0</v>
      </c>
      <c r="G74" s="1437"/>
      <c r="H74" s="1124">
        <f>F74*5</f>
        <v>0</v>
      </c>
      <c r="I74" s="216">
        <v>0</v>
      </c>
      <c r="J74" s="216">
        <f>L74-K74</f>
        <v>3607.5</v>
      </c>
      <c r="K74" s="216">
        <f>B74*2</f>
        <v>0</v>
      </c>
      <c r="L74" s="174">
        <v>3607.5</v>
      </c>
      <c r="M74" s="1427">
        <f>IF(ISERROR(L74/(F74*771)),0,L74/(F74*771))</f>
        <v>0</v>
      </c>
      <c r="N74" s="1428"/>
    </row>
    <row r="75" spans="1:14" customFormat="1" ht="14" thickBot="1">
      <c r="A75" s="53" t="s">
        <v>60</v>
      </c>
      <c r="B75" s="1438">
        <f>SUM(B61:B74)</f>
        <v>150</v>
      </c>
      <c r="C75" s="1439"/>
      <c r="D75" s="1440">
        <f>SUM(D61:E74)</f>
        <v>1782544.6605799999</v>
      </c>
      <c r="E75" s="1439"/>
      <c r="F75" s="1441">
        <f>SUM(F61:G74)</f>
        <v>5.4696061999999994</v>
      </c>
      <c r="G75" s="1439"/>
      <c r="H75" s="1119">
        <f>SUM(H61:H74)</f>
        <v>90.612062000000009</v>
      </c>
      <c r="I75" s="146">
        <f>SUM(I61:I74)</f>
        <v>0</v>
      </c>
      <c r="J75" s="146">
        <f>SUM(J61:J74)</f>
        <v>24909.5</v>
      </c>
      <c r="K75" s="146">
        <f>SUM(K61:K74)</f>
        <v>33986</v>
      </c>
      <c r="L75" s="146">
        <f>SUM(L61:L74)</f>
        <v>58895.5</v>
      </c>
      <c r="M75" s="1442"/>
      <c r="N75" s="1443"/>
    </row>
    <row r="76" spans="1:14" s="1161" customFormat="1" ht="17" thickBot="1">
      <c r="A76" s="1163" t="s">
        <v>17</v>
      </c>
      <c r="B76" s="1414">
        <f>SUM(,B59,B75)</f>
        <v>453</v>
      </c>
      <c r="C76" s="1415"/>
      <c r="D76" s="1416">
        <f>SUM(,D59,D75)</f>
        <v>11776742.739418998</v>
      </c>
      <c r="E76" s="1415"/>
      <c r="F76" s="1416">
        <f>SUM(,F59,F75)</f>
        <v>13.7794062</v>
      </c>
      <c r="G76" s="1415"/>
      <c r="H76" s="1164">
        <f>SUM(H59,H75)</f>
        <v>283.81012410000005</v>
      </c>
      <c r="I76" s="1165">
        <f>SUM(,I59,I75)</f>
        <v>23839.1976</v>
      </c>
      <c r="J76" s="1165">
        <f>SUM(,J59,J75)</f>
        <v>83190.042100000006</v>
      </c>
      <c r="K76" s="1165">
        <f>SUM(,K59,K75)</f>
        <v>109081.1903</v>
      </c>
      <c r="L76" s="1165">
        <f>SUM(,L59,L75)</f>
        <v>216110.43</v>
      </c>
      <c r="M76" s="1417"/>
      <c r="N76" s="1418"/>
    </row>
    <row r="77" spans="1:14" customFormat="1">
      <c r="A77" s="50"/>
      <c r="B77" s="1127"/>
      <c r="C77" s="1127"/>
      <c r="D77" s="1127"/>
      <c r="E77" s="1127"/>
      <c r="F77" s="1128"/>
      <c r="G77" s="1128"/>
      <c r="H77" s="1128"/>
      <c r="I77" s="21"/>
      <c r="J77" s="21"/>
      <c r="K77" s="21"/>
      <c r="L77" s="21"/>
      <c r="M77" s="1125"/>
      <c r="N77" s="1125"/>
    </row>
    <row r="78" spans="1:14" customFormat="1" ht="15">
      <c r="A78" s="9" t="s">
        <v>18</v>
      </c>
      <c r="B78" s="1419" t="s">
        <v>59</v>
      </c>
      <c r="C78" s="1419"/>
      <c r="D78" s="1419"/>
      <c r="E78" s="1419"/>
      <c r="F78" s="1128"/>
      <c r="G78" s="1128"/>
      <c r="H78" s="1128"/>
      <c r="I78" s="21"/>
      <c r="J78" s="21"/>
      <c r="K78" s="21"/>
      <c r="L78" s="21"/>
      <c r="M78" s="1125"/>
      <c r="N78" s="1125"/>
    </row>
    <row r="79" spans="1:14" customFormat="1">
      <c r="B79" s="1420" t="s">
        <v>19</v>
      </c>
      <c r="C79" s="1420"/>
      <c r="D79" s="1420"/>
      <c r="E79" s="1420"/>
      <c r="F79" s="1128"/>
      <c r="G79" s="1128"/>
      <c r="H79" s="1128"/>
      <c r="I79" s="21"/>
      <c r="J79" s="21"/>
      <c r="K79" s="21"/>
      <c r="L79" s="21"/>
      <c r="N79" s="1125"/>
    </row>
    <row r="80" spans="1:14" customFormat="1" ht="14" thickBot="1">
      <c r="B80" s="1125"/>
      <c r="C80" s="1125"/>
      <c r="D80" s="1125"/>
      <c r="E80" s="1125"/>
      <c r="F80" s="1128"/>
      <c r="G80" s="1128"/>
      <c r="H80" s="1128"/>
      <c r="I80" s="21"/>
      <c r="J80" s="21"/>
      <c r="K80" s="21"/>
      <c r="L80" s="21"/>
      <c r="N80" s="1125"/>
    </row>
    <row r="81" spans="1:14" s="646" customFormat="1" ht="16">
      <c r="A81" s="98"/>
      <c r="B81" s="99"/>
      <c r="C81" s="99"/>
      <c r="D81" s="99"/>
      <c r="E81" s="99"/>
      <c r="F81" s="100"/>
      <c r="G81" s="100"/>
      <c r="H81" s="736"/>
      <c r="I81" s="1468" t="s">
        <v>0</v>
      </c>
      <c r="J81" s="1468"/>
      <c r="K81" s="1468"/>
      <c r="L81" s="1468"/>
      <c r="M81" s="99"/>
      <c r="N81" s="101"/>
    </row>
    <row r="82" spans="1:14" ht="16">
      <c r="A82" s="97"/>
      <c r="B82" s="1469" t="s">
        <v>1</v>
      </c>
      <c r="C82" s="1469"/>
      <c r="D82" s="1469" t="s">
        <v>2</v>
      </c>
      <c r="E82" s="1469"/>
      <c r="F82" s="1863" t="s">
        <v>3</v>
      </c>
      <c r="G82" s="1863"/>
      <c r="H82" s="1035" t="s">
        <v>3</v>
      </c>
      <c r="I82" s="127" t="s">
        <v>195</v>
      </c>
      <c r="J82" s="102"/>
      <c r="K82" s="102"/>
      <c r="L82" s="128"/>
      <c r="M82" s="1525" t="s">
        <v>4</v>
      </c>
      <c r="N82" s="1526"/>
    </row>
    <row r="83" spans="1:14" ht="19" thickBot="1">
      <c r="A83" s="103" t="s">
        <v>5</v>
      </c>
      <c r="B83" s="1473" t="s">
        <v>6</v>
      </c>
      <c r="C83" s="1473"/>
      <c r="D83" s="1473" t="s">
        <v>7</v>
      </c>
      <c r="E83" s="1473"/>
      <c r="F83" s="1864" t="s">
        <v>7</v>
      </c>
      <c r="G83" s="1864"/>
      <c r="H83" s="1036" t="s">
        <v>58</v>
      </c>
      <c r="I83" s="1007" t="s">
        <v>196</v>
      </c>
      <c r="J83" s="1005" t="s">
        <v>8</v>
      </c>
      <c r="K83" s="1005" t="s">
        <v>9</v>
      </c>
      <c r="L83" s="401" t="s">
        <v>10</v>
      </c>
      <c r="M83" s="1527" t="s">
        <v>145</v>
      </c>
      <c r="N83" s="1475"/>
    </row>
    <row r="84" spans="1:14" ht="24" thickBot="1">
      <c r="A84" s="88" t="s">
        <v>351</v>
      </c>
      <c r="B84" s="2008"/>
      <c r="C84" s="2009"/>
      <c r="D84" s="2010"/>
      <c r="E84" s="2011"/>
      <c r="F84" s="2012"/>
      <c r="G84" s="2013"/>
      <c r="H84" s="1037"/>
      <c r="I84" s="304"/>
      <c r="J84" s="304"/>
      <c r="K84" s="304"/>
      <c r="L84" s="305"/>
      <c r="M84" s="1708"/>
      <c r="N84" s="1709"/>
    </row>
    <row r="85" spans="1:14" s="1161" customFormat="1" ht="17" thickBot="1">
      <c r="A85" s="110" t="s">
        <v>189</v>
      </c>
      <c r="B85" s="1456"/>
      <c r="C85" s="1457"/>
      <c r="D85" s="1457"/>
      <c r="E85" s="1457"/>
      <c r="F85" s="1854"/>
      <c r="G85" s="1854"/>
      <c r="H85" s="1141"/>
      <c r="I85" s="1141"/>
      <c r="J85" s="1141"/>
      <c r="K85" s="1141"/>
      <c r="L85" s="1141"/>
      <c r="M85" s="1485"/>
      <c r="N85" s="1486"/>
    </row>
    <row r="86" spans="1:14" s="1087" customFormat="1">
      <c r="A86" s="1057" t="s">
        <v>29</v>
      </c>
      <c r="B86" s="1972">
        <f>Upland!N361</f>
        <v>8</v>
      </c>
      <c r="C86" s="1973"/>
      <c r="D86" s="1974">
        <f t="shared" ref="D86:D87" si="33">F86*325900</f>
        <v>64137.120000000003</v>
      </c>
      <c r="E86" s="1973"/>
      <c r="F86" s="1974">
        <f>0.0246*B86</f>
        <v>0.1968</v>
      </c>
      <c r="G86" s="1973"/>
      <c r="H86" s="1073">
        <f>F86*20</f>
        <v>3.9359999999999999</v>
      </c>
      <c r="I86" s="1052">
        <v>0</v>
      </c>
      <c r="J86" s="1052">
        <f>B86*60</f>
        <v>480</v>
      </c>
      <c r="K86" s="1052">
        <f>B86*40</f>
        <v>320</v>
      </c>
      <c r="L86" s="1054">
        <f>K86+J86+I86</f>
        <v>800</v>
      </c>
      <c r="M86" s="1975">
        <f t="shared" ref="M86:M93" si="34">IF(ISERROR(L86/(F86*771)),0,L86/(F86*771))</f>
        <v>5.2724262651186828</v>
      </c>
      <c r="N86" s="1976"/>
    </row>
    <row r="87" spans="1:14" s="1087" customFormat="1">
      <c r="A87" s="1057" t="s">
        <v>33</v>
      </c>
      <c r="B87" s="1503">
        <f>Upland!N362</f>
        <v>43</v>
      </c>
      <c r="C87" s="1461"/>
      <c r="D87" s="1460">
        <f t="shared" si="33"/>
        <v>483472.65</v>
      </c>
      <c r="E87" s="1461"/>
      <c r="F87" s="1460">
        <f>B87*0.0345</f>
        <v>1.4835</v>
      </c>
      <c r="G87" s="1461"/>
      <c r="H87" s="1073">
        <f>F87*14</f>
        <v>20.769000000000002</v>
      </c>
      <c r="I87" s="1052">
        <f>0*B87</f>
        <v>0</v>
      </c>
      <c r="J87" s="1052">
        <f>B87*65</f>
        <v>2795</v>
      </c>
      <c r="K87" s="1052">
        <f>B87*85</f>
        <v>3655</v>
      </c>
      <c r="L87" s="1054">
        <f t="shared" ref="L87:L93" si="35">K87+J87+I87</f>
        <v>6450</v>
      </c>
      <c r="M87" s="1507">
        <f t="shared" si="34"/>
        <v>5.6392037444312857</v>
      </c>
      <c r="N87" s="1508"/>
    </row>
    <row r="88" spans="1:14" s="1087" customFormat="1">
      <c r="A88" s="1057" t="s">
        <v>362</v>
      </c>
      <c r="B88" s="1503">
        <f>Upland!N363</f>
        <v>30</v>
      </c>
      <c r="C88" s="1461"/>
      <c r="D88" s="1460">
        <f>F88*325851</f>
        <v>43012.332000000002</v>
      </c>
      <c r="E88" s="1461"/>
      <c r="F88" s="1460">
        <f>0.0044*B88</f>
        <v>0.13200000000000001</v>
      </c>
      <c r="G88" s="1461"/>
      <c r="H88" s="1073">
        <f>F88*5</f>
        <v>0.66</v>
      </c>
      <c r="I88" s="1052">
        <f>0*B88</f>
        <v>0</v>
      </c>
      <c r="J88" s="1052">
        <f>B88*3</f>
        <v>90</v>
      </c>
      <c r="K88" s="1052">
        <f>B88*2</f>
        <v>60</v>
      </c>
      <c r="L88" s="1054">
        <f t="shared" si="35"/>
        <v>150</v>
      </c>
      <c r="M88" s="1507">
        <f t="shared" si="34"/>
        <v>1.4738827968399952</v>
      </c>
      <c r="N88" s="1508"/>
    </row>
    <row r="89" spans="1:14" s="1087" customFormat="1">
      <c r="A89" s="1057" t="s">
        <v>52</v>
      </c>
      <c r="B89" s="1503">
        <f>Upland!N364</f>
        <v>34</v>
      </c>
      <c r="C89" s="1461"/>
      <c r="D89" s="1460">
        <f t="shared" ref="D89:D93" si="36">F89*325900</f>
        <v>458736.83999999997</v>
      </c>
      <c r="E89" s="1461"/>
      <c r="F89" s="1460">
        <f>0.0414*B89</f>
        <v>1.4076</v>
      </c>
      <c r="G89" s="1461"/>
      <c r="H89" s="1073">
        <f>F89*10</f>
        <v>14.076000000000001</v>
      </c>
      <c r="I89" s="1052">
        <v>0</v>
      </c>
      <c r="J89" s="1052">
        <f>B89*70</f>
        <v>2380</v>
      </c>
      <c r="K89" s="1052">
        <f>B89*80</f>
        <v>2720</v>
      </c>
      <c r="L89" s="1054">
        <f t="shared" si="35"/>
        <v>5100</v>
      </c>
      <c r="M89" s="1507">
        <f t="shared" si="34"/>
        <v>4.6993364536927391</v>
      </c>
      <c r="N89" s="1508"/>
    </row>
    <row r="90" spans="1:14" s="1087" customFormat="1">
      <c r="A90" s="1057" t="s">
        <v>323</v>
      </c>
      <c r="B90" s="1503">
        <f>Upland!N365</f>
        <v>0</v>
      </c>
      <c r="C90" s="1461"/>
      <c r="D90" s="1515">
        <f t="shared" si="36"/>
        <v>0</v>
      </c>
      <c r="E90" s="1495"/>
      <c r="F90" s="1515">
        <v>0</v>
      </c>
      <c r="G90" s="1495"/>
      <c r="H90" s="1074">
        <f>F90*10</f>
        <v>0</v>
      </c>
      <c r="I90" s="1052">
        <v>0</v>
      </c>
      <c r="J90" s="1052">
        <f t="shared" ref="J90:J93" si="37">B90*65</f>
        <v>0</v>
      </c>
      <c r="K90" s="1052">
        <f t="shared" ref="K90:K93" si="38">B90*40</f>
        <v>0</v>
      </c>
      <c r="L90" s="1054">
        <f t="shared" si="35"/>
        <v>0</v>
      </c>
      <c r="M90" s="1507">
        <f t="shared" si="34"/>
        <v>0</v>
      </c>
      <c r="N90" s="1508"/>
    </row>
    <row r="91" spans="1:14" s="1087" customFormat="1">
      <c r="A91" s="1057" t="s">
        <v>214</v>
      </c>
      <c r="B91" s="1503">
        <f>Upland!N366</f>
        <v>2</v>
      </c>
      <c r="C91" s="1461"/>
      <c r="D91" s="1460">
        <f t="shared" si="36"/>
        <v>1238.42</v>
      </c>
      <c r="E91" s="1461"/>
      <c r="F91" s="1460">
        <f>0.0019*B91</f>
        <v>3.8E-3</v>
      </c>
      <c r="G91" s="1461"/>
      <c r="H91" s="1073">
        <f>F91*5</f>
        <v>1.9E-2</v>
      </c>
      <c r="I91" s="1052">
        <v>0</v>
      </c>
      <c r="J91" s="1052">
        <f>B91*0</f>
        <v>0</v>
      </c>
      <c r="K91" s="1052">
        <f>B91*35</f>
        <v>70</v>
      </c>
      <c r="L91" s="1054">
        <f t="shared" si="35"/>
        <v>70</v>
      </c>
      <c r="M91" s="1507">
        <f t="shared" si="34"/>
        <v>23.892415864564132</v>
      </c>
      <c r="N91" s="1508"/>
    </row>
    <row r="92" spans="1:14" s="1087" customFormat="1">
      <c r="A92" s="1057" t="s">
        <v>331</v>
      </c>
      <c r="B92" s="1503">
        <f>Upland!N367</f>
        <v>0</v>
      </c>
      <c r="C92" s="1461"/>
      <c r="D92" s="1460">
        <f t="shared" si="36"/>
        <v>0</v>
      </c>
      <c r="E92" s="1461"/>
      <c r="F92" s="1460">
        <v>0</v>
      </c>
      <c r="G92" s="1461"/>
      <c r="H92" s="1073">
        <v>0</v>
      </c>
      <c r="I92" s="1052">
        <v>0</v>
      </c>
      <c r="J92" s="1052">
        <f>B92*0</f>
        <v>0</v>
      </c>
      <c r="K92" s="1052">
        <f>B92*300</f>
        <v>0</v>
      </c>
      <c r="L92" s="1054">
        <f t="shared" si="35"/>
        <v>0</v>
      </c>
      <c r="M92" s="1507">
        <f t="shared" si="34"/>
        <v>0</v>
      </c>
      <c r="N92" s="1508"/>
    </row>
    <row r="93" spans="1:14" s="1087" customFormat="1" ht="14" thickBot="1">
      <c r="A93" s="1057" t="s">
        <v>269</v>
      </c>
      <c r="B93" s="1965">
        <f>Upland!N368</f>
        <v>0</v>
      </c>
      <c r="C93" s="1505"/>
      <c r="D93" s="1506">
        <f t="shared" si="36"/>
        <v>0</v>
      </c>
      <c r="E93" s="1505"/>
      <c r="F93" s="1506">
        <f>0.0414*B93</f>
        <v>0</v>
      </c>
      <c r="G93" s="1505"/>
      <c r="H93" s="1073">
        <f>F93*10</f>
        <v>0</v>
      </c>
      <c r="I93" s="1052">
        <v>0</v>
      </c>
      <c r="J93" s="1052">
        <f t="shared" si="37"/>
        <v>0</v>
      </c>
      <c r="K93" s="1052">
        <f t="shared" si="38"/>
        <v>0</v>
      </c>
      <c r="L93" s="1054">
        <f t="shared" si="35"/>
        <v>0</v>
      </c>
      <c r="M93" s="1966">
        <f t="shared" si="34"/>
        <v>0</v>
      </c>
      <c r="N93" s="1967"/>
    </row>
    <row r="94" spans="1:14" s="1228" customFormat="1" ht="17" thickBot="1">
      <c r="A94" s="1224" t="s">
        <v>190</v>
      </c>
      <c r="B94" s="1524"/>
      <c r="C94" s="1502"/>
      <c r="D94" s="1502"/>
      <c r="E94" s="1502"/>
      <c r="F94" s="1502"/>
      <c r="G94" s="1502"/>
      <c r="H94" s="1225"/>
      <c r="I94" s="1226"/>
      <c r="J94" s="1226"/>
      <c r="K94" s="1226"/>
      <c r="L94" s="1226"/>
      <c r="M94" s="1226"/>
      <c r="N94" s="1227"/>
    </row>
    <row r="95" spans="1:14" s="1087" customFormat="1">
      <c r="A95" s="1057" t="s">
        <v>386</v>
      </c>
      <c r="B95" s="1972">
        <f>Upland!N370</f>
        <v>50</v>
      </c>
      <c r="C95" s="1973"/>
      <c r="D95" s="1974">
        <f>F95*325900</f>
        <v>71698</v>
      </c>
      <c r="E95" s="1973"/>
      <c r="F95" s="1974">
        <f>B95*0.0044</f>
        <v>0.22</v>
      </c>
      <c r="G95" s="1973"/>
      <c r="H95" s="1073">
        <f>F95*5</f>
        <v>1.1000000000000001</v>
      </c>
      <c r="I95" s="1052">
        <v>0</v>
      </c>
      <c r="J95" s="1052">
        <f>L95-K95</f>
        <v>162.5</v>
      </c>
      <c r="K95" s="1052">
        <f>B95*2</f>
        <v>100</v>
      </c>
      <c r="L95" s="1054">
        <v>262.5</v>
      </c>
      <c r="M95" s="1975">
        <f>IF(ISERROR(L95/(F95*771)),0,L95/(F95*771))</f>
        <v>1.5475769366819949</v>
      </c>
      <c r="N95" s="1976"/>
    </row>
    <row r="96" spans="1:14" s="1087" customFormat="1">
      <c r="A96" s="1057" t="s">
        <v>356</v>
      </c>
      <c r="B96" s="1503">
        <f>Upland!N371</f>
        <v>6</v>
      </c>
      <c r="C96" s="1461"/>
      <c r="D96" s="1515">
        <f>F96*325900</f>
        <v>278253.42</v>
      </c>
      <c r="E96" s="1495"/>
      <c r="F96" s="1515">
        <v>0.8538</v>
      </c>
      <c r="G96" s="1495"/>
      <c r="H96" s="1074">
        <f>F96*7.5</f>
        <v>6.4035000000000002</v>
      </c>
      <c r="I96" s="1052">
        <f>(B96*958)*0.5</f>
        <v>2874</v>
      </c>
      <c r="J96" s="1052">
        <f>(B96*958)*0.02</f>
        <v>114.96000000000001</v>
      </c>
      <c r="K96" s="1052">
        <f>(B96*958)*0.48</f>
        <v>2759.04</v>
      </c>
      <c r="L96" s="1054">
        <f t="shared" ref="L96:L98" si="39">K96+J96+I96</f>
        <v>5748</v>
      </c>
      <c r="M96" s="1507">
        <f>IF(ISERROR(L96/(F96*771)),0,L96/(F96*771))</f>
        <v>8.7318492835417398</v>
      </c>
      <c r="N96" s="1508"/>
    </row>
    <row r="97" spans="1:21" s="1087" customFormat="1">
      <c r="A97" s="1057" t="s">
        <v>374</v>
      </c>
      <c r="B97" s="1503">
        <f>Upland!N372</f>
        <v>1</v>
      </c>
      <c r="C97" s="1461"/>
      <c r="D97" s="1515">
        <f>F97*325900</f>
        <v>13492.26</v>
      </c>
      <c r="E97" s="1495"/>
      <c r="F97" s="1460">
        <f>0.0414*1</f>
        <v>4.1399999999999999E-2</v>
      </c>
      <c r="G97" s="1461"/>
      <c r="H97" s="1074">
        <f>F97*10</f>
        <v>0.41399999999999998</v>
      </c>
      <c r="I97" s="1052">
        <v>0</v>
      </c>
      <c r="J97" s="1052">
        <f>(B97*705)*0.84</f>
        <v>592.19999999999993</v>
      </c>
      <c r="K97" s="1052">
        <f>(B97*705)*0.16</f>
        <v>112.8</v>
      </c>
      <c r="L97" s="1054">
        <f t="shared" si="39"/>
        <v>704.99999999999989</v>
      </c>
      <c r="M97" s="1507">
        <f>IF(ISERROR(L97/(F97*771)),0,L97/(F97*771))</f>
        <v>22.086881332355869</v>
      </c>
      <c r="N97" s="1508"/>
    </row>
    <row r="98" spans="1:21" s="1087" customFormat="1" ht="14" thickBot="1">
      <c r="A98" s="1057" t="s">
        <v>266</v>
      </c>
      <c r="B98" s="1965">
        <f>Upland!N373</f>
        <v>13</v>
      </c>
      <c r="C98" s="1505"/>
      <c r="D98" s="1516">
        <f>F98*325900</f>
        <v>499930.59999999992</v>
      </c>
      <c r="E98" s="1517"/>
      <c r="F98" s="1516">
        <f>B98*0.118</f>
        <v>1.5339999999999998</v>
      </c>
      <c r="G98" s="1517"/>
      <c r="H98" s="1074">
        <f>F98*10</f>
        <v>15.339999999999998</v>
      </c>
      <c r="I98" s="1052">
        <v>0</v>
      </c>
      <c r="J98" s="1088">
        <f>(B98*461)*0.53</f>
        <v>3176.29</v>
      </c>
      <c r="K98" s="1088">
        <f>(B98*461)*0.47</f>
        <v>2816.71</v>
      </c>
      <c r="L98" s="1054">
        <f t="shared" si="39"/>
        <v>5993</v>
      </c>
      <c r="M98" s="1966">
        <f>IF(ISERROR(L98/(F98*771)),0,L98/(F98*771))</f>
        <v>5.0671590934071977</v>
      </c>
      <c r="N98" s="1967"/>
    </row>
    <row r="99" spans="1:21" s="1055" customFormat="1" ht="14" thickBot="1">
      <c r="A99" s="1060" t="s">
        <v>60</v>
      </c>
      <c r="B99" s="1968">
        <f>SUM(B86:C98)</f>
        <v>187</v>
      </c>
      <c r="C99" s="1969"/>
      <c r="D99" s="1970">
        <f>SUM(D86:E98)</f>
        <v>1913971.6419999998</v>
      </c>
      <c r="E99" s="1969"/>
      <c r="F99" s="1970">
        <f>SUM(F86:G98)</f>
        <v>5.8729000000000005</v>
      </c>
      <c r="G99" s="1969"/>
      <c r="H99" s="1061">
        <f>SUM(H86:H98)</f>
        <v>62.717500000000001</v>
      </c>
      <c r="I99" s="1062">
        <f>SUM(I86:I98)</f>
        <v>2874</v>
      </c>
      <c r="J99" s="1062">
        <f t="shared" ref="J99:L99" si="40">SUM(J86:J98)</f>
        <v>9790.9500000000007</v>
      </c>
      <c r="K99" s="1062">
        <f t="shared" si="40"/>
        <v>12613.55</v>
      </c>
      <c r="L99" s="1062">
        <f t="shared" si="40"/>
        <v>25278.5</v>
      </c>
      <c r="M99" s="1971"/>
      <c r="N99" s="1523"/>
    </row>
    <row r="100" spans="1:21" s="1228" customFormat="1" ht="17" thickBot="1">
      <c r="A100" s="1224" t="s">
        <v>194</v>
      </c>
      <c r="B100" s="1524"/>
      <c r="C100" s="1502"/>
      <c r="D100" s="1502"/>
      <c r="E100" s="1502"/>
      <c r="F100" s="1502"/>
      <c r="G100" s="1502"/>
      <c r="H100" s="1225"/>
      <c r="I100" s="1229"/>
      <c r="J100" s="1229"/>
      <c r="K100" s="1229"/>
      <c r="L100" s="1229"/>
      <c r="M100" s="1229"/>
      <c r="N100" s="1230"/>
    </row>
    <row r="101" spans="1:21" s="1055" customFormat="1">
      <c r="A101" s="1049" t="s">
        <v>29</v>
      </c>
      <c r="B101" s="1959">
        <f>Upland!N376</f>
        <v>284</v>
      </c>
      <c r="C101" s="1960"/>
      <c r="D101" s="1961">
        <f t="shared" ref="D101:D102" si="41">F101*325900</f>
        <v>2276867.7599999998</v>
      </c>
      <c r="E101" s="1960"/>
      <c r="F101" s="1961">
        <f>0.0246*B101</f>
        <v>6.9863999999999997</v>
      </c>
      <c r="G101" s="1960"/>
      <c r="H101" s="1050">
        <f>F101*20</f>
        <v>139.72800000000001</v>
      </c>
      <c r="I101" s="1051">
        <v>0</v>
      </c>
      <c r="J101" s="1053">
        <f>B101*60</f>
        <v>17040</v>
      </c>
      <c r="K101" s="1053">
        <f>B101*40</f>
        <v>11360</v>
      </c>
      <c r="L101" s="1054">
        <f t="shared" ref="L101:L112" si="42">K101+J101+I101</f>
        <v>28400</v>
      </c>
      <c r="M101" s="1962">
        <f t="shared" ref="M101:M112" si="43">IF(ISERROR(L101/(F101*771)),0,L101/(F101*771))</f>
        <v>5.272426265118682</v>
      </c>
      <c r="N101" s="1963"/>
      <c r="U101" s="1063"/>
    </row>
    <row r="102" spans="1:21" s="1055" customFormat="1">
      <c r="A102" s="1049" t="s">
        <v>51</v>
      </c>
      <c r="B102" s="1491">
        <f>Upland!N377</f>
        <v>0</v>
      </c>
      <c r="C102" s="1426"/>
      <c r="D102" s="1500">
        <f t="shared" si="41"/>
        <v>0</v>
      </c>
      <c r="E102" s="1426"/>
      <c r="F102" s="1500">
        <f>0.1227*B102</f>
        <v>0</v>
      </c>
      <c r="G102" s="1426"/>
      <c r="H102" s="1050">
        <f>F102*20</f>
        <v>0</v>
      </c>
      <c r="I102" s="1051">
        <v>0</v>
      </c>
      <c r="J102" s="1053">
        <f>B102*200</f>
        <v>0</v>
      </c>
      <c r="K102" s="1053">
        <f>B102*200</f>
        <v>0</v>
      </c>
      <c r="L102" s="1054">
        <f t="shared" si="42"/>
        <v>0</v>
      </c>
      <c r="M102" s="1496">
        <f t="shared" si="43"/>
        <v>0</v>
      </c>
      <c r="N102" s="1497"/>
    </row>
    <row r="103" spans="1:21" s="1055" customFormat="1">
      <c r="A103" s="1064" t="s">
        <v>204</v>
      </c>
      <c r="B103" s="1491">
        <f>Upland!N378</f>
        <v>0</v>
      </c>
      <c r="C103" s="1426"/>
      <c r="D103" s="1500">
        <f>F103*325851</f>
        <v>0</v>
      </c>
      <c r="E103" s="1426"/>
      <c r="F103" s="1500">
        <f>B103*0.644</f>
        <v>0</v>
      </c>
      <c r="G103" s="1426"/>
      <c r="H103" s="1050">
        <f>F103*5</f>
        <v>0</v>
      </c>
      <c r="I103" s="1051">
        <v>0</v>
      </c>
      <c r="J103" s="1053">
        <f>B103*0</f>
        <v>0</v>
      </c>
      <c r="K103" s="1053">
        <f>B103*0</f>
        <v>0</v>
      </c>
      <c r="L103" s="1054">
        <f t="shared" si="42"/>
        <v>0</v>
      </c>
      <c r="M103" s="1496">
        <f t="shared" si="43"/>
        <v>0</v>
      </c>
      <c r="N103" s="1497"/>
    </row>
    <row r="104" spans="1:21" s="1055" customFormat="1">
      <c r="A104" s="1057" t="s">
        <v>30</v>
      </c>
      <c r="B104" s="1491">
        <f>Upland!N379</f>
        <v>21</v>
      </c>
      <c r="C104" s="1426"/>
      <c r="D104" s="1500">
        <f t="shared" ref="D104:D108" si="44">F104*325900</f>
        <v>88286.31</v>
      </c>
      <c r="E104" s="1426"/>
      <c r="F104" s="1964">
        <f>0.0129*B104</f>
        <v>0.27089999999999997</v>
      </c>
      <c r="G104" s="1514"/>
      <c r="H104" s="1050">
        <f>F104*10</f>
        <v>2.7089999999999996</v>
      </c>
      <c r="I104" s="1051">
        <v>0</v>
      </c>
      <c r="J104" s="1053">
        <f>B104*0</f>
        <v>0</v>
      </c>
      <c r="K104" s="1053">
        <f>B104*0</f>
        <v>0</v>
      </c>
      <c r="L104" s="1054">
        <f t="shared" si="42"/>
        <v>0</v>
      </c>
      <c r="M104" s="1496">
        <f t="shared" si="43"/>
        <v>0</v>
      </c>
      <c r="N104" s="1497"/>
    </row>
    <row r="105" spans="1:21" s="1055" customFormat="1">
      <c r="A105" s="1057" t="s">
        <v>366</v>
      </c>
      <c r="B105" s="1491">
        <f>Upland!N380</f>
        <v>7570</v>
      </c>
      <c r="C105" s="1426"/>
      <c r="D105" s="1500">
        <f t="shared" si="44"/>
        <v>10855077.199999999</v>
      </c>
      <c r="E105" s="1426"/>
      <c r="F105" s="1500">
        <f>0.0044*B105</f>
        <v>33.308</v>
      </c>
      <c r="G105" s="1426"/>
      <c r="H105" s="1050">
        <f>F105*5</f>
        <v>166.54</v>
      </c>
      <c r="I105" s="1051">
        <v>0</v>
      </c>
      <c r="J105" s="1053">
        <f>B105*2</f>
        <v>15140</v>
      </c>
      <c r="K105" s="1053">
        <f>B105*2</f>
        <v>15140</v>
      </c>
      <c r="L105" s="1054">
        <f t="shared" si="42"/>
        <v>30280</v>
      </c>
      <c r="M105" s="1496">
        <f t="shared" si="43"/>
        <v>1.1791062374719963</v>
      </c>
      <c r="N105" s="1497"/>
    </row>
    <row r="106" spans="1:21" s="1055" customFormat="1">
      <c r="A106" s="1057" t="s">
        <v>122</v>
      </c>
      <c r="B106" s="1491">
        <f>Upland!N381</f>
        <v>0</v>
      </c>
      <c r="C106" s="1426"/>
      <c r="D106" s="1500">
        <f t="shared" si="44"/>
        <v>0</v>
      </c>
      <c r="E106" s="1426"/>
      <c r="F106" s="1500">
        <f>0.018*B106</f>
        <v>0</v>
      </c>
      <c r="G106" s="1426"/>
      <c r="H106" s="1050">
        <f t="shared" ref="H106:H107" si="45">F106*10</f>
        <v>0</v>
      </c>
      <c r="I106" s="1051">
        <v>0</v>
      </c>
      <c r="J106" s="1053">
        <f>B106*2</f>
        <v>0</v>
      </c>
      <c r="K106" s="1053">
        <f>B106*13</f>
        <v>0</v>
      </c>
      <c r="L106" s="1054">
        <f t="shared" si="42"/>
        <v>0</v>
      </c>
      <c r="M106" s="1496">
        <f t="shared" si="43"/>
        <v>0</v>
      </c>
      <c r="N106" s="1497"/>
    </row>
    <row r="107" spans="1:21" s="1055" customFormat="1">
      <c r="A107" s="1049" t="s">
        <v>184</v>
      </c>
      <c r="B107" s="1491">
        <f>Upland!N382</f>
        <v>0</v>
      </c>
      <c r="C107" s="1426"/>
      <c r="D107" s="1500">
        <f t="shared" si="44"/>
        <v>0</v>
      </c>
      <c r="E107" s="1426"/>
      <c r="F107" s="1500">
        <f>0.0129*B107</f>
        <v>0</v>
      </c>
      <c r="G107" s="1426"/>
      <c r="H107" s="1050">
        <f t="shared" si="45"/>
        <v>0</v>
      </c>
      <c r="I107" s="1051">
        <v>0</v>
      </c>
      <c r="J107" s="1053">
        <f>B107*0</f>
        <v>0</v>
      </c>
      <c r="K107" s="1053">
        <f>B107*0</f>
        <v>0</v>
      </c>
      <c r="L107" s="1054">
        <f t="shared" si="42"/>
        <v>0</v>
      </c>
      <c r="M107" s="1496">
        <f t="shared" si="43"/>
        <v>0</v>
      </c>
      <c r="N107" s="1497"/>
    </row>
    <row r="108" spans="1:21" s="1065" customFormat="1">
      <c r="A108" s="1059" t="s">
        <v>187</v>
      </c>
      <c r="B108" s="1491">
        <f>Upland!N383</f>
        <v>0</v>
      </c>
      <c r="C108" s="1426"/>
      <c r="D108" s="1500">
        <f t="shared" si="44"/>
        <v>0</v>
      </c>
      <c r="E108" s="1426"/>
      <c r="F108" s="1500">
        <v>0</v>
      </c>
      <c r="G108" s="1426"/>
      <c r="H108" s="1050">
        <f>F108*5</f>
        <v>0</v>
      </c>
      <c r="I108" s="1051">
        <v>0</v>
      </c>
      <c r="J108" s="1053">
        <f>B108*10</f>
        <v>0</v>
      </c>
      <c r="K108" s="1053">
        <f>B108*10</f>
        <v>0</v>
      </c>
      <c r="L108" s="1054">
        <f t="shared" si="42"/>
        <v>0</v>
      </c>
      <c r="M108" s="1496">
        <f t="shared" si="43"/>
        <v>0</v>
      </c>
      <c r="N108" s="1497"/>
    </row>
    <row r="109" spans="1:21" s="1065" customFormat="1">
      <c r="A109" s="1059" t="s">
        <v>188</v>
      </c>
      <c r="B109" s="1491">
        <f>Upland!N384</f>
        <v>0</v>
      </c>
      <c r="C109" s="1426"/>
      <c r="D109" s="1500">
        <f>F109*325900</f>
        <v>0</v>
      </c>
      <c r="E109" s="1426"/>
      <c r="F109" s="1958">
        <f>0.154*B109</f>
        <v>0</v>
      </c>
      <c r="G109" s="1510"/>
      <c r="H109" s="1066">
        <f t="shared" ref="H109:H111" si="46">F109*10</f>
        <v>0</v>
      </c>
      <c r="I109" s="1051">
        <v>0</v>
      </c>
      <c r="J109" s="1053">
        <f>B109*1000</f>
        <v>0</v>
      </c>
      <c r="K109" s="1053">
        <f>B109*1000</f>
        <v>0</v>
      </c>
      <c r="L109" s="1054">
        <f t="shared" si="42"/>
        <v>0</v>
      </c>
      <c r="M109" s="1496">
        <f t="shared" si="43"/>
        <v>0</v>
      </c>
      <c r="N109" s="1497"/>
    </row>
    <row r="110" spans="1:21" s="1065" customFormat="1">
      <c r="A110" s="1059" t="s">
        <v>323</v>
      </c>
      <c r="B110" s="1491">
        <f>Upland!N385</f>
        <v>0</v>
      </c>
      <c r="C110" s="1426"/>
      <c r="D110" s="1492">
        <f>F110*325900</f>
        <v>0</v>
      </c>
      <c r="E110" s="1493"/>
      <c r="F110" s="1515">
        <v>0</v>
      </c>
      <c r="G110" s="1495"/>
      <c r="H110" s="1058">
        <f t="shared" si="46"/>
        <v>0</v>
      </c>
      <c r="I110" s="1051">
        <v>0</v>
      </c>
      <c r="J110" s="1053">
        <f>B110*0</f>
        <v>0</v>
      </c>
      <c r="K110" s="1053">
        <f>B110*0</f>
        <v>0</v>
      </c>
      <c r="L110" s="1054">
        <f t="shared" si="42"/>
        <v>0</v>
      </c>
      <c r="M110" s="1496">
        <f t="shared" si="43"/>
        <v>0</v>
      </c>
      <c r="N110" s="1497"/>
    </row>
    <row r="111" spans="1:21" s="1065" customFormat="1">
      <c r="A111" s="1059" t="s">
        <v>269</v>
      </c>
      <c r="B111" s="1491">
        <f>Upland!N386</f>
        <v>0</v>
      </c>
      <c r="C111" s="1426"/>
      <c r="D111" s="1492">
        <f>G111*325900</f>
        <v>0</v>
      </c>
      <c r="E111" s="1493"/>
      <c r="F111" s="1948">
        <f>0.0129*B111</f>
        <v>0</v>
      </c>
      <c r="G111" s="1499"/>
      <c r="H111" s="1067">
        <f t="shared" si="46"/>
        <v>0</v>
      </c>
      <c r="I111" s="1051">
        <v>0</v>
      </c>
      <c r="J111" s="1053">
        <f>B111*0</f>
        <v>0</v>
      </c>
      <c r="K111" s="1053">
        <f>B111*0</f>
        <v>0</v>
      </c>
      <c r="L111" s="1054">
        <f t="shared" si="42"/>
        <v>0</v>
      </c>
      <c r="M111" s="1496">
        <f t="shared" si="43"/>
        <v>0</v>
      </c>
      <c r="N111" s="1497"/>
    </row>
    <row r="112" spans="1:21" s="1065" customFormat="1" ht="14" thickBot="1">
      <c r="A112" s="1059" t="s">
        <v>268</v>
      </c>
      <c r="B112" s="1949">
        <f>Upland!N387</f>
        <v>0</v>
      </c>
      <c r="C112" s="1950"/>
      <c r="D112" s="1951">
        <f>F112*325900</f>
        <v>0</v>
      </c>
      <c r="E112" s="1950"/>
      <c r="F112" s="1506">
        <f>(B112*0.0084)/2</f>
        <v>0</v>
      </c>
      <c r="G112" s="1505"/>
      <c r="H112" s="1056">
        <f>F112*10</f>
        <v>0</v>
      </c>
      <c r="I112" s="1051">
        <v>0</v>
      </c>
      <c r="J112" s="1053">
        <f>B112*10</f>
        <v>0</v>
      </c>
      <c r="K112" s="1053">
        <f>B112*5</f>
        <v>0</v>
      </c>
      <c r="L112" s="1054">
        <f t="shared" si="42"/>
        <v>0</v>
      </c>
      <c r="M112" s="1952">
        <f t="shared" si="43"/>
        <v>0</v>
      </c>
      <c r="N112" s="1953"/>
    </row>
    <row r="113" spans="1:14" s="1228" customFormat="1" ht="17" thickBot="1">
      <c r="A113" s="1224" t="s">
        <v>192</v>
      </c>
      <c r="B113" s="1502"/>
      <c r="C113" s="1502"/>
      <c r="D113" s="1502"/>
      <c r="E113" s="1502"/>
      <c r="F113" s="1502"/>
      <c r="G113" s="1502"/>
      <c r="H113" s="1225"/>
      <c r="I113" s="1229"/>
      <c r="J113" s="1229"/>
      <c r="K113" s="1229"/>
      <c r="L113" s="1229"/>
      <c r="M113" s="1229"/>
      <c r="N113" s="1230"/>
    </row>
    <row r="114" spans="1:14" s="1087" customFormat="1" ht="14" thickBot="1">
      <c r="A114" s="1068" t="s">
        <v>387</v>
      </c>
      <c r="B114" s="1954">
        <f>Upland!N389</f>
        <v>1587</v>
      </c>
      <c r="C114" s="1955"/>
      <c r="D114" s="1956">
        <f>F114*325900</f>
        <v>2068813.2</v>
      </c>
      <c r="E114" s="1955"/>
      <c r="F114" s="1956">
        <f>0.004*B114</f>
        <v>6.3479999999999999</v>
      </c>
      <c r="G114" s="1955"/>
      <c r="H114" s="1073">
        <f>F114*5</f>
        <v>31.74</v>
      </c>
      <c r="I114" s="1089">
        <v>0</v>
      </c>
      <c r="J114" s="1089">
        <f>L114-K114</f>
        <v>2563.6000000000004</v>
      </c>
      <c r="K114" s="1089">
        <f>B114*2</f>
        <v>3174</v>
      </c>
      <c r="L114" s="1054">
        <v>5737.6</v>
      </c>
      <c r="M114" s="1957">
        <f>IF(ISERROR(L114/(F114*771)),0,L114/(F114*771))</f>
        <v>1.1723005581177155</v>
      </c>
      <c r="N114" s="1701"/>
    </row>
    <row r="115" spans="1:14" ht="14" thickBot="1">
      <c r="A115" s="53" t="s">
        <v>60</v>
      </c>
      <c r="B115" s="1438">
        <f>SUM(B101:B114)</f>
        <v>9462</v>
      </c>
      <c r="C115" s="1439"/>
      <c r="D115" s="1441">
        <f>SUM(D101:E114)</f>
        <v>15289044.469999999</v>
      </c>
      <c r="E115" s="1439"/>
      <c r="F115" s="1441">
        <f>SUM(F101:G114)</f>
        <v>46.9133</v>
      </c>
      <c r="G115" s="1439"/>
      <c r="H115" s="1001">
        <f>SUM(H101:H114)</f>
        <v>340.71699999999998</v>
      </c>
      <c r="I115" s="146">
        <f>SUM(I101:I114)</f>
        <v>0</v>
      </c>
      <c r="J115" s="146">
        <f>SUM(J101:J114)</f>
        <v>34743.599999999999</v>
      </c>
      <c r="K115" s="146">
        <f>SUM(K101:K114)</f>
        <v>29674</v>
      </c>
      <c r="L115" s="146">
        <f>SUM(L101:L114)</f>
        <v>64417.599999999999</v>
      </c>
      <c r="M115" s="1610"/>
      <c r="N115" s="1636"/>
    </row>
    <row r="116" spans="1:14" s="1161" customFormat="1" ht="17" thickBot="1">
      <c r="A116" s="1163" t="s">
        <v>17</v>
      </c>
      <c r="B116" s="1414">
        <f>SUM(,B99,B115)</f>
        <v>9649</v>
      </c>
      <c r="C116" s="1415"/>
      <c r="D116" s="1416">
        <f>SUM(,D99,D115)</f>
        <v>17203016.112</v>
      </c>
      <c r="E116" s="1415"/>
      <c r="F116" s="1416">
        <f>SUM(,F99,F115)</f>
        <v>52.786200000000001</v>
      </c>
      <c r="G116" s="1415"/>
      <c r="H116" s="1164">
        <f>SUM(H99,H115)</f>
        <v>403.43449999999996</v>
      </c>
      <c r="I116" s="1165">
        <f>SUM(,I99,I115)</f>
        <v>2874</v>
      </c>
      <c r="J116" s="1165">
        <f>SUM(,J99,J115)</f>
        <v>44534.55</v>
      </c>
      <c r="K116" s="1165">
        <f>SUM(,K99,K115)</f>
        <v>42287.55</v>
      </c>
      <c r="L116" s="1165">
        <f>SUM(,L99,L115)</f>
        <v>89696.1</v>
      </c>
      <c r="M116" s="1631"/>
      <c r="N116" s="1632"/>
    </row>
    <row r="117" spans="1:14">
      <c r="A117" s="50"/>
      <c r="B117" s="1027"/>
      <c r="C117" s="1027"/>
      <c r="D117" s="1027"/>
      <c r="E117" s="1027"/>
      <c r="F117" s="51"/>
      <c r="G117" s="51"/>
      <c r="H117" s="1027"/>
      <c r="I117" s="21"/>
      <c r="J117" s="21"/>
      <c r="K117" s="21"/>
      <c r="L117" s="21"/>
      <c r="M117" s="999"/>
      <c r="N117" s="999"/>
    </row>
    <row r="118" spans="1:14" ht="15">
      <c r="A118" s="9" t="s">
        <v>18</v>
      </c>
      <c r="B118" s="1566" t="s">
        <v>59</v>
      </c>
      <c r="C118" s="1566"/>
      <c r="D118" s="1566"/>
      <c r="E118" s="1566"/>
      <c r="F118" s="51"/>
      <c r="G118" s="51"/>
      <c r="H118" s="1027"/>
      <c r="I118" s="21"/>
      <c r="J118" s="21"/>
      <c r="K118" s="21"/>
      <c r="L118" s="21"/>
      <c r="M118" s="999"/>
      <c r="N118" s="999"/>
    </row>
    <row r="119" spans="1:14">
      <c r="B119" s="1559" t="s">
        <v>19</v>
      </c>
      <c r="C119" s="1559"/>
      <c r="D119" s="1559"/>
      <c r="E119" s="1559"/>
      <c r="F119" s="51"/>
      <c r="G119" s="51"/>
      <c r="H119" s="1027"/>
      <c r="I119" s="21"/>
      <c r="J119" s="21"/>
      <c r="K119" s="21"/>
      <c r="L119" s="21"/>
      <c r="M119" s="999"/>
      <c r="N119" s="999"/>
    </row>
    <row r="120" spans="1:14" ht="14" thickBot="1">
      <c r="B120" s="999"/>
      <c r="C120" s="999"/>
      <c r="D120" s="999"/>
      <c r="E120" s="999"/>
      <c r="F120" s="51"/>
      <c r="G120" s="51"/>
      <c r="H120" s="1027"/>
      <c r="I120" s="21"/>
      <c r="J120" s="21"/>
      <c r="K120" s="21"/>
      <c r="L120" s="21"/>
      <c r="M120" s="999"/>
      <c r="N120" s="999"/>
    </row>
    <row r="121" spans="1:14" s="646" customFormat="1" ht="16">
      <c r="A121" s="98"/>
      <c r="B121" s="99"/>
      <c r="C121" s="99"/>
      <c r="D121" s="99"/>
      <c r="E121" s="99"/>
      <c r="F121" s="100"/>
      <c r="G121" s="100"/>
      <c r="H121" s="736"/>
      <c r="I121" s="1468" t="s">
        <v>0</v>
      </c>
      <c r="J121" s="1468"/>
      <c r="K121" s="1468"/>
      <c r="L121" s="1468"/>
      <c r="M121" s="99"/>
      <c r="N121" s="101"/>
    </row>
    <row r="122" spans="1:14" ht="16">
      <c r="A122" s="97"/>
      <c r="B122" s="1469" t="s">
        <v>1</v>
      </c>
      <c r="C122" s="1469"/>
      <c r="D122" s="1469" t="s">
        <v>2</v>
      </c>
      <c r="E122" s="1469"/>
      <c r="F122" s="1863" t="s">
        <v>3</v>
      </c>
      <c r="G122" s="1863"/>
      <c r="H122" s="925" t="s">
        <v>3</v>
      </c>
      <c r="I122" s="127" t="s">
        <v>195</v>
      </c>
      <c r="J122" s="102"/>
      <c r="K122" s="102"/>
      <c r="L122" s="128"/>
      <c r="M122" s="1525" t="s">
        <v>4</v>
      </c>
      <c r="N122" s="1526"/>
    </row>
    <row r="123" spans="1:14" ht="19" thickBot="1">
      <c r="A123" s="103" t="s">
        <v>5</v>
      </c>
      <c r="B123" s="1473" t="s">
        <v>6</v>
      </c>
      <c r="C123" s="1473"/>
      <c r="D123" s="1473" t="s">
        <v>7</v>
      </c>
      <c r="E123" s="1473"/>
      <c r="F123" s="1864" t="s">
        <v>7</v>
      </c>
      <c r="G123" s="1864"/>
      <c r="H123" s="926" t="s">
        <v>58</v>
      </c>
      <c r="I123" s="910" t="s">
        <v>196</v>
      </c>
      <c r="J123" s="909" t="s">
        <v>8</v>
      </c>
      <c r="K123" s="909" t="s">
        <v>9</v>
      </c>
      <c r="L123" s="401" t="s">
        <v>10</v>
      </c>
      <c r="M123" s="1527" t="s">
        <v>145</v>
      </c>
      <c r="N123" s="1475"/>
    </row>
    <row r="124" spans="1:14" ht="24" thickBot="1">
      <c r="A124" s="88" t="s">
        <v>318</v>
      </c>
      <c r="B124" s="2008"/>
      <c r="C124" s="2009"/>
      <c r="D124" s="2010"/>
      <c r="E124" s="2011"/>
      <c r="F124" s="2012"/>
      <c r="G124" s="2013"/>
      <c r="H124" s="927"/>
      <c r="I124" s="304"/>
      <c r="J124" s="304"/>
      <c r="K124" s="304"/>
      <c r="L124" s="305"/>
      <c r="M124" s="1708"/>
      <c r="N124" s="1709"/>
    </row>
    <row r="125" spans="1:14" s="1161" customFormat="1" ht="17" thickBot="1">
      <c r="A125" s="110" t="s">
        <v>189</v>
      </c>
      <c r="B125" s="1456"/>
      <c r="C125" s="1457"/>
      <c r="D125" s="1457"/>
      <c r="E125" s="1457"/>
      <c r="F125" s="1854"/>
      <c r="G125" s="1854"/>
      <c r="H125" s="1141"/>
      <c r="I125" s="1141"/>
      <c r="J125" s="1141"/>
      <c r="K125" s="1141"/>
      <c r="L125" s="1141"/>
      <c r="M125" s="1485"/>
      <c r="N125" s="1486"/>
    </row>
    <row r="126" spans="1:14">
      <c r="A126" s="513" t="s">
        <v>29</v>
      </c>
      <c r="B126" s="1536">
        <f>Upland!N326</f>
        <v>24</v>
      </c>
      <c r="C126" s="1424"/>
      <c r="D126" s="1536">
        <f t="shared" ref="D126:D133" si="47">F126*325900</f>
        <v>192411.36000000002</v>
      </c>
      <c r="E126" s="1424"/>
      <c r="F126" s="1423">
        <f>0.0246*B126</f>
        <v>0.59040000000000004</v>
      </c>
      <c r="G126" s="1424"/>
      <c r="H126" s="903">
        <f>F126*20</f>
        <v>11.808</v>
      </c>
      <c r="I126" s="151">
        <v>0</v>
      </c>
      <c r="J126" s="150">
        <v>1416</v>
      </c>
      <c r="K126" s="150">
        <v>960</v>
      </c>
      <c r="L126" s="174">
        <f>K126+J126+I126</f>
        <v>2376</v>
      </c>
      <c r="M126" s="1539">
        <f t="shared" ref="M126" si="48">IF(ISERROR(L126/(F126*744)),0,L126/(F126*744))</f>
        <v>5.4091266719118805</v>
      </c>
      <c r="N126" s="1540"/>
    </row>
    <row r="127" spans="1:14">
      <c r="A127" s="78" t="s">
        <v>33</v>
      </c>
      <c r="B127" s="1536">
        <f>Upland!N327</f>
        <v>52</v>
      </c>
      <c r="C127" s="1424"/>
      <c r="D127" s="1536">
        <f t="shared" si="47"/>
        <v>584664.6</v>
      </c>
      <c r="E127" s="1424"/>
      <c r="F127" s="1423">
        <f>B127*0.0345</f>
        <v>1.794</v>
      </c>
      <c r="G127" s="1424"/>
      <c r="H127" s="903">
        <f>F127*14</f>
        <v>25.116</v>
      </c>
      <c r="I127" s="150">
        <f>0*B127</f>
        <v>0</v>
      </c>
      <c r="J127" s="150">
        <v>845</v>
      </c>
      <c r="K127" s="150">
        <v>4420</v>
      </c>
      <c r="L127" s="174">
        <f t="shared" ref="L127:L154" si="49">K127+J127+I127</f>
        <v>5265</v>
      </c>
      <c r="M127" s="1539">
        <f t="shared" ref="M127:M133" si="50">IF(ISERROR(L127/(F127*744)),0,L127/(F127*744))</f>
        <v>3.9446002805049085</v>
      </c>
      <c r="N127" s="1540"/>
    </row>
    <row r="128" spans="1:14">
      <c r="A128" s="78" t="s">
        <v>56</v>
      </c>
      <c r="B128" s="1536">
        <f>Upland!N328</f>
        <v>65</v>
      </c>
      <c r="C128" s="1424"/>
      <c r="D128" s="1536">
        <f>F128*325851</f>
        <v>93193.386000000013</v>
      </c>
      <c r="E128" s="1424"/>
      <c r="F128" s="1423">
        <f>0.0044*B128</f>
        <v>0.28600000000000003</v>
      </c>
      <c r="G128" s="1424"/>
      <c r="H128" s="903">
        <f>F128*5</f>
        <v>1.4300000000000002</v>
      </c>
      <c r="I128" s="150">
        <f>0*B128</f>
        <v>0</v>
      </c>
      <c r="J128" s="150">
        <v>0</v>
      </c>
      <c r="K128" s="150">
        <v>130</v>
      </c>
      <c r="L128" s="174">
        <f t="shared" si="49"/>
        <v>130</v>
      </c>
      <c r="M128" s="1539">
        <f t="shared" si="50"/>
        <v>0.61094819159335279</v>
      </c>
      <c r="N128" s="1540"/>
    </row>
    <row r="129" spans="1:17">
      <c r="A129" s="78" t="s">
        <v>52</v>
      </c>
      <c r="B129" s="1536">
        <f>Upland!N329</f>
        <v>32</v>
      </c>
      <c r="C129" s="1424"/>
      <c r="D129" s="1536">
        <f t="shared" si="47"/>
        <v>431752.32</v>
      </c>
      <c r="E129" s="1424"/>
      <c r="F129" s="1447">
        <f>0.0414*B129</f>
        <v>1.3248</v>
      </c>
      <c r="G129" s="1448"/>
      <c r="H129" s="905">
        <f>F129*10</f>
        <v>13.247999999999999</v>
      </c>
      <c r="I129" s="151">
        <v>0</v>
      </c>
      <c r="J129" s="173">
        <v>712.21</v>
      </c>
      <c r="K129" s="173">
        <v>2560</v>
      </c>
      <c r="L129" s="174">
        <f t="shared" si="49"/>
        <v>3272.21</v>
      </c>
      <c r="M129" s="1539">
        <f t="shared" si="50"/>
        <v>3.3198458034647551</v>
      </c>
      <c r="N129" s="1540"/>
    </row>
    <row r="130" spans="1:17" ht="12.75" customHeight="1">
      <c r="A130" s="76" t="s">
        <v>322</v>
      </c>
      <c r="B130" s="1536">
        <f>Upland!N330</f>
        <v>26</v>
      </c>
      <c r="C130" s="1424"/>
      <c r="D130" s="1536">
        <f t="shared" si="47"/>
        <v>1539913.3489999999</v>
      </c>
      <c r="E130" s="1424"/>
      <c r="F130" s="1447">
        <v>4.7251099999999999</v>
      </c>
      <c r="G130" s="1448"/>
      <c r="H130" s="905">
        <f>F130*10</f>
        <v>47.251100000000001</v>
      </c>
      <c r="I130" s="151">
        <v>0</v>
      </c>
      <c r="J130" s="173">
        <v>0</v>
      </c>
      <c r="K130" s="173">
        <v>72484</v>
      </c>
      <c r="L130" s="174">
        <f t="shared" si="49"/>
        <v>72484</v>
      </c>
      <c r="M130" s="1539">
        <f t="shared" si="50"/>
        <v>20.618510718860662</v>
      </c>
      <c r="N130" s="1540"/>
    </row>
    <row r="131" spans="1:17" ht="12.75" customHeight="1">
      <c r="A131" s="76" t="s">
        <v>214</v>
      </c>
      <c r="B131" s="1536">
        <f>Upland!N331</f>
        <v>6</v>
      </c>
      <c r="C131" s="1424"/>
      <c r="D131" s="1536">
        <f t="shared" si="47"/>
        <v>3715.26</v>
      </c>
      <c r="E131" s="1424"/>
      <c r="F131" s="1903">
        <f>0.0019*B131</f>
        <v>1.14E-2</v>
      </c>
      <c r="G131" s="1904"/>
      <c r="H131" s="905">
        <f>F131*5</f>
        <v>5.7000000000000002E-2</v>
      </c>
      <c r="I131" s="151">
        <v>0</v>
      </c>
      <c r="J131" s="173">
        <v>0</v>
      </c>
      <c r="K131" s="173">
        <v>450</v>
      </c>
      <c r="L131" s="174">
        <f t="shared" si="49"/>
        <v>450</v>
      </c>
      <c r="M131" s="1539">
        <f t="shared" si="50"/>
        <v>53.056027164685908</v>
      </c>
      <c r="N131" s="1540"/>
    </row>
    <row r="132" spans="1:17" ht="12.75" customHeight="1">
      <c r="A132" s="76" t="s">
        <v>331</v>
      </c>
      <c r="B132" s="1536">
        <f>Upland!N332</f>
        <v>0</v>
      </c>
      <c r="C132" s="1424"/>
      <c r="D132" s="1536">
        <f t="shared" ref="D132" si="51">F132*325900</f>
        <v>0</v>
      </c>
      <c r="E132" s="1424"/>
      <c r="F132" s="1447">
        <v>0</v>
      </c>
      <c r="G132" s="1448"/>
      <c r="H132" s="905">
        <v>0</v>
      </c>
      <c r="I132" s="151">
        <v>0</v>
      </c>
      <c r="J132" s="173">
        <v>0</v>
      </c>
      <c r="K132" s="173">
        <v>0</v>
      </c>
      <c r="L132" s="174">
        <f t="shared" si="49"/>
        <v>0</v>
      </c>
      <c r="M132" s="1539">
        <f t="shared" si="50"/>
        <v>0</v>
      </c>
      <c r="N132" s="1540"/>
    </row>
    <row r="133" spans="1:17" ht="12.75" customHeight="1" thickBot="1">
      <c r="A133" s="493" t="s">
        <v>269</v>
      </c>
      <c r="B133" s="1536">
        <f>Upland!N333</f>
        <v>0</v>
      </c>
      <c r="C133" s="1424"/>
      <c r="D133" s="1536">
        <f t="shared" si="47"/>
        <v>0</v>
      </c>
      <c r="E133" s="1424"/>
      <c r="F133" s="1447">
        <f>0.0414*B133</f>
        <v>0</v>
      </c>
      <c r="G133" s="1448"/>
      <c r="H133" s="905">
        <f>F133*10</f>
        <v>0</v>
      </c>
      <c r="I133" s="151">
        <v>0</v>
      </c>
      <c r="J133" s="173">
        <v>0</v>
      </c>
      <c r="K133" s="173">
        <v>0</v>
      </c>
      <c r="L133" s="174">
        <f t="shared" si="49"/>
        <v>0</v>
      </c>
      <c r="M133" s="1539">
        <f t="shared" si="50"/>
        <v>0</v>
      </c>
      <c r="N133" s="1540"/>
    </row>
    <row r="134" spans="1:17" s="1161" customFormat="1" ht="17" thickBot="1">
      <c r="A134" s="110" t="s">
        <v>190</v>
      </c>
      <c r="B134" s="1456"/>
      <c r="C134" s="1457"/>
      <c r="D134" s="1457"/>
      <c r="E134" s="1457"/>
      <c r="F134" s="1854"/>
      <c r="G134" s="1854"/>
      <c r="H134" s="1141"/>
      <c r="I134" s="1209"/>
      <c r="J134" s="1209"/>
      <c r="K134" s="1209"/>
      <c r="L134" s="1209"/>
      <c r="M134" s="1485"/>
      <c r="N134" s="1486"/>
    </row>
    <row r="135" spans="1:17">
      <c r="A135" s="76" t="s">
        <v>205</v>
      </c>
      <c r="B135" s="1536">
        <f>Upland!N335</f>
        <v>174</v>
      </c>
      <c r="C135" s="1424"/>
      <c r="D135" s="1536">
        <f>F135*325900</f>
        <v>249509.04</v>
      </c>
      <c r="E135" s="1424"/>
      <c r="F135" s="1447">
        <f>B135*0.0044</f>
        <v>0.76560000000000006</v>
      </c>
      <c r="G135" s="1448"/>
      <c r="H135" s="905">
        <f>F135*5</f>
        <v>3.8280000000000003</v>
      </c>
      <c r="I135" s="151">
        <v>0</v>
      </c>
      <c r="J135" s="173">
        <v>278.39999999999998</v>
      </c>
      <c r="K135" s="173">
        <v>348</v>
      </c>
      <c r="L135" s="174">
        <f t="shared" si="49"/>
        <v>626.4</v>
      </c>
      <c r="M135" s="1539">
        <f t="shared" ref="M135" si="52">IF(ISERROR(L135/(F135*744)),0,L135/(F135*744))</f>
        <v>1.0997067448680351</v>
      </c>
      <c r="N135" s="1540"/>
    </row>
    <row r="136" spans="1:17" s="512" customFormat="1">
      <c r="A136" s="76" t="s">
        <v>344</v>
      </c>
      <c r="B136" s="1536">
        <f>Upland!N336</f>
        <v>4</v>
      </c>
      <c r="C136" s="1424"/>
      <c r="D136" s="1451">
        <f>F136*325900</f>
        <v>304912.03999999998</v>
      </c>
      <c r="E136" s="1448"/>
      <c r="F136" s="1903">
        <v>0.93559999999999999</v>
      </c>
      <c r="G136" s="1904"/>
      <c r="H136" s="905">
        <v>5.5060000000000002</v>
      </c>
      <c r="I136" s="173">
        <v>1740.45</v>
      </c>
      <c r="J136" s="173">
        <v>0</v>
      </c>
      <c r="K136" s="173">
        <v>1740.45</v>
      </c>
      <c r="L136" s="174">
        <f t="shared" si="49"/>
        <v>3480.9</v>
      </c>
      <c r="M136" s="1539">
        <f t="shared" ref="M136:M138" si="53">IF(ISERROR(L136/(F136*744)),0,L136/(F136*744))</f>
        <v>5.0006723303314073</v>
      </c>
      <c r="N136" s="1540"/>
    </row>
    <row r="137" spans="1:17" s="512" customFormat="1">
      <c r="A137" s="76" t="s">
        <v>349</v>
      </c>
      <c r="B137" s="1536">
        <f>Upland!N337</f>
        <v>0</v>
      </c>
      <c r="C137" s="1424"/>
      <c r="D137" s="1451">
        <f>F137*325900</f>
        <v>0</v>
      </c>
      <c r="E137" s="1448"/>
      <c r="F137" s="1447">
        <v>0</v>
      </c>
      <c r="G137" s="1448"/>
      <c r="H137" s="905">
        <v>0</v>
      </c>
      <c r="I137" s="173">
        <v>0</v>
      </c>
      <c r="J137" s="173">
        <v>0</v>
      </c>
      <c r="K137" s="173">
        <v>0</v>
      </c>
      <c r="L137" s="174">
        <f t="shared" si="49"/>
        <v>0</v>
      </c>
      <c r="M137" s="1539">
        <f t="shared" si="53"/>
        <v>0</v>
      </c>
      <c r="N137" s="1540"/>
    </row>
    <row r="138" spans="1:17" ht="14" thickBot="1">
      <c r="A138" s="76" t="s">
        <v>266</v>
      </c>
      <c r="B138" s="1536">
        <f>Upland!N338</f>
        <v>0</v>
      </c>
      <c r="C138" s="1424"/>
      <c r="D138" s="1543">
        <v>0</v>
      </c>
      <c r="E138" s="1544"/>
      <c r="F138" s="1616">
        <v>0</v>
      </c>
      <c r="G138" s="1583"/>
      <c r="H138" s="914">
        <v>0</v>
      </c>
      <c r="I138" s="151">
        <v>0</v>
      </c>
      <c r="J138" s="286">
        <v>0</v>
      </c>
      <c r="K138" s="220">
        <v>0</v>
      </c>
      <c r="L138" s="174">
        <f t="shared" si="49"/>
        <v>0</v>
      </c>
      <c r="M138" s="1539">
        <f t="shared" si="53"/>
        <v>0</v>
      </c>
      <c r="N138" s="1540"/>
    </row>
    <row r="139" spans="1:17" ht="14" thickBot="1">
      <c r="A139" s="53" t="s">
        <v>60</v>
      </c>
      <c r="B139" s="1452">
        <f>SUM(B126:C138)</f>
        <v>383</v>
      </c>
      <c r="C139" s="1452"/>
      <c r="D139" s="1441">
        <f>SUM(D126:E138)</f>
        <v>3400071.3549999995</v>
      </c>
      <c r="E139" s="1440"/>
      <c r="F139" s="1441">
        <f>SUM(F126:G138)</f>
        <v>10.432910000000003</v>
      </c>
      <c r="G139" s="1439"/>
      <c r="H139" s="911">
        <f>SUM(H126:H138)</f>
        <v>108.2441</v>
      </c>
      <c r="I139" s="859">
        <f>SUM(I126:I138)</f>
        <v>1740.45</v>
      </c>
      <c r="J139" s="859">
        <f t="shared" ref="J139:K139" si="54">SUM(J126:J138)</f>
        <v>3251.61</v>
      </c>
      <c r="K139" s="859">
        <f t="shared" si="54"/>
        <v>83092.45</v>
      </c>
      <c r="L139" s="859">
        <f t="shared" ref="L139" si="55">SUM(L126:L138)</f>
        <v>88084.50999999998</v>
      </c>
      <c r="M139" s="1852"/>
      <c r="N139" s="2016"/>
    </row>
    <row r="140" spans="1:17" s="1161" customFormat="1" ht="17" thickBot="1">
      <c r="A140" s="110" t="s">
        <v>194</v>
      </c>
      <c r="B140" s="1456"/>
      <c r="C140" s="1457"/>
      <c r="D140" s="1457"/>
      <c r="E140" s="1457"/>
      <c r="F140" s="1854"/>
      <c r="G140" s="1854"/>
      <c r="H140" s="1141"/>
      <c r="I140" s="162"/>
      <c r="J140" s="162"/>
      <c r="K140" s="162"/>
      <c r="L140" s="162"/>
      <c r="M140" s="1485"/>
      <c r="N140" s="1486"/>
    </row>
    <row r="141" spans="1:17">
      <c r="A141" s="257" t="s">
        <v>29</v>
      </c>
      <c r="B141" s="1563">
        <f>Upland!N342</f>
        <v>0</v>
      </c>
      <c r="C141" s="1424"/>
      <c r="D141" s="1536">
        <f t="shared" ref="D141:D148" si="56">F141*325900</f>
        <v>0</v>
      </c>
      <c r="E141" s="1424"/>
      <c r="F141" s="1423">
        <f>0.0246*B141</f>
        <v>0</v>
      </c>
      <c r="G141" s="1424"/>
      <c r="H141" s="903">
        <f>F141*20</f>
        <v>0</v>
      </c>
      <c r="I141" s="151">
        <v>0</v>
      </c>
      <c r="J141" s="150">
        <v>0</v>
      </c>
      <c r="K141" s="150">
        <v>0</v>
      </c>
      <c r="L141" s="174">
        <f t="shared" si="49"/>
        <v>0</v>
      </c>
      <c r="M141" s="1539">
        <f t="shared" ref="M141" si="57">IF(ISERROR(L141/(F141*744)),0,L141/(F141*744))</f>
        <v>0</v>
      </c>
      <c r="N141" s="1540"/>
      <c r="Q141" s="519"/>
    </row>
    <row r="142" spans="1:17">
      <c r="A142" s="257" t="s">
        <v>51</v>
      </c>
      <c r="B142" s="1563">
        <f>Upland!N343</f>
        <v>0</v>
      </c>
      <c r="C142" s="1424"/>
      <c r="D142" s="1536">
        <f t="shared" si="56"/>
        <v>0</v>
      </c>
      <c r="E142" s="1424"/>
      <c r="F142" s="1423">
        <f>0.1227*B142</f>
        <v>0</v>
      </c>
      <c r="G142" s="1424"/>
      <c r="H142" s="903">
        <f>F142*20</f>
        <v>0</v>
      </c>
      <c r="I142" s="151">
        <v>0</v>
      </c>
      <c r="J142" s="150">
        <v>0</v>
      </c>
      <c r="K142" s="150">
        <v>0</v>
      </c>
      <c r="L142" s="174">
        <f t="shared" si="49"/>
        <v>0</v>
      </c>
      <c r="M142" s="1539">
        <f t="shared" ref="M142:M152" si="58">IF(ISERROR(L142/(F142*744)),0,L142/(F142*744))</f>
        <v>0</v>
      </c>
      <c r="N142" s="1540"/>
    </row>
    <row r="143" spans="1:17">
      <c r="A143" s="257" t="s">
        <v>204</v>
      </c>
      <c r="B143" s="1563">
        <f>Upland!N344</f>
        <v>0</v>
      </c>
      <c r="C143" s="1424"/>
      <c r="D143" s="1536">
        <f>F143*325851</f>
        <v>0</v>
      </c>
      <c r="E143" s="1424"/>
      <c r="F143" s="1423">
        <f>B143*0.644</f>
        <v>0</v>
      </c>
      <c r="G143" s="1424"/>
      <c r="H143" s="903">
        <f>F143*5</f>
        <v>0</v>
      </c>
      <c r="I143" s="151">
        <v>0</v>
      </c>
      <c r="J143" s="150">
        <v>0</v>
      </c>
      <c r="K143" s="150">
        <v>0</v>
      </c>
      <c r="L143" s="174">
        <f t="shared" si="49"/>
        <v>0</v>
      </c>
      <c r="M143" s="1539">
        <f t="shared" si="58"/>
        <v>0</v>
      </c>
      <c r="N143" s="1540"/>
    </row>
    <row r="144" spans="1:17">
      <c r="A144" s="254" t="s">
        <v>30</v>
      </c>
      <c r="B144" s="1563">
        <f>Upland!N345</f>
        <v>10</v>
      </c>
      <c r="C144" s="1424"/>
      <c r="D144" s="1536">
        <f t="shared" si="56"/>
        <v>42041.1</v>
      </c>
      <c r="E144" s="1424"/>
      <c r="F144" s="2014">
        <f>0.0129*B144</f>
        <v>0.129</v>
      </c>
      <c r="G144" s="2015"/>
      <c r="H144" s="903">
        <f>F144*10</f>
        <v>1.29</v>
      </c>
      <c r="I144" s="151">
        <v>0</v>
      </c>
      <c r="J144" s="151">
        <v>2460</v>
      </c>
      <c r="K144" s="151">
        <v>5740</v>
      </c>
      <c r="L144" s="174">
        <f t="shared" si="49"/>
        <v>8200</v>
      </c>
      <c r="M144" s="1539">
        <f t="shared" si="58"/>
        <v>85.438026173209977</v>
      </c>
      <c r="N144" s="1540"/>
    </row>
    <row r="145" spans="1:14">
      <c r="A145" s="254" t="s">
        <v>56</v>
      </c>
      <c r="B145" s="1563">
        <f>Upland!N346</f>
        <v>0</v>
      </c>
      <c r="C145" s="1424"/>
      <c r="D145" s="1536">
        <f t="shared" si="56"/>
        <v>0</v>
      </c>
      <c r="E145" s="1424"/>
      <c r="F145" s="1423">
        <f>0.0044*B145</f>
        <v>0</v>
      </c>
      <c r="G145" s="1424"/>
      <c r="H145" s="903">
        <f>F145*5</f>
        <v>0</v>
      </c>
      <c r="I145" s="151">
        <v>0</v>
      </c>
      <c r="J145" s="150">
        <v>0</v>
      </c>
      <c r="K145" s="150">
        <v>0</v>
      </c>
      <c r="L145" s="174">
        <f t="shared" si="49"/>
        <v>0</v>
      </c>
      <c r="M145" s="1539">
        <f t="shared" si="58"/>
        <v>0</v>
      </c>
      <c r="N145" s="1540"/>
    </row>
    <row r="146" spans="1:14" ht="12.75" customHeight="1">
      <c r="A146" s="254" t="s">
        <v>122</v>
      </c>
      <c r="B146" s="1563">
        <f>Upland!N347</f>
        <v>0</v>
      </c>
      <c r="C146" s="1424"/>
      <c r="D146" s="1536">
        <f t="shared" si="56"/>
        <v>0</v>
      </c>
      <c r="E146" s="1424"/>
      <c r="F146" s="1423">
        <f>0.018*B146</f>
        <v>0</v>
      </c>
      <c r="G146" s="1424"/>
      <c r="H146" s="903">
        <f t="shared" ref="H146:H147" si="59">F146*10</f>
        <v>0</v>
      </c>
      <c r="I146" s="151">
        <v>0</v>
      </c>
      <c r="J146" s="150">
        <v>0</v>
      </c>
      <c r="K146" s="150">
        <v>0</v>
      </c>
      <c r="L146" s="174">
        <f t="shared" si="49"/>
        <v>0</v>
      </c>
      <c r="M146" s="1539">
        <f t="shared" si="58"/>
        <v>0</v>
      </c>
      <c r="N146" s="1540"/>
    </row>
    <row r="147" spans="1:14">
      <c r="A147" s="257" t="s">
        <v>184</v>
      </c>
      <c r="B147" s="1563">
        <f>Upland!N348</f>
        <v>0</v>
      </c>
      <c r="C147" s="1424"/>
      <c r="D147" s="1536">
        <f t="shared" si="56"/>
        <v>0</v>
      </c>
      <c r="E147" s="1424"/>
      <c r="F147" s="1423">
        <f>0.0129*B147</f>
        <v>0</v>
      </c>
      <c r="G147" s="1424"/>
      <c r="H147" s="903">
        <f t="shared" si="59"/>
        <v>0</v>
      </c>
      <c r="I147" s="151">
        <v>0</v>
      </c>
      <c r="J147" s="150">
        <v>0</v>
      </c>
      <c r="K147" s="150">
        <v>0</v>
      </c>
      <c r="L147" s="174">
        <f t="shared" si="49"/>
        <v>0</v>
      </c>
      <c r="M147" s="1539">
        <f t="shared" si="58"/>
        <v>0</v>
      </c>
      <c r="N147" s="1540"/>
    </row>
    <row r="148" spans="1:14" s="520" customFormat="1">
      <c r="A148" s="258" t="s">
        <v>187</v>
      </c>
      <c r="B148" s="1563">
        <f>Upland!N349</f>
        <v>0</v>
      </c>
      <c r="C148" s="1424"/>
      <c r="D148" s="1578">
        <f t="shared" si="56"/>
        <v>0</v>
      </c>
      <c r="E148" s="1579"/>
      <c r="F148" s="1423">
        <v>0</v>
      </c>
      <c r="G148" s="1424"/>
      <c r="H148" s="903">
        <f>F148*5</f>
        <v>0</v>
      </c>
      <c r="I148" s="151">
        <v>0</v>
      </c>
      <c r="J148" s="151">
        <v>0</v>
      </c>
      <c r="K148" s="151">
        <v>0</v>
      </c>
      <c r="L148" s="174">
        <f t="shared" si="49"/>
        <v>0</v>
      </c>
      <c r="M148" s="1539">
        <f t="shared" si="58"/>
        <v>0</v>
      </c>
      <c r="N148" s="1540"/>
    </row>
    <row r="149" spans="1:14" s="520" customFormat="1">
      <c r="A149" s="258" t="s">
        <v>188</v>
      </c>
      <c r="B149" s="1563">
        <f>Upland!N350</f>
        <v>0</v>
      </c>
      <c r="C149" s="1424"/>
      <c r="D149" s="1578">
        <f>F149*325900</f>
        <v>0</v>
      </c>
      <c r="E149" s="1579"/>
      <c r="F149" s="1868">
        <f>0.154*B149</f>
        <v>0</v>
      </c>
      <c r="G149" s="1579"/>
      <c r="H149" s="903">
        <f t="shared" ref="H149:H151" si="60">F149*10</f>
        <v>0</v>
      </c>
      <c r="I149" s="151">
        <v>0</v>
      </c>
      <c r="J149" s="151">
        <v>0</v>
      </c>
      <c r="K149" s="151">
        <v>0</v>
      </c>
      <c r="L149" s="174">
        <f t="shared" si="49"/>
        <v>0</v>
      </c>
      <c r="M149" s="1539">
        <f t="shared" si="58"/>
        <v>0</v>
      </c>
      <c r="N149" s="1540"/>
    </row>
    <row r="150" spans="1:14" s="520" customFormat="1">
      <c r="A150" s="258" t="s">
        <v>323</v>
      </c>
      <c r="B150" s="1563">
        <f>Upland!N351</f>
        <v>0</v>
      </c>
      <c r="C150" s="1424"/>
      <c r="D150" s="1578">
        <f>F150*325900</f>
        <v>0</v>
      </c>
      <c r="E150" s="1579"/>
      <c r="F150" s="1447">
        <v>0</v>
      </c>
      <c r="G150" s="1448"/>
      <c r="H150" s="905">
        <f t="shared" si="60"/>
        <v>0</v>
      </c>
      <c r="I150" s="151">
        <v>0</v>
      </c>
      <c r="J150" s="173">
        <v>0</v>
      </c>
      <c r="K150" s="173">
        <v>0</v>
      </c>
      <c r="L150" s="174">
        <f t="shared" si="49"/>
        <v>0</v>
      </c>
      <c r="M150" s="1539">
        <f t="shared" si="58"/>
        <v>0</v>
      </c>
      <c r="N150" s="1540"/>
    </row>
    <row r="151" spans="1:14" s="520" customFormat="1">
      <c r="A151" s="258" t="s">
        <v>269</v>
      </c>
      <c r="B151" s="1563">
        <f>Upland!N352</f>
        <v>0</v>
      </c>
      <c r="C151" s="1424"/>
      <c r="D151" s="1578">
        <f>G151*325900</f>
        <v>0</v>
      </c>
      <c r="E151" s="1579"/>
      <c r="F151" s="1868">
        <f>0.0129*B151</f>
        <v>0</v>
      </c>
      <c r="G151" s="1579"/>
      <c r="H151" s="903">
        <f t="shared" si="60"/>
        <v>0</v>
      </c>
      <c r="I151" s="151">
        <v>0</v>
      </c>
      <c r="J151" s="151">
        <v>0</v>
      </c>
      <c r="K151" s="151">
        <v>0</v>
      </c>
      <c r="L151" s="174">
        <f t="shared" si="49"/>
        <v>0</v>
      </c>
      <c r="M151" s="1539">
        <f t="shared" si="58"/>
        <v>0</v>
      </c>
      <c r="N151" s="1540"/>
    </row>
    <row r="152" spans="1:14" s="520" customFormat="1" ht="14" thickBot="1">
      <c r="A152" s="258" t="s">
        <v>268</v>
      </c>
      <c r="B152" s="1563">
        <f>Upland!N353</f>
        <v>0</v>
      </c>
      <c r="C152" s="1424"/>
      <c r="D152" s="1578">
        <f>F152*325900</f>
        <v>0</v>
      </c>
      <c r="E152" s="1579"/>
      <c r="F152" s="1868">
        <f>(B152*0.0084)/2</f>
        <v>0</v>
      </c>
      <c r="G152" s="1579"/>
      <c r="H152" s="903">
        <f>F152*10</f>
        <v>0</v>
      </c>
      <c r="I152" s="151">
        <v>0</v>
      </c>
      <c r="J152" s="151">
        <v>0</v>
      </c>
      <c r="K152" s="151">
        <v>0</v>
      </c>
      <c r="L152" s="174">
        <f t="shared" si="49"/>
        <v>0</v>
      </c>
      <c r="M152" s="1539">
        <f t="shared" si="58"/>
        <v>0</v>
      </c>
      <c r="N152" s="1540"/>
    </row>
    <row r="153" spans="1:14" s="1161" customFormat="1" ht="17" thickBot="1">
      <c r="A153" s="110" t="s">
        <v>192</v>
      </c>
      <c r="B153" s="1456"/>
      <c r="C153" s="1457"/>
      <c r="D153" s="1457"/>
      <c r="E153" s="1457"/>
      <c r="F153" s="1854"/>
      <c r="G153" s="1854"/>
      <c r="H153" s="1141"/>
      <c r="I153" s="162"/>
      <c r="J153" s="162"/>
      <c r="K153" s="162"/>
      <c r="L153" s="162"/>
      <c r="M153" s="1485"/>
      <c r="N153" s="1486"/>
    </row>
    <row r="154" spans="1:14" ht="14" thickBot="1">
      <c r="A154" s="76" t="s">
        <v>165</v>
      </c>
      <c r="B154" s="1563">
        <v>0</v>
      </c>
      <c r="C154" s="1424"/>
      <c r="D154" s="1543">
        <f>F154*325900</f>
        <v>0</v>
      </c>
      <c r="E154" s="1544"/>
      <c r="F154" s="1545">
        <f>0.004*B154</f>
        <v>0</v>
      </c>
      <c r="G154" s="1546"/>
      <c r="H154" s="903">
        <f>F154*5</f>
        <v>0</v>
      </c>
      <c r="I154" s="215">
        <v>0</v>
      </c>
      <c r="J154" s="140">
        <v>0</v>
      </c>
      <c r="K154" s="140">
        <f>(B154*2)</f>
        <v>0</v>
      </c>
      <c r="L154" s="174">
        <f t="shared" si="49"/>
        <v>0</v>
      </c>
      <c r="M154" s="1539">
        <f t="shared" ref="M154" si="61">IF(ISERROR(L154/(F154*744)),0,L154/(F154*744))</f>
        <v>0</v>
      </c>
      <c r="N154" s="1540"/>
    </row>
    <row r="155" spans="1:14" ht="14" thickBot="1">
      <c r="A155" s="53" t="s">
        <v>60</v>
      </c>
      <c r="B155" s="1438">
        <f>SUM(B141:B154)</f>
        <v>10</v>
      </c>
      <c r="C155" s="1439"/>
      <c r="D155" s="1441">
        <f>SUM(D141:E154)</f>
        <v>42041.1</v>
      </c>
      <c r="E155" s="1439"/>
      <c r="F155" s="1441">
        <f>SUM(F141:G154)</f>
        <v>0.129</v>
      </c>
      <c r="G155" s="1439"/>
      <c r="H155" s="907">
        <f>SUM(H141:H154)</f>
        <v>1.29</v>
      </c>
      <c r="I155" s="146">
        <f>SUM(I141:I154)</f>
        <v>0</v>
      </c>
      <c r="J155" s="146">
        <f>SUM(J141:J154)</f>
        <v>2460</v>
      </c>
      <c r="K155" s="146">
        <f>SUM(K141:K154)</f>
        <v>5740</v>
      </c>
      <c r="L155" s="146">
        <f>SUM(L141:L154)</f>
        <v>8200</v>
      </c>
      <c r="M155" s="1610"/>
      <c r="N155" s="1636"/>
    </row>
    <row r="156" spans="1:14" s="1161" customFormat="1" ht="17" thickBot="1">
      <c r="A156" s="1163" t="s">
        <v>17</v>
      </c>
      <c r="B156" s="1414">
        <f>SUM(,B139,B155)</f>
        <v>393</v>
      </c>
      <c r="C156" s="1415"/>
      <c r="D156" s="1416">
        <f>SUM(,D139,D155)</f>
        <v>3442112.4549999996</v>
      </c>
      <c r="E156" s="1415"/>
      <c r="F156" s="1416">
        <f>SUM(,F139,F155)</f>
        <v>10.561910000000003</v>
      </c>
      <c r="G156" s="1415"/>
      <c r="H156" s="1164">
        <f>SUM(H139,H155)</f>
        <v>109.53410000000001</v>
      </c>
      <c r="I156" s="1165">
        <f>SUM(,I139,I155)</f>
        <v>1740.45</v>
      </c>
      <c r="J156" s="1165">
        <f>SUM(,J139,J155)</f>
        <v>5711.6100000000006</v>
      </c>
      <c r="K156" s="1165">
        <f>SUM(,K139,K155)</f>
        <v>88832.45</v>
      </c>
      <c r="L156" s="1165">
        <f>SUM(,L139,L155)</f>
        <v>96284.50999999998</v>
      </c>
      <c r="M156" s="1631"/>
      <c r="N156" s="1632"/>
    </row>
    <row r="157" spans="1:14">
      <c r="A157" s="50"/>
      <c r="B157" s="770"/>
      <c r="C157" s="770"/>
      <c r="D157" s="770"/>
      <c r="E157" s="770"/>
      <c r="F157" s="51"/>
      <c r="G157" s="51"/>
      <c r="H157" s="770"/>
      <c r="I157" s="21"/>
      <c r="J157" s="21"/>
      <c r="K157" s="21"/>
      <c r="L157" s="21"/>
      <c r="M157" s="759"/>
      <c r="N157" s="759"/>
    </row>
    <row r="158" spans="1:14" ht="15">
      <c r="A158" s="9" t="s">
        <v>18</v>
      </c>
      <c r="B158" s="1566" t="s">
        <v>59</v>
      </c>
      <c r="C158" s="1566"/>
      <c r="D158" s="1566"/>
      <c r="E158" s="1566"/>
      <c r="F158" s="51"/>
      <c r="G158" s="51"/>
      <c r="H158" s="770"/>
      <c r="I158" s="21"/>
      <c r="J158" s="21"/>
      <c r="K158" s="21"/>
      <c r="L158" s="21"/>
      <c r="M158" s="759"/>
      <c r="N158" s="759"/>
    </row>
    <row r="159" spans="1:14">
      <c r="B159" s="1559" t="s">
        <v>19</v>
      </c>
      <c r="C159" s="1559"/>
      <c r="D159" s="1559"/>
      <c r="E159" s="1559"/>
      <c r="F159" s="51"/>
      <c r="G159" s="51"/>
      <c r="H159" s="770"/>
      <c r="I159" s="21"/>
      <c r="J159" s="21"/>
      <c r="K159" s="21"/>
      <c r="L159" s="21"/>
      <c r="M159" s="759"/>
      <c r="N159" s="759"/>
    </row>
    <row r="160" spans="1:14" ht="14" thickBot="1">
      <c r="B160" s="759"/>
      <c r="C160" s="759"/>
      <c r="D160" s="759"/>
      <c r="E160" s="759"/>
      <c r="F160" s="51"/>
      <c r="G160" s="51"/>
      <c r="H160" s="770"/>
      <c r="I160" s="21"/>
      <c r="J160" s="21"/>
      <c r="K160" s="21"/>
      <c r="L160" s="21"/>
      <c r="M160" s="759"/>
      <c r="N160" s="759"/>
    </row>
    <row r="161" spans="1:14" s="646" customFormat="1" ht="16">
      <c r="A161" s="98"/>
      <c r="B161" s="99"/>
      <c r="C161" s="99"/>
      <c r="D161" s="99"/>
      <c r="E161" s="99"/>
      <c r="F161" s="100"/>
      <c r="G161" s="100"/>
      <c r="H161" s="736"/>
      <c r="I161" s="1468" t="s">
        <v>0</v>
      </c>
      <c r="J161" s="1468"/>
      <c r="K161" s="1468"/>
      <c r="L161" s="1468"/>
      <c r="M161" s="99"/>
      <c r="N161" s="101"/>
    </row>
    <row r="162" spans="1:14" ht="16">
      <c r="A162" s="97"/>
      <c r="B162" s="1469" t="s">
        <v>1</v>
      </c>
      <c r="C162" s="1469"/>
      <c r="D162" s="1469" t="s">
        <v>2</v>
      </c>
      <c r="E162" s="1469"/>
      <c r="F162" s="1863" t="s">
        <v>3</v>
      </c>
      <c r="G162" s="1863"/>
      <c r="H162" s="873" t="s">
        <v>3</v>
      </c>
      <c r="I162" s="127" t="s">
        <v>195</v>
      </c>
      <c r="J162" s="102"/>
      <c r="K162" s="102"/>
      <c r="L162" s="128"/>
      <c r="M162" s="1525" t="s">
        <v>4</v>
      </c>
      <c r="N162" s="1526"/>
    </row>
    <row r="163" spans="1:14" ht="19" thickBot="1">
      <c r="A163" s="103" t="s">
        <v>5</v>
      </c>
      <c r="B163" s="1473" t="s">
        <v>6</v>
      </c>
      <c r="C163" s="1473"/>
      <c r="D163" s="1473" t="s">
        <v>7</v>
      </c>
      <c r="E163" s="1473"/>
      <c r="F163" s="1864" t="s">
        <v>7</v>
      </c>
      <c r="G163" s="1864"/>
      <c r="H163" s="874" t="s">
        <v>58</v>
      </c>
      <c r="I163" s="868" t="s">
        <v>196</v>
      </c>
      <c r="J163" s="867" t="s">
        <v>8</v>
      </c>
      <c r="K163" s="867" t="s">
        <v>9</v>
      </c>
      <c r="L163" s="401" t="s">
        <v>10</v>
      </c>
      <c r="M163" s="1527" t="s">
        <v>145</v>
      </c>
      <c r="N163" s="1475"/>
    </row>
    <row r="164" spans="1:14" ht="24" thickBot="1">
      <c r="A164" s="88" t="s">
        <v>265</v>
      </c>
      <c r="B164" s="2020"/>
      <c r="C164" s="2021"/>
      <c r="D164" s="2022"/>
      <c r="E164" s="2023"/>
      <c r="F164" s="2024"/>
      <c r="G164" s="2025"/>
      <c r="H164" s="875"/>
      <c r="I164" s="213"/>
      <c r="J164" s="213"/>
      <c r="K164" s="213"/>
      <c r="L164" s="214"/>
      <c r="M164" s="1482"/>
      <c r="N164" s="1483"/>
    </row>
    <row r="165" spans="1:14" s="1161" customFormat="1" ht="17" thickBot="1">
      <c r="A165" s="108" t="s">
        <v>189</v>
      </c>
      <c r="B165" s="1647"/>
      <c r="C165" s="1648"/>
      <c r="D165" s="2026"/>
      <c r="E165" s="1648"/>
      <c r="F165" s="2027"/>
      <c r="G165" s="2028"/>
      <c r="H165" s="1159"/>
      <c r="I165" s="1210"/>
      <c r="J165" s="1210"/>
      <c r="K165" s="1210"/>
      <c r="L165" s="1160"/>
      <c r="M165" s="2029"/>
      <c r="N165" s="2030"/>
    </row>
    <row r="166" spans="1:14">
      <c r="A166" s="257" t="s">
        <v>29</v>
      </c>
      <c r="B166" s="1594">
        <f>Upland!N292</f>
        <v>197</v>
      </c>
      <c r="C166" s="1595"/>
      <c r="D166" s="1596">
        <f t="shared" ref="D166:D172" si="62">F166*325900</f>
        <v>2728597.75</v>
      </c>
      <c r="E166" s="1595"/>
      <c r="F166" s="2018">
        <f>0.0425*B166</f>
        <v>8.3725000000000005</v>
      </c>
      <c r="G166" s="1595"/>
      <c r="H166" s="870">
        <f>F166*20</f>
        <v>167.45000000000002</v>
      </c>
      <c r="I166" s="310">
        <v>0</v>
      </c>
      <c r="J166" s="311">
        <v>4157.47</v>
      </c>
      <c r="K166" s="311">
        <v>19127.55</v>
      </c>
      <c r="L166" s="311">
        <f t="shared" ref="L166:L172" si="63">I166+J166+K166</f>
        <v>23285.02</v>
      </c>
      <c r="M166" s="1988">
        <f t="shared" ref="M166:M172" si="64">IF(ISERROR(L166/(F166*721)),0,L166/(F166*721))</f>
        <v>3.8573246656111557</v>
      </c>
      <c r="N166" s="1600"/>
    </row>
    <row r="167" spans="1:14">
      <c r="A167" s="257" t="s">
        <v>33</v>
      </c>
      <c r="B167" s="1563">
        <f>Upland!N293</f>
        <v>71</v>
      </c>
      <c r="C167" s="1424"/>
      <c r="D167" s="1536">
        <f t="shared" si="62"/>
        <v>798292.05</v>
      </c>
      <c r="E167" s="1424"/>
      <c r="F167" s="1423">
        <f>B167*0.0345</f>
        <v>2.4495</v>
      </c>
      <c r="G167" s="1424"/>
      <c r="H167" s="865">
        <f>F167*15</f>
        <v>36.7425</v>
      </c>
      <c r="I167" s="150">
        <f>0*B167</f>
        <v>0</v>
      </c>
      <c r="J167" s="150">
        <v>1820</v>
      </c>
      <c r="K167" s="150">
        <v>5950</v>
      </c>
      <c r="L167" s="150">
        <f t="shared" si="63"/>
        <v>7770</v>
      </c>
      <c r="M167" s="1634">
        <f t="shared" si="64"/>
        <v>4.3995505324050681</v>
      </c>
      <c r="N167" s="1540"/>
    </row>
    <row r="168" spans="1:14">
      <c r="A168" s="257" t="s">
        <v>56</v>
      </c>
      <c r="B168" s="1563">
        <f>Upland!N294</f>
        <v>86</v>
      </c>
      <c r="C168" s="1424"/>
      <c r="D168" s="1536">
        <f t="shared" si="62"/>
        <v>123320.56</v>
      </c>
      <c r="E168" s="1424"/>
      <c r="F168" s="1423">
        <f>0.0044*B168</f>
        <v>0.37840000000000001</v>
      </c>
      <c r="G168" s="1424"/>
      <c r="H168" s="865">
        <f>F168*5</f>
        <v>1.8920000000000001</v>
      </c>
      <c r="I168" s="150">
        <f>0*B168</f>
        <v>0</v>
      </c>
      <c r="J168" s="150">
        <v>0</v>
      </c>
      <c r="K168" s="150">
        <f>B168*4</f>
        <v>344</v>
      </c>
      <c r="L168" s="150">
        <f t="shared" si="63"/>
        <v>344</v>
      </c>
      <c r="M168" s="1634">
        <f t="shared" si="64"/>
        <v>1.2608750472828141</v>
      </c>
      <c r="N168" s="1540"/>
    </row>
    <row r="169" spans="1:14">
      <c r="A169" s="257" t="s">
        <v>52</v>
      </c>
      <c r="B169" s="1563">
        <f>Upland!N295</f>
        <v>21</v>
      </c>
      <c r="C169" s="1424"/>
      <c r="D169" s="1536">
        <f t="shared" si="62"/>
        <v>2224267.5</v>
      </c>
      <c r="E169" s="1424"/>
      <c r="F169" s="1447">
        <f>0.325*B169</f>
        <v>6.8250000000000002</v>
      </c>
      <c r="G169" s="1448"/>
      <c r="H169" s="866">
        <f>F169*10</f>
        <v>68.25</v>
      </c>
      <c r="I169" s="151">
        <v>0</v>
      </c>
      <c r="J169" s="173">
        <v>720</v>
      </c>
      <c r="K169" s="173">
        <v>1520.62</v>
      </c>
      <c r="L169" s="173">
        <f t="shared" si="63"/>
        <v>2240.62</v>
      </c>
      <c r="M169" s="1634">
        <f t="shared" si="64"/>
        <v>0.45533421733144341</v>
      </c>
      <c r="N169" s="1540"/>
    </row>
    <row r="170" spans="1:14" ht="12.75" customHeight="1">
      <c r="A170" s="254" t="s">
        <v>289</v>
      </c>
      <c r="B170" s="1563">
        <f>Upland!N296</f>
        <v>108</v>
      </c>
      <c r="C170" s="1424"/>
      <c r="D170" s="1536">
        <f t="shared" si="62"/>
        <v>10437195.183999998</v>
      </c>
      <c r="E170" s="1424"/>
      <c r="F170" s="1447">
        <f>(246352*0.00013)</f>
        <v>32.025759999999998</v>
      </c>
      <c r="G170" s="1448"/>
      <c r="H170" s="866">
        <f>F170*10</f>
        <v>320.25759999999997</v>
      </c>
      <c r="I170" s="151">
        <v>0</v>
      </c>
      <c r="J170" s="173">
        <v>0</v>
      </c>
      <c r="K170" s="173">
        <v>464746</v>
      </c>
      <c r="L170" s="173">
        <f t="shared" si="63"/>
        <v>464746</v>
      </c>
      <c r="M170" s="1634">
        <f t="shared" si="64"/>
        <v>20.127088262603252</v>
      </c>
      <c r="N170" s="1540"/>
    </row>
    <row r="171" spans="1:14" ht="12.75" customHeight="1">
      <c r="A171" s="254" t="s">
        <v>214</v>
      </c>
      <c r="B171" s="1563">
        <f>Upland!N297</f>
        <v>97</v>
      </c>
      <c r="C171" s="1424"/>
      <c r="D171" s="1536">
        <f t="shared" si="62"/>
        <v>60063.369999999995</v>
      </c>
      <c r="E171" s="1424"/>
      <c r="F171" s="1903">
        <f>0.0019*B171</f>
        <v>0.18429999999999999</v>
      </c>
      <c r="G171" s="1904"/>
      <c r="H171" s="866">
        <f>F171*5</f>
        <v>0.92149999999999999</v>
      </c>
      <c r="I171" s="151">
        <v>0</v>
      </c>
      <c r="J171" s="173">
        <f>0*B171</f>
        <v>0</v>
      </c>
      <c r="K171" s="173">
        <v>7127.41</v>
      </c>
      <c r="L171" s="173">
        <f t="shared" si="63"/>
        <v>7127.41</v>
      </c>
      <c r="M171" s="1634">
        <f t="shared" si="64"/>
        <v>53.637822912801973</v>
      </c>
      <c r="N171" s="1540"/>
    </row>
    <row r="172" spans="1:14" ht="12.75" customHeight="1" thickBot="1">
      <c r="A172" s="561" t="s">
        <v>269</v>
      </c>
      <c r="B172" s="1560">
        <f>Upland!N298</f>
        <v>1</v>
      </c>
      <c r="C172" s="1544"/>
      <c r="D172" s="1570">
        <f t="shared" si="62"/>
        <v>13492.26</v>
      </c>
      <c r="E172" s="1544"/>
      <c r="F172" s="2019">
        <f>0.0414*B172</f>
        <v>4.1399999999999999E-2</v>
      </c>
      <c r="G172" s="1908"/>
      <c r="H172" s="872">
        <f>F172*10</f>
        <v>0.41399999999999998</v>
      </c>
      <c r="I172" s="219">
        <v>0</v>
      </c>
      <c r="J172" s="885">
        <f>0*B172</f>
        <v>0</v>
      </c>
      <c r="K172" s="885">
        <v>80</v>
      </c>
      <c r="L172" s="885">
        <f t="shared" si="63"/>
        <v>80</v>
      </c>
      <c r="M172" s="1638">
        <f t="shared" si="64"/>
        <v>2.6801208734513926</v>
      </c>
      <c r="N172" s="1562"/>
    </row>
    <row r="173" spans="1:14" s="1161" customFormat="1" ht="17" thickBot="1">
      <c r="A173" s="110" t="s">
        <v>190</v>
      </c>
      <c r="B173" s="1456"/>
      <c r="C173" s="1586"/>
      <c r="D173" s="1457"/>
      <c r="E173" s="1586"/>
      <c r="F173" s="1619"/>
      <c r="G173" s="1620"/>
      <c r="H173" s="1142"/>
      <c r="I173" s="1233"/>
      <c r="J173" s="1233"/>
      <c r="K173" s="1233"/>
      <c r="L173" s="1233"/>
      <c r="M173" s="1485"/>
      <c r="N173" s="1486"/>
    </row>
    <row r="174" spans="1:14">
      <c r="A174" s="254" t="s">
        <v>205</v>
      </c>
      <c r="B174" s="1563">
        <f>Upland!N300</f>
        <v>300</v>
      </c>
      <c r="C174" s="1424"/>
      <c r="D174" s="1536">
        <f>F174*325900</f>
        <v>430188</v>
      </c>
      <c r="E174" s="1424"/>
      <c r="F174" s="1447">
        <f>B174*0.0044</f>
        <v>1.32</v>
      </c>
      <c r="G174" s="1448"/>
      <c r="H174" s="594">
        <f>F174*5</f>
        <v>6.6000000000000005</v>
      </c>
      <c r="I174" s="151">
        <v>0</v>
      </c>
      <c r="J174" s="173">
        <f>(B174*1.6)</f>
        <v>480</v>
      </c>
      <c r="K174" s="173">
        <f>(B174*2)</f>
        <v>600</v>
      </c>
      <c r="L174" s="173">
        <f>I174+J174+K174</f>
        <v>1080</v>
      </c>
      <c r="M174" s="1634">
        <f>IF(ISERROR(L174/(F174*721)),0,L174/(F174*721))</f>
        <v>1.1347875425545328</v>
      </c>
      <c r="N174" s="1540"/>
    </row>
    <row r="175" spans="1:14" s="512" customFormat="1">
      <c r="A175" s="254" t="s">
        <v>305</v>
      </c>
      <c r="B175" s="1644">
        <f>Upland!N301</f>
        <v>52</v>
      </c>
      <c r="C175" s="1448"/>
      <c r="D175" s="1451">
        <f>F175*325900</f>
        <v>9764159.5399999991</v>
      </c>
      <c r="E175" s="1448"/>
      <c r="F175" s="1447">
        <v>29.960599999999999</v>
      </c>
      <c r="G175" s="1448"/>
      <c r="H175" s="594">
        <v>278.178</v>
      </c>
      <c r="I175" s="173">
        <v>24225.45</v>
      </c>
      <c r="J175" s="173">
        <v>0</v>
      </c>
      <c r="K175" s="173">
        <v>24225.45</v>
      </c>
      <c r="L175" s="173">
        <f>I175+J175+K175</f>
        <v>48450.9</v>
      </c>
      <c r="M175" s="1634">
        <f>IF(ISERROR(L175/(F175*721)),0,L175/(F175*721))</f>
        <v>2.2429318475342415</v>
      </c>
      <c r="N175" s="1540"/>
    </row>
    <row r="176" spans="1:14">
      <c r="A176" s="254" t="s">
        <v>290</v>
      </c>
      <c r="B176" s="1563">
        <f>Upland!N302</f>
        <v>7</v>
      </c>
      <c r="C176" s="1424"/>
      <c r="D176" s="1451">
        <f>F176*325900</f>
        <v>281740.55</v>
      </c>
      <c r="E176" s="1448"/>
      <c r="F176" s="1447">
        <f>(6650*0.00013)</f>
        <v>0.86449999999999994</v>
      </c>
      <c r="G176" s="1448"/>
      <c r="H176" s="594">
        <f>F176*10</f>
        <v>8.6449999999999996</v>
      </c>
      <c r="I176" s="173">
        <v>1995</v>
      </c>
      <c r="J176" s="173">
        <v>19914.5</v>
      </c>
      <c r="K176" s="173">
        <v>0</v>
      </c>
      <c r="L176" s="173">
        <f>I176+J176+K176</f>
        <v>21909.5</v>
      </c>
      <c r="M176" s="1634">
        <f>IF(ISERROR(L176/(F176*721)),0,L176/(F176*721))</f>
        <v>35.150556429481902</v>
      </c>
      <c r="N176" s="1540"/>
    </row>
    <row r="177" spans="1:17" ht="14" thickBot="1">
      <c r="A177" s="254" t="s">
        <v>266</v>
      </c>
      <c r="B177" s="1563">
        <f>Upland!N303</f>
        <v>0</v>
      </c>
      <c r="C177" s="1424"/>
      <c r="D177" s="1543">
        <v>0</v>
      </c>
      <c r="E177" s="1544"/>
      <c r="F177" s="1616">
        <v>0</v>
      </c>
      <c r="G177" s="1583"/>
      <c r="H177" s="588">
        <v>0</v>
      </c>
      <c r="I177" s="151">
        <v>0</v>
      </c>
      <c r="J177" s="286">
        <v>0</v>
      </c>
      <c r="K177" s="220">
        <v>0</v>
      </c>
      <c r="L177" s="151">
        <f>J177+K177</f>
        <v>0</v>
      </c>
      <c r="M177" s="1634">
        <f>IF(ISERROR(L177/(F177*721)),0,L177/(F177*721))</f>
        <v>0</v>
      </c>
      <c r="N177" s="1540"/>
    </row>
    <row r="178" spans="1:17" ht="14" thickBot="1">
      <c r="A178" s="256" t="s">
        <v>60</v>
      </c>
      <c r="B178" s="1438">
        <f>SUM(B166:B177)</f>
        <v>940</v>
      </c>
      <c r="C178" s="1439"/>
      <c r="D178" s="1440">
        <f>SUM(D166:E177)</f>
        <v>26861316.763999995</v>
      </c>
      <c r="E178" s="1730"/>
      <c r="F178" s="1438">
        <f>SUM(F166:G177)</f>
        <v>82.421959999999999</v>
      </c>
      <c r="G178" s="1439"/>
      <c r="H178" s="586">
        <f>SUM(H166:H177)</f>
        <v>889.3506000000001</v>
      </c>
      <c r="I178" s="146">
        <f>SUM(I166:I177)</f>
        <v>26220.45</v>
      </c>
      <c r="J178" s="146">
        <f>SUM(J166:J177)</f>
        <v>27091.97</v>
      </c>
      <c r="K178" s="146">
        <f>SUM(K166:K177)</f>
        <v>523721.02999999997</v>
      </c>
      <c r="L178" s="160">
        <f>SUM(L166:L177)</f>
        <v>577033.44999999995</v>
      </c>
      <c r="M178" s="1607"/>
      <c r="N178" s="2017"/>
    </row>
    <row r="179" spans="1:17" s="1161" customFormat="1" ht="17" thickBot="1">
      <c r="A179" s="108" t="s">
        <v>194</v>
      </c>
      <c r="B179" s="1456"/>
      <c r="C179" s="1586"/>
      <c r="D179" s="1457"/>
      <c r="E179" s="1586"/>
      <c r="F179" s="1619"/>
      <c r="G179" s="1620"/>
      <c r="H179" s="1142"/>
      <c r="I179" s="161"/>
      <c r="J179" s="161"/>
      <c r="K179" s="161"/>
      <c r="L179" s="161"/>
      <c r="M179" s="1485"/>
      <c r="N179" s="1486"/>
    </row>
    <row r="180" spans="1:17">
      <c r="A180" s="257" t="s">
        <v>29</v>
      </c>
      <c r="B180" s="1594">
        <f>Upland!N307</f>
        <v>545</v>
      </c>
      <c r="C180" s="1595"/>
      <c r="D180" s="1596">
        <f t="shared" ref="D180:D187" si="65">F180*325900</f>
        <v>7548658.75</v>
      </c>
      <c r="E180" s="1595"/>
      <c r="F180" s="2018">
        <f>0.0425*B180</f>
        <v>23.162500000000001</v>
      </c>
      <c r="G180" s="1595"/>
      <c r="H180" s="587">
        <f>F180*20</f>
        <v>463.25</v>
      </c>
      <c r="I180" s="151">
        <v>0</v>
      </c>
      <c r="J180" s="150">
        <v>24035</v>
      </c>
      <c r="K180" s="150">
        <v>73539</v>
      </c>
      <c r="L180" s="150">
        <f t="shared" ref="L180:L191" si="66">SUM(I180:K180)</f>
        <v>97574</v>
      </c>
      <c r="M180" s="1634">
        <f>IF(ISERROR(L180/(F180*721)),0,L180/(F180*721))</f>
        <v>5.8426976384211819</v>
      </c>
      <c r="N180" s="1540"/>
      <c r="Q180" s="519"/>
    </row>
    <row r="181" spans="1:17">
      <c r="A181" s="257" t="s">
        <v>51</v>
      </c>
      <c r="B181" s="1563">
        <f>Upland!N308</f>
        <v>0</v>
      </c>
      <c r="C181" s="1424"/>
      <c r="D181" s="1536">
        <f t="shared" si="65"/>
        <v>0</v>
      </c>
      <c r="E181" s="1424"/>
      <c r="F181" s="1423">
        <f>0.1227*B181</f>
        <v>0</v>
      </c>
      <c r="G181" s="1424"/>
      <c r="H181" s="587">
        <f>F181*20</f>
        <v>0</v>
      </c>
      <c r="I181" s="151">
        <v>0</v>
      </c>
      <c r="J181" s="150">
        <v>0</v>
      </c>
      <c r="K181" s="150">
        <v>0</v>
      </c>
      <c r="L181" s="172">
        <f t="shared" si="66"/>
        <v>0</v>
      </c>
      <c r="M181" s="1539">
        <f>IF(ISERROR(L181/(F181*721)),0,L181/(F181*721))</f>
        <v>0</v>
      </c>
      <c r="N181" s="1540"/>
    </row>
    <row r="182" spans="1:17">
      <c r="A182" s="257" t="s">
        <v>204</v>
      </c>
      <c r="B182" s="1563">
        <f>Upland!N309</f>
        <v>0</v>
      </c>
      <c r="C182" s="1424"/>
      <c r="D182" s="1536">
        <f t="shared" si="65"/>
        <v>0</v>
      </c>
      <c r="E182" s="1424"/>
      <c r="F182" s="1423">
        <f>0.644*B182</f>
        <v>0</v>
      </c>
      <c r="G182" s="1424"/>
      <c r="H182" s="587">
        <f>F182*5</f>
        <v>0</v>
      </c>
      <c r="I182" s="151">
        <v>0</v>
      </c>
      <c r="J182" s="150">
        <v>0</v>
      </c>
      <c r="K182" s="150">
        <v>0</v>
      </c>
      <c r="L182" s="172">
        <f t="shared" si="66"/>
        <v>0</v>
      </c>
      <c r="M182" s="1539">
        <f t="shared" ref="M182:M191" si="67">IF(ISERROR(L182/(F182*721)),0,L182/(F182*721))</f>
        <v>0</v>
      </c>
      <c r="N182" s="1540"/>
    </row>
    <row r="183" spans="1:17">
      <c r="A183" s="254" t="s">
        <v>30</v>
      </c>
      <c r="B183" s="1563">
        <f>Upland!N310</f>
        <v>2</v>
      </c>
      <c r="C183" s="1424"/>
      <c r="D183" s="1536">
        <f t="shared" si="65"/>
        <v>211835</v>
      </c>
      <c r="E183" s="1424"/>
      <c r="F183" s="1423">
        <f>0.325*B183</f>
        <v>0.65</v>
      </c>
      <c r="G183" s="1424"/>
      <c r="H183" s="587">
        <f>F183*10</f>
        <v>6.5</v>
      </c>
      <c r="I183" s="151">
        <v>0</v>
      </c>
      <c r="J183" s="151">
        <v>0</v>
      </c>
      <c r="K183" s="151">
        <v>1610</v>
      </c>
      <c r="L183" s="172">
        <f t="shared" si="66"/>
        <v>1610</v>
      </c>
      <c r="M183" s="1539">
        <f t="shared" si="67"/>
        <v>3.435399551904406</v>
      </c>
      <c r="N183" s="1540"/>
    </row>
    <row r="184" spans="1:17">
      <c r="A184" s="254" t="s">
        <v>56</v>
      </c>
      <c r="B184" s="1563">
        <f>Upland!N311</f>
        <v>1881</v>
      </c>
      <c r="C184" s="1424"/>
      <c r="D184" s="1536">
        <f t="shared" si="65"/>
        <v>2697278.7600000002</v>
      </c>
      <c r="E184" s="1424"/>
      <c r="F184" s="1423">
        <f>0.0044*B184</f>
        <v>8.2764000000000006</v>
      </c>
      <c r="G184" s="1424"/>
      <c r="H184" s="587">
        <f>F184*5</f>
        <v>41.382000000000005</v>
      </c>
      <c r="I184" s="151">
        <v>0</v>
      </c>
      <c r="J184" s="150">
        <v>0</v>
      </c>
      <c r="K184" s="150">
        <v>15984</v>
      </c>
      <c r="L184" s="172">
        <f t="shared" si="66"/>
        <v>15984</v>
      </c>
      <c r="M184" s="1539">
        <f t="shared" si="67"/>
        <v>2.6786053636055955</v>
      </c>
      <c r="N184" s="1540"/>
    </row>
    <row r="185" spans="1:17" ht="12.75" customHeight="1">
      <c r="A185" s="254" t="s">
        <v>122</v>
      </c>
      <c r="B185" s="1563">
        <f>Upland!N312</f>
        <v>0</v>
      </c>
      <c r="C185" s="1424"/>
      <c r="D185" s="1536">
        <f t="shared" si="65"/>
        <v>0</v>
      </c>
      <c r="E185" s="1424"/>
      <c r="F185" s="1423">
        <f>0.018*B185</f>
        <v>0</v>
      </c>
      <c r="G185" s="1424"/>
      <c r="H185" s="587">
        <f t="shared" ref="H185:H190" si="68">F185*10</f>
        <v>0</v>
      </c>
      <c r="I185" s="151">
        <v>0</v>
      </c>
      <c r="J185" s="150">
        <v>0</v>
      </c>
      <c r="K185" s="150">
        <v>0</v>
      </c>
      <c r="L185" s="172">
        <f t="shared" si="66"/>
        <v>0</v>
      </c>
      <c r="M185" s="1539">
        <f t="shared" si="67"/>
        <v>0</v>
      </c>
      <c r="N185" s="1540"/>
    </row>
    <row r="186" spans="1:17">
      <c r="A186" s="257" t="s">
        <v>184</v>
      </c>
      <c r="B186" s="1563">
        <f>Upland!N313</f>
        <v>0</v>
      </c>
      <c r="C186" s="1424"/>
      <c r="D186" s="1536">
        <f t="shared" si="65"/>
        <v>0</v>
      </c>
      <c r="E186" s="1424"/>
      <c r="F186" s="1423">
        <f>0.0129*B186</f>
        <v>0</v>
      </c>
      <c r="G186" s="1424"/>
      <c r="H186" s="587">
        <f t="shared" si="68"/>
        <v>0</v>
      </c>
      <c r="I186" s="151">
        <v>0</v>
      </c>
      <c r="J186" s="150">
        <v>0</v>
      </c>
      <c r="K186" s="150">
        <v>0</v>
      </c>
      <c r="L186" s="172">
        <f t="shared" si="66"/>
        <v>0</v>
      </c>
      <c r="M186" s="1539">
        <f t="shared" si="67"/>
        <v>0</v>
      </c>
      <c r="N186" s="1540"/>
    </row>
    <row r="187" spans="1:17" s="520" customFormat="1">
      <c r="A187" s="258" t="s">
        <v>187</v>
      </c>
      <c r="B187" s="1563">
        <f>Upland!N314</f>
        <v>210</v>
      </c>
      <c r="C187" s="1424"/>
      <c r="D187" s="1578">
        <f t="shared" si="65"/>
        <v>1574097</v>
      </c>
      <c r="E187" s="1579"/>
      <c r="F187" s="1423">
        <f>0.023*B187</f>
        <v>4.83</v>
      </c>
      <c r="G187" s="1424"/>
      <c r="H187" s="587">
        <f>F187*5</f>
        <v>24.15</v>
      </c>
      <c r="I187" s="151">
        <v>0</v>
      </c>
      <c r="J187" s="151">
        <v>2100</v>
      </c>
      <c r="K187" s="151">
        <v>2100</v>
      </c>
      <c r="L187" s="170">
        <f t="shared" si="66"/>
        <v>4200</v>
      </c>
      <c r="M187" s="1539">
        <f t="shared" si="67"/>
        <v>1.2060543930531267</v>
      </c>
      <c r="N187" s="1540"/>
    </row>
    <row r="188" spans="1:17" s="520" customFormat="1">
      <c r="A188" s="258" t="s">
        <v>188</v>
      </c>
      <c r="B188" s="1563">
        <f>Upland!N315</f>
        <v>0</v>
      </c>
      <c r="C188" s="1424"/>
      <c r="D188" s="1578">
        <f>F188*325900</f>
        <v>0</v>
      </c>
      <c r="E188" s="1579"/>
      <c r="F188" s="1868">
        <f>0.154*B188</f>
        <v>0</v>
      </c>
      <c r="G188" s="1579"/>
      <c r="H188" s="587">
        <f t="shared" si="68"/>
        <v>0</v>
      </c>
      <c r="I188" s="151">
        <v>0</v>
      </c>
      <c r="J188" s="151">
        <v>0</v>
      </c>
      <c r="K188" s="151">
        <v>0</v>
      </c>
      <c r="L188" s="170">
        <f t="shared" si="66"/>
        <v>0</v>
      </c>
      <c r="M188" s="1539">
        <f t="shared" si="67"/>
        <v>0</v>
      </c>
      <c r="N188" s="1540"/>
    </row>
    <row r="189" spans="1:17" s="520" customFormat="1">
      <c r="A189" s="258" t="s">
        <v>287</v>
      </c>
      <c r="B189" s="1563">
        <f>Upland!N316</f>
        <v>12</v>
      </c>
      <c r="C189" s="1424"/>
      <c r="D189" s="1578">
        <f>F189*325900</f>
        <v>6353821.3569999989</v>
      </c>
      <c r="E189" s="1579"/>
      <c r="F189" s="1447">
        <f>(149971*0.00013)</f>
        <v>19.496229999999997</v>
      </c>
      <c r="G189" s="1448"/>
      <c r="H189" s="594">
        <f t="shared" si="68"/>
        <v>194.96229999999997</v>
      </c>
      <c r="I189" s="151">
        <v>0</v>
      </c>
      <c r="J189" s="173">
        <v>86576</v>
      </c>
      <c r="K189" s="173">
        <v>177079</v>
      </c>
      <c r="L189" s="170">
        <f t="shared" si="66"/>
        <v>263655</v>
      </c>
      <c r="M189" s="1539">
        <f t="shared" si="67"/>
        <v>18.756426839983192</v>
      </c>
      <c r="N189" s="1540"/>
    </row>
    <row r="190" spans="1:17" s="520" customFormat="1">
      <c r="A190" s="258" t="s">
        <v>269</v>
      </c>
      <c r="B190" s="1563">
        <f>Upland!N317</f>
        <v>1</v>
      </c>
      <c r="C190" s="1424"/>
      <c r="D190" s="1578">
        <f>G190*325900</f>
        <v>0</v>
      </c>
      <c r="E190" s="1579"/>
      <c r="F190" s="1868">
        <f>0.0129*B190</f>
        <v>1.29E-2</v>
      </c>
      <c r="G190" s="1579"/>
      <c r="H190" s="587">
        <f t="shared" si="68"/>
        <v>0.129</v>
      </c>
      <c r="I190" s="151">
        <v>0</v>
      </c>
      <c r="J190" s="151">
        <v>0</v>
      </c>
      <c r="K190" s="151">
        <v>980</v>
      </c>
      <c r="L190" s="170">
        <f t="shared" si="66"/>
        <v>980</v>
      </c>
      <c r="M190" s="1539">
        <f t="shared" si="67"/>
        <v>105.36614736208324</v>
      </c>
      <c r="N190" s="1540"/>
    </row>
    <row r="191" spans="1:17" s="520" customFormat="1" ht="14" thickBot="1">
      <c r="A191" s="258" t="s">
        <v>268</v>
      </c>
      <c r="B191" s="1560">
        <f>Upland!N318</f>
        <v>706</v>
      </c>
      <c r="C191" s="1544"/>
      <c r="D191" s="1582">
        <f>F191*325900</f>
        <v>966358.67999999993</v>
      </c>
      <c r="E191" s="1583"/>
      <c r="F191" s="1616">
        <f>(B191*0.0084)/2</f>
        <v>2.9651999999999998</v>
      </c>
      <c r="G191" s="1583"/>
      <c r="H191" s="585">
        <f>F191*10</f>
        <v>29.651999999999997</v>
      </c>
      <c r="I191" s="219">
        <v>0</v>
      </c>
      <c r="J191" s="219">
        <v>3530</v>
      </c>
      <c r="K191" s="219">
        <v>3530</v>
      </c>
      <c r="L191" s="306">
        <f t="shared" si="66"/>
        <v>7060</v>
      </c>
      <c r="M191" s="1561">
        <f t="shared" si="67"/>
        <v>3.3022917905026086</v>
      </c>
      <c r="N191" s="1562"/>
    </row>
    <row r="192" spans="1:17" s="1161" customFormat="1" ht="17" thickBot="1">
      <c r="A192" s="108" t="s">
        <v>192</v>
      </c>
      <c r="B192" s="1456"/>
      <c r="C192" s="1586"/>
      <c r="D192" s="1567"/>
      <c r="E192" s="1586"/>
      <c r="F192" s="1619"/>
      <c r="G192" s="1620"/>
      <c r="H192" s="1142"/>
      <c r="I192" s="161"/>
      <c r="J192" s="161"/>
      <c r="K192" s="161"/>
      <c r="L192" s="162"/>
      <c r="M192" s="1617"/>
      <c r="N192" s="1486"/>
    </row>
    <row r="193" spans="1:14" ht="14" thickBot="1">
      <c r="A193" s="76" t="s">
        <v>165</v>
      </c>
      <c r="B193" s="1560">
        <f>Upland!N320</f>
        <v>100</v>
      </c>
      <c r="C193" s="1544"/>
      <c r="D193" s="1543">
        <f>F193*325900</f>
        <v>130360</v>
      </c>
      <c r="E193" s="1544"/>
      <c r="F193" s="1545">
        <f>0.004*B193</f>
        <v>0.4</v>
      </c>
      <c r="G193" s="1546"/>
      <c r="H193" s="587">
        <f>F193*5</f>
        <v>2</v>
      </c>
      <c r="I193" s="215">
        <v>0</v>
      </c>
      <c r="J193" s="140">
        <f>100*1.6</f>
        <v>160</v>
      </c>
      <c r="K193" s="140">
        <f>(B193*2)</f>
        <v>200</v>
      </c>
      <c r="L193" s="217">
        <f>SUM(I193:K193)</f>
        <v>360</v>
      </c>
      <c r="M193" s="1561">
        <f>IF(ISERROR(L193/(F193*752)),0,L193/(F193*752))</f>
        <v>1.1968085106382977</v>
      </c>
      <c r="N193" s="1562"/>
    </row>
    <row r="194" spans="1:14" ht="14" thickBot="1">
      <c r="A194" s="53" t="s">
        <v>60</v>
      </c>
      <c r="B194" s="1438">
        <f>SUM(B180:B193)</f>
        <v>3457</v>
      </c>
      <c r="C194" s="1439"/>
      <c r="D194" s="1441">
        <f>SUM(D180:E193)</f>
        <v>19482409.546999998</v>
      </c>
      <c r="E194" s="1439"/>
      <c r="F194" s="1441">
        <f>SUM(F180:G193)</f>
        <v>59.793230000000001</v>
      </c>
      <c r="G194" s="1439"/>
      <c r="H194" s="586">
        <f>SUM(H180:H193)</f>
        <v>762.02530000000013</v>
      </c>
      <c r="I194" s="146">
        <f>SUM(I180:I193)</f>
        <v>0</v>
      </c>
      <c r="J194" s="146">
        <f>SUM(J180:J193)</f>
        <v>116401</v>
      </c>
      <c r="K194" s="146">
        <f>SUM(K180:K193)</f>
        <v>275022</v>
      </c>
      <c r="L194" s="146">
        <f>SUM(L180:L193)</f>
        <v>391423</v>
      </c>
      <c r="M194" s="1610"/>
      <c r="N194" s="1636"/>
    </row>
    <row r="195" spans="1:14" s="1161" customFormat="1" ht="17" thickBot="1">
      <c r="A195" s="1163" t="s">
        <v>17</v>
      </c>
      <c r="B195" s="1414">
        <f>SUM(,B178,B194)</f>
        <v>4397</v>
      </c>
      <c r="C195" s="1415"/>
      <c r="D195" s="1416">
        <f>SUM(,D178,D194)</f>
        <v>46343726.31099999</v>
      </c>
      <c r="E195" s="1415"/>
      <c r="F195" s="1416">
        <f>SUM(,F178,F194)</f>
        <v>142.21519000000001</v>
      </c>
      <c r="G195" s="1415"/>
      <c r="H195" s="1164">
        <f>SUM(H178,H194)</f>
        <v>1651.3759000000002</v>
      </c>
      <c r="I195" s="1165">
        <f>SUM(,I178,I194)</f>
        <v>26220.45</v>
      </c>
      <c r="J195" s="1165">
        <f>SUM(,J178,J194)</f>
        <v>143492.97</v>
      </c>
      <c r="K195" s="1165">
        <f>SUM(,K178,K194)</f>
        <v>798743.03</v>
      </c>
      <c r="L195" s="1165">
        <f>SUM(,L178,L194)</f>
        <v>968456.45</v>
      </c>
      <c r="M195" s="1631"/>
      <c r="N195" s="1632"/>
    </row>
    <row r="196" spans="1:14">
      <c r="A196" s="50"/>
      <c r="B196" s="601"/>
      <c r="C196" s="601"/>
      <c r="D196" s="601"/>
      <c r="E196" s="601"/>
      <c r="F196" s="51"/>
      <c r="G196" s="51"/>
      <c r="H196" s="601"/>
      <c r="I196" s="21"/>
      <c r="J196" s="21"/>
      <c r="K196" s="21"/>
      <c r="L196" s="21"/>
      <c r="M196" s="600"/>
      <c r="N196" s="600"/>
    </row>
    <row r="197" spans="1:14" ht="15">
      <c r="A197" s="9" t="s">
        <v>18</v>
      </c>
      <c r="B197" s="1566" t="s">
        <v>59</v>
      </c>
      <c r="C197" s="1566"/>
      <c r="D197" s="1566"/>
      <c r="E197" s="1566"/>
      <c r="F197" s="51"/>
      <c r="G197" s="51"/>
      <c r="H197" s="601"/>
      <c r="I197" s="21"/>
      <c r="J197" s="21"/>
      <c r="K197" s="21"/>
      <c r="L197" s="21"/>
      <c r="M197" s="600"/>
      <c r="N197" s="600"/>
    </row>
    <row r="198" spans="1:14">
      <c r="B198" s="1559" t="s">
        <v>19</v>
      </c>
      <c r="C198" s="1559"/>
      <c r="D198" s="1559"/>
      <c r="E198" s="1559"/>
      <c r="F198" s="51"/>
      <c r="G198" s="51"/>
      <c r="H198" s="601"/>
      <c r="I198" s="21"/>
      <c r="J198" s="21"/>
      <c r="K198" s="21"/>
      <c r="L198" s="21"/>
      <c r="M198" s="600"/>
      <c r="N198" s="600"/>
    </row>
    <row r="199" spans="1:14" ht="14" thickBot="1">
      <c r="B199" s="728"/>
      <c r="C199" s="728"/>
      <c r="D199" s="728"/>
      <c r="E199" s="728"/>
      <c r="F199" s="51"/>
      <c r="G199" s="51"/>
      <c r="H199" s="601"/>
      <c r="I199" s="21"/>
      <c r="J199" s="21"/>
      <c r="K199" s="21"/>
      <c r="L199" s="21"/>
      <c r="M199" s="600"/>
      <c r="N199" s="600"/>
    </row>
    <row r="200" spans="1:14" s="646" customFormat="1" ht="16">
      <c r="A200" s="98"/>
      <c r="B200" s="99"/>
      <c r="C200" s="99"/>
      <c r="D200" s="99"/>
      <c r="E200" s="99"/>
      <c r="F200" s="100"/>
      <c r="G200" s="100"/>
      <c r="H200" s="736"/>
      <c r="I200" s="1468" t="s">
        <v>0</v>
      </c>
      <c r="J200" s="1468"/>
      <c r="K200" s="1468"/>
      <c r="L200" s="1468"/>
      <c r="M200" s="99"/>
      <c r="N200" s="101"/>
    </row>
    <row r="201" spans="1:14" ht="16">
      <c r="A201" s="97"/>
      <c r="B201" s="1469" t="s">
        <v>1</v>
      </c>
      <c r="C201" s="1469"/>
      <c r="D201" s="1469" t="s">
        <v>2</v>
      </c>
      <c r="E201" s="1469"/>
      <c r="F201" s="1863" t="s">
        <v>3</v>
      </c>
      <c r="G201" s="1863"/>
      <c r="H201" s="734" t="s">
        <v>3</v>
      </c>
      <c r="I201" s="127" t="s">
        <v>197</v>
      </c>
      <c r="J201" s="102"/>
      <c r="K201" s="102"/>
      <c r="L201" s="128"/>
      <c r="M201" s="1469" t="s">
        <v>4</v>
      </c>
      <c r="N201" s="1526"/>
    </row>
    <row r="202" spans="1:14" ht="19" thickBot="1">
      <c r="A202" s="103" t="s">
        <v>5</v>
      </c>
      <c r="B202" s="1473" t="s">
        <v>6</v>
      </c>
      <c r="C202" s="1473"/>
      <c r="D202" s="1473" t="s">
        <v>7</v>
      </c>
      <c r="E202" s="1473"/>
      <c r="F202" s="1864" t="s">
        <v>7</v>
      </c>
      <c r="G202" s="1864"/>
      <c r="H202" s="735" t="s">
        <v>58</v>
      </c>
      <c r="I202" s="726" t="s">
        <v>196</v>
      </c>
      <c r="J202" s="724" t="s">
        <v>8</v>
      </c>
      <c r="K202" s="724" t="s">
        <v>9</v>
      </c>
      <c r="L202" s="401" t="s">
        <v>10</v>
      </c>
      <c r="M202" s="1473" t="s">
        <v>145</v>
      </c>
      <c r="N202" s="1475"/>
    </row>
    <row r="203" spans="1:14" ht="24" thickBot="1">
      <c r="A203" s="88" t="s">
        <v>232</v>
      </c>
      <c r="B203" s="1482"/>
      <c r="C203" s="2021"/>
      <c r="D203" s="2022"/>
      <c r="E203" s="2023"/>
      <c r="F203" s="2024"/>
      <c r="G203" s="2025"/>
      <c r="H203" s="647"/>
      <c r="I203" s="213"/>
      <c r="J203" s="213"/>
      <c r="K203" s="213"/>
      <c r="L203" s="214"/>
      <c r="M203" s="1482"/>
      <c r="N203" s="1483"/>
    </row>
    <row r="204" spans="1:14" s="1161" customFormat="1" ht="15.75" customHeight="1" thickBot="1">
      <c r="A204" s="108" t="str">
        <f>'Ontario Total'!A204</f>
        <v>SoCal Water$mart Residential Rebates</v>
      </c>
      <c r="B204" s="1567"/>
      <c r="C204" s="1586"/>
      <c r="D204" s="1567"/>
      <c r="E204" s="1586"/>
      <c r="F204" s="1619"/>
      <c r="G204" s="1620"/>
      <c r="H204" s="1142"/>
      <c r="I204" s="109"/>
      <c r="J204" s="109"/>
      <c r="K204" s="109"/>
      <c r="L204" s="1141"/>
      <c r="M204" s="1617"/>
      <c r="N204" s="1486"/>
    </row>
    <row r="205" spans="1:14">
      <c r="A205" s="78" t="str">
        <f>'Ontario Total'!A205</f>
        <v>High Efficiency Toilets (HET)</v>
      </c>
      <c r="B205" s="1423">
        <f>Upland!N253</f>
        <v>78</v>
      </c>
      <c r="C205" s="1424"/>
      <c r="D205" s="1423">
        <f t="shared" ref="D205:D210" si="69">F205*325900</f>
        <v>1080358.5000000002</v>
      </c>
      <c r="E205" s="1424"/>
      <c r="F205" s="1547">
        <f>0.0425*B205</f>
        <v>3.3150000000000004</v>
      </c>
      <c r="G205" s="1548"/>
      <c r="H205" s="587">
        <f>F205*20</f>
        <v>66.300000000000011</v>
      </c>
      <c r="I205" s="151">
        <v>0</v>
      </c>
      <c r="J205" s="150">
        <f>50*B205</f>
        <v>3900</v>
      </c>
      <c r="K205" s="150">
        <f>B205*50</f>
        <v>3900</v>
      </c>
      <c r="L205" s="172">
        <f t="shared" ref="L205:L210" si="70">I205+J205+K205</f>
        <v>7800</v>
      </c>
      <c r="M205" s="1539">
        <f t="shared" ref="M205:M210" si="71">IF(ISERROR(L205/(F205*752)),0,L205/(F205*752))</f>
        <v>3.1289111389236544</v>
      </c>
      <c r="N205" s="1540"/>
    </row>
    <row r="206" spans="1:14">
      <c r="A206" s="78" t="str">
        <f>'Ontario Total'!A206</f>
        <v>High Efficiency Clothes Washers (HECW)</v>
      </c>
      <c r="B206" s="1423">
        <f>Upland!N254</f>
        <v>120</v>
      </c>
      <c r="C206" s="1424"/>
      <c r="D206" s="1423">
        <f t="shared" si="69"/>
        <v>1079380.8</v>
      </c>
      <c r="E206" s="1424"/>
      <c r="F206" s="1547">
        <f>0.0276*B206</f>
        <v>3.3119999999999998</v>
      </c>
      <c r="G206" s="1548"/>
      <c r="H206" s="587">
        <f>F206*15</f>
        <v>49.68</v>
      </c>
      <c r="I206" s="150">
        <f>0*B206</f>
        <v>0</v>
      </c>
      <c r="J206" s="150">
        <f>B206*65</f>
        <v>7800</v>
      </c>
      <c r="K206" s="150">
        <f>B206*85</f>
        <v>10200</v>
      </c>
      <c r="L206" s="172">
        <f t="shared" si="70"/>
        <v>18000</v>
      </c>
      <c r="M206" s="1539">
        <f t="shared" si="71"/>
        <v>7.2271045328399639</v>
      </c>
      <c r="N206" s="1540"/>
    </row>
    <row r="207" spans="1:14">
      <c r="A207" s="78" t="str">
        <f>'Ontario Total'!A207</f>
        <v>Rotating Nozzles for Pop-up Spray Heads</v>
      </c>
      <c r="B207" s="1423">
        <f>Upland!N255</f>
        <v>344</v>
      </c>
      <c r="C207" s="1424"/>
      <c r="D207" s="1423">
        <f t="shared" si="69"/>
        <v>448438.4</v>
      </c>
      <c r="E207" s="1424"/>
      <c r="F207" s="1547">
        <f>0.004*B207</f>
        <v>1.3760000000000001</v>
      </c>
      <c r="G207" s="1548"/>
      <c r="H207" s="587">
        <f>F207*5</f>
        <v>6.8800000000000008</v>
      </c>
      <c r="I207" s="150">
        <f>0*B207</f>
        <v>0</v>
      </c>
      <c r="J207" s="150">
        <f>1*B207</f>
        <v>344</v>
      </c>
      <c r="K207" s="150">
        <f>B207*4</f>
        <v>1376</v>
      </c>
      <c r="L207" s="172">
        <f t="shared" si="70"/>
        <v>1720</v>
      </c>
      <c r="M207" s="1539">
        <f t="shared" si="71"/>
        <v>1.6622340425531912</v>
      </c>
      <c r="N207" s="1540"/>
    </row>
    <row r="208" spans="1:14">
      <c r="A208" s="78" t="str">
        <f>'Ontario Total'!A208</f>
        <v>Weather based Irrigation Controllers (WBIC)</v>
      </c>
      <c r="B208" s="1423">
        <f>Upland!N256</f>
        <v>10</v>
      </c>
      <c r="C208" s="1424"/>
      <c r="D208" s="1423">
        <f t="shared" si="69"/>
        <v>1059175</v>
      </c>
      <c r="E208" s="1424"/>
      <c r="F208" s="1547">
        <f>0.325*B208</f>
        <v>3.25</v>
      </c>
      <c r="G208" s="1548"/>
      <c r="H208" s="587">
        <f>F208*10</f>
        <v>32.5</v>
      </c>
      <c r="I208" s="151">
        <v>0</v>
      </c>
      <c r="J208" s="150">
        <f>B208*70</f>
        <v>700</v>
      </c>
      <c r="K208" s="150">
        <f>B208*80</f>
        <v>800</v>
      </c>
      <c r="L208" s="172">
        <f t="shared" si="70"/>
        <v>1500</v>
      </c>
      <c r="M208" s="1539">
        <f t="shared" si="71"/>
        <v>0.61374795417348604</v>
      </c>
      <c r="N208" s="1540"/>
    </row>
    <row r="209" spans="1:14" ht="12.75" customHeight="1">
      <c r="A209" s="76" t="s">
        <v>262</v>
      </c>
      <c r="B209" s="1423">
        <v>9</v>
      </c>
      <c r="C209" s="1424"/>
      <c r="D209" s="1423">
        <f t="shared" si="69"/>
        <v>482332</v>
      </c>
      <c r="E209" s="1424"/>
      <c r="F209" s="1547">
        <v>1.48</v>
      </c>
      <c r="G209" s="1548"/>
      <c r="H209" s="587">
        <f>F209*10</f>
        <v>14.8</v>
      </c>
      <c r="I209" s="151">
        <v>0</v>
      </c>
      <c r="J209" s="150">
        <v>0</v>
      </c>
      <c r="K209" s="150">
        <v>22076</v>
      </c>
      <c r="L209" s="172">
        <f t="shared" si="70"/>
        <v>22076</v>
      </c>
      <c r="M209" s="1539">
        <f t="shared" si="71"/>
        <v>19.83539390454284</v>
      </c>
      <c r="N209" s="1540"/>
    </row>
    <row r="210" spans="1:14" ht="12.75" customHeight="1" thickBot="1">
      <c r="A210" s="76" t="s">
        <v>214</v>
      </c>
      <c r="B210" s="1423">
        <f>Upland!N258</f>
        <v>16</v>
      </c>
      <c r="C210" s="1424"/>
      <c r="D210" s="1423">
        <f t="shared" si="69"/>
        <v>1694680</v>
      </c>
      <c r="E210" s="1424"/>
      <c r="F210" s="1547">
        <f>0.325*B210</f>
        <v>5.2</v>
      </c>
      <c r="G210" s="1548"/>
      <c r="H210" s="928">
        <f>F210*10</f>
        <v>52</v>
      </c>
      <c r="I210" s="151">
        <v>0</v>
      </c>
      <c r="J210" s="150">
        <f>B210*0</f>
        <v>0</v>
      </c>
      <c r="K210" s="150">
        <f>B210*75</f>
        <v>1200</v>
      </c>
      <c r="L210" s="172">
        <f t="shared" si="70"/>
        <v>1200</v>
      </c>
      <c r="M210" s="1539">
        <f t="shared" si="71"/>
        <v>0.30687397708674302</v>
      </c>
      <c r="N210" s="1540"/>
    </row>
    <row r="211" spans="1:14" s="1161" customFormat="1" ht="15.75" customHeight="1" thickBot="1">
      <c r="A211" s="108" t="str">
        <f>'Ontario Total'!A211</f>
        <v>IEUA Locally Implemented Residential Programs</v>
      </c>
      <c r="B211" s="1567"/>
      <c r="C211" s="1586"/>
      <c r="D211" s="1567"/>
      <c r="E211" s="1586"/>
      <c r="F211" s="1619"/>
      <c r="G211" s="1620"/>
      <c r="H211" s="1142"/>
      <c r="I211" s="109"/>
      <c r="J211" s="109"/>
      <c r="K211" s="109"/>
      <c r="L211" s="1141"/>
      <c r="M211" s="1617"/>
      <c r="N211" s="1486"/>
    </row>
    <row r="212" spans="1:14">
      <c r="A212" s="78" t="s">
        <v>205</v>
      </c>
      <c r="B212" s="1423">
        <f>Upland!N260</f>
        <v>860</v>
      </c>
      <c r="C212" s="1424"/>
      <c r="D212" s="1423">
        <f>F212*325900</f>
        <v>1121096</v>
      </c>
      <c r="E212" s="1424"/>
      <c r="F212" s="1547">
        <f>B212*0.004</f>
        <v>3.44</v>
      </c>
      <c r="G212" s="1548"/>
      <c r="H212" s="594">
        <f>F212*5</f>
        <v>17.2</v>
      </c>
      <c r="I212" s="151">
        <v>0</v>
      </c>
      <c r="J212" s="151">
        <v>0</v>
      </c>
      <c r="K212" s="173">
        <v>38700</v>
      </c>
      <c r="L212" s="172">
        <f>I212+J212+K212</f>
        <v>38700</v>
      </c>
      <c r="M212" s="1539">
        <f>IF(ISERROR(L212/(F212*752)),0,L212/(F212*752))</f>
        <v>14.960106382978722</v>
      </c>
      <c r="N212" s="1540"/>
    </row>
    <row r="213" spans="1:14">
      <c r="A213" s="78" t="s">
        <v>247</v>
      </c>
      <c r="B213" s="1423">
        <f>Upland!N261</f>
        <v>0</v>
      </c>
      <c r="C213" s="1424"/>
      <c r="D213" s="1423">
        <f>F213*325900</f>
        <v>0</v>
      </c>
      <c r="E213" s="1424"/>
      <c r="F213" s="1868">
        <v>0</v>
      </c>
      <c r="G213" s="1579"/>
      <c r="H213" s="588">
        <v>0</v>
      </c>
      <c r="I213" s="151">
        <v>0</v>
      </c>
      <c r="J213" s="151">
        <v>0</v>
      </c>
      <c r="K213" s="151">
        <v>0</v>
      </c>
      <c r="L213" s="172">
        <f>I213+J213+K213</f>
        <v>0</v>
      </c>
      <c r="M213" s="1539">
        <f>IF(ISERROR(L213/(F213*752)),0,L213/(F213*752))</f>
        <v>0</v>
      </c>
      <c r="N213" s="1540"/>
    </row>
    <row r="214" spans="1:14" ht="14" thickBot="1">
      <c r="A214" s="78" t="s">
        <v>240</v>
      </c>
      <c r="B214" s="1423">
        <f>Upland!N262</f>
        <v>19</v>
      </c>
      <c r="C214" s="1424"/>
      <c r="D214" s="1423">
        <f>F214*325900</f>
        <v>349038.89999999997</v>
      </c>
      <c r="E214" s="1424"/>
      <c r="F214" s="1616">
        <f>7650*0.00014</f>
        <v>1.071</v>
      </c>
      <c r="G214" s="1583"/>
      <c r="H214" s="588">
        <f>F214*10</f>
        <v>10.709999999999999</v>
      </c>
      <c r="I214" s="151">
        <v>0</v>
      </c>
      <c r="J214" s="151">
        <f>55624-K214</f>
        <v>22524</v>
      </c>
      <c r="K214" s="151">
        <f>16550*2</f>
        <v>33100</v>
      </c>
      <c r="L214" s="172">
        <f>I214+J214+K214</f>
        <v>55624</v>
      </c>
      <c r="M214" s="1539">
        <f>IF(ISERROR(L214/(F214*752)),0,L214/(F214*752))</f>
        <v>69.064505234718013</v>
      </c>
      <c r="N214" s="1540"/>
    </row>
    <row r="215" spans="1:14" ht="14" thickBot="1">
      <c r="A215" s="53" t="s">
        <v>60</v>
      </c>
      <c r="B215" s="1438">
        <f>SUM(B205:B214)</f>
        <v>1456</v>
      </c>
      <c r="C215" s="1621"/>
      <c r="D215" s="1441">
        <f>SUM(D205:E214)</f>
        <v>7314499.6000000006</v>
      </c>
      <c r="E215" s="1609"/>
      <c r="F215" s="1440">
        <f>SUM(F205:G214)</f>
        <v>22.444000000000003</v>
      </c>
      <c r="G215" s="1609"/>
      <c r="H215" s="586">
        <f>SUM(H205:H214)</f>
        <v>250.07000000000002</v>
      </c>
      <c r="I215" s="136">
        <f>SUM(I205:I214)</f>
        <v>0</v>
      </c>
      <c r="J215" s="136">
        <f>SUM(J205:J214)</f>
        <v>35268</v>
      </c>
      <c r="K215" s="136">
        <f>SUM(K205:K214)</f>
        <v>111352</v>
      </c>
      <c r="L215" s="152">
        <f>SUM(L205:L214)</f>
        <v>146620</v>
      </c>
      <c r="M215" s="1441"/>
      <c r="N215" s="1609"/>
    </row>
    <row r="216" spans="1:14" s="91" customFormat="1" ht="17" hidden="1" thickBot="1">
      <c r="A216" s="108" t="str">
        <f>'Ontario Total'!A216</f>
        <v xml:space="preserve">IEUA High Efficiency Toilet (HET) Installation Prog. </v>
      </c>
      <c r="B216" s="1567"/>
      <c r="C216" s="1586"/>
      <c r="D216" s="1567"/>
      <c r="E216" s="1586"/>
      <c r="F216" s="1900"/>
      <c r="G216" s="1883"/>
      <c r="H216" s="597"/>
      <c r="I216" s="109"/>
      <c r="J216" s="109"/>
      <c r="K216" s="109"/>
      <c r="L216" s="598"/>
      <c r="M216" s="1617"/>
      <c r="N216" s="1486"/>
    </row>
    <row r="217" spans="1:14" hidden="1">
      <c r="A217" s="78" t="str">
        <f>'Ontario Total'!A217</f>
        <v>IEUA Multi-Family Direct Install Prog. (HET)</v>
      </c>
      <c r="B217" s="1423"/>
      <c r="C217" s="1424"/>
      <c r="D217" s="1423">
        <f>F217*325851</f>
        <v>0</v>
      </c>
      <c r="E217" s="1424"/>
      <c r="F217" s="1941">
        <f>0.0425*B217</f>
        <v>0</v>
      </c>
      <c r="G217" s="1940"/>
      <c r="H217" s="587">
        <f>F217*20</f>
        <v>0</v>
      </c>
      <c r="I217" s="150">
        <f>73.34*B217</f>
        <v>0</v>
      </c>
      <c r="J217" s="150">
        <f>35.66*B217</f>
        <v>0</v>
      </c>
      <c r="K217" s="150">
        <f>B217*50</f>
        <v>0</v>
      </c>
      <c r="L217" s="172">
        <f>I217+J217+K217</f>
        <v>0</v>
      </c>
      <c r="M217" s="1539">
        <f>IF(ISERROR(L217/(F217*727)),0,L217/(F217*727))</f>
        <v>0</v>
      </c>
      <c r="N217" s="1540"/>
    </row>
    <row r="218" spans="1:14" ht="14" hidden="1" thickBot="1">
      <c r="A218" s="78" t="str">
        <f>'Ontario Total'!A218</f>
        <v>IEUA Single-Family Direct Install Prog. (HET)</v>
      </c>
      <c r="B218" s="1423"/>
      <c r="C218" s="1424"/>
      <c r="D218" s="1423">
        <f>F218*325851</f>
        <v>0</v>
      </c>
      <c r="E218" s="1424"/>
      <c r="F218" s="1941">
        <f>0.0425*B218</f>
        <v>0</v>
      </c>
      <c r="G218" s="1940"/>
      <c r="H218" s="587">
        <f>F218*20</f>
        <v>0</v>
      </c>
      <c r="I218" s="150">
        <f>73.34*B218</f>
        <v>0</v>
      </c>
      <c r="J218" s="150">
        <f>35.66*B218</f>
        <v>0</v>
      </c>
      <c r="K218" s="150">
        <f>B218*50</f>
        <v>0</v>
      </c>
      <c r="L218" s="172">
        <f>I218+J218+K218</f>
        <v>0</v>
      </c>
      <c r="M218" s="1539">
        <f>IF(ISERROR(L218/(F218*727)),0,L218/(F218*727))</f>
        <v>0</v>
      </c>
      <c r="N218" s="1540"/>
    </row>
    <row r="219" spans="1:14" ht="14" hidden="1" thickBot="1">
      <c r="A219" s="53" t="s">
        <v>60</v>
      </c>
      <c r="B219" s="1438"/>
      <c r="C219" s="1609"/>
      <c r="D219" s="1438">
        <f>SUM(D217:D218)</f>
        <v>0</v>
      </c>
      <c r="E219" s="1609"/>
      <c r="F219" s="1438">
        <f>SUM(F217:F218)</f>
        <v>0</v>
      </c>
      <c r="G219" s="1609"/>
      <c r="H219" s="586">
        <f>SUM(H217:H218)</f>
        <v>0</v>
      </c>
      <c r="I219" s="136">
        <f>SUM(I217:I218)</f>
        <v>0</v>
      </c>
      <c r="J219" s="143">
        <f>SUM(J217:J218)</f>
        <v>0</v>
      </c>
      <c r="K219" s="143">
        <f>SUM(K217:K218)</f>
        <v>0</v>
      </c>
      <c r="L219" s="136">
        <f>SUM(L217:L218)</f>
        <v>0</v>
      </c>
      <c r="M219" s="1657"/>
      <c r="N219" s="1622"/>
    </row>
    <row r="220" spans="1:14" s="1161" customFormat="1" ht="17" thickBot="1">
      <c r="A220" s="108" t="str">
        <f>'Ontario Total'!A220</f>
        <v>SoCal Water$mart Commercial Rebates</v>
      </c>
      <c r="B220" s="1567"/>
      <c r="C220" s="1586"/>
      <c r="D220" s="1567"/>
      <c r="E220" s="1586"/>
      <c r="F220" s="1619"/>
      <c r="G220" s="1913"/>
      <c r="H220" s="1142"/>
      <c r="I220" s="109"/>
      <c r="J220" s="109"/>
      <c r="K220" s="109"/>
      <c r="L220" s="1141"/>
      <c r="M220" s="1617"/>
      <c r="N220" s="1486"/>
    </row>
    <row r="221" spans="1:14">
      <c r="A221" s="78" t="str">
        <f>'Ontario Total'!A221</f>
        <v>High Efficiency Toilets (HET)</v>
      </c>
      <c r="B221" s="1423">
        <f>Upland!N270</f>
        <v>25</v>
      </c>
      <c r="C221" s="1424"/>
      <c r="D221" s="1423">
        <f>F221*325900</f>
        <v>346268.75</v>
      </c>
      <c r="E221" s="1424"/>
      <c r="F221" s="1423">
        <f>0.0425*B221</f>
        <v>1.0625</v>
      </c>
      <c r="G221" s="1424"/>
      <c r="H221" s="587">
        <f>F221*20</f>
        <v>21.25</v>
      </c>
      <c r="I221" s="151">
        <v>0</v>
      </c>
      <c r="J221" s="150">
        <v>100</v>
      </c>
      <c r="K221" s="150">
        <v>200</v>
      </c>
      <c r="L221" s="172">
        <f t="shared" ref="L221:L234" si="72">SUM(I221:K221)</f>
        <v>300</v>
      </c>
      <c r="M221" s="1539">
        <f>IF(ISERROR(L221/(F221*752)),0,L221/(F221*752))</f>
        <v>0.37546933667083854</v>
      </c>
      <c r="N221" s="1540"/>
    </row>
    <row r="222" spans="1:14">
      <c r="A222" s="78" t="str">
        <f>'Ontario Total'!A222</f>
        <v>Waterless Urinals</v>
      </c>
      <c r="B222" s="1423">
        <f>Upland!N271</f>
        <v>0</v>
      </c>
      <c r="C222" s="1424"/>
      <c r="D222" s="1423">
        <f>F222*325900</f>
        <v>0</v>
      </c>
      <c r="E222" s="1424"/>
      <c r="F222" s="1423">
        <f>0.1227*B222</f>
        <v>0</v>
      </c>
      <c r="G222" s="1424"/>
      <c r="H222" s="587">
        <f>F222*20</f>
        <v>0</v>
      </c>
      <c r="I222" s="151">
        <v>0</v>
      </c>
      <c r="J222" s="150">
        <f>50*B222</f>
        <v>0</v>
      </c>
      <c r="K222" s="150">
        <f>200*B222</f>
        <v>0</v>
      </c>
      <c r="L222" s="172">
        <f t="shared" si="72"/>
        <v>0</v>
      </c>
      <c r="M222" s="1539">
        <f t="shared" ref="M222:M234" si="73">IF(ISERROR(L222/(F222*752)),0,L222/(F222*752))</f>
        <v>0</v>
      </c>
      <c r="N222" s="1540"/>
    </row>
    <row r="223" spans="1:14">
      <c r="A223" s="78" t="s">
        <v>204</v>
      </c>
      <c r="B223" s="1423">
        <f>Upland!N272</f>
        <v>0</v>
      </c>
      <c r="C223" s="1424"/>
      <c r="D223" s="1423">
        <f t="shared" ref="D223:D233" si="74">F223*325900</f>
        <v>0</v>
      </c>
      <c r="E223" s="1424"/>
      <c r="F223" s="1423">
        <f>0.644*B223</f>
        <v>0</v>
      </c>
      <c r="G223" s="1424"/>
      <c r="H223" s="587">
        <f>F223*5</f>
        <v>0</v>
      </c>
      <c r="I223" s="151">
        <v>0</v>
      </c>
      <c r="J223" s="150">
        <f>B223*500</f>
        <v>0</v>
      </c>
      <c r="K223" s="150">
        <f>B223*1750</f>
        <v>0</v>
      </c>
      <c r="L223" s="172">
        <f t="shared" si="72"/>
        <v>0</v>
      </c>
      <c r="M223" s="1539">
        <f t="shared" si="73"/>
        <v>0</v>
      </c>
      <c r="N223" s="1540"/>
    </row>
    <row r="224" spans="1:14" ht="12.75" hidden="1" customHeight="1">
      <c r="A224" s="78" t="str">
        <f>'Ontario Total'!A224</f>
        <v>High Efficiency Clothes Washers</v>
      </c>
      <c r="B224" s="1423">
        <f>Upland!N273</f>
        <v>0</v>
      </c>
      <c r="C224" s="1424"/>
      <c r="D224" s="1423">
        <f t="shared" si="74"/>
        <v>0</v>
      </c>
      <c r="E224" s="1424"/>
      <c r="F224" s="1423">
        <f>0.0276*B224</f>
        <v>0</v>
      </c>
      <c r="G224" s="1424"/>
      <c r="H224" s="587">
        <f>F224*10</f>
        <v>0</v>
      </c>
      <c r="I224" s="173">
        <v>0</v>
      </c>
      <c r="J224" s="150">
        <f>100*B224</f>
        <v>0</v>
      </c>
      <c r="K224" s="150">
        <f>80*B224</f>
        <v>0</v>
      </c>
      <c r="L224" s="172">
        <f t="shared" si="72"/>
        <v>0</v>
      </c>
      <c r="M224" s="1539">
        <f t="shared" si="73"/>
        <v>0</v>
      </c>
      <c r="N224" s="1540"/>
    </row>
    <row r="225" spans="1:14" ht="12.75" hidden="1" customHeight="1">
      <c r="A225" s="76" t="s">
        <v>47</v>
      </c>
      <c r="B225" s="1423">
        <f>Upland!N274</f>
        <v>0</v>
      </c>
      <c r="C225" s="1424"/>
      <c r="D225" s="1423">
        <f t="shared" si="74"/>
        <v>0</v>
      </c>
      <c r="E225" s="1424"/>
      <c r="F225" s="1549">
        <f>0.1534*B225</f>
        <v>0</v>
      </c>
      <c r="G225" s="1550"/>
      <c r="H225" s="587">
        <f>F225*5</f>
        <v>0</v>
      </c>
      <c r="I225" s="173">
        <v>0</v>
      </c>
      <c r="J225" s="150">
        <f>0*B225</f>
        <v>0</v>
      </c>
      <c r="K225" s="150">
        <f>150*B225</f>
        <v>0</v>
      </c>
      <c r="L225" s="172">
        <f t="shared" si="72"/>
        <v>0</v>
      </c>
      <c r="M225" s="1539">
        <f t="shared" si="73"/>
        <v>0</v>
      </c>
      <c r="N225" s="1540"/>
    </row>
    <row r="226" spans="1:14">
      <c r="A226" s="78" t="str">
        <f>'Ontario Total'!A226</f>
        <v>Weather Based Irrigation Controllers (WBIC)</v>
      </c>
      <c r="B226" s="1423">
        <f>Upland!N275</f>
        <v>4</v>
      </c>
      <c r="C226" s="1424"/>
      <c r="D226" s="1423">
        <f t="shared" si="74"/>
        <v>423670</v>
      </c>
      <c r="E226" s="1424"/>
      <c r="F226" s="1547">
        <f>0.325*B226</f>
        <v>1.3</v>
      </c>
      <c r="G226" s="1548"/>
      <c r="H226" s="587">
        <f>F226*10</f>
        <v>13</v>
      </c>
      <c r="I226" s="173">
        <v>0</v>
      </c>
      <c r="J226" s="150">
        <v>4921</v>
      </c>
      <c r="K226" s="150">
        <v>23418</v>
      </c>
      <c r="L226" s="172">
        <f t="shared" si="72"/>
        <v>28339</v>
      </c>
      <c r="M226" s="1539">
        <f t="shared" si="73"/>
        <v>28.988338788870703</v>
      </c>
      <c r="N226" s="1540"/>
    </row>
    <row r="227" spans="1:14" ht="12.75" hidden="1" customHeight="1">
      <c r="A227" s="76" t="s">
        <v>53</v>
      </c>
      <c r="B227" s="1423">
        <f>Upland!N276</f>
        <v>0</v>
      </c>
      <c r="C227" s="1424"/>
      <c r="D227" s="1423">
        <f t="shared" si="74"/>
        <v>0</v>
      </c>
      <c r="E227" s="1424"/>
      <c r="F227" s="1547">
        <f>0.00014*B227</f>
        <v>0</v>
      </c>
      <c r="G227" s="1548"/>
      <c r="H227" s="587">
        <f>F227*10</f>
        <v>0</v>
      </c>
      <c r="I227" s="173">
        <v>0</v>
      </c>
      <c r="J227" s="150">
        <f>0.45*B227</f>
        <v>0</v>
      </c>
      <c r="K227" s="150">
        <f>0.3*B227</f>
        <v>0</v>
      </c>
      <c r="L227" s="172">
        <f t="shared" si="72"/>
        <v>0</v>
      </c>
      <c r="M227" s="1539">
        <f t="shared" si="73"/>
        <v>0</v>
      </c>
      <c r="N227" s="1540"/>
    </row>
    <row r="228" spans="1:14">
      <c r="A228" s="78" t="str">
        <f>'Ontario Total'!A228</f>
        <v>Rotating Nozzles for Pop-up Spray Heads</v>
      </c>
      <c r="B228" s="1423">
        <f>Upland!N277</f>
        <v>0</v>
      </c>
      <c r="C228" s="1424"/>
      <c r="D228" s="1423">
        <f t="shared" si="74"/>
        <v>0</v>
      </c>
      <c r="E228" s="1424"/>
      <c r="F228" s="1547">
        <f>0.004*B228</f>
        <v>0</v>
      </c>
      <c r="G228" s="1548"/>
      <c r="H228" s="587">
        <f>F228*5</f>
        <v>0</v>
      </c>
      <c r="I228" s="151">
        <v>0</v>
      </c>
      <c r="J228" s="151">
        <f>0*B228</f>
        <v>0</v>
      </c>
      <c r="K228" s="151">
        <f>4*B228</f>
        <v>0</v>
      </c>
      <c r="L228" s="172">
        <f t="shared" si="72"/>
        <v>0</v>
      </c>
      <c r="M228" s="1539">
        <f t="shared" si="73"/>
        <v>0</v>
      </c>
      <c r="N228" s="1540"/>
    </row>
    <row r="229" spans="1:14">
      <c r="A229" s="78" t="str">
        <f>'Ontario Total'!A229</f>
        <v>Large Rotary Nozzles</v>
      </c>
      <c r="B229" s="1423">
        <f>Upland!N278</f>
        <v>0</v>
      </c>
      <c r="C229" s="1424"/>
      <c r="D229" s="1423">
        <f t="shared" si="74"/>
        <v>0</v>
      </c>
      <c r="E229" s="1424"/>
      <c r="F229" s="1547">
        <f>0.018*B229</f>
        <v>0</v>
      </c>
      <c r="G229" s="1548"/>
      <c r="H229" s="587">
        <f t="shared" ref="H229:H234" si="75">F229*10</f>
        <v>0</v>
      </c>
      <c r="I229" s="151">
        <v>0</v>
      </c>
      <c r="J229" s="151">
        <f>0*B229</f>
        <v>0</v>
      </c>
      <c r="K229" s="151">
        <f>13*B229</f>
        <v>0</v>
      </c>
      <c r="L229" s="172">
        <f t="shared" si="72"/>
        <v>0</v>
      </c>
      <c r="M229" s="1539">
        <f t="shared" si="73"/>
        <v>0</v>
      </c>
      <c r="N229" s="1540"/>
    </row>
    <row r="230" spans="1:14" ht="13.5" hidden="1" customHeight="1">
      <c r="A230" s="76" t="s">
        <v>102</v>
      </c>
      <c r="B230" s="1423">
        <f>Upland!N279</f>
        <v>0</v>
      </c>
      <c r="C230" s="1424"/>
      <c r="D230" s="1423">
        <f t="shared" si="74"/>
        <v>0</v>
      </c>
      <c r="E230" s="1424"/>
      <c r="F230" s="1547">
        <f>0.018*B230</f>
        <v>0</v>
      </c>
      <c r="G230" s="1548"/>
      <c r="H230" s="587">
        <f t="shared" si="75"/>
        <v>0</v>
      </c>
      <c r="I230" s="151">
        <v>1</v>
      </c>
      <c r="J230" s="151">
        <f>0*B230</f>
        <v>0</v>
      </c>
      <c r="K230" s="151">
        <f>13*B230</f>
        <v>0</v>
      </c>
      <c r="L230" s="172">
        <f t="shared" si="72"/>
        <v>1</v>
      </c>
      <c r="M230" s="1539">
        <f t="shared" si="73"/>
        <v>0</v>
      </c>
      <c r="N230" s="1540"/>
    </row>
    <row r="231" spans="1:14">
      <c r="A231" s="78" t="str">
        <f>'Ontario Total'!A231</f>
        <v xml:space="preserve">Central Computerized Irrigation Controller </v>
      </c>
      <c r="B231" s="1423">
        <f>Upland!N280</f>
        <v>0</v>
      </c>
      <c r="C231" s="1424"/>
      <c r="D231" s="1423">
        <f t="shared" si="74"/>
        <v>0</v>
      </c>
      <c r="E231" s="1424"/>
      <c r="F231" s="1547">
        <f>0.018*B231</f>
        <v>0</v>
      </c>
      <c r="G231" s="1548"/>
      <c r="H231" s="587">
        <f t="shared" si="75"/>
        <v>0</v>
      </c>
      <c r="I231" s="151">
        <v>0</v>
      </c>
      <c r="J231" s="151">
        <v>0</v>
      </c>
      <c r="K231" s="151">
        <v>0</v>
      </c>
      <c r="L231" s="172">
        <f t="shared" si="72"/>
        <v>0</v>
      </c>
      <c r="M231" s="1539">
        <f t="shared" si="73"/>
        <v>0</v>
      </c>
      <c r="N231" s="1540"/>
    </row>
    <row r="232" spans="1:14" s="520" customFormat="1">
      <c r="A232" s="107" t="str">
        <f>'Ontario Total'!A232</f>
        <v>Laminar Flow Restrictor</v>
      </c>
      <c r="B232" s="1423">
        <f>Upland!N281</f>
        <v>0</v>
      </c>
      <c r="C232" s="1424"/>
      <c r="D232" s="1423">
        <f t="shared" si="74"/>
        <v>0</v>
      </c>
      <c r="E232" s="1424"/>
      <c r="F232" s="2031">
        <f>0.023*B232</f>
        <v>0</v>
      </c>
      <c r="G232" s="1862"/>
      <c r="H232" s="588">
        <f t="shared" si="75"/>
        <v>0</v>
      </c>
      <c r="I232" s="151">
        <v>0</v>
      </c>
      <c r="J232" s="151">
        <f>B232*10</f>
        <v>0</v>
      </c>
      <c r="K232" s="151">
        <f>B232*10</f>
        <v>0</v>
      </c>
      <c r="L232" s="170">
        <f t="shared" si="72"/>
        <v>0</v>
      </c>
      <c r="M232" s="1539">
        <f t="shared" si="73"/>
        <v>0</v>
      </c>
      <c r="N232" s="1540"/>
    </row>
    <row r="233" spans="1:14" s="520" customFormat="1">
      <c r="A233" s="107" t="str">
        <f>'Ontario Total'!A233</f>
        <v>Air-Cooled Ice Machine</v>
      </c>
      <c r="B233" s="1423">
        <f>Upland!N282</f>
        <v>0</v>
      </c>
      <c r="C233" s="1424"/>
      <c r="D233" s="1423">
        <f t="shared" si="74"/>
        <v>0</v>
      </c>
      <c r="E233" s="1424"/>
      <c r="F233" s="2031">
        <f>0.018*B233</f>
        <v>0</v>
      </c>
      <c r="G233" s="1862"/>
      <c r="H233" s="588">
        <f t="shared" si="75"/>
        <v>0</v>
      </c>
      <c r="I233" s="151">
        <v>0</v>
      </c>
      <c r="J233" s="151">
        <v>0</v>
      </c>
      <c r="K233" s="151">
        <v>0</v>
      </c>
      <c r="L233" s="170">
        <f t="shared" si="72"/>
        <v>0</v>
      </c>
      <c r="M233" s="1539">
        <f t="shared" si="73"/>
        <v>0</v>
      </c>
      <c r="N233" s="1540"/>
    </row>
    <row r="234" spans="1:14" s="520" customFormat="1" ht="14" thickBot="1">
      <c r="A234" s="107" t="s">
        <v>257</v>
      </c>
      <c r="B234" s="1423">
        <f>Upland!N283</f>
        <v>12</v>
      </c>
      <c r="C234" s="1424"/>
      <c r="D234" s="1423">
        <f>F234*325900</f>
        <v>5421662.6229999987</v>
      </c>
      <c r="E234" s="1536"/>
      <c r="F234" s="2031">
        <f>127969*0.00013</f>
        <v>16.635969999999997</v>
      </c>
      <c r="G234" s="1862"/>
      <c r="H234" s="588">
        <f t="shared" si="75"/>
        <v>166.35969999999998</v>
      </c>
      <c r="I234" s="151">
        <v>0</v>
      </c>
      <c r="J234" s="151">
        <v>127969</v>
      </c>
      <c r="K234" s="151">
        <v>255938</v>
      </c>
      <c r="L234" s="170">
        <f t="shared" si="72"/>
        <v>383907</v>
      </c>
      <c r="M234" s="1539">
        <f t="shared" si="73"/>
        <v>30.687397708674311</v>
      </c>
      <c r="N234" s="1540"/>
    </row>
    <row r="235" spans="1:14" s="520" customFormat="1" ht="14" hidden="1" thickBot="1">
      <c r="A235" s="107"/>
      <c r="B235" s="599"/>
      <c r="C235" s="587"/>
      <c r="D235" s="599"/>
      <c r="E235" s="587"/>
      <c r="F235" s="648"/>
      <c r="G235" s="649"/>
      <c r="H235" s="588"/>
      <c r="I235" s="151"/>
      <c r="J235" s="151"/>
      <c r="K235" s="151"/>
      <c r="L235" s="170"/>
      <c r="M235" s="589"/>
      <c r="N235" s="590"/>
    </row>
    <row r="236" spans="1:14" s="1161" customFormat="1" ht="17" thickBot="1">
      <c r="A236" s="108" t="str">
        <f>'Ontario Total'!A236</f>
        <v>IEUA Locally Implemented Commercial Programs</v>
      </c>
      <c r="B236" s="1567"/>
      <c r="C236" s="1586"/>
      <c r="D236" s="1567"/>
      <c r="E236" s="1586"/>
      <c r="F236" s="1619"/>
      <c r="G236" s="1913"/>
      <c r="H236" s="1142"/>
      <c r="I236" s="109"/>
      <c r="J236" s="109"/>
      <c r="K236" s="109"/>
      <c r="L236" s="1141"/>
      <c r="M236" s="1617"/>
      <c r="N236" s="1486"/>
    </row>
    <row r="237" spans="1:14" ht="13.5" hidden="1" customHeight="1">
      <c r="A237" s="78" t="str">
        <f>'Ontario Total'!A237</f>
        <v>Fontana Unified School Retrofit Program</v>
      </c>
      <c r="B237" s="1423">
        <v>0</v>
      </c>
      <c r="C237" s="1424"/>
      <c r="D237" s="1423">
        <f>F237*325851</f>
        <v>0</v>
      </c>
      <c r="E237" s="1424"/>
      <c r="F237" s="1423">
        <f>0.018*B237</f>
        <v>0</v>
      </c>
      <c r="G237" s="1424"/>
      <c r="H237" s="587">
        <f>F237*10</f>
        <v>0</v>
      </c>
      <c r="I237" s="588">
        <v>0</v>
      </c>
      <c r="J237" s="151">
        <v>0</v>
      </c>
      <c r="K237" s="151">
        <v>0</v>
      </c>
      <c r="L237" s="172">
        <f>SUM(I237:K237)</f>
        <v>0</v>
      </c>
      <c r="M237" s="1539">
        <f>IF(ISERROR(L237/(F237*727)),0,L237/(F237*727))</f>
        <v>0</v>
      </c>
      <c r="N237" s="1540"/>
    </row>
    <row r="238" spans="1:14" ht="14" thickBot="1">
      <c r="A238" s="78" t="s">
        <v>165</v>
      </c>
      <c r="B238" s="1423">
        <f>Upland!N286</f>
        <v>400</v>
      </c>
      <c r="C238" s="1424"/>
      <c r="D238" s="1423">
        <f>F238*325900</f>
        <v>521440</v>
      </c>
      <c r="E238" s="1424"/>
      <c r="F238" s="1423">
        <f>0.004*B238</f>
        <v>1.6</v>
      </c>
      <c r="G238" s="1424"/>
      <c r="H238" s="587">
        <f>F238*5</f>
        <v>8</v>
      </c>
      <c r="I238" s="151">
        <v>0</v>
      </c>
      <c r="J238" s="151">
        <f>0*B238</f>
        <v>0</v>
      </c>
      <c r="K238" s="151">
        <f>3.25*B238</f>
        <v>1300</v>
      </c>
      <c r="L238" s="172">
        <f>SUM(I238:K238)</f>
        <v>1300</v>
      </c>
      <c r="M238" s="1539">
        <f>IF(ISERROR(L238/(F238*752)),0,L238/(F238*752))</f>
        <v>1.0804521276595744</v>
      </c>
      <c r="N238" s="1540"/>
    </row>
    <row r="239" spans="1:14" ht="14" thickBot="1">
      <c r="A239" s="53" t="s">
        <v>60</v>
      </c>
      <c r="B239" s="1438">
        <f>SUM(B221:B238)</f>
        <v>441</v>
      </c>
      <c r="C239" s="1621"/>
      <c r="D239" s="1441">
        <f>SUM(D221:E238)</f>
        <v>6713041.3729999987</v>
      </c>
      <c r="E239" s="1621"/>
      <c r="F239" s="1441">
        <f>SUM(F221:G238)</f>
        <v>20.598469999999999</v>
      </c>
      <c r="G239" s="1609"/>
      <c r="H239" s="586">
        <f>SUM(H221:H238)</f>
        <v>208.60969999999998</v>
      </c>
      <c r="I239" s="136">
        <v>0</v>
      </c>
      <c r="J239" s="136">
        <f>SUM(J221:J238)</f>
        <v>132990</v>
      </c>
      <c r="K239" s="136">
        <f>SUM(K221:K238)</f>
        <v>280856</v>
      </c>
      <c r="L239" s="136">
        <f>SUM(L221:L238)</f>
        <v>413847</v>
      </c>
      <c r="M239" s="1657"/>
      <c r="N239" s="1622"/>
    </row>
    <row r="240" spans="1:14" s="1208" customFormat="1" ht="17" thickBot="1">
      <c r="A240" s="1182" t="s">
        <v>17</v>
      </c>
      <c r="B240" s="1416">
        <f>SUM(,B239,B219,B215)</f>
        <v>1897</v>
      </c>
      <c r="C240" s="1415"/>
      <c r="D240" s="1416">
        <f>SUM(D215+D219+D239)</f>
        <v>14027540.972999999</v>
      </c>
      <c r="E240" s="1415"/>
      <c r="F240" s="1416">
        <f>SUM(F215+F219+F239)</f>
        <v>43.042470000000002</v>
      </c>
      <c r="G240" s="1415"/>
      <c r="H240" s="1164">
        <f>SUM(H239,H219,H215)</f>
        <v>458.67970000000003</v>
      </c>
      <c r="I240" s="1169">
        <f>SUM(I239,I219,I215)</f>
        <v>0</v>
      </c>
      <c r="J240" s="1169">
        <f>SUM(J239,J219,J215)</f>
        <v>168258</v>
      </c>
      <c r="K240" s="1169">
        <f>SUM(K239,K219,K215)</f>
        <v>392208</v>
      </c>
      <c r="L240" s="1169">
        <f>SUM(L239,L219,L215)</f>
        <v>560467</v>
      </c>
      <c r="M240" s="1416"/>
      <c r="N240" s="1415"/>
    </row>
    <row r="241" spans="1:14" ht="16">
      <c r="A241" s="60"/>
      <c r="B241" s="61"/>
      <c r="C241" s="61"/>
      <c r="D241" s="61"/>
      <c r="E241" s="61"/>
      <c r="F241" s="61"/>
      <c r="G241" s="61"/>
      <c r="H241" s="61"/>
      <c r="I241" s="62"/>
      <c r="J241" s="62"/>
      <c r="K241" s="62"/>
      <c r="L241" s="62"/>
      <c r="M241" s="64"/>
      <c r="N241" s="65"/>
    </row>
    <row r="242" spans="1:14" ht="16">
      <c r="A242" s="9" t="s">
        <v>18</v>
      </c>
      <c r="B242" s="1489" t="s">
        <v>59</v>
      </c>
      <c r="C242" s="1489"/>
      <c r="D242" s="1489"/>
      <c r="E242" s="1489"/>
      <c r="F242" s="61"/>
      <c r="G242" s="61"/>
      <c r="H242" s="61"/>
      <c r="I242" s="62"/>
      <c r="J242" s="62"/>
      <c r="K242" s="62"/>
      <c r="L242" s="62"/>
      <c r="M242" s="64"/>
      <c r="N242" s="65"/>
    </row>
    <row r="243" spans="1:14" ht="16">
      <c r="A243" s="520"/>
      <c r="B243" s="1559" t="s">
        <v>19</v>
      </c>
      <c r="C243" s="1559"/>
      <c r="D243" s="1559"/>
      <c r="E243" s="1559"/>
      <c r="F243" s="61"/>
      <c r="G243" s="61"/>
      <c r="H243" s="61"/>
      <c r="I243" s="62"/>
      <c r="J243" s="62"/>
      <c r="K243" s="62"/>
      <c r="L243" s="62"/>
      <c r="M243" s="64"/>
      <c r="N243" s="65"/>
    </row>
    <row r="244" spans="1:14" ht="17" thickBot="1">
      <c r="A244" s="520"/>
      <c r="B244" s="869"/>
      <c r="C244" s="869"/>
      <c r="D244" s="869"/>
      <c r="E244" s="869"/>
      <c r="F244" s="61"/>
      <c r="G244" s="61"/>
      <c r="H244" s="61"/>
      <c r="I244" s="62"/>
      <c r="J244" s="62"/>
      <c r="K244" s="62"/>
      <c r="L244" s="62"/>
      <c r="M244" s="64"/>
      <c r="N244" s="65"/>
    </row>
    <row r="245" spans="1:14" s="646" customFormat="1" ht="16">
      <c r="A245" s="98"/>
      <c r="B245" s="99"/>
      <c r="C245" s="99"/>
      <c r="D245" s="99"/>
      <c r="E245" s="99"/>
      <c r="F245" s="100"/>
      <c r="G245" s="100"/>
      <c r="H245" s="736"/>
      <c r="I245" s="1468" t="s">
        <v>0</v>
      </c>
      <c r="J245" s="1468"/>
      <c r="K245" s="1468"/>
      <c r="L245" s="1468"/>
      <c r="M245" s="99"/>
      <c r="N245" s="101"/>
    </row>
    <row r="246" spans="1:14" ht="16">
      <c r="A246" s="97"/>
      <c r="B246" s="1469" t="s">
        <v>1</v>
      </c>
      <c r="C246" s="1469"/>
      <c r="D246" s="1469" t="s">
        <v>2</v>
      </c>
      <c r="E246" s="1469"/>
      <c r="F246" s="1863" t="s">
        <v>3</v>
      </c>
      <c r="G246" s="1863"/>
      <c r="H246" s="873" t="s">
        <v>3</v>
      </c>
      <c r="I246" s="127" t="s">
        <v>197</v>
      </c>
      <c r="J246" s="102"/>
      <c r="K246" s="102"/>
      <c r="L246" s="128"/>
      <c r="M246" s="1469" t="s">
        <v>4</v>
      </c>
      <c r="N246" s="1526"/>
    </row>
    <row r="247" spans="1:14" ht="19" thickBot="1">
      <c r="A247" s="103" t="s">
        <v>5</v>
      </c>
      <c r="B247" s="1473" t="s">
        <v>6</v>
      </c>
      <c r="C247" s="1473"/>
      <c r="D247" s="1473" t="s">
        <v>7</v>
      </c>
      <c r="E247" s="1473"/>
      <c r="F247" s="1864" t="s">
        <v>7</v>
      </c>
      <c r="G247" s="1864"/>
      <c r="H247" s="874" t="s">
        <v>58</v>
      </c>
      <c r="I247" s="868" t="s">
        <v>196</v>
      </c>
      <c r="J247" s="867" t="s">
        <v>8</v>
      </c>
      <c r="K247" s="867" t="s">
        <v>9</v>
      </c>
      <c r="L247" s="401" t="s">
        <v>10</v>
      </c>
      <c r="M247" s="1473" t="s">
        <v>145</v>
      </c>
      <c r="N247" s="1475"/>
    </row>
    <row r="248" spans="1:14" ht="24" thickBot="1">
      <c r="A248" s="88" t="s">
        <v>211</v>
      </c>
      <c r="B248" s="1482"/>
      <c r="C248" s="2021"/>
      <c r="D248" s="2022"/>
      <c r="E248" s="2023"/>
      <c r="F248" s="2024"/>
      <c r="G248" s="2025"/>
      <c r="H248" s="647"/>
      <c r="I248" s="213"/>
      <c r="J248" s="213"/>
      <c r="K248" s="213"/>
      <c r="L248" s="214"/>
      <c r="M248" s="1482"/>
      <c r="N248" s="1483"/>
    </row>
    <row r="249" spans="1:14" s="1161" customFormat="1" ht="15.75" customHeight="1" thickBot="1">
      <c r="A249" s="108" t="str">
        <f>'Ontario Total'!A249</f>
        <v>SoCal Water$mart Residential Rebates</v>
      </c>
      <c r="B249" s="1567"/>
      <c r="C249" s="1586"/>
      <c r="D249" s="1567"/>
      <c r="E249" s="1586"/>
      <c r="F249" s="1619"/>
      <c r="G249" s="1620"/>
      <c r="H249" s="1142"/>
      <c r="I249" s="109"/>
      <c r="J249" s="109"/>
      <c r="K249" s="109"/>
      <c r="L249" s="1141"/>
      <c r="M249" s="1617"/>
      <c r="N249" s="1486"/>
    </row>
    <row r="250" spans="1:14">
      <c r="A250" s="78" t="str">
        <f>'Ontario Total'!A250</f>
        <v>High Efficiency Toilets (HET)</v>
      </c>
      <c r="B250" s="1594">
        <v>52</v>
      </c>
      <c r="C250" s="1595"/>
      <c r="D250" s="2018">
        <f t="shared" ref="D250:D255" si="76">F250*325851</f>
        <v>720130.71</v>
      </c>
      <c r="E250" s="1595"/>
      <c r="F250" s="2042">
        <f>0.0425*B250</f>
        <v>2.21</v>
      </c>
      <c r="G250" s="2043"/>
      <c r="H250" s="587">
        <f>F250*20</f>
        <v>44.2</v>
      </c>
      <c r="I250" s="151">
        <v>0</v>
      </c>
      <c r="J250" s="150">
        <f>50*B250</f>
        <v>2600</v>
      </c>
      <c r="K250" s="150">
        <f>B250*50</f>
        <v>2600</v>
      </c>
      <c r="L250" s="172">
        <f t="shared" ref="L250:L255" si="77">I250+J250+K250</f>
        <v>5200</v>
      </c>
      <c r="M250" s="1599">
        <f t="shared" ref="M250:M255" si="78">IF(ISERROR(L250/(F250*752)),0,L250/(F250*752))</f>
        <v>3.1289111389236544</v>
      </c>
      <c r="N250" s="1600"/>
    </row>
    <row r="251" spans="1:14">
      <c r="A251" s="78" t="str">
        <f>'Ontario Total'!A251</f>
        <v>High Efficiency Clothes Washers (HECW)</v>
      </c>
      <c r="B251" s="1563">
        <v>125</v>
      </c>
      <c r="C251" s="1424"/>
      <c r="D251" s="1423">
        <f t="shared" si="76"/>
        <v>1124185.95</v>
      </c>
      <c r="E251" s="1424"/>
      <c r="F251" s="1547">
        <f>0.0276*B251</f>
        <v>3.4499999999999997</v>
      </c>
      <c r="G251" s="1548"/>
      <c r="H251" s="587">
        <f>F251*15</f>
        <v>51.749999999999993</v>
      </c>
      <c r="I251" s="150">
        <f>0*B251</f>
        <v>0</v>
      </c>
      <c r="J251" s="150">
        <f>B251*65</f>
        <v>8125</v>
      </c>
      <c r="K251" s="150">
        <f>B251*85</f>
        <v>10625</v>
      </c>
      <c r="L251" s="172">
        <f t="shared" si="77"/>
        <v>18750</v>
      </c>
      <c r="M251" s="1539">
        <f t="shared" si="78"/>
        <v>7.2271045328399639</v>
      </c>
      <c r="N251" s="1540"/>
    </row>
    <row r="252" spans="1:14">
      <c r="A252" s="78" t="str">
        <f>'Ontario Total'!A252</f>
        <v>Rotating Nozzles for Pop-up Spray Heads</v>
      </c>
      <c r="B252" s="1563">
        <v>2</v>
      </c>
      <c r="C252" s="1424"/>
      <c r="D252" s="1423">
        <f t="shared" si="76"/>
        <v>2606.808</v>
      </c>
      <c r="E252" s="1424"/>
      <c r="F252" s="1547">
        <f>0.004*B252</f>
        <v>8.0000000000000002E-3</v>
      </c>
      <c r="G252" s="1548"/>
      <c r="H252" s="587">
        <f>F252*5</f>
        <v>0.04</v>
      </c>
      <c r="I252" s="150">
        <f>0*B252</f>
        <v>0</v>
      </c>
      <c r="J252" s="150">
        <f>1*B252</f>
        <v>2</v>
      </c>
      <c r="K252" s="150">
        <f>B252*4</f>
        <v>8</v>
      </c>
      <c r="L252" s="172">
        <f t="shared" si="77"/>
        <v>10</v>
      </c>
      <c r="M252" s="1539">
        <f t="shared" si="78"/>
        <v>1.6622340425531914</v>
      </c>
      <c r="N252" s="1540"/>
    </row>
    <row r="253" spans="1:14">
      <c r="A253" s="78" t="str">
        <f>'Ontario Total'!A253</f>
        <v>Weather based Irrigation Controllers (WBIC)</v>
      </c>
      <c r="B253" s="1563">
        <v>12</v>
      </c>
      <c r="C253" s="1424"/>
      <c r="D253" s="1423">
        <f t="shared" si="76"/>
        <v>1270818.9000000001</v>
      </c>
      <c r="E253" s="1424"/>
      <c r="F253" s="1547">
        <f>0.325*B253</f>
        <v>3.9000000000000004</v>
      </c>
      <c r="G253" s="1548"/>
      <c r="H253" s="587">
        <f>F253*10</f>
        <v>39</v>
      </c>
      <c r="I253" s="151">
        <v>0</v>
      </c>
      <c r="J253" s="150">
        <f>B253*70</f>
        <v>840</v>
      </c>
      <c r="K253" s="150">
        <f>B253*80</f>
        <v>960</v>
      </c>
      <c r="L253" s="172">
        <f t="shared" si="77"/>
        <v>1800</v>
      </c>
      <c r="M253" s="1539">
        <f t="shared" si="78"/>
        <v>0.61374795417348604</v>
      </c>
      <c r="N253" s="1540"/>
    </row>
    <row r="254" spans="1:14" ht="12.75" hidden="1" customHeight="1">
      <c r="A254" s="76" t="s">
        <v>182</v>
      </c>
      <c r="B254" s="1563">
        <v>0</v>
      </c>
      <c r="C254" s="1424"/>
      <c r="D254" s="1423">
        <f t="shared" si="76"/>
        <v>0</v>
      </c>
      <c r="E254" s="1424"/>
      <c r="F254" s="1547">
        <f>0.325*B254</f>
        <v>0</v>
      </c>
      <c r="G254" s="1548"/>
      <c r="H254" s="587">
        <f>F254*10</f>
        <v>0</v>
      </c>
      <c r="I254" s="151">
        <v>0</v>
      </c>
      <c r="J254" s="150">
        <f>B254*70</f>
        <v>0</v>
      </c>
      <c r="K254" s="150">
        <f>B254*80</f>
        <v>0</v>
      </c>
      <c r="L254" s="172">
        <f t="shared" si="77"/>
        <v>0</v>
      </c>
      <c r="M254" s="1539">
        <f t="shared" si="78"/>
        <v>0</v>
      </c>
      <c r="N254" s="1540"/>
    </row>
    <row r="255" spans="1:14" ht="12.75" customHeight="1" thickBot="1">
      <c r="A255" s="76" t="s">
        <v>214</v>
      </c>
      <c r="B255" s="1560">
        <v>27</v>
      </c>
      <c r="C255" s="1544"/>
      <c r="D255" s="1423">
        <f t="shared" si="76"/>
        <v>16716.156299999999</v>
      </c>
      <c r="E255" s="1424"/>
      <c r="F255" s="1571">
        <f>0.0019*B255</f>
        <v>5.1299999999999998E-2</v>
      </c>
      <c r="G255" s="1572"/>
      <c r="H255" s="717">
        <f>F255*5</f>
        <v>0.25650000000000001</v>
      </c>
      <c r="I255" s="151">
        <v>0</v>
      </c>
      <c r="J255" s="150">
        <f>B255*0</f>
        <v>0</v>
      </c>
      <c r="K255" s="150">
        <f>B255*75</f>
        <v>2025</v>
      </c>
      <c r="L255" s="172">
        <f t="shared" si="77"/>
        <v>2025</v>
      </c>
      <c r="M255" s="1561">
        <f t="shared" si="78"/>
        <v>52.491601343785</v>
      </c>
      <c r="N255" s="1562"/>
    </row>
    <row r="256" spans="1:14" s="1161" customFormat="1" ht="15.75" customHeight="1" thickBot="1">
      <c r="A256" s="108" t="str">
        <f>'Ontario Total'!A256</f>
        <v>IEUA Locally Implemented Residential Programs</v>
      </c>
      <c r="B256" s="1456"/>
      <c r="C256" s="1586"/>
      <c r="D256" s="1567"/>
      <c r="E256" s="1586"/>
      <c r="F256" s="1619"/>
      <c r="G256" s="1620"/>
      <c r="H256" s="1142"/>
      <c r="I256" s="109"/>
      <c r="J256" s="109"/>
      <c r="K256" s="109"/>
      <c r="L256" s="1141"/>
      <c r="M256" s="1617"/>
      <c r="N256" s="1486"/>
    </row>
    <row r="257" spans="1:14">
      <c r="A257" s="78" t="s">
        <v>205</v>
      </c>
      <c r="B257" s="1594">
        <v>2538</v>
      </c>
      <c r="C257" s="1595"/>
      <c r="D257" s="2018">
        <f>F257*325851</f>
        <v>3308039.3520000004</v>
      </c>
      <c r="E257" s="1595"/>
      <c r="F257" s="2042">
        <f>B257*0.004</f>
        <v>10.152000000000001</v>
      </c>
      <c r="G257" s="2043"/>
      <c r="H257" s="594">
        <f>F257*5</f>
        <v>50.760000000000005</v>
      </c>
      <c r="I257" s="151">
        <v>0</v>
      </c>
      <c r="J257" s="151">
        <v>0</v>
      </c>
      <c r="K257" s="173">
        <f>10750*3.25</f>
        <v>34937.5</v>
      </c>
      <c r="L257" s="174">
        <f>I257+J257+K257</f>
        <v>34937.5</v>
      </c>
      <c r="M257" s="1599">
        <f>IF(ISERROR(L257/(F257*752)),0,L257/(F257*752))</f>
        <v>4.576383125429639</v>
      </c>
      <c r="N257" s="1600"/>
    </row>
    <row r="258" spans="1:14">
      <c r="A258" s="78" t="s">
        <v>229</v>
      </c>
      <c r="B258" s="1563">
        <v>24</v>
      </c>
      <c r="C258" s="1424"/>
      <c r="D258" s="1423">
        <f>F258*325851</f>
        <v>4887765</v>
      </c>
      <c r="E258" s="1424"/>
      <c r="F258" s="1868">
        <v>15</v>
      </c>
      <c r="G258" s="1579"/>
      <c r="H258" s="588">
        <v>138</v>
      </c>
      <c r="I258" s="151">
        <v>12043.04</v>
      </c>
      <c r="J258" s="151">
        <v>0</v>
      </c>
      <c r="K258" s="151">
        <v>12043.04</v>
      </c>
      <c r="L258" s="172">
        <f>I258+J258+K258</f>
        <v>24086.080000000002</v>
      </c>
      <c r="M258" s="1539">
        <f>IF(ISERROR(L258/(F258*752)),0,L258/(F258*752))</f>
        <v>2.1352907801418439</v>
      </c>
      <c r="N258" s="1540"/>
    </row>
    <row r="259" spans="1:14" ht="14" thickBot="1">
      <c r="A259" s="78" t="s">
        <v>220</v>
      </c>
      <c r="B259" s="1560">
        <v>9</v>
      </c>
      <c r="C259" s="1544"/>
      <c r="D259" s="1543">
        <f>F259*325851</f>
        <v>348986.42099999997</v>
      </c>
      <c r="E259" s="1544"/>
      <c r="F259" s="2044">
        <f>7650*0.00014</f>
        <v>1.071</v>
      </c>
      <c r="G259" s="2045"/>
      <c r="H259" s="588">
        <f>F259*10</f>
        <v>10.709999999999999</v>
      </c>
      <c r="I259" s="151">
        <v>0</v>
      </c>
      <c r="J259" s="151">
        <v>14733</v>
      </c>
      <c r="K259" s="151">
        <v>8700</v>
      </c>
      <c r="L259" s="172">
        <f>I259+J259+K259</f>
        <v>23433</v>
      </c>
      <c r="M259" s="1561">
        <f>IF(ISERROR(L259/(F259*752)),0,L259/(F259*752))</f>
        <v>29.095148697776985</v>
      </c>
      <c r="N259" s="1562"/>
    </row>
    <row r="260" spans="1:14" ht="14" thickBot="1">
      <c r="A260" s="53" t="s">
        <v>60</v>
      </c>
      <c r="B260" s="1438">
        <f>SUM(B250:C259)</f>
        <v>2789</v>
      </c>
      <c r="C260" s="1440"/>
      <c r="D260" s="1441">
        <f>SUM(D250:E259)</f>
        <v>11679249.2973</v>
      </c>
      <c r="E260" s="1439"/>
      <c r="F260" s="1440">
        <f>SUM(F250:G259)</f>
        <v>35.842300000000002</v>
      </c>
      <c r="G260" s="1439"/>
      <c r="H260" s="586">
        <f>SUM(H250:H259)</f>
        <v>334.7165</v>
      </c>
      <c r="I260" s="136">
        <f>SUM(I250:I259)</f>
        <v>12043.04</v>
      </c>
      <c r="J260" s="136">
        <f>SUM(J250:J259)</f>
        <v>26300</v>
      </c>
      <c r="K260" s="136">
        <f>SUM(K250:K259)</f>
        <v>71898.540000000008</v>
      </c>
      <c r="L260" s="152">
        <f>SUM(L250:L259)</f>
        <v>110241.58</v>
      </c>
      <c r="M260" s="1441"/>
      <c r="N260" s="1439"/>
    </row>
    <row r="261" spans="1:14" s="91" customFormat="1" ht="16.5" hidden="1" customHeight="1" thickBot="1">
      <c r="A261" s="108" t="str">
        <f>'Ontario Total'!A261</f>
        <v xml:space="preserve">IEUA High Efficiency Toilet (HET) Installation Prog. </v>
      </c>
      <c r="B261" s="1456"/>
      <c r="C261" s="1586"/>
      <c r="D261" s="1567"/>
      <c r="E261" s="1586"/>
      <c r="F261" s="1900"/>
      <c r="G261" s="1883"/>
      <c r="H261" s="597"/>
      <c r="I261" s="109"/>
      <c r="J261" s="109"/>
      <c r="K261" s="109"/>
      <c r="L261" s="598"/>
      <c r="M261" s="1617"/>
      <c r="N261" s="1486"/>
    </row>
    <row r="262" spans="1:14" ht="12.75" hidden="1" customHeight="1">
      <c r="A262" s="78" t="str">
        <f>'Ontario Total'!A262</f>
        <v>IEUA Multi-Family Direct Install Prog. (HET)</v>
      </c>
      <c r="B262" s="1594"/>
      <c r="C262" s="1595"/>
      <c r="D262" s="2018">
        <f>F262*325851</f>
        <v>0</v>
      </c>
      <c r="E262" s="1595"/>
      <c r="F262" s="2039">
        <f>0.0425*B262</f>
        <v>0</v>
      </c>
      <c r="G262" s="2040"/>
      <c r="H262" s="587">
        <f>F262*20</f>
        <v>0</v>
      </c>
      <c r="I262" s="150">
        <f>73.34*B262</f>
        <v>0</v>
      </c>
      <c r="J262" s="150">
        <f>35.66*B262</f>
        <v>0</v>
      </c>
      <c r="K262" s="150">
        <f>B262*50</f>
        <v>0</v>
      </c>
      <c r="L262" s="172">
        <f>I262+J262+K262</f>
        <v>0</v>
      </c>
      <c r="M262" s="1599">
        <f>IF(ISERROR(L262/(F262*727)),0,L262/(F262*727))</f>
        <v>0</v>
      </c>
      <c r="N262" s="1600"/>
    </row>
    <row r="263" spans="1:14" ht="13.5" hidden="1" customHeight="1" thickBot="1">
      <c r="A263" s="78" t="str">
        <f>'Ontario Total'!A263</f>
        <v>IEUA Single-Family Direct Install Prog. (HET)</v>
      </c>
      <c r="B263" s="1560"/>
      <c r="C263" s="1544"/>
      <c r="D263" s="1543">
        <f>F263*325851</f>
        <v>0</v>
      </c>
      <c r="E263" s="1544"/>
      <c r="F263" s="2041">
        <f>0.0425*B263</f>
        <v>0</v>
      </c>
      <c r="G263" s="1912"/>
      <c r="H263" s="587">
        <f>F263*20</f>
        <v>0</v>
      </c>
      <c r="I263" s="150">
        <f>73.34*B263</f>
        <v>0</v>
      </c>
      <c r="J263" s="150">
        <f>35.66*B263</f>
        <v>0</v>
      </c>
      <c r="K263" s="150">
        <f>B263*50</f>
        <v>0</v>
      </c>
      <c r="L263" s="172">
        <f>I263+J263+K263</f>
        <v>0</v>
      </c>
      <c r="M263" s="1561">
        <f>IF(ISERROR(L263/(F263*727)),0,L263/(F263*727))</f>
        <v>0</v>
      </c>
      <c r="N263" s="1562"/>
    </row>
    <row r="264" spans="1:14" ht="13.5" hidden="1" customHeight="1" thickBot="1">
      <c r="A264" s="53" t="s">
        <v>60</v>
      </c>
      <c r="B264" s="1438"/>
      <c r="C264" s="1730"/>
      <c r="D264" s="1438">
        <f>SUM(D262:D263)</f>
        <v>0</v>
      </c>
      <c r="E264" s="1730"/>
      <c r="F264" s="1438">
        <f>SUM(F262:F263)</f>
        <v>0</v>
      </c>
      <c r="G264" s="1439"/>
      <c r="H264" s="586">
        <f>SUM(H262:H263)</f>
        <v>0</v>
      </c>
      <c r="I264" s="136">
        <f>SUM(I262:I263)</f>
        <v>0</v>
      </c>
      <c r="J264" s="143">
        <f>SUM(J262:J263)</f>
        <v>0</v>
      </c>
      <c r="K264" s="143">
        <f>SUM(K262:K263)</f>
        <v>0</v>
      </c>
      <c r="L264" s="136">
        <f>SUM(L262:L263)</f>
        <v>0</v>
      </c>
      <c r="M264" s="1657"/>
      <c r="N264" s="1790"/>
    </row>
    <row r="265" spans="1:14" s="1161" customFormat="1" ht="17" thickBot="1">
      <c r="A265" s="108" t="str">
        <f>'Ontario Total'!A265</f>
        <v>SoCal Water$mart Commercial Rebates</v>
      </c>
      <c r="B265" s="1456"/>
      <c r="C265" s="1586"/>
      <c r="D265" s="1567"/>
      <c r="E265" s="1586"/>
      <c r="F265" s="1619"/>
      <c r="G265" s="1620"/>
      <c r="H265" s="1142"/>
      <c r="I265" s="109"/>
      <c r="J265" s="109"/>
      <c r="K265" s="109"/>
      <c r="L265" s="1141"/>
      <c r="M265" s="1617"/>
      <c r="N265" s="1486"/>
    </row>
    <row r="266" spans="1:14">
      <c r="A266" s="78" t="str">
        <f>'Ontario Total'!A266</f>
        <v>High Efficiency Toilets (HET)</v>
      </c>
      <c r="B266" s="1594">
        <v>2</v>
      </c>
      <c r="C266" s="1595"/>
      <c r="D266" s="2018">
        <f t="shared" ref="D266:D278" si="79">F266*325851</f>
        <v>27697.335000000003</v>
      </c>
      <c r="E266" s="1595"/>
      <c r="F266" s="2039">
        <f>0.0425*B266</f>
        <v>8.5000000000000006E-2</v>
      </c>
      <c r="G266" s="2040"/>
      <c r="H266" s="587">
        <f>F266*20</f>
        <v>1.7000000000000002</v>
      </c>
      <c r="I266" s="151">
        <v>0</v>
      </c>
      <c r="J266" s="150">
        <v>100</v>
      </c>
      <c r="K266" s="150">
        <v>200</v>
      </c>
      <c r="L266" s="172">
        <f t="shared" ref="L266:L278" si="80">SUM(I266:K266)</f>
        <v>300</v>
      </c>
      <c r="M266" s="1599">
        <f>IF(ISERROR(L266/(F266*752)),0,L266/(F266*752))</f>
        <v>4.693366708385482</v>
      </c>
      <c r="N266" s="1600"/>
    </row>
    <row r="267" spans="1:14">
      <c r="A267" s="78" t="str">
        <f>'Ontario Total'!A267</f>
        <v>Waterless Urinals</v>
      </c>
      <c r="B267" s="1563">
        <v>0</v>
      </c>
      <c r="C267" s="1424"/>
      <c r="D267" s="1423">
        <f t="shared" si="79"/>
        <v>0</v>
      </c>
      <c r="E267" s="1424"/>
      <c r="F267" s="1423">
        <f>0.1227*B267</f>
        <v>0</v>
      </c>
      <c r="G267" s="1424"/>
      <c r="H267" s="587">
        <f>F267*20</f>
        <v>0</v>
      </c>
      <c r="I267" s="151">
        <v>0</v>
      </c>
      <c r="J267" s="150">
        <f>50*B267</f>
        <v>0</v>
      </c>
      <c r="K267" s="150">
        <f>200*B267</f>
        <v>0</v>
      </c>
      <c r="L267" s="172">
        <f t="shared" si="80"/>
        <v>0</v>
      </c>
      <c r="M267" s="1539">
        <f t="shared" ref="M267:M279" si="81">IF(ISERROR(L267/(F267*752)),0,L267/(F267*752))</f>
        <v>0</v>
      </c>
      <c r="N267" s="1540"/>
    </row>
    <row r="268" spans="1:14">
      <c r="A268" s="78" t="s">
        <v>204</v>
      </c>
      <c r="B268" s="1563">
        <v>0</v>
      </c>
      <c r="C268" s="1424"/>
      <c r="D268" s="1423">
        <f t="shared" si="79"/>
        <v>0</v>
      </c>
      <c r="E268" s="1424"/>
      <c r="F268" s="1423">
        <f>0.644*B268</f>
        <v>0</v>
      </c>
      <c r="G268" s="1424"/>
      <c r="H268" s="587">
        <f>F268*5</f>
        <v>0</v>
      </c>
      <c r="I268" s="151">
        <v>0</v>
      </c>
      <c r="J268" s="150">
        <f>B268*500</f>
        <v>0</v>
      </c>
      <c r="K268" s="150">
        <f>B268*1750</f>
        <v>0</v>
      </c>
      <c r="L268" s="172">
        <f t="shared" si="80"/>
        <v>0</v>
      </c>
      <c r="M268" s="1539">
        <f t="shared" si="81"/>
        <v>0</v>
      </c>
      <c r="N268" s="1540"/>
    </row>
    <row r="269" spans="1:14" ht="12.75" hidden="1" customHeight="1">
      <c r="A269" s="78" t="str">
        <f>'Ontario Total'!A269</f>
        <v>High Efficiency Clothes Washers</v>
      </c>
      <c r="B269" s="1563"/>
      <c r="C269" s="1424"/>
      <c r="D269" s="1423">
        <f t="shared" si="79"/>
        <v>0</v>
      </c>
      <c r="E269" s="1424"/>
      <c r="F269" s="1423">
        <f>0.0276*B269</f>
        <v>0</v>
      </c>
      <c r="G269" s="1424"/>
      <c r="H269" s="587">
        <f>F269*10</f>
        <v>0</v>
      </c>
      <c r="I269" s="173">
        <v>0</v>
      </c>
      <c r="J269" s="150">
        <f>100*B269</f>
        <v>0</v>
      </c>
      <c r="K269" s="150">
        <f>80*B269</f>
        <v>0</v>
      </c>
      <c r="L269" s="172">
        <f t="shared" si="80"/>
        <v>0</v>
      </c>
      <c r="M269" s="1539">
        <f t="shared" si="81"/>
        <v>0</v>
      </c>
      <c r="N269" s="1540"/>
    </row>
    <row r="270" spans="1:14" ht="12.75" hidden="1" customHeight="1">
      <c r="A270" s="76" t="s">
        <v>47</v>
      </c>
      <c r="B270" s="1563"/>
      <c r="C270" s="1424"/>
      <c r="D270" s="1423">
        <f t="shared" si="79"/>
        <v>0</v>
      </c>
      <c r="E270" s="1424"/>
      <c r="F270" s="1549">
        <f>0.1534*B270</f>
        <v>0</v>
      </c>
      <c r="G270" s="1550"/>
      <c r="H270" s="587">
        <f>F270*5</f>
        <v>0</v>
      </c>
      <c r="I270" s="173">
        <v>0</v>
      </c>
      <c r="J270" s="150">
        <f>0*B270</f>
        <v>0</v>
      </c>
      <c r="K270" s="150">
        <f>150*B270</f>
        <v>0</v>
      </c>
      <c r="L270" s="172">
        <f t="shared" si="80"/>
        <v>0</v>
      </c>
      <c r="M270" s="1539">
        <f t="shared" si="81"/>
        <v>0</v>
      </c>
      <c r="N270" s="1540"/>
    </row>
    <row r="271" spans="1:14">
      <c r="A271" s="78" t="str">
        <f>'Ontario Total'!A271</f>
        <v>Weather Based Irrigation Controllers (WBIC)</v>
      </c>
      <c r="B271" s="1563">
        <v>51</v>
      </c>
      <c r="C271" s="1424"/>
      <c r="D271" s="1423">
        <f t="shared" si="79"/>
        <v>5400980.3250000002</v>
      </c>
      <c r="E271" s="1424"/>
      <c r="F271" s="1547">
        <f>0.325*B271</f>
        <v>16.574999999999999</v>
      </c>
      <c r="G271" s="1548"/>
      <c r="H271" s="587">
        <f>F271*10</f>
        <v>165.75</v>
      </c>
      <c r="I271" s="173">
        <v>0</v>
      </c>
      <c r="J271" s="150">
        <v>4921</v>
      </c>
      <c r="K271" s="150">
        <v>23418</v>
      </c>
      <c r="L271" s="172">
        <f t="shared" si="80"/>
        <v>28339</v>
      </c>
      <c r="M271" s="1539">
        <f t="shared" si="81"/>
        <v>2.2735951991271142</v>
      </c>
      <c r="N271" s="1540"/>
    </row>
    <row r="272" spans="1:14" ht="12.75" hidden="1" customHeight="1">
      <c r="A272" s="76" t="s">
        <v>53</v>
      </c>
      <c r="B272" s="1563"/>
      <c r="C272" s="1424"/>
      <c r="D272" s="1423">
        <f t="shared" si="79"/>
        <v>0</v>
      </c>
      <c r="E272" s="1424"/>
      <c r="F272" s="1547">
        <f>0.00014*B272</f>
        <v>0</v>
      </c>
      <c r="G272" s="1548"/>
      <c r="H272" s="587">
        <f>F272*10</f>
        <v>0</v>
      </c>
      <c r="I272" s="173">
        <v>0</v>
      </c>
      <c r="J272" s="150">
        <f>0.45*B272</f>
        <v>0</v>
      </c>
      <c r="K272" s="150">
        <f>0.3*B272</f>
        <v>0</v>
      </c>
      <c r="L272" s="172">
        <f t="shared" si="80"/>
        <v>0</v>
      </c>
      <c r="M272" s="1539">
        <f t="shared" si="81"/>
        <v>0</v>
      </c>
      <c r="N272" s="1540"/>
    </row>
    <row r="273" spans="1:14">
      <c r="A273" s="78" t="str">
        <f>'Ontario Total'!A273</f>
        <v>Rotating Nozzles for Pop-up Spray Heads</v>
      </c>
      <c r="B273" s="1563">
        <v>0</v>
      </c>
      <c r="C273" s="1424"/>
      <c r="D273" s="1423">
        <f t="shared" si="79"/>
        <v>0</v>
      </c>
      <c r="E273" s="1424"/>
      <c r="F273" s="1547">
        <f>0.004*B273</f>
        <v>0</v>
      </c>
      <c r="G273" s="1548"/>
      <c r="H273" s="587">
        <f>F273*5</f>
        <v>0</v>
      </c>
      <c r="I273" s="173">
        <v>0</v>
      </c>
      <c r="J273" s="151">
        <f>0*B273</f>
        <v>0</v>
      </c>
      <c r="K273" s="151">
        <f>4*B273</f>
        <v>0</v>
      </c>
      <c r="L273" s="172">
        <f t="shared" si="80"/>
        <v>0</v>
      </c>
      <c r="M273" s="1539">
        <f t="shared" si="81"/>
        <v>0</v>
      </c>
      <c r="N273" s="1540"/>
    </row>
    <row r="274" spans="1:14">
      <c r="A274" s="78" t="str">
        <f>'Ontario Total'!A274</f>
        <v>Large Rotary Nozzles</v>
      </c>
      <c r="B274" s="1563">
        <v>0</v>
      </c>
      <c r="C274" s="1424"/>
      <c r="D274" s="1423">
        <f t="shared" si="79"/>
        <v>0</v>
      </c>
      <c r="E274" s="1424"/>
      <c r="F274" s="1547">
        <f>0.018*B274</f>
        <v>0</v>
      </c>
      <c r="G274" s="1548"/>
      <c r="H274" s="587">
        <f t="shared" ref="H274:H279" si="82">F274*10</f>
        <v>0</v>
      </c>
      <c r="I274" s="151">
        <v>0</v>
      </c>
      <c r="J274" s="151">
        <f>0*B274</f>
        <v>0</v>
      </c>
      <c r="K274" s="151">
        <f>13*B274</f>
        <v>0</v>
      </c>
      <c r="L274" s="172">
        <f t="shared" si="80"/>
        <v>0</v>
      </c>
      <c r="M274" s="1539">
        <f t="shared" si="81"/>
        <v>0</v>
      </c>
      <c r="N274" s="1540"/>
    </row>
    <row r="275" spans="1:14" ht="13.5" hidden="1" customHeight="1">
      <c r="A275" s="76" t="s">
        <v>102</v>
      </c>
      <c r="B275" s="1563"/>
      <c r="C275" s="1424"/>
      <c r="D275" s="1423">
        <f t="shared" si="79"/>
        <v>0</v>
      </c>
      <c r="E275" s="1424"/>
      <c r="F275" s="1547">
        <f>0.018*B275</f>
        <v>0</v>
      </c>
      <c r="G275" s="1548"/>
      <c r="H275" s="587">
        <f t="shared" si="82"/>
        <v>0</v>
      </c>
      <c r="I275" s="151">
        <v>1</v>
      </c>
      <c r="J275" s="151">
        <f>0*B275</f>
        <v>0</v>
      </c>
      <c r="K275" s="151">
        <f>13*B275</f>
        <v>0</v>
      </c>
      <c r="L275" s="172">
        <f t="shared" si="80"/>
        <v>1</v>
      </c>
      <c r="M275" s="1539">
        <f t="shared" si="81"/>
        <v>0</v>
      </c>
      <c r="N275" s="1540"/>
    </row>
    <row r="276" spans="1:14">
      <c r="A276" s="78" t="str">
        <f>'Ontario Total'!A276</f>
        <v xml:space="preserve">Central Computerized Irrigation Controller </v>
      </c>
      <c r="B276" s="1563">
        <v>0</v>
      </c>
      <c r="C276" s="1424"/>
      <c r="D276" s="1423">
        <f t="shared" si="79"/>
        <v>0</v>
      </c>
      <c r="E276" s="1424"/>
      <c r="F276" s="1547">
        <f>0.018*B276</f>
        <v>0</v>
      </c>
      <c r="G276" s="1548"/>
      <c r="H276" s="587">
        <f t="shared" si="82"/>
        <v>0</v>
      </c>
      <c r="I276" s="151">
        <v>0</v>
      </c>
      <c r="J276" s="151">
        <v>0</v>
      </c>
      <c r="K276" s="151">
        <v>0</v>
      </c>
      <c r="L276" s="172">
        <f t="shared" si="80"/>
        <v>0</v>
      </c>
      <c r="M276" s="1539">
        <f t="shared" si="81"/>
        <v>0</v>
      </c>
      <c r="N276" s="1540"/>
    </row>
    <row r="277" spans="1:14" s="520" customFormat="1">
      <c r="A277" s="107" t="str">
        <f>'Ontario Total'!A277</f>
        <v>Laminar Flow Restrictor</v>
      </c>
      <c r="B277" s="1563">
        <v>315</v>
      </c>
      <c r="C277" s="1424"/>
      <c r="D277" s="1868">
        <f t="shared" si="79"/>
        <v>2360790.4950000001</v>
      </c>
      <c r="E277" s="1579"/>
      <c r="F277" s="2031">
        <f>0.023*B277</f>
        <v>7.2450000000000001</v>
      </c>
      <c r="G277" s="1862"/>
      <c r="H277" s="588">
        <f t="shared" si="82"/>
        <v>72.45</v>
      </c>
      <c r="I277" s="151">
        <v>0</v>
      </c>
      <c r="J277" s="151">
        <f>B277*10</f>
        <v>3150</v>
      </c>
      <c r="K277" s="151">
        <f>B277*10</f>
        <v>3150</v>
      </c>
      <c r="L277" s="170">
        <f t="shared" si="80"/>
        <v>6300</v>
      </c>
      <c r="M277" s="1539">
        <f t="shared" si="81"/>
        <v>1.1563367252543941</v>
      </c>
      <c r="N277" s="1540"/>
    </row>
    <row r="278" spans="1:14" s="520" customFormat="1">
      <c r="A278" s="107" t="str">
        <f>'Ontario Total'!A278</f>
        <v>Air-Cooled Ice Machine</v>
      </c>
      <c r="B278" s="1563">
        <v>0</v>
      </c>
      <c r="C278" s="1424"/>
      <c r="D278" s="1868">
        <f t="shared" si="79"/>
        <v>0</v>
      </c>
      <c r="E278" s="1579"/>
      <c r="F278" s="2031">
        <f>0.018*B278</f>
        <v>0</v>
      </c>
      <c r="G278" s="1862"/>
      <c r="H278" s="588">
        <f t="shared" si="82"/>
        <v>0</v>
      </c>
      <c r="I278" s="151">
        <v>0</v>
      </c>
      <c r="J278" s="151">
        <v>0</v>
      </c>
      <c r="K278" s="151">
        <v>0</v>
      </c>
      <c r="L278" s="170">
        <f t="shared" si="80"/>
        <v>0</v>
      </c>
      <c r="M278" s="1539">
        <f t="shared" si="81"/>
        <v>0</v>
      </c>
      <c r="N278" s="1540"/>
    </row>
    <row r="279" spans="1:14" s="520" customFormat="1" ht="14" thickBot="1">
      <c r="A279" s="107" t="s">
        <v>213</v>
      </c>
      <c r="B279" s="1560">
        <v>0</v>
      </c>
      <c r="C279" s="1544"/>
      <c r="D279" s="1616">
        <f>F279*325851</f>
        <v>0</v>
      </c>
      <c r="E279" s="1583"/>
      <c r="F279" s="2032">
        <f>0.018*B279</f>
        <v>0</v>
      </c>
      <c r="G279" s="2033"/>
      <c r="H279" s="588">
        <f t="shared" si="82"/>
        <v>0</v>
      </c>
      <c r="I279" s="151">
        <v>0</v>
      </c>
      <c r="J279" s="151">
        <v>0</v>
      </c>
      <c r="K279" s="151">
        <v>0</v>
      </c>
      <c r="L279" s="170">
        <f>SUM(I279:K279)</f>
        <v>0</v>
      </c>
      <c r="M279" s="1561">
        <f t="shared" si="81"/>
        <v>0</v>
      </c>
      <c r="N279" s="1562"/>
    </row>
    <row r="280" spans="1:14" s="1161" customFormat="1" ht="17" thickBot="1">
      <c r="A280" s="108" t="str">
        <f>'Ontario Total'!A280</f>
        <v>IEUA Locally Implemented Commercial Programs</v>
      </c>
      <c r="B280" s="1456"/>
      <c r="C280" s="1586"/>
      <c r="D280" s="1567"/>
      <c r="E280" s="1586"/>
      <c r="F280" s="1619"/>
      <c r="G280" s="1620"/>
      <c r="H280" s="1142"/>
      <c r="I280" s="109"/>
      <c r="J280" s="109"/>
      <c r="K280" s="109"/>
      <c r="L280" s="1141"/>
      <c r="M280" s="1617"/>
      <c r="N280" s="1486"/>
    </row>
    <row r="281" spans="1:14" ht="13.5" hidden="1" customHeight="1">
      <c r="A281" s="272" t="str">
        <f>'Ontario Total'!A281</f>
        <v>Fontana Unified School Retrofit Program</v>
      </c>
      <c r="B281" s="2034"/>
      <c r="C281" s="2035"/>
      <c r="D281" s="2036">
        <f>F281*325851</f>
        <v>0</v>
      </c>
      <c r="E281" s="2035"/>
      <c r="F281" s="2036">
        <f>0.018*B281</f>
        <v>0</v>
      </c>
      <c r="G281" s="2035"/>
      <c r="H281" s="650">
        <f>F281*10</f>
        <v>0</v>
      </c>
      <c r="I281" s="650">
        <v>0</v>
      </c>
      <c r="J281" s="651">
        <v>0</v>
      </c>
      <c r="K281" s="651">
        <v>0</v>
      </c>
      <c r="L281" s="652">
        <f>SUM(I281:K281)</f>
        <v>0</v>
      </c>
      <c r="M281" s="2037">
        <f>IF(ISERROR(L281/(F281*727)),0,L281/(F281*727))</f>
        <v>0</v>
      </c>
      <c r="N281" s="2038"/>
    </row>
    <row r="282" spans="1:14" s="512" customFormat="1" ht="14" thickBot="1">
      <c r="A282" s="76" t="s">
        <v>165</v>
      </c>
      <c r="B282" s="1643">
        <v>3917</v>
      </c>
      <c r="C282" s="1459"/>
      <c r="D282" s="1458">
        <f>F282*325851</f>
        <v>5105433.4680000003</v>
      </c>
      <c r="E282" s="1459"/>
      <c r="F282" s="1458">
        <f>0.004*B282</f>
        <v>15.668000000000001</v>
      </c>
      <c r="G282" s="1459"/>
      <c r="H282" s="594">
        <f>F282*5</f>
        <v>78.34</v>
      </c>
      <c r="I282" s="173">
        <v>0</v>
      </c>
      <c r="J282" s="173">
        <f>0*B282</f>
        <v>0</v>
      </c>
      <c r="K282" s="173">
        <f>3.25*B282</f>
        <v>12730.25</v>
      </c>
      <c r="L282" s="174">
        <f>SUM(I282:K282)</f>
        <v>12730.25</v>
      </c>
      <c r="M282" s="1880">
        <f>IF(ISERROR(L282/(F282*752)),0,L282/(F282*752))</f>
        <v>1.0804521276595744</v>
      </c>
      <c r="N282" s="1881"/>
    </row>
    <row r="283" spans="1:14" ht="14" thickBot="1">
      <c r="A283" s="53" t="s">
        <v>60</v>
      </c>
      <c r="B283" s="1438">
        <f>SUM(B266:C282)</f>
        <v>4285</v>
      </c>
      <c r="C283" s="1440"/>
      <c r="D283" s="1441">
        <f>SUM(D266:E282)</f>
        <v>12894901.623</v>
      </c>
      <c r="E283" s="1439"/>
      <c r="F283" s="1440">
        <f>SUM(F266:G282)</f>
        <v>39.573</v>
      </c>
      <c r="G283" s="1439"/>
      <c r="H283" s="586">
        <f>SUM(H266:H282)</f>
        <v>318.24</v>
      </c>
      <c r="I283" s="136">
        <v>0</v>
      </c>
      <c r="J283" s="136">
        <f>SUM(J266:J282)</f>
        <v>8171</v>
      </c>
      <c r="K283" s="136">
        <f>SUM(K266:K282)</f>
        <v>39498.25</v>
      </c>
      <c r="L283" s="136">
        <f>SUM(L266:L282)</f>
        <v>47670.25</v>
      </c>
      <c r="M283" s="1657"/>
      <c r="N283" s="1790"/>
    </row>
    <row r="284" spans="1:14" s="1208" customFormat="1" ht="17" thickBot="1">
      <c r="A284" s="1182" t="s">
        <v>17</v>
      </c>
      <c r="B284" s="1416">
        <f>B283+B260</f>
        <v>7074</v>
      </c>
      <c r="C284" s="1415"/>
      <c r="D284" s="1416">
        <f>D283+D260</f>
        <v>24574150.920299999</v>
      </c>
      <c r="E284" s="1415"/>
      <c r="F284" s="1416">
        <f>F283+F260</f>
        <v>75.415300000000002</v>
      </c>
      <c r="G284" s="1415"/>
      <c r="H284" s="1164">
        <f>H283+H260</f>
        <v>652.95650000000001</v>
      </c>
      <c r="I284" s="1169">
        <f>SUM(I283,I264,I260)</f>
        <v>12043.04</v>
      </c>
      <c r="J284" s="1169">
        <f>SUM(J283,J264,J260)</f>
        <v>34471</v>
      </c>
      <c r="K284" s="1169">
        <f>SUM(K283,K264,K260)</f>
        <v>111396.79000000001</v>
      </c>
      <c r="L284" s="1169">
        <f>SUM(L283,L264,L260)</f>
        <v>157911.83000000002</v>
      </c>
      <c r="M284" s="1416"/>
      <c r="N284" s="1415"/>
    </row>
    <row r="285" spans="1:14" ht="16">
      <c r="A285" s="60"/>
      <c r="B285" s="61"/>
      <c r="C285" s="61"/>
      <c r="D285" s="61"/>
      <c r="E285" s="61"/>
      <c r="F285" s="61"/>
      <c r="G285" s="61"/>
      <c r="H285" s="61"/>
      <c r="I285" s="62"/>
      <c r="J285" s="62"/>
      <c r="K285" s="62"/>
      <c r="L285" s="62"/>
      <c r="M285" s="64"/>
      <c r="N285" s="65"/>
    </row>
    <row r="286" spans="1:14" ht="16">
      <c r="A286" s="9" t="s">
        <v>18</v>
      </c>
      <c r="B286" s="1489" t="s">
        <v>59</v>
      </c>
      <c r="C286" s="1489"/>
      <c r="D286" s="1489"/>
      <c r="E286" s="1489"/>
      <c r="F286" s="61"/>
      <c r="G286" s="61"/>
      <c r="H286" s="61"/>
      <c r="I286" s="62"/>
      <c r="J286" s="62"/>
      <c r="K286" s="62"/>
      <c r="L286" s="62"/>
      <c r="M286" s="64"/>
      <c r="N286" s="65"/>
    </row>
    <row r="287" spans="1:14" ht="16">
      <c r="A287" s="520"/>
      <c r="B287" s="1559" t="s">
        <v>19</v>
      </c>
      <c r="C287" s="1559"/>
      <c r="D287" s="1559"/>
      <c r="E287" s="1559"/>
      <c r="F287" s="61"/>
      <c r="G287" s="61"/>
      <c r="H287" s="61"/>
      <c r="I287" s="62"/>
      <c r="J287" s="62"/>
      <c r="K287" s="62"/>
      <c r="L287" s="62"/>
      <c r="M287" s="64"/>
      <c r="N287" s="65"/>
    </row>
    <row r="288" spans="1:14" ht="17" thickBot="1">
      <c r="A288" s="520"/>
      <c r="B288" s="869"/>
      <c r="C288" s="869"/>
      <c r="D288" s="869"/>
      <c r="E288" s="869"/>
      <c r="F288" s="61"/>
      <c r="G288" s="61"/>
      <c r="H288" s="61"/>
      <c r="I288" s="62"/>
      <c r="J288" s="62"/>
      <c r="K288" s="62"/>
      <c r="L288" s="62"/>
      <c r="M288" s="64"/>
      <c r="N288" s="65"/>
    </row>
    <row r="289" spans="1:14" s="646" customFormat="1" ht="16">
      <c r="A289" s="98"/>
      <c r="B289" s="99"/>
      <c r="C289" s="99"/>
      <c r="D289" s="99"/>
      <c r="E289" s="99"/>
      <c r="F289" s="100"/>
      <c r="G289" s="100"/>
      <c r="H289" s="736"/>
      <c r="I289" s="1468" t="s">
        <v>0</v>
      </c>
      <c r="J289" s="1468"/>
      <c r="K289" s="1468"/>
      <c r="L289" s="1468"/>
      <c r="M289" s="99"/>
      <c r="N289" s="101"/>
    </row>
    <row r="290" spans="1:14" ht="16">
      <c r="A290" s="97"/>
      <c r="B290" s="1469" t="s">
        <v>1</v>
      </c>
      <c r="C290" s="1469"/>
      <c r="D290" s="1469" t="s">
        <v>2</v>
      </c>
      <c r="E290" s="1469"/>
      <c r="F290" s="1863" t="s">
        <v>3</v>
      </c>
      <c r="G290" s="1863"/>
      <c r="H290" s="873" t="s">
        <v>3</v>
      </c>
      <c r="I290" s="127" t="s">
        <v>197</v>
      </c>
      <c r="J290" s="102"/>
      <c r="K290" s="102"/>
      <c r="L290" s="128"/>
      <c r="M290" s="1469" t="s">
        <v>4</v>
      </c>
      <c r="N290" s="1526"/>
    </row>
    <row r="291" spans="1:14" ht="19" thickBot="1">
      <c r="A291" s="103" t="s">
        <v>5</v>
      </c>
      <c r="B291" s="1473" t="s">
        <v>6</v>
      </c>
      <c r="C291" s="1473"/>
      <c r="D291" s="1473" t="s">
        <v>7</v>
      </c>
      <c r="E291" s="1473"/>
      <c r="F291" s="1864" t="s">
        <v>7</v>
      </c>
      <c r="G291" s="1864"/>
      <c r="H291" s="874" t="s">
        <v>58</v>
      </c>
      <c r="I291" s="868" t="s">
        <v>196</v>
      </c>
      <c r="J291" s="867" t="s">
        <v>8</v>
      </c>
      <c r="K291" s="867" t="s">
        <v>9</v>
      </c>
      <c r="L291" s="401" t="s">
        <v>10</v>
      </c>
      <c r="M291" s="1473" t="s">
        <v>145</v>
      </c>
      <c r="N291" s="1475"/>
    </row>
    <row r="292" spans="1:14" ht="24" thickBot="1">
      <c r="A292" s="88" t="s">
        <v>185</v>
      </c>
      <c r="B292" s="1482"/>
      <c r="C292" s="2021"/>
      <c r="D292" s="2022"/>
      <c r="E292" s="2023"/>
      <c r="F292" s="2024"/>
      <c r="G292" s="2025"/>
      <c r="H292" s="647"/>
      <c r="I292" s="213"/>
      <c r="J292" s="213"/>
      <c r="K292" s="213"/>
      <c r="L292" s="214"/>
      <c r="M292" s="1482"/>
      <c r="N292" s="1483"/>
    </row>
    <row r="293" spans="1:14" s="1161" customFormat="1" ht="15.75" customHeight="1" thickBot="1">
      <c r="A293" s="108" t="str">
        <f>'Ontario Total'!A293</f>
        <v>SoCal Water$mart Residential Rebates</v>
      </c>
      <c r="B293" s="1567"/>
      <c r="C293" s="1586"/>
      <c r="D293" s="1567"/>
      <c r="E293" s="1586"/>
      <c r="F293" s="1619"/>
      <c r="G293" s="1620"/>
      <c r="H293" s="1142"/>
      <c r="I293" s="109"/>
      <c r="J293" s="109"/>
      <c r="K293" s="109"/>
      <c r="L293" s="1141"/>
      <c r="M293" s="1617"/>
      <c r="N293" s="1486"/>
    </row>
    <row r="294" spans="1:14">
      <c r="A294" s="78" t="str">
        <f>'Ontario Total'!A294</f>
        <v>High Efficiency Toilets (HET)</v>
      </c>
      <c r="B294" s="1423">
        <f>Upland!N178</f>
        <v>0</v>
      </c>
      <c r="C294" s="1424"/>
      <c r="D294" s="1423">
        <f>F294*325851</f>
        <v>0</v>
      </c>
      <c r="E294" s="1424"/>
      <c r="F294" s="1423">
        <f>0.0425*B294</f>
        <v>0</v>
      </c>
      <c r="G294" s="1424"/>
      <c r="H294" s="587">
        <f>F294*20</f>
        <v>0</v>
      </c>
      <c r="I294" s="151">
        <v>0</v>
      </c>
      <c r="J294" s="150">
        <f>50*B294</f>
        <v>0</v>
      </c>
      <c r="K294" s="150">
        <f>B294*50</f>
        <v>0</v>
      </c>
      <c r="L294" s="172">
        <f>I294+J294+K294</f>
        <v>0</v>
      </c>
      <c r="M294" s="1539">
        <f>IF(ISERROR(L294/(F294*727)),0,L294/(F294*727))</f>
        <v>0</v>
      </c>
      <c r="N294" s="1540"/>
    </row>
    <row r="295" spans="1:14">
      <c r="A295" s="78" t="str">
        <f>'Ontario Total'!A295</f>
        <v>High Efficiency Clothes Washers (HECW)</v>
      </c>
      <c r="B295" s="1423">
        <f>Upland!N179</f>
        <v>109</v>
      </c>
      <c r="C295" s="1424"/>
      <c r="D295" s="1423">
        <f t="shared" ref="D295:D301" si="83">F295*325851</f>
        <v>980290.14839999995</v>
      </c>
      <c r="E295" s="1424"/>
      <c r="F295" s="1547">
        <f>0.0276*B295</f>
        <v>3.0084</v>
      </c>
      <c r="G295" s="1548"/>
      <c r="H295" s="587">
        <f>F295*15</f>
        <v>45.125999999999998</v>
      </c>
      <c r="I295" s="150">
        <f>0*B295</f>
        <v>0</v>
      </c>
      <c r="J295" s="150">
        <f>B295*65</f>
        <v>7085</v>
      </c>
      <c r="K295" s="150">
        <f>B295*85</f>
        <v>9265</v>
      </c>
      <c r="L295" s="172">
        <f t="shared" ref="L295:L301" si="84">I295+J295+K295</f>
        <v>16350</v>
      </c>
      <c r="M295" s="1539">
        <f t="shared" ref="M295:M301" si="85">IF(ISERROR(L295/(F295*727)),0,L295/(F295*727))</f>
        <v>7.4756294479995216</v>
      </c>
      <c r="N295" s="1540"/>
    </row>
    <row r="296" spans="1:14">
      <c r="A296" s="78" t="str">
        <f>'Ontario Total'!A296</f>
        <v>Rotating Nozzles for Pop-up Spray Heads</v>
      </c>
      <c r="B296" s="1423">
        <f>Upland!N180</f>
        <v>1</v>
      </c>
      <c r="C296" s="1424"/>
      <c r="D296" s="1423">
        <f t="shared" si="83"/>
        <v>1303.404</v>
      </c>
      <c r="E296" s="1424"/>
      <c r="F296" s="2080">
        <f>0.004*B296</f>
        <v>4.0000000000000001E-3</v>
      </c>
      <c r="G296" s="2081"/>
      <c r="H296" s="733">
        <f>F296*5</f>
        <v>0.02</v>
      </c>
      <c r="I296" s="150">
        <f>0*B296</f>
        <v>0</v>
      </c>
      <c r="J296" s="150">
        <f>1*B296</f>
        <v>1</v>
      </c>
      <c r="K296" s="150">
        <f>B296*4</f>
        <v>4</v>
      </c>
      <c r="L296" s="172">
        <f t="shared" si="84"/>
        <v>5</v>
      </c>
      <c r="M296" s="1539">
        <f t="shared" si="85"/>
        <v>1.71939477303989</v>
      </c>
      <c r="N296" s="1540"/>
    </row>
    <row r="297" spans="1:14" ht="14" thickBot="1">
      <c r="A297" s="78" t="str">
        <f>'Ontario Total'!A297</f>
        <v>Weather based Irrigation Controllers (WBIC)</v>
      </c>
      <c r="B297" s="1423">
        <f>Upland!N181</f>
        <v>5</v>
      </c>
      <c r="C297" s="1424"/>
      <c r="D297" s="1423">
        <f t="shared" si="83"/>
        <v>529507.875</v>
      </c>
      <c r="E297" s="1424"/>
      <c r="F297" s="1547">
        <f>0.325*B297</f>
        <v>1.625</v>
      </c>
      <c r="G297" s="1548"/>
      <c r="H297" s="587">
        <f>F297*10</f>
        <v>16.25</v>
      </c>
      <c r="I297" s="151">
        <v>0</v>
      </c>
      <c r="J297" s="150">
        <f>B297*70</f>
        <v>350</v>
      </c>
      <c r="K297" s="150">
        <f>B297*80</f>
        <v>400</v>
      </c>
      <c r="L297" s="172">
        <f t="shared" si="84"/>
        <v>750</v>
      </c>
      <c r="M297" s="1539">
        <f t="shared" si="85"/>
        <v>0.6348534546608825</v>
      </c>
      <c r="N297" s="1540"/>
    </row>
    <row r="298" spans="1:14" ht="12.75" hidden="1" customHeight="1" thickBot="1">
      <c r="A298" s="76" t="s">
        <v>182</v>
      </c>
      <c r="B298" s="1423">
        <f>Upland!N182</f>
        <v>0</v>
      </c>
      <c r="C298" s="1424"/>
      <c r="D298" s="1423">
        <f t="shared" si="83"/>
        <v>0</v>
      </c>
      <c r="E298" s="1424"/>
      <c r="F298" s="1537"/>
      <c r="G298" s="1538"/>
      <c r="H298" s="594">
        <f>F298*10</f>
        <v>0</v>
      </c>
      <c r="I298" s="653">
        <v>0</v>
      </c>
      <c r="J298" s="79"/>
      <c r="K298" s="79"/>
      <c r="L298" s="591">
        <f t="shared" si="84"/>
        <v>0</v>
      </c>
      <c r="M298" s="1539">
        <f t="shared" si="85"/>
        <v>0</v>
      </c>
      <c r="N298" s="1540"/>
    </row>
    <row r="299" spans="1:14" s="1161" customFormat="1" ht="15.75" customHeight="1" thickBot="1">
      <c r="A299" s="108" t="str">
        <f>'Ontario Total'!A299</f>
        <v>IEUA Locally Implemented Residential Programs</v>
      </c>
      <c r="B299" s="1567"/>
      <c r="C299" s="1586"/>
      <c r="D299" s="1567"/>
      <c r="E299" s="1586"/>
      <c r="F299" s="1587"/>
      <c r="G299" s="1588"/>
      <c r="H299" s="1142"/>
      <c r="I299" s="109"/>
      <c r="J299" s="109"/>
      <c r="K299" s="109"/>
      <c r="L299" s="1141"/>
      <c r="M299" s="1617"/>
      <c r="N299" s="1486"/>
    </row>
    <row r="300" spans="1:14">
      <c r="A300" s="78" t="s">
        <v>205</v>
      </c>
      <c r="B300" s="1423">
        <f>Upland!N184</f>
        <v>2525</v>
      </c>
      <c r="C300" s="1424"/>
      <c r="D300" s="1423">
        <f t="shared" si="83"/>
        <v>3291095.1</v>
      </c>
      <c r="E300" s="1424"/>
      <c r="F300" s="1547">
        <f>B300*0.004</f>
        <v>10.1</v>
      </c>
      <c r="G300" s="1548"/>
      <c r="H300" s="594">
        <f>F300*5</f>
        <v>50.5</v>
      </c>
      <c r="I300" s="151">
        <v>0</v>
      </c>
      <c r="J300" s="151">
        <v>0</v>
      </c>
      <c r="K300" s="173">
        <f>10750*3.25</f>
        <v>34937.5</v>
      </c>
      <c r="L300" s="172">
        <f t="shared" si="84"/>
        <v>34937.5</v>
      </c>
      <c r="M300" s="1539">
        <f t="shared" si="85"/>
        <v>4.7581271194519728</v>
      </c>
      <c r="N300" s="1540"/>
    </row>
    <row r="301" spans="1:14">
      <c r="A301" s="78" t="s">
        <v>166</v>
      </c>
      <c r="B301" s="1423">
        <f>Upland!N185</f>
        <v>23</v>
      </c>
      <c r="C301" s="1424"/>
      <c r="D301" s="1423">
        <f t="shared" si="83"/>
        <v>5865318</v>
      </c>
      <c r="E301" s="1424"/>
      <c r="F301" s="2031">
        <v>18</v>
      </c>
      <c r="G301" s="1862"/>
      <c r="H301" s="588">
        <v>140</v>
      </c>
      <c r="I301" s="151">
        <v>11631</v>
      </c>
      <c r="J301" s="151">
        <v>1894</v>
      </c>
      <c r="K301" s="151">
        <v>13524.44</v>
      </c>
      <c r="L301" s="172">
        <f t="shared" si="84"/>
        <v>27049.440000000002</v>
      </c>
      <c r="M301" s="1539">
        <f t="shared" si="85"/>
        <v>2.0670518110958276</v>
      </c>
      <c r="N301" s="1540"/>
    </row>
    <row r="302" spans="1:14" ht="14" thickBot="1">
      <c r="A302" s="78" t="s">
        <v>208</v>
      </c>
      <c r="B302" s="1423">
        <f>Upland!N186</f>
        <v>3</v>
      </c>
      <c r="C302" s="1424"/>
      <c r="D302" s="1423">
        <f>F302*325851</f>
        <v>134758.93956</v>
      </c>
      <c r="E302" s="1424"/>
      <c r="F302" s="1584">
        <f>2954*0.00014</f>
        <v>0.41355999999999998</v>
      </c>
      <c r="G302" s="1585"/>
      <c r="H302" s="588">
        <f>F302*10</f>
        <v>4.1356000000000002</v>
      </c>
      <c r="I302" s="151">
        <v>861</v>
      </c>
      <c r="J302" s="151">
        <f>2869*0.83</f>
        <v>2381.27</v>
      </c>
      <c r="K302" s="151">
        <f>2869*1</f>
        <v>2869</v>
      </c>
      <c r="L302" s="172">
        <f>I302+J302+K302</f>
        <v>6111.27</v>
      </c>
      <c r="M302" s="1539">
        <f>IF(ISERROR(L302/(F302*727)),0,L302/(F302*727))</f>
        <v>20.326309497312099</v>
      </c>
      <c r="N302" s="1540"/>
    </row>
    <row r="303" spans="1:14" ht="14" thickBot="1">
      <c r="A303" s="53" t="s">
        <v>60</v>
      </c>
      <c r="B303" s="1438">
        <f>SUM(B294:C302)</f>
        <v>2666</v>
      </c>
      <c r="C303" s="1621"/>
      <c r="D303" s="1441">
        <f>SUM(D294:E302)</f>
        <v>10802273.46696</v>
      </c>
      <c r="E303" s="1621"/>
      <c r="F303" s="1511">
        <f>SUM(F294:G302)</f>
        <v>33.150959999999998</v>
      </c>
      <c r="G303" s="1575"/>
      <c r="H303" s="586">
        <f>SUM(H294:H302)</f>
        <v>256.03160000000003</v>
      </c>
      <c r="I303" s="136">
        <f>SUM(I294:I302)</f>
        <v>12492</v>
      </c>
      <c r="J303" s="136">
        <f>SUM(J294:J302)</f>
        <v>11711.27</v>
      </c>
      <c r="K303" s="136">
        <f>SUM(K294:K302)</f>
        <v>60999.94</v>
      </c>
      <c r="L303" s="152">
        <f>SUM(L294:L302)</f>
        <v>85203.21</v>
      </c>
      <c r="M303" s="1441"/>
      <c r="N303" s="1609"/>
    </row>
    <row r="304" spans="1:14" s="1161" customFormat="1" ht="17" thickBot="1">
      <c r="A304" s="108" t="str">
        <f>'Ontario Total'!A304</f>
        <v xml:space="preserve">IEUA High Efficiency Toilet (HET) Installation Prog. </v>
      </c>
      <c r="B304" s="1567"/>
      <c r="C304" s="1586"/>
      <c r="D304" s="1567"/>
      <c r="E304" s="1586"/>
      <c r="F304" s="1587"/>
      <c r="G304" s="1588"/>
      <c r="H304" s="1142"/>
      <c r="I304" s="109"/>
      <c r="J304" s="109"/>
      <c r="K304" s="109"/>
      <c r="L304" s="1141"/>
      <c r="M304" s="1617"/>
      <c r="N304" s="1486"/>
    </row>
    <row r="305" spans="1:14">
      <c r="A305" s="78" t="str">
        <f>'Ontario Total'!A305</f>
        <v>IEUA Multi-Family Direct Install Prog. (HET)</v>
      </c>
      <c r="B305" s="1423">
        <f>Upland!N189</f>
        <v>256</v>
      </c>
      <c r="C305" s="1424"/>
      <c r="D305" s="1423">
        <f>F305*325851</f>
        <v>3545258.8800000004</v>
      </c>
      <c r="E305" s="1424"/>
      <c r="F305" s="1547">
        <f>0.0425*B305</f>
        <v>10.88</v>
      </c>
      <c r="G305" s="1548"/>
      <c r="H305" s="587">
        <f>F305*20</f>
        <v>217.60000000000002</v>
      </c>
      <c r="I305" s="150">
        <f>73.34*B305</f>
        <v>18775.04</v>
      </c>
      <c r="J305" s="150">
        <f>35.66*B305</f>
        <v>9128.9599999999991</v>
      </c>
      <c r="K305" s="150">
        <f>B305*50</f>
        <v>12800</v>
      </c>
      <c r="L305" s="172">
        <f>I305+J305+K305</f>
        <v>40704</v>
      </c>
      <c r="M305" s="1539">
        <f>IF(ISERROR(L305/(F305*727)),0,L305/(F305*727))</f>
        <v>5.146047414839388</v>
      </c>
      <c r="N305" s="1540"/>
    </row>
    <row r="306" spans="1:14" ht="14" thickBot="1">
      <c r="A306" s="78" t="str">
        <f>'Ontario Total'!A306</f>
        <v>IEUA Single-Family Direct Install Prog. (HET)</v>
      </c>
      <c r="B306" s="1423">
        <f>Upland!N190</f>
        <v>633</v>
      </c>
      <c r="C306" s="1424"/>
      <c r="D306" s="1423">
        <f>F306*325851</f>
        <v>8766206.5275000017</v>
      </c>
      <c r="E306" s="1424"/>
      <c r="F306" s="1547">
        <f>0.0425*B306</f>
        <v>26.902500000000003</v>
      </c>
      <c r="G306" s="1548"/>
      <c r="H306" s="587">
        <f>F306*20</f>
        <v>538.05000000000007</v>
      </c>
      <c r="I306" s="150">
        <f>73.34*B306</f>
        <v>46424.22</v>
      </c>
      <c r="J306" s="150">
        <f>35.66*B306</f>
        <v>22572.78</v>
      </c>
      <c r="K306" s="150">
        <f>B306*50</f>
        <v>31650</v>
      </c>
      <c r="L306" s="172">
        <f>I306+J306+K306</f>
        <v>100647</v>
      </c>
      <c r="M306" s="1539">
        <f>IF(ISERROR(L306/(F306*727)),0,L306/(F306*727))</f>
        <v>5.1460474148393871</v>
      </c>
      <c r="N306" s="1540"/>
    </row>
    <row r="307" spans="1:14" ht="14" thickBot="1">
      <c r="A307" s="53" t="s">
        <v>60</v>
      </c>
      <c r="B307" s="1438">
        <f>SUM(B305:B306)</f>
        <v>889</v>
      </c>
      <c r="C307" s="1621"/>
      <c r="D307" s="1441">
        <f>SUM(D305:D306)</f>
        <v>12311465.407500003</v>
      </c>
      <c r="E307" s="1609"/>
      <c r="F307" s="1512">
        <f>SUM(F305:F306)</f>
        <v>37.782500000000006</v>
      </c>
      <c r="G307" s="1575"/>
      <c r="H307" s="586">
        <f>SUM(H305:H306)</f>
        <v>755.65000000000009</v>
      </c>
      <c r="I307" s="136">
        <f>SUM(I305:I306)</f>
        <v>65199.26</v>
      </c>
      <c r="J307" s="143">
        <f>SUM(J305:J306)</f>
        <v>31701.739999999998</v>
      </c>
      <c r="K307" s="143">
        <f>SUM(K305:K306)</f>
        <v>44450</v>
      </c>
      <c r="L307" s="136">
        <f>SUM(L305:L306)</f>
        <v>141351</v>
      </c>
      <c r="M307" s="1657"/>
      <c r="N307" s="1622"/>
    </row>
    <row r="308" spans="1:14" s="1161" customFormat="1" ht="17" thickBot="1">
      <c r="A308" s="108" t="str">
        <f>'Ontario Total'!A308</f>
        <v>SoCal Water$mart Commercial Rebates</v>
      </c>
      <c r="B308" s="1567"/>
      <c r="C308" s="1586"/>
      <c r="D308" s="1567"/>
      <c r="E308" s="1586"/>
      <c r="F308" s="1587"/>
      <c r="G308" s="1588"/>
      <c r="H308" s="1142"/>
      <c r="I308" s="109"/>
      <c r="J308" s="109"/>
      <c r="K308" s="109"/>
      <c r="L308" s="1141"/>
      <c r="M308" s="1617"/>
      <c r="N308" s="1486"/>
    </row>
    <row r="309" spans="1:14">
      <c r="A309" s="78" t="str">
        <f>'Ontario Total'!A309</f>
        <v>High Efficiency Toilets (HET)</v>
      </c>
      <c r="B309" s="1423">
        <f>Upland!N193</f>
        <v>0</v>
      </c>
      <c r="C309" s="1424"/>
      <c r="D309" s="1423">
        <f>F309*325851</f>
        <v>0</v>
      </c>
      <c r="E309" s="1424"/>
      <c r="F309" s="1547">
        <f>0.0425*B309</f>
        <v>0</v>
      </c>
      <c r="G309" s="1548"/>
      <c r="H309" s="587">
        <f>F309*20</f>
        <v>0</v>
      </c>
      <c r="I309" s="654">
        <v>0</v>
      </c>
      <c r="J309" s="150">
        <f>35*B309</f>
        <v>0</v>
      </c>
      <c r="K309" s="150">
        <f>50*B309</f>
        <v>0</v>
      </c>
      <c r="L309" s="172">
        <f t="shared" ref="L309:L324" si="86">SUM(I309:K309)</f>
        <v>0</v>
      </c>
      <c r="M309" s="1539">
        <f>IF(ISERROR(L309/(F309*727)),0,L309/(F309*727))</f>
        <v>0</v>
      </c>
      <c r="N309" s="1540"/>
    </row>
    <row r="310" spans="1:14">
      <c r="A310" s="78" t="str">
        <f>'Ontario Total'!A310</f>
        <v>Waterless Urinals</v>
      </c>
      <c r="B310" s="1423">
        <f>Upland!N194</f>
        <v>0</v>
      </c>
      <c r="C310" s="1424"/>
      <c r="D310" s="1423">
        <f t="shared" ref="D310:D324" si="87">F310*325851</f>
        <v>0</v>
      </c>
      <c r="E310" s="1424"/>
      <c r="F310" s="1547">
        <f>0.1227*B310</f>
        <v>0</v>
      </c>
      <c r="G310" s="1548"/>
      <c r="H310" s="587">
        <f>F310*20</f>
        <v>0</v>
      </c>
      <c r="I310" s="654">
        <v>0</v>
      </c>
      <c r="J310" s="150">
        <f>50*B310</f>
        <v>0</v>
      </c>
      <c r="K310" s="150">
        <f>200*B310</f>
        <v>0</v>
      </c>
      <c r="L310" s="172">
        <f t="shared" si="86"/>
        <v>0</v>
      </c>
      <c r="M310" s="1539">
        <f t="shared" ref="M310:M324" si="88">IF(ISERROR(L310/(F310*727)),0,L310/(F310*727))</f>
        <v>0</v>
      </c>
      <c r="N310" s="1540"/>
    </row>
    <row r="311" spans="1:14">
      <c r="A311" s="78" t="s">
        <v>204</v>
      </c>
      <c r="B311" s="1423">
        <f>Upland!N195</f>
        <v>0</v>
      </c>
      <c r="C311" s="1424"/>
      <c r="D311" s="1423">
        <f t="shared" si="87"/>
        <v>0</v>
      </c>
      <c r="E311" s="1424"/>
      <c r="F311" s="1547">
        <f>0.644*B311</f>
        <v>0</v>
      </c>
      <c r="G311" s="1548"/>
      <c r="H311" s="587">
        <f>F311*5</f>
        <v>0</v>
      </c>
      <c r="I311" s="654">
        <v>0</v>
      </c>
      <c r="J311" s="150">
        <f>B311*500</f>
        <v>0</v>
      </c>
      <c r="K311" s="150">
        <f>B311*1750</f>
        <v>0</v>
      </c>
      <c r="L311" s="172">
        <f t="shared" si="86"/>
        <v>0</v>
      </c>
      <c r="M311" s="1539">
        <f t="shared" si="88"/>
        <v>0</v>
      </c>
      <c r="N311" s="1540"/>
    </row>
    <row r="312" spans="1:14">
      <c r="A312" s="78" t="str">
        <f>'Ontario Total'!A312</f>
        <v>High Efficiency Clothes Washers</v>
      </c>
      <c r="B312" s="1423">
        <f>Upland!N196</f>
        <v>0</v>
      </c>
      <c r="C312" s="1424"/>
      <c r="D312" s="1423">
        <f t="shared" si="87"/>
        <v>0</v>
      </c>
      <c r="E312" s="1424"/>
      <c r="F312" s="1547">
        <f>0.0276*B312</f>
        <v>0</v>
      </c>
      <c r="G312" s="1548"/>
      <c r="H312" s="587">
        <f>F312*10</f>
        <v>0</v>
      </c>
      <c r="I312" s="654">
        <v>0</v>
      </c>
      <c r="J312" s="150">
        <f>100*B312</f>
        <v>0</v>
      </c>
      <c r="K312" s="150">
        <f>80*B312</f>
        <v>0</v>
      </c>
      <c r="L312" s="172">
        <f t="shared" si="86"/>
        <v>0</v>
      </c>
      <c r="M312" s="1539">
        <f t="shared" si="88"/>
        <v>0</v>
      </c>
      <c r="N312" s="1540"/>
    </row>
    <row r="313" spans="1:14" ht="12.75" hidden="1" customHeight="1">
      <c r="A313" s="76" t="s">
        <v>47</v>
      </c>
      <c r="B313" s="1423">
        <f>Upland!N197</f>
        <v>0</v>
      </c>
      <c r="C313" s="1424"/>
      <c r="D313" s="1423">
        <f t="shared" si="87"/>
        <v>0</v>
      </c>
      <c r="E313" s="1424"/>
      <c r="F313" s="1547">
        <f>0.1534*B313</f>
        <v>0</v>
      </c>
      <c r="G313" s="1548"/>
      <c r="H313" s="587">
        <f>F313*5</f>
        <v>0</v>
      </c>
      <c r="I313" s="653">
        <v>0</v>
      </c>
      <c r="J313" s="150">
        <f>0*B313</f>
        <v>0</v>
      </c>
      <c r="K313" s="150">
        <f>150*B313</f>
        <v>0</v>
      </c>
      <c r="L313" s="172">
        <f t="shared" si="86"/>
        <v>0</v>
      </c>
      <c r="M313" s="1539">
        <f t="shared" si="88"/>
        <v>0</v>
      </c>
      <c r="N313" s="1540"/>
    </row>
    <row r="314" spans="1:14">
      <c r="A314" s="78" t="str">
        <f>'Ontario Total'!A314</f>
        <v>Weather based Irrigation Controllers (WBIC)</v>
      </c>
      <c r="B314" s="1447">
        <v>27</v>
      </c>
      <c r="C314" s="1448"/>
      <c r="D314" s="1423">
        <f t="shared" si="87"/>
        <v>2859342.5249999999</v>
      </c>
      <c r="E314" s="1424"/>
      <c r="F314" s="1547">
        <f>0.325*B314</f>
        <v>8.7750000000000004</v>
      </c>
      <c r="G314" s="1548"/>
      <c r="H314" s="587">
        <f>F314*10</f>
        <v>87.75</v>
      </c>
      <c r="I314" s="654">
        <v>0</v>
      </c>
      <c r="J314" s="150">
        <v>1474</v>
      </c>
      <c r="K314" s="150">
        <v>4140</v>
      </c>
      <c r="L314" s="172">
        <f t="shared" si="86"/>
        <v>5614</v>
      </c>
      <c r="M314" s="1539">
        <f t="shared" si="88"/>
        <v>0.88001661591757874</v>
      </c>
      <c r="N314" s="1540"/>
    </row>
    <row r="315" spans="1:14" ht="12.75" hidden="1" customHeight="1">
      <c r="A315" s="76" t="s">
        <v>53</v>
      </c>
      <c r="B315" s="1447">
        <f>Upland!N199</f>
        <v>0</v>
      </c>
      <c r="C315" s="1448"/>
      <c r="D315" s="1423">
        <f t="shared" si="87"/>
        <v>0</v>
      </c>
      <c r="E315" s="1424"/>
      <c r="F315" s="1547">
        <f>0.00014*B315</f>
        <v>0</v>
      </c>
      <c r="G315" s="1548"/>
      <c r="H315" s="587">
        <f>F315*10</f>
        <v>0</v>
      </c>
      <c r="I315" s="653">
        <v>0</v>
      </c>
      <c r="J315" s="150">
        <f>0.45*B315</f>
        <v>0</v>
      </c>
      <c r="K315" s="150">
        <f>0.3*B315</f>
        <v>0</v>
      </c>
      <c r="L315" s="172">
        <f t="shared" si="86"/>
        <v>0</v>
      </c>
      <c r="M315" s="1539">
        <f t="shared" si="88"/>
        <v>0</v>
      </c>
      <c r="N315" s="1540"/>
    </row>
    <row r="316" spans="1:14">
      <c r="A316" s="78" t="str">
        <f>'Ontario Total'!A316</f>
        <v>Rotating Nozzles for Pop-up Spray Heads</v>
      </c>
      <c r="B316" s="1447">
        <f>Upland!N200</f>
        <v>0</v>
      </c>
      <c r="C316" s="1448"/>
      <c r="D316" s="1423">
        <f t="shared" si="87"/>
        <v>0</v>
      </c>
      <c r="E316" s="1424"/>
      <c r="F316" s="1547">
        <f>0.004*B316</f>
        <v>0</v>
      </c>
      <c r="G316" s="1548"/>
      <c r="H316" s="587">
        <f>F316*5</f>
        <v>0</v>
      </c>
      <c r="I316" s="654">
        <v>0</v>
      </c>
      <c r="J316" s="151">
        <f>0*B316</f>
        <v>0</v>
      </c>
      <c r="K316" s="151">
        <f>4*B316</f>
        <v>0</v>
      </c>
      <c r="L316" s="172">
        <f t="shared" si="86"/>
        <v>0</v>
      </c>
      <c r="M316" s="1539">
        <f t="shared" si="88"/>
        <v>0</v>
      </c>
      <c r="N316" s="1540"/>
    </row>
    <row r="317" spans="1:14">
      <c r="A317" s="78" t="str">
        <f>'Ontario Total'!A317</f>
        <v>Large Rotary Nozzles</v>
      </c>
      <c r="B317" s="1447">
        <f>Upland!N201</f>
        <v>0</v>
      </c>
      <c r="C317" s="1448"/>
      <c r="D317" s="1423">
        <f t="shared" si="87"/>
        <v>0</v>
      </c>
      <c r="E317" s="1424"/>
      <c r="F317" s="1547">
        <f>0.018*B317</f>
        <v>0</v>
      </c>
      <c r="G317" s="1548"/>
      <c r="H317" s="587">
        <f>F317*10</f>
        <v>0</v>
      </c>
      <c r="I317" s="654">
        <v>0</v>
      </c>
      <c r="J317" s="151">
        <f>0*B317</f>
        <v>0</v>
      </c>
      <c r="K317" s="151">
        <f>13*B317</f>
        <v>0</v>
      </c>
      <c r="L317" s="172">
        <f t="shared" si="86"/>
        <v>0</v>
      </c>
      <c r="M317" s="1539">
        <f t="shared" si="88"/>
        <v>0</v>
      </c>
      <c r="N317" s="1540"/>
    </row>
    <row r="318" spans="1:14" ht="13.5" hidden="1" customHeight="1">
      <c r="A318" s="76" t="s">
        <v>102</v>
      </c>
      <c r="B318" s="1447">
        <f>Upland!N202</f>
        <v>0</v>
      </c>
      <c r="C318" s="1448"/>
      <c r="D318" s="1423">
        <f t="shared" si="87"/>
        <v>0</v>
      </c>
      <c r="E318" s="1424"/>
      <c r="F318" s="1547">
        <f>0.018*B318</f>
        <v>0</v>
      </c>
      <c r="G318" s="1548"/>
      <c r="H318" s="587">
        <f>F318*10</f>
        <v>0</v>
      </c>
      <c r="I318" s="654">
        <v>1</v>
      </c>
      <c r="J318" s="151">
        <f>0*B318</f>
        <v>0</v>
      </c>
      <c r="K318" s="151">
        <f>13*B318</f>
        <v>0</v>
      </c>
      <c r="L318" s="172">
        <f t="shared" si="86"/>
        <v>1</v>
      </c>
      <c r="M318" s="1539">
        <f t="shared" si="88"/>
        <v>0</v>
      </c>
      <c r="N318" s="1540"/>
    </row>
    <row r="319" spans="1:14">
      <c r="A319" s="78" t="str">
        <f>'Ontario Total'!A319</f>
        <v xml:space="preserve">Central Computerized Irrigation Controller </v>
      </c>
      <c r="B319" s="1447">
        <f>Upland!N203</f>
        <v>0</v>
      </c>
      <c r="C319" s="1448"/>
      <c r="D319" s="1423">
        <f t="shared" si="87"/>
        <v>0</v>
      </c>
      <c r="E319" s="1424"/>
      <c r="F319" s="1547">
        <f>0.018*B319</f>
        <v>0</v>
      </c>
      <c r="G319" s="1548"/>
      <c r="H319" s="587">
        <f>F319*10</f>
        <v>0</v>
      </c>
      <c r="I319" s="654">
        <v>0</v>
      </c>
      <c r="J319" s="151">
        <v>0</v>
      </c>
      <c r="K319" s="151">
        <v>0</v>
      </c>
      <c r="L319" s="172">
        <f t="shared" si="86"/>
        <v>0</v>
      </c>
      <c r="M319" s="1539">
        <f t="shared" si="88"/>
        <v>0</v>
      </c>
      <c r="N319" s="1540"/>
    </row>
    <row r="320" spans="1:14" s="520" customFormat="1">
      <c r="A320" s="107" t="str">
        <f>'Ontario Total'!A320</f>
        <v>Laminar Flow Restrictor</v>
      </c>
      <c r="B320" s="1447">
        <v>200</v>
      </c>
      <c r="C320" s="1448"/>
      <c r="D320" s="1868">
        <f t="shared" si="87"/>
        <v>1498914.5999999999</v>
      </c>
      <c r="E320" s="1579"/>
      <c r="F320" s="2031">
        <f>0.023*B320</f>
        <v>4.5999999999999996</v>
      </c>
      <c r="G320" s="1862"/>
      <c r="H320" s="588">
        <f>F320*5</f>
        <v>23</v>
      </c>
      <c r="I320" s="654">
        <v>0</v>
      </c>
      <c r="J320" s="151">
        <f>B320*10</f>
        <v>2000</v>
      </c>
      <c r="K320" s="151">
        <f>B320*10</f>
        <v>2000</v>
      </c>
      <c r="L320" s="170">
        <f t="shared" si="86"/>
        <v>4000</v>
      </c>
      <c r="M320" s="1689">
        <f t="shared" si="88"/>
        <v>1.1961007116799236</v>
      </c>
      <c r="N320" s="1690"/>
    </row>
    <row r="321" spans="1:14" s="520" customFormat="1" ht="14" thickBot="1">
      <c r="A321" s="107" t="str">
        <f>'Ontario Total'!A321</f>
        <v>Air-Cooled Ice Machine</v>
      </c>
      <c r="B321" s="1447">
        <f>Upland!N205</f>
        <v>0</v>
      </c>
      <c r="C321" s="1448"/>
      <c r="D321" s="1868">
        <f t="shared" si="87"/>
        <v>0</v>
      </c>
      <c r="E321" s="1579"/>
      <c r="F321" s="2031">
        <f>0.018*B321</f>
        <v>0</v>
      </c>
      <c r="G321" s="1862"/>
      <c r="H321" s="588">
        <f>F321*10</f>
        <v>0</v>
      </c>
      <c r="I321" s="654">
        <v>0</v>
      </c>
      <c r="J321" s="151">
        <v>0</v>
      </c>
      <c r="K321" s="151">
        <v>0</v>
      </c>
      <c r="L321" s="170">
        <f t="shared" si="86"/>
        <v>0</v>
      </c>
      <c r="M321" s="1689">
        <f t="shared" si="88"/>
        <v>0</v>
      </c>
      <c r="N321" s="1690"/>
    </row>
    <row r="322" spans="1:14" s="1161" customFormat="1" ht="17" thickBot="1">
      <c r="A322" s="108" t="str">
        <f>'Ontario Total'!A322</f>
        <v>IEUA Locally Implemented Commercial Programs</v>
      </c>
      <c r="B322" s="1567"/>
      <c r="C322" s="1586"/>
      <c r="D322" s="1567"/>
      <c r="E322" s="1586"/>
      <c r="F322" s="1619"/>
      <c r="G322" s="1913"/>
      <c r="H322" s="1142"/>
      <c r="I322" s="109"/>
      <c r="J322" s="109"/>
      <c r="K322" s="109"/>
      <c r="L322" s="1141"/>
      <c r="M322" s="1617"/>
      <c r="N322" s="1486"/>
    </row>
    <row r="323" spans="1:14" ht="13.5" customHeight="1">
      <c r="A323" s="78" t="str">
        <f>'Ontario Total'!A323</f>
        <v>Fontana Unified School Retrofit Program</v>
      </c>
      <c r="B323" s="1423">
        <f>Upland!N207</f>
        <v>0</v>
      </c>
      <c r="C323" s="1424"/>
      <c r="D323" s="1423">
        <f t="shared" si="87"/>
        <v>0</v>
      </c>
      <c r="E323" s="1424"/>
      <c r="F323" s="1423">
        <f>0.018*B323</f>
        <v>0</v>
      </c>
      <c r="G323" s="1424"/>
      <c r="H323" s="587">
        <f>F323*10</f>
        <v>0</v>
      </c>
      <c r="I323" s="588">
        <v>0</v>
      </c>
      <c r="J323" s="151">
        <v>0</v>
      </c>
      <c r="K323" s="151">
        <v>0</v>
      </c>
      <c r="L323" s="172">
        <f t="shared" si="86"/>
        <v>0</v>
      </c>
      <c r="M323" s="1539">
        <f t="shared" si="88"/>
        <v>0</v>
      </c>
      <c r="N323" s="1540"/>
    </row>
    <row r="324" spans="1:14" ht="14" thickBot="1">
      <c r="A324" s="78" t="s">
        <v>165</v>
      </c>
      <c r="B324" s="1423">
        <f>Upland!N208</f>
        <v>5300</v>
      </c>
      <c r="C324" s="1424"/>
      <c r="D324" s="1423">
        <f t="shared" si="87"/>
        <v>6908041.2000000002</v>
      </c>
      <c r="E324" s="1424"/>
      <c r="F324" s="1423">
        <f>0.004*B324</f>
        <v>21.2</v>
      </c>
      <c r="G324" s="1424"/>
      <c r="H324" s="587">
        <f>F324*5</f>
        <v>106</v>
      </c>
      <c r="I324" s="654">
        <v>0</v>
      </c>
      <c r="J324" s="151">
        <f>0*B324</f>
        <v>0</v>
      </c>
      <c r="K324" s="151">
        <f>3.25*B324</f>
        <v>17225</v>
      </c>
      <c r="L324" s="172">
        <f t="shared" si="86"/>
        <v>17225</v>
      </c>
      <c r="M324" s="1539">
        <f t="shared" si="88"/>
        <v>1.1176066024759286</v>
      </c>
      <c r="N324" s="1540"/>
    </row>
    <row r="325" spans="1:14" ht="14" thickBot="1">
      <c r="A325" s="53" t="s">
        <v>60</v>
      </c>
      <c r="B325" s="1438">
        <f>SUM(B309:C324)</f>
        <v>5527</v>
      </c>
      <c r="C325" s="1609"/>
      <c r="D325" s="1440">
        <f>SUM(D309:E324)</f>
        <v>11266298.324999999</v>
      </c>
      <c r="E325" s="1621"/>
      <c r="F325" s="1441">
        <f>SUM(F309:G324)</f>
        <v>34.575000000000003</v>
      </c>
      <c r="G325" s="1609"/>
      <c r="H325" s="586">
        <f>SUM(H309:H324)</f>
        <v>216.75</v>
      </c>
      <c r="I325" s="136">
        <v>0</v>
      </c>
      <c r="J325" s="136">
        <f>SUM(J309:J324)</f>
        <v>3474</v>
      </c>
      <c r="K325" s="136">
        <f>SUM(K309:K324)</f>
        <v>23365</v>
      </c>
      <c r="L325" s="136">
        <f>SUM(L309:L324)</f>
        <v>26840</v>
      </c>
      <c r="M325" s="1657"/>
      <c r="N325" s="1622"/>
    </row>
    <row r="326" spans="1:14" s="1208" customFormat="1" ht="17" thickBot="1">
      <c r="A326" s="1182" t="s">
        <v>17</v>
      </c>
      <c r="B326" s="1416">
        <f>SUM(,B325,B307,B303)</f>
        <v>9082</v>
      </c>
      <c r="C326" s="1415"/>
      <c r="D326" s="1416">
        <f>SUM(D303+D307+D325)</f>
        <v>34380037.19946</v>
      </c>
      <c r="E326" s="1415"/>
      <c r="F326" s="1416">
        <f>SUM(F303+F307+F325)</f>
        <v>105.50846</v>
      </c>
      <c r="G326" s="1415"/>
      <c r="H326" s="1164">
        <f>SUM(H325,H307,H303)</f>
        <v>1228.4316000000001</v>
      </c>
      <c r="I326" s="1169">
        <f>SUM(I325,I307,I303)</f>
        <v>77691.260000000009</v>
      </c>
      <c r="J326" s="1169">
        <f>SUM(J325,J307,J303)</f>
        <v>46887.009999999995</v>
      </c>
      <c r="K326" s="1169">
        <f>SUM(K325,K307,K303)</f>
        <v>128814.94</v>
      </c>
      <c r="L326" s="1169">
        <f>SUM(L325,L307,L303)</f>
        <v>253394.21000000002</v>
      </c>
      <c r="M326" s="1416"/>
      <c r="N326" s="1415"/>
    </row>
    <row r="327" spans="1:14" ht="16">
      <c r="A327" s="60"/>
      <c r="B327" s="61"/>
      <c r="C327" s="61"/>
      <c r="D327" s="61"/>
      <c r="E327" s="61"/>
      <c r="F327" s="61"/>
      <c r="G327" s="61"/>
      <c r="H327" s="61"/>
      <c r="I327" s="62"/>
      <c r="J327" s="62"/>
      <c r="K327" s="62"/>
      <c r="L327" s="62"/>
      <c r="M327" s="64"/>
      <c r="N327" s="65"/>
    </row>
    <row r="328" spans="1:14" ht="16">
      <c r="A328" s="9" t="s">
        <v>18</v>
      </c>
      <c r="B328" s="1489" t="s">
        <v>59</v>
      </c>
      <c r="C328" s="1489"/>
      <c r="D328" s="1489"/>
      <c r="E328" s="1489"/>
      <c r="F328" s="61"/>
      <c r="G328" s="61"/>
      <c r="H328" s="61"/>
      <c r="I328" s="62"/>
      <c r="J328" s="62"/>
      <c r="K328" s="62"/>
      <c r="L328" s="62"/>
      <c r="M328" s="64"/>
      <c r="N328" s="65"/>
    </row>
    <row r="329" spans="1:14" ht="16">
      <c r="A329" s="520"/>
      <c r="B329" s="1559" t="s">
        <v>19</v>
      </c>
      <c r="C329" s="1559"/>
      <c r="D329" s="1559"/>
      <c r="E329" s="1559"/>
      <c r="F329" s="61"/>
      <c r="G329" s="61"/>
      <c r="H329" s="61"/>
      <c r="I329" s="62"/>
      <c r="J329" s="62"/>
      <c r="K329" s="62"/>
      <c r="L329" s="62"/>
      <c r="M329" s="64"/>
      <c r="N329" s="65"/>
    </row>
    <row r="330" spans="1:14" ht="17" thickBot="1">
      <c r="A330" s="520"/>
      <c r="B330" s="869"/>
      <c r="C330" s="869"/>
      <c r="D330" s="869"/>
      <c r="E330" s="869"/>
      <c r="F330" s="61"/>
      <c r="G330" s="61"/>
      <c r="H330" s="61"/>
      <c r="I330" s="62"/>
      <c r="J330" s="62"/>
      <c r="K330" s="62"/>
      <c r="L330" s="62"/>
      <c r="M330" s="64"/>
      <c r="N330" s="65"/>
    </row>
    <row r="331" spans="1:14" s="646" customFormat="1" ht="16">
      <c r="A331" s="98"/>
      <c r="B331" s="99"/>
      <c r="C331" s="99"/>
      <c r="D331" s="99"/>
      <c r="E331" s="99"/>
      <c r="F331" s="100"/>
      <c r="G331" s="100"/>
      <c r="H331" s="736"/>
      <c r="I331" s="1468" t="s">
        <v>0</v>
      </c>
      <c r="J331" s="1468"/>
      <c r="K331" s="1468"/>
      <c r="L331" s="1468"/>
      <c r="M331" s="99"/>
      <c r="N331" s="101"/>
    </row>
    <row r="332" spans="1:14" ht="16">
      <c r="A332" s="97"/>
      <c r="B332" s="1469" t="s">
        <v>1</v>
      </c>
      <c r="C332" s="1469"/>
      <c r="D332" s="1469" t="s">
        <v>2</v>
      </c>
      <c r="E332" s="1469"/>
      <c r="F332" s="1863" t="s">
        <v>3</v>
      </c>
      <c r="G332" s="1863"/>
      <c r="H332" s="873" t="s">
        <v>3</v>
      </c>
      <c r="I332" s="127" t="s">
        <v>195</v>
      </c>
      <c r="J332" s="102"/>
      <c r="K332" s="102"/>
      <c r="L332" s="128"/>
      <c r="M332" s="1469" t="s">
        <v>4</v>
      </c>
      <c r="N332" s="1526"/>
    </row>
    <row r="333" spans="1:14" ht="19" thickBot="1">
      <c r="A333" s="103" t="s">
        <v>5</v>
      </c>
      <c r="B333" s="1473" t="s">
        <v>6</v>
      </c>
      <c r="C333" s="1473"/>
      <c r="D333" s="1473" t="s">
        <v>7</v>
      </c>
      <c r="E333" s="1473"/>
      <c r="F333" s="1864" t="s">
        <v>7</v>
      </c>
      <c r="G333" s="1864"/>
      <c r="H333" s="874" t="s">
        <v>58</v>
      </c>
      <c r="I333" s="868" t="s">
        <v>196</v>
      </c>
      <c r="J333" s="867" t="s">
        <v>8</v>
      </c>
      <c r="K333" s="867" t="s">
        <v>9</v>
      </c>
      <c r="L333" s="401" t="s">
        <v>10</v>
      </c>
      <c r="M333" s="1473" t="s">
        <v>145</v>
      </c>
      <c r="N333" s="1475"/>
    </row>
    <row r="334" spans="1:14" ht="24" thickBot="1">
      <c r="A334" s="88" t="s">
        <v>180</v>
      </c>
      <c r="B334" s="1482"/>
      <c r="C334" s="2021"/>
      <c r="D334" s="2022"/>
      <c r="E334" s="2023"/>
      <c r="F334" s="2024"/>
      <c r="G334" s="2025"/>
      <c r="H334" s="875"/>
      <c r="I334" s="213"/>
      <c r="J334" s="213"/>
      <c r="K334" s="213"/>
      <c r="L334" s="214"/>
      <c r="M334" s="1482"/>
      <c r="N334" s="1483"/>
    </row>
    <row r="335" spans="1:14" s="1161" customFormat="1" ht="15.75" customHeight="1" thickBot="1">
      <c r="A335" s="108" t="s">
        <v>48</v>
      </c>
      <c r="B335" s="1567"/>
      <c r="C335" s="1586"/>
      <c r="D335" s="1567"/>
      <c r="E335" s="1586"/>
      <c r="F335" s="1619"/>
      <c r="G335" s="1620"/>
      <c r="H335" s="1142"/>
      <c r="I335" s="109"/>
      <c r="J335" s="109"/>
      <c r="K335" s="109"/>
      <c r="L335" s="1141"/>
      <c r="M335" s="1617"/>
      <c r="N335" s="1486"/>
    </row>
    <row r="336" spans="1:14" hidden="1">
      <c r="A336" s="78" t="s">
        <v>29</v>
      </c>
      <c r="B336" s="1423">
        <f>Upland!N146</f>
        <v>0</v>
      </c>
      <c r="C336" s="1424"/>
      <c r="D336" s="1423">
        <f>F336*325851</f>
        <v>0</v>
      </c>
      <c r="E336" s="1424"/>
      <c r="F336" s="1941">
        <f>0.0425*B336</f>
        <v>0</v>
      </c>
      <c r="G336" s="1940"/>
      <c r="H336" s="587">
        <f>F336*20</f>
        <v>0</v>
      </c>
      <c r="I336" s="80">
        <v>0</v>
      </c>
      <c r="J336" s="80">
        <f>35*B336</f>
        <v>0</v>
      </c>
      <c r="K336" s="80">
        <f>B336*50</f>
        <v>0</v>
      </c>
      <c r="L336" s="591">
        <f>I336+J336+K336</f>
        <v>0</v>
      </c>
      <c r="M336" s="1539" t="e">
        <f>L336/(F336*498.5)</f>
        <v>#DIV/0!</v>
      </c>
      <c r="N336" s="1540"/>
    </row>
    <row r="337" spans="1:14">
      <c r="A337" s="78" t="s">
        <v>33</v>
      </c>
      <c r="B337" s="1423">
        <f>Upland!N147</f>
        <v>130</v>
      </c>
      <c r="C337" s="1424"/>
      <c r="D337" s="1423">
        <f>F337*325851</f>
        <v>1169153.388</v>
      </c>
      <c r="E337" s="1424"/>
      <c r="F337" s="1549">
        <f>0.0276*B337</f>
        <v>3.5880000000000001</v>
      </c>
      <c r="G337" s="1550"/>
      <c r="H337" s="930">
        <f>F337*15</f>
        <v>53.82</v>
      </c>
      <c r="I337" s="80">
        <f>0*B337</f>
        <v>0</v>
      </c>
      <c r="J337" s="80">
        <v>0</v>
      </c>
      <c r="K337" s="80">
        <f>B337*85</f>
        <v>11050</v>
      </c>
      <c r="L337" s="591">
        <f>I337+J337+K337</f>
        <v>11050</v>
      </c>
      <c r="M337" s="1539">
        <f t="shared" ref="M337:M342" si="89">L337/(F337*681)</f>
        <v>4.5223350145778802</v>
      </c>
      <c r="N337" s="1540"/>
    </row>
    <row r="338" spans="1:14">
      <c r="A338" s="78" t="s">
        <v>56</v>
      </c>
      <c r="B338" s="1423">
        <f>Upland!N148</f>
        <v>31</v>
      </c>
      <c r="C338" s="1424"/>
      <c r="D338" s="1423">
        <f>F338*325851</f>
        <v>40405.523999999998</v>
      </c>
      <c r="E338" s="1424"/>
      <c r="F338" s="1549">
        <f>0.004*B338</f>
        <v>0.124</v>
      </c>
      <c r="G338" s="1550"/>
      <c r="H338" s="930">
        <f>F338*5</f>
        <v>0.62</v>
      </c>
      <c r="I338" s="80">
        <f>0*B338</f>
        <v>0</v>
      </c>
      <c r="J338" s="80">
        <f>2*B338</f>
        <v>62</v>
      </c>
      <c r="K338" s="80">
        <f>B338*3</f>
        <v>93</v>
      </c>
      <c r="L338" s="591">
        <f>I338+J338+K338</f>
        <v>155</v>
      </c>
      <c r="M338" s="1539">
        <f t="shared" si="89"/>
        <v>1.8355359765051396</v>
      </c>
      <c r="N338" s="1540"/>
    </row>
    <row r="339" spans="1:14">
      <c r="A339" s="78" t="s">
        <v>30</v>
      </c>
      <c r="B339" s="1423">
        <f>Upland!N149</f>
        <v>11</v>
      </c>
      <c r="C339" s="1424"/>
      <c r="D339" s="1423">
        <f>F339*325851</f>
        <v>1164917.325</v>
      </c>
      <c r="E339" s="1424"/>
      <c r="F339" s="1549">
        <f>0.325*B339</f>
        <v>3.5750000000000002</v>
      </c>
      <c r="G339" s="1550"/>
      <c r="H339" s="930">
        <f>F339*10</f>
        <v>35.75</v>
      </c>
      <c r="I339" s="80">
        <v>0</v>
      </c>
      <c r="J339" s="80">
        <f>B339*45</f>
        <v>495</v>
      </c>
      <c r="K339" s="80">
        <f>B339*80</f>
        <v>880</v>
      </c>
      <c r="L339" s="591">
        <f>I339+J339+K339</f>
        <v>1375</v>
      </c>
      <c r="M339" s="1539">
        <f t="shared" si="89"/>
        <v>0.56478030046311978</v>
      </c>
      <c r="N339" s="1540"/>
    </row>
    <row r="340" spans="1:14" ht="12.75" hidden="1" customHeight="1">
      <c r="A340" s="76" t="s">
        <v>182</v>
      </c>
      <c r="B340" s="1423">
        <f>Upland!N150</f>
        <v>0</v>
      </c>
      <c r="C340" s="1424"/>
      <c r="D340" s="1447"/>
      <c r="E340" s="1448"/>
      <c r="F340" s="1557"/>
      <c r="G340" s="1558"/>
      <c r="H340" s="935">
        <f>F340*10</f>
        <v>0</v>
      </c>
      <c r="I340" s="79">
        <v>0</v>
      </c>
      <c r="J340" s="79"/>
      <c r="K340" s="79"/>
      <c r="L340" s="593">
        <f>SUM(I340:K340)</f>
        <v>0</v>
      </c>
      <c r="M340" s="1539" t="e">
        <f t="shared" si="89"/>
        <v>#DIV/0!</v>
      </c>
      <c r="N340" s="1540"/>
    </row>
    <row r="341" spans="1:14">
      <c r="A341" s="76" t="s">
        <v>165</v>
      </c>
      <c r="B341" s="1423">
        <f>Upland!N151</f>
        <v>10624</v>
      </c>
      <c r="C341" s="1424"/>
      <c r="D341" s="1447">
        <f>F341*325900</f>
        <v>13849446.4</v>
      </c>
      <c r="E341" s="1649"/>
      <c r="F341" s="1549">
        <f>B341*0.004</f>
        <v>42.496000000000002</v>
      </c>
      <c r="G341" s="1550"/>
      <c r="H341" s="935">
        <f>F341*5</f>
        <v>212.48000000000002</v>
      </c>
      <c r="I341" s="79">
        <v>0</v>
      </c>
      <c r="J341" s="79">
        <v>0</v>
      </c>
      <c r="K341" s="79">
        <f>10750*3</f>
        <v>32250</v>
      </c>
      <c r="L341" s="593">
        <f>SUM(I341:K341)</f>
        <v>32250</v>
      </c>
      <c r="M341" s="1539">
        <f t="shared" si="89"/>
        <v>1.1143831935672204</v>
      </c>
      <c r="N341" s="1540"/>
    </row>
    <row r="342" spans="1:14" ht="14" thickBot="1">
      <c r="A342" s="76" t="s">
        <v>166</v>
      </c>
      <c r="B342" s="1423">
        <v>5</v>
      </c>
      <c r="C342" s="1424"/>
      <c r="D342" s="1458">
        <f>F342*325900</f>
        <v>1303600</v>
      </c>
      <c r="E342" s="1686"/>
      <c r="F342" s="2047">
        <v>4</v>
      </c>
      <c r="G342" s="1572"/>
      <c r="H342" s="935">
        <v>35</v>
      </c>
      <c r="I342" s="79">
        <v>0</v>
      </c>
      <c r="J342" s="79">
        <v>3262</v>
      </c>
      <c r="K342" s="79">
        <v>3053</v>
      </c>
      <c r="L342" s="593">
        <v>6315.14</v>
      </c>
      <c r="M342" s="1539">
        <f t="shared" si="89"/>
        <v>2.3183333333333334</v>
      </c>
      <c r="N342" s="1540"/>
    </row>
    <row r="343" spans="1:14" ht="14" thickBot="1">
      <c r="A343" s="53" t="s">
        <v>60</v>
      </c>
      <c r="B343" s="1438">
        <f>SUM(B336:C342)</f>
        <v>10801</v>
      </c>
      <c r="C343" s="1621"/>
      <c r="D343" s="1441">
        <f>SUM(D336:E342)</f>
        <v>17527522.637000002</v>
      </c>
      <c r="E343" s="1621"/>
      <c r="F343" s="1441">
        <f>SUM(F336:G342)</f>
        <v>53.783000000000001</v>
      </c>
      <c r="G343" s="1609"/>
      <c r="H343" s="586">
        <f>SUM(H336:H342)</f>
        <v>337.67</v>
      </c>
      <c r="I343" s="707">
        <f>SUM(I336:I342)</f>
        <v>0</v>
      </c>
      <c r="J343" s="707">
        <f>SUM(J336:J342)</f>
        <v>3819</v>
      </c>
      <c r="K343" s="707">
        <f>SUM(K336:K342)</f>
        <v>47326</v>
      </c>
      <c r="L343" s="707">
        <f>SUM(L336:L342)</f>
        <v>51145.14</v>
      </c>
      <c r="M343" s="1657"/>
      <c r="N343" s="1622"/>
    </row>
    <row r="344" spans="1:14" s="1161" customFormat="1" ht="17" thickBot="1">
      <c r="A344" s="108" t="s">
        <v>146</v>
      </c>
      <c r="B344" s="1567"/>
      <c r="C344" s="1586"/>
      <c r="D344" s="1567"/>
      <c r="E344" s="1586"/>
      <c r="F344" s="1900"/>
      <c r="G344" s="1883"/>
      <c r="H344" s="1142"/>
      <c r="I344" s="109"/>
      <c r="J344" s="109"/>
      <c r="K344" s="109"/>
      <c r="L344" s="1141"/>
      <c r="M344" s="1617"/>
      <c r="N344" s="1486"/>
    </row>
    <row r="345" spans="1:14">
      <c r="A345" s="76" t="s">
        <v>146</v>
      </c>
      <c r="B345" s="1423">
        <f>Upland!N155</f>
        <v>36</v>
      </c>
      <c r="C345" s="1424"/>
      <c r="D345" s="1423">
        <f>F345*325851</f>
        <v>498552.03</v>
      </c>
      <c r="E345" s="1424"/>
      <c r="F345" s="1941">
        <f>0.0425*B345</f>
        <v>1.53</v>
      </c>
      <c r="G345" s="1940"/>
      <c r="H345" s="955">
        <f>F345*20</f>
        <v>30.6</v>
      </c>
      <c r="I345" s="80">
        <f>73.34*B345</f>
        <v>2640.2400000000002</v>
      </c>
      <c r="J345" s="80">
        <f>35.66*B345</f>
        <v>1283.7599999999998</v>
      </c>
      <c r="K345" s="80">
        <f>B345*50</f>
        <v>1800</v>
      </c>
      <c r="L345" s="702">
        <f>I345+J345+K345</f>
        <v>5724</v>
      </c>
      <c r="M345" s="1539">
        <f>L345/(F345*681)</f>
        <v>5.4936512049753823</v>
      </c>
      <c r="N345" s="1540"/>
    </row>
    <row r="346" spans="1:14" ht="14" thickBot="1">
      <c r="A346" s="76" t="s">
        <v>181</v>
      </c>
      <c r="B346" s="1423">
        <f>Upland!N156</f>
        <v>794</v>
      </c>
      <c r="C346" s="1424"/>
      <c r="D346" s="1423">
        <f>F346*325851</f>
        <v>10995841.995000001</v>
      </c>
      <c r="E346" s="1424"/>
      <c r="F346" s="1941">
        <f>0.0425*B346</f>
        <v>33.745000000000005</v>
      </c>
      <c r="G346" s="1940"/>
      <c r="H346" s="955">
        <f>F346*20</f>
        <v>674.90000000000009</v>
      </c>
      <c r="I346" s="80">
        <f>73.34*B346</f>
        <v>58231.96</v>
      </c>
      <c r="J346" s="80">
        <f>35.66*B346</f>
        <v>28314.039999999997</v>
      </c>
      <c r="K346" s="80">
        <f>B346*50</f>
        <v>39700</v>
      </c>
      <c r="L346" s="702">
        <f>I346+J346+K346</f>
        <v>126246</v>
      </c>
      <c r="M346" s="1539">
        <f>L346/(F346*681)</f>
        <v>5.4936512049753814</v>
      </c>
      <c r="N346" s="1540"/>
    </row>
    <row r="347" spans="1:14" ht="14" thickBot="1">
      <c r="A347" s="53" t="s">
        <v>60</v>
      </c>
      <c r="B347" s="1438">
        <f>SUM(B345:B346)</f>
        <v>830</v>
      </c>
      <c r="C347" s="1621"/>
      <c r="D347" s="1441">
        <f>SUM(D345:D346)</f>
        <v>11494394.025</v>
      </c>
      <c r="E347" s="1621"/>
      <c r="F347" s="1441">
        <f>SUM(F345:F346)</f>
        <v>35.275000000000006</v>
      </c>
      <c r="G347" s="1439"/>
      <c r="H347" s="586">
        <f>SUM(H345:H346)</f>
        <v>705.50000000000011</v>
      </c>
      <c r="I347" s="707">
        <f>SUM(I345:I346)</f>
        <v>60872.2</v>
      </c>
      <c r="J347" s="56">
        <f>SUM(J345:J346)</f>
        <v>29597.799999999996</v>
      </c>
      <c r="K347" s="56">
        <f>SUM(K345:K346)</f>
        <v>41500</v>
      </c>
      <c r="L347" s="707">
        <f>SUM(L345:L346)</f>
        <v>131970</v>
      </c>
      <c r="M347" s="1657"/>
      <c r="N347" s="1622"/>
    </row>
    <row r="348" spans="1:14" s="1161" customFormat="1" ht="17" thickBot="1">
      <c r="A348" s="108" t="s">
        <v>50</v>
      </c>
      <c r="B348" s="1567"/>
      <c r="C348" s="1586"/>
      <c r="D348" s="1567"/>
      <c r="E348" s="1586"/>
      <c r="F348" s="1567"/>
      <c r="G348" s="1586"/>
      <c r="H348" s="1142"/>
      <c r="I348" s="109"/>
      <c r="J348" s="109"/>
      <c r="K348" s="109"/>
      <c r="L348" s="1141"/>
      <c r="M348" s="1617"/>
      <c r="N348" s="1486"/>
    </row>
    <row r="349" spans="1:14">
      <c r="A349" s="78" t="s">
        <v>29</v>
      </c>
      <c r="B349" s="1423">
        <f>Upland!N159</f>
        <v>0</v>
      </c>
      <c r="C349" s="1424"/>
      <c r="D349" s="1423">
        <f t="shared" ref="D349:D355" si="90">F349*325851</f>
        <v>0</v>
      </c>
      <c r="E349" s="1424"/>
      <c r="F349" s="1941">
        <f>0.0425*B349</f>
        <v>0</v>
      </c>
      <c r="G349" s="1940"/>
      <c r="H349" s="955">
        <f>F349*20</f>
        <v>0</v>
      </c>
      <c r="I349" s="80">
        <v>0</v>
      </c>
      <c r="J349" s="80">
        <f>35*B349</f>
        <v>0</v>
      </c>
      <c r="K349" s="80">
        <f>50*B349</f>
        <v>0</v>
      </c>
      <c r="L349" s="702">
        <f t="shared" ref="L349:L355" si="91">SUM(I349:K349)</f>
        <v>0</v>
      </c>
      <c r="M349" s="1539">
        <v>0</v>
      </c>
      <c r="N349" s="1540"/>
    </row>
    <row r="350" spans="1:14">
      <c r="A350" s="78" t="s">
        <v>51</v>
      </c>
      <c r="B350" s="1423">
        <f>Upland!N160</f>
        <v>0</v>
      </c>
      <c r="C350" s="1424"/>
      <c r="D350" s="1423">
        <f t="shared" si="90"/>
        <v>0</v>
      </c>
      <c r="E350" s="1424"/>
      <c r="F350" s="1941">
        <f>0.1227*B350</f>
        <v>0</v>
      </c>
      <c r="G350" s="1940"/>
      <c r="H350" s="955">
        <f>F350*20</f>
        <v>0</v>
      </c>
      <c r="I350" s="80">
        <v>0</v>
      </c>
      <c r="J350" s="80">
        <f>50*B350</f>
        <v>0</v>
      </c>
      <c r="K350" s="80">
        <f>200*B350</f>
        <v>0</v>
      </c>
      <c r="L350" s="702">
        <f t="shared" si="91"/>
        <v>0</v>
      </c>
      <c r="M350" s="1539">
        <v>0</v>
      </c>
      <c r="N350" s="1540"/>
    </row>
    <row r="351" spans="1:14">
      <c r="A351" s="78" t="s">
        <v>170</v>
      </c>
      <c r="B351" s="1423">
        <f>Upland!N161</f>
        <v>0</v>
      </c>
      <c r="C351" s="1424"/>
      <c r="D351" s="1423">
        <f t="shared" si="90"/>
        <v>0</v>
      </c>
      <c r="E351" s="1424"/>
      <c r="F351" s="1941">
        <f>0.644*B351</f>
        <v>0</v>
      </c>
      <c r="G351" s="1940"/>
      <c r="H351" s="955">
        <f>F351*5</f>
        <v>0</v>
      </c>
      <c r="I351" s="80">
        <v>0</v>
      </c>
      <c r="J351" s="80">
        <f>B351*500</f>
        <v>0</v>
      </c>
      <c r="K351" s="80">
        <f>B351*1750</f>
        <v>0</v>
      </c>
      <c r="L351" s="702">
        <f t="shared" si="91"/>
        <v>0</v>
      </c>
      <c r="M351" s="1539">
        <v>0</v>
      </c>
      <c r="N351" s="1540"/>
    </row>
    <row r="352" spans="1:14">
      <c r="A352" s="78" t="s">
        <v>13</v>
      </c>
      <c r="B352" s="1423">
        <f>Upland!N162</f>
        <v>0</v>
      </c>
      <c r="C352" s="1424"/>
      <c r="D352" s="1423">
        <f t="shared" si="90"/>
        <v>0</v>
      </c>
      <c r="E352" s="1424"/>
      <c r="F352" s="1941">
        <f>0.0276*B352</f>
        <v>0</v>
      </c>
      <c r="G352" s="1940"/>
      <c r="H352" s="955">
        <f>F352*10</f>
        <v>0</v>
      </c>
      <c r="I352" s="80">
        <v>0</v>
      </c>
      <c r="J352" s="80">
        <f>100*B352</f>
        <v>0</v>
      </c>
      <c r="K352" s="80">
        <f>80*B352</f>
        <v>0</v>
      </c>
      <c r="L352" s="702">
        <f t="shared" si="91"/>
        <v>0</v>
      </c>
      <c r="M352" s="1539">
        <v>0</v>
      </c>
      <c r="N352" s="1540"/>
    </row>
    <row r="353" spans="1:14" hidden="1">
      <c r="A353" s="76" t="s">
        <v>47</v>
      </c>
      <c r="B353" s="1423">
        <f>Upland!N163</f>
        <v>0</v>
      </c>
      <c r="C353" s="1424"/>
      <c r="D353" s="1423">
        <f t="shared" si="90"/>
        <v>0</v>
      </c>
      <c r="E353" s="1424"/>
      <c r="F353" s="1941">
        <f>0.1534*B353</f>
        <v>0</v>
      </c>
      <c r="G353" s="1940"/>
      <c r="H353" s="955">
        <f>F353*5</f>
        <v>0</v>
      </c>
      <c r="I353" s="80">
        <v>0</v>
      </c>
      <c r="J353" s="80">
        <f>0*B353</f>
        <v>0</v>
      </c>
      <c r="K353" s="80">
        <f>150*B353</f>
        <v>0</v>
      </c>
      <c r="L353" s="702">
        <f t="shared" si="91"/>
        <v>0</v>
      </c>
      <c r="M353" s="1539">
        <v>0</v>
      </c>
      <c r="N353" s="1540"/>
    </row>
    <row r="354" spans="1:14">
      <c r="A354" s="76" t="s">
        <v>30</v>
      </c>
      <c r="B354" s="1423">
        <f>Upland!N164</f>
        <v>1</v>
      </c>
      <c r="C354" s="1424"/>
      <c r="D354" s="1423">
        <f t="shared" si="90"/>
        <v>105901.575</v>
      </c>
      <c r="E354" s="1424"/>
      <c r="F354" s="1941">
        <f>0.325*B354</f>
        <v>0.32500000000000001</v>
      </c>
      <c r="G354" s="1940"/>
      <c r="H354" s="955">
        <f>F354*10</f>
        <v>3.25</v>
      </c>
      <c r="I354" s="80">
        <v>0</v>
      </c>
      <c r="J354" s="80">
        <v>117</v>
      </c>
      <c r="K354" s="80">
        <v>600</v>
      </c>
      <c r="L354" s="702">
        <f t="shared" si="91"/>
        <v>717</v>
      </c>
      <c r="M354" s="1539">
        <f>L354/(F354*681)</f>
        <v>3.2395798034564551</v>
      </c>
      <c r="N354" s="1540"/>
    </row>
    <row r="355" spans="1:14" hidden="1">
      <c r="A355" s="76" t="s">
        <v>53</v>
      </c>
      <c r="B355" s="1423">
        <f>Upland!N165</f>
        <v>0</v>
      </c>
      <c r="C355" s="1424"/>
      <c r="D355" s="1423">
        <f t="shared" si="90"/>
        <v>0</v>
      </c>
      <c r="E355" s="1424"/>
      <c r="F355" s="1941">
        <f>0.00014*B355</f>
        <v>0</v>
      </c>
      <c r="G355" s="1940"/>
      <c r="H355" s="955">
        <f>F355*10</f>
        <v>0</v>
      </c>
      <c r="I355" s="80">
        <v>0</v>
      </c>
      <c r="J355" s="80">
        <f>0.45*B355</f>
        <v>0</v>
      </c>
      <c r="K355" s="80">
        <f>0.3*B355</f>
        <v>0</v>
      </c>
      <c r="L355" s="702">
        <f t="shared" si="91"/>
        <v>0</v>
      </c>
      <c r="M355" s="1539">
        <v>0</v>
      </c>
      <c r="N355" s="1540"/>
    </row>
    <row r="356" spans="1:14">
      <c r="A356" s="76" t="s">
        <v>56</v>
      </c>
      <c r="B356" s="1423">
        <f>Upland!N166</f>
        <v>0</v>
      </c>
      <c r="C356" s="1424"/>
      <c r="D356" s="1423">
        <f>F356*325851</f>
        <v>0</v>
      </c>
      <c r="E356" s="1424"/>
      <c r="F356" s="1941">
        <f>0.004*B356</f>
        <v>0</v>
      </c>
      <c r="G356" s="1940"/>
      <c r="H356" s="955">
        <f>F356*5</f>
        <v>0</v>
      </c>
      <c r="I356" s="80">
        <v>0</v>
      </c>
      <c r="J356" s="80">
        <f>0*B356</f>
        <v>0</v>
      </c>
      <c r="K356" s="80">
        <f>4*B356</f>
        <v>0</v>
      </c>
      <c r="L356" s="80">
        <f>630*C356</f>
        <v>0</v>
      </c>
      <c r="M356" s="1539">
        <v>0</v>
      </c>
      <c r="N356" s="1540"/>
    </row>
    <row r="357" spans="1:14">
      <c r="A357" s="76" t="s">
        <v>122</v>
      </c>
      <c r="B357" s="1423">
        <f>Upland!N167</f>
        <v>0</v>
      </c>
      <c r="C357" s="1424"/>
      <c r="D357" s="1423">
        <f>F357*325851</f>
        <v>0</v>
      </c>
      <c r="E357" s="1424"/>
      <c r="F357" s="1941">
        <f>0.018*B357</f>
        <v>0</v>
      </c>
      <c r="G357" s="1940"/>
      <c r="H357" s="955">
        <f>F357*10</f>
        <v>0</v>
      </c>
      <c r="I357" s="80">
        <v>0</v>
      </c>
      <c r="J357" s="80">
        <f>0*B357</f>
        <v>0</v>
      </c>
      <c r="K357" s="80">
        <f>13*B357</f>
        <v>0</v>
      </c>
      <c r="L357" s="80">
        <f>630*C357</f>
        <v>0</v>
      </c>
      <c r="M357" s="1539">
        <v>0</v>
      </c>
      <c r="N357" s="1540"/>
    </row>
    <row r="358" spans="1:14" hidden="1">
      <c r="A358" s="76" t="s">
        <v>102</v>
      </c>
      <c r="B358" s="1423">
        <f>Upland!N168</f>
        <v>0</v>
      </c>
      <c r="C358" s="1424"/>
      <c r="D358" s="1423">
        <f>F358*325851</f>
        <v>0</v>
      </c>
      <c r="E358" s="1424"/>
      <c r="F358" s="1941">
        <f>0.018*B358</f>
        <v>0</v>
      </c>
      <c r="G358" s="1940"/>
      <c r="H358" s="955">
        <f>F358*10</f>
        <v>0</v>
      </c>
      <c r="I358" s="80">
        <v>0</v>
      </c>
      <c r="J358" s="80">
        <f>0*B358</f>
        <v>0</v>
      </c>
      <c r="K358" s="80">
        <f>13*B358</f>
        <v>0</v>
      </c>
      <c r="L358" s="80">
        <f>630*C358</f>
        <v>0</v>
      </c>
      <c r="M358" s="1539">
        <v>1</v>
      </c>
      <c r="N358" s="1540"/>
    </row>
    <row r="359" spans="1:14" ht="14" hidden="1" thickBot="1">
      <c r="A359" s="76" t="s">
        <v>167</v>
      </c>
      <c r="B359" s="1423"/>
      <c r="C359" s="1424"/>
      <c r="D359" s="1423"/>
      <c r="E359" s="1424"/>
      <c r="F359" s="2041"/>
      <c r="G359" s="1912"/>
      <c r="H359" s="955"/>
      <c r="I359" s="701"/>
      <c r="J359" s="80"/>
      <c r="K359" s="80"/>
      <c r="L359" s="702"/>
      <c r="M359" s="1539"/>
      <c r="N359" s="1540"/>
    </row>
    <row r="360" spans="1:14">
      <c r="A360" s="76" t="s">
        <v>165</v>
      </c>
      <c r="B360" s="1423">
        <f>Upland!N170</f>
        <v>2000</v>
      </c>
      <c r="C360" s="1424"/>
      <c r="D360" s="1423">
        <f>F360*325851</f>
        <v>11730636</v>
      </c>
      <c r="E360" s="1424"/>
      <c r="F360" s="1941">
        <f>0.018*B360</f>
        <v>36</v>
      </c>
      <c r="G360" s="1940"/>
      <c r="H360" s="955">
        <f>F360*10</f>
        <v>360</v>
      </c>
      <c r="I360" s="80">
        <v>0</v>
      </c>
      <c r="J360" s="80">
        <f>0*B360</f>
        <v>0</v>
      </c>
      <c r="K360" s="80">
        <f>13*B360</f>
        <v>26000</v>
      </c>
      <c r="L360" s="80">
        <f>630*C360</f>
        <v>0</v>
      </c>
      <c r="M360" s="1539">
        <v>0</v>
      </c>
      <c r="N360" s="1540"/>
    </row>
    <row r="361" spans="1:14" ht="14" thickBot="1">
      <c r="A361" s="78" t="s">
        <v>184</v>
      </c>
      <c r="B361" s="1536">
        <f>Upland!N171</f>
        <v>0</v>
      </c>
      <c r="C361" s="1424"/>
      <c r="D361" s="1536">
        <f>F361*325851</f>
        <v>0</v>
      </c>
      <c r="E361" s="1424"/>
      <c r="F361" s="1941">
        <f>0.018*B361</f>
        <v>0</v>
      </c>
      <c r="G361" s="1940"/>
      <c r="H361" s="955">
        <f>F361*10</f>
        <v>0</v>
      </c>
      <c r="I361" s="80">
        <v>0</v>
      </c>
      <c r="J361" s="80">
        <v>0</v>
      </c>
      <c r="K361" s="80">
        <v>0</v>
      </c>
      <c r="L361" s="702">
        <v>0</v>
      </c>
      <c r="M361" s="1539">
        <v>0</v>
      </c>
      <c r="N361" s="1540"/>
    </row>
    <row r="362" spans="1:14" ht="14" thickBot="1">
      <c r="A362" s="53" t="s">
        <v>60</v>
      </c>
      <c r="B362" s="1438">
        <f>SUM(B349:C361)</f>
        <v>2001</v>
      </c>
      <c r="C362" s="1609"/>
      <c r="D362" s="1440">
        <f>SUM(D349:E361)</f>
        <v>11836537.574999999</v>
      </c>
      <c r="E362" s="1621"/>
      <c r="F362" s="1441">
        <f>SUM(F349:G361)</f>
        <v>36.325000000000003</v>
      </c>
      <c r="G362" s="1609"/>
      <c r="H362" s="586">
        <f>SUM(H349:H361)</f>
        <v>363.25</v>
      </c>
      <c r="I362" s="707">
        <f>SUM(I349:I361)</f>
        <v>0</v>
      </c>
      <c r="J362" s="707">
        <f>SUM(J349:J361)</f>
        <v>117</v>
      </c>
      <c r="K362" s="707">
        <f>SUM(K349:K361)</f>
        <v>26600</v>
      </c>
      <c r="L362" s="707">
        <f>SUM(L349:L361)</f>
        <v>717</v>
      </c>
      <c r="M362" s="1657"/>
      <c r="N362" s="1622"/>
    </row>
    <row r="363" spans="1:14" s="1208" customFormat="1" ht="17" thickBot="1">
      <c r="A363" s="1182" t="s">
        <v>17</v>
      </c>
      <c r="B363" s="1416">
        <f>SUM(,B362,B347,B343)</f>
        <v>13632</v>
      </c>
      <c r="C363" s="1415"/>
      <c r="D363" s="1416">
        <f>SUM(,D362,D347,D343)</f>
        <v>40858454.237000003</v>
      </c>
      <c r="E363" s="1415"/>
      <c r="F363" s="1416">
        <f>SUM(,F362,F347,F343)</f>
        <v>125.38300000000001</v>
      </c>
      <c r="G363" s="1415"/>
      <c r="H363" s="1164">
        <f>SUM(H362,H347,H343)</f>
        <v>1406.42</v>
      </c>
      <c r="I363" s="1164">
        <f>SUM(I362,I347,I343)</f>
        <v>60872.2</v>
      </c>
      <c r="J363" s="1164">
        <f>SUM(J362,J347,J343)</f>
        <v>33533.799999999996</v>
      </c>
      <c r="K363" s="1164">
        <f>SUM(K362,K347,K343)</f>
        <v>115426</v>
      </c>
      <c r="L363" s="1164">
        <f>SUM(L362,L347,L343)</f>
        <v>183832.14</v>
      </c>
      <c r="M363" s="1416"/>
      <c r="N363" s="1415"/>
    </row>
    <row r="364" spans="1:14" ht="16">
      <c r="A364" s="60"/>
      <c r="B364" s="61"/>
      <c r="C364" s="61"/>
      <c r="D364" s="61"/>
      <c r="E364" s="61"/>
      <c r="F364" s="61"/>
      <c r="G364" s="61"/>
      <c r="H364" s="61"/>
      <c r="I364" s="62"/>
      <c r="J364" s="62"/>
      <c r="K364" s="62"/>
      <c r="L364" s="62"/>
      <c r="M364" s="64"/>
      <c r="N364" s="65"/>
    </row>
    <row r="365" spans="1:14" ht="16">
      <c r="A365" s="9" t="s">
        <v>18</v>
      </c>
      <c r="B365" s="1566" t="s">
        <v>59</v>
      </c>
      <c r="C365" s="1566"/>
      <c r="D365" s="1566"/>
      <c r="E365" s="1566"/>
      <c r="F365" s="61"/>
      <c r="G365" s="61"/>
      <c r="H365" s="61"/>
      <c r="I365" s="62"/>
      <c r="J365" s="62"/>
      <c r="K365" s="62"/>
      <c r="L365" s="62"/>
      <c r="M365" s="64"/>
      <c r="N365" s="65"/>
    </row>
    <row r="366" spans="1:14" ht="16">
      <c r="A366" s="520"/>
      <c r="B366" s="1559" t="s">
        <v>19</v>
      </c>
      <c r="C366" s="1559"/>
      <c r="D366" s="1559"/>
      <c r="E366" s="1559"/>
      <c r="F366" s="61"/>
      <c r="G366" s="61"/>
      <c r="H366" s="61"/>
      <c r="I366" s="62"/>
      <c r="J366" s="62"/>
      <c r="K366" s="62"/>
      <c r="L366" s="62"/>
      <c r="M366" s="64"/>
      <c r="N366" s="65"/>
    </row>
    <row r="367" spans="1:14" s="646" customFormat="1" ht="16">
      <c r="A367" s="348"/>
      <c r="B367" s="349"/>
      <c r="C367" s="349"/>
      <c r="D367" s="349"/>
      <c r="E367" s="349"/>
      <c r="F367" s="350"/>
      <c r="G367" s="350"/>
      <c r="H367" s="418"/>
      <c r="I367" s="2046" t="s">
        <v>0</v>
      </c>
      <c r="J367" s="2046"/>
      <c r="K367" s="2046"/>
      <c r="L367" s="2046"/>
      <c r="M367" s="349"/>
      <c r="N367" s="344"/>
    </row>
    <row r="368" spans="1:14" ht="16">
      <c r="A368" s="97"/>
      <c r="B368" s="1469" t="s">
        <v>1</v>
      </c>
      <c r="C368" s="1469"/>
      <c r="D368" s="1469" t="s">
        <v>2</v>
      </c>
      <c r="E368" s="1469"/>
      <c r="F368" s="1863" t="s">
        <v>3</v>
      </c>
      <c r="G368" s="1863"/>
      <c r="H368" s="602" t="s">
        <v>3</v>
      </c>
      <c r="I368" s="127" t="s">
        <v>195</v>
      </c>
      <c r="J368" s="102"/>
      <c r="K368" s="102"/>
      <c r="L368" s="128"/>
      <c r="M368" s="1469" t="s">
        <v>4</v>
      </c>
      <c r="N368" s="1526"/>
    </row>
    <row r="369" spans="1:14" ht="19" thickBot="1">
      <c r="A369" s="103" t="s">
        <v>5</v>
      </c>
      <c r="B369" s="1473" t="s">
        <v>6</v>
      </c>
      <c r="C369" s="1473"/>
      <c r="D369" s="1473" t="s">
        <v>7</v>
      </c>
      <c r="E369" s="1473"/>
      <c r="F369" s="1864" t="s">
        <v>7</v>
      </c>
      <c r="G369" s="1864"/>
      <c r="H369" s="603" t="s">
        <v>58</v>
      </c>
      <c r="I369" s="596" t="s">
        <v>196</v>
      </c>
      <c r="J369" s="595" t="s">
        <v>8</v>
      </c>
      <c r="K369" s="595" t="s">
        <v>9</v>
      </c>
      <c r="L369" s="401" t="s">
        <v>10</v>
      </c>
      <c r="M369" s="1473" t="s">
        <v>145</v>
      </c>
      <c r="N369" s="1475"/>
    </row>
    <row r="370" spans="1:14" ht="24" thickBot="1">
      <c r="A370" s="88" t="s">
        <v>163</v>
      </c>
      <c r="B370" s="1482"/>
      <c r="C370" s="2021"/>
      <c r="D370" s="2022"/>
      <c r="E370" s="2023"/>
      <c r="F370" s="2024"/>
      <c r="G370" s="2025"/>
      <c r="H370" s="647"/>
      <c r="I370" s="213"/>
      <c r="J370" s="213"/>
      <c r="K370" s="213"/>
      <c r="L370" s="214"/>
      <c r="M370" s="1482"/>
      <c r="N370" s="1483"/>
    </row>
    <row r="371" spans="1:14" s="1161" customFormat="1" ht="15.75" customHeight="1" thickBot="1">
      <c r="A371" s="108" t="s">
        <v>48</v>
      </c>
      <c r="B371" s="1567"/>
      <c r="C371" s="1586"/>
      <c r="D371" s="1567"/>
      <c r="E371" s="1586"/>
      <c r="F371" s="1619"/>
      <c r="G371" s="1620"/>
      <c r="H371" s="1299"/>
      <c r="I371" s="109"/>
      <c r="J371" s="109"/>
      <c r="K371" s="109"/>
      <c r="L371" s="1296"/>
      <c r="M371" s="1617"/>
      <c r="N371" s="1486"/>
    </row>
    <row r="372" spans="1:14" s="512" customFormat="1">
      <c r="A372" s="76" t="s">
        <v>29</v>
      </c>
      <c r="B372" s="1447">
        <f>Upland!N117</f>
        <v>13</v>
      </c>
      <c r="C372" s="1448"/>
      <c r="D372" s="1447">
        <f>F372*325851</f>
        <v>180032.67749999999</v>
      </c>
      <c r="E372" s="1448"/>
      <c r="F372" s="1903">
        <f>0.0425*B372</f>
        <v>0.55249999999999999</v>
      </c>
      <c r="G372" s="1904"/>
      <c r="H372" s="1309">
        <f>F372*20</f>
        <v>11.05</v>
      </c>
      <c r="I372" s="79">
        <v>0</v>
      </c>
      <c r="J372" s="79">
        <f>35*B372</f>
        <v>455</v>
      </c>
      <c r="K372" s="79">
        <f>B372*50</f>
        <v>650</v>
      </c>
      <c r="L372" s="1295">
        <f>I372+J372+K372</f>
        <v>1105</v>
      </c>
      <c r="M372" s="1427">
        <f>L372/(F372*498.5)</f>
        <v>4.0120361083249749</v>
      </c>
      <c r="N372" s="1428"/>
    </row>
    <row r="373" spans="1:14">
      <c r="A373" s="78" t="s">
        <v>33</v>
      </c>
      <c r="B373" s="1423">
        <f>Upland!N118</f>
        <v>229</v>
      </c>
      <c r="C373" s="1424"/>
      <c r="D373" s="1423">
        <f>F373*325851</f>
        <v>2059508.6604000002</v>
      </c>
      <c r="E373" s="1424"/>
      <c r="F373" s="1941">
        <f>0.0276*B373</f>
        <v>6.3204000000000002</v>
      </c>
      <c r="G373" s="1940"/>
      <c r="H373" s="955">
        <f>F373*15</f>
        <v>94.805999999999997</v>
      </c>
      <c r="I373" s="80">
        <f>0*B373</f>
        <v>0</v>
      </c>
      <c r="J373" s="80">
        <v>0</v>
      </c>
      <c r="K373" s="80">
        <f>B373*85</f>
        <v>19465</v>
      </c>
      <c r="L373" s="591">
        <f>I373+J373+K373</f>
        <v>19465</v>
      </c>
      <c r="M373" s="1539">
        <f>L373/(F373*498.5)</f>
        <v>6.177954152312009</v>
      </c>
      <c r="N373" s="1540"/>
    </row>
    <row r="374" spans="1:14">
      <c r="A374" s="78" t="s">
        <v>56</v>
      </c>
      <c r="B374" s="1423">
        <f>Upland!N119</f>
        <v>247</v>
      </c>
      <c r="C374" s="1424"/>
      <c r="D374" s="1423">
        <f>F374*325851</f>
        <v>321940.788</v>
      </c>
      <c r="E374" s="1424"/>
      <c r="F374" s="1941">
        <f>0.004*B374</f>
        <v>0.98799999999999999</v>
      </c>
      <c r="G374" s="1940"/>
      <c r="H374" s="955">
        <f>F374*5</f>
        <v>4.9399999999999995</v>
      </c>
      <c r="I374" s="80">
        <f>0*B374</f>
        <v>0</v>
      </c>
      <c r="J374" s="80">
        <f>2*B374</f>
        <v>494</v>
      </c>
      <c r="K374" s="80">
        <f>B374*3</f>
        <v>741</v>
      </c>
      <c r="L374" s="591">
        <f>I374+J374+K374</f>
        <v>1235</v>
      </c>
      <c r="M374" s="1539">
        <f>L374/(F374*498.5)</f>
        <v>2.5075225677031097</v>
      </c>
      <c r="N374" s="1540"/>
    </row>
    <row r="375" spans="1:14">
      <c r="A375" s="78" t="s">
        <v>30</v>
      </c>
      <c r="B375" s="1423">
        <f>Upland!N120</f>
        <v>5</v>
      </c>
      <c r="C375" s="1424"/>
      <c r="D375" s="1423">
        <f>F375*325851</f>
        <v>529507.875</v>
      </c>
      <c r="E375" s="1424"/>
      <c r="F375" s="1941">
        <f>0.325*B375</f>
        <v>1.625</v>
      </c>
      <c r="G375" s="1940"/>
      <c r="H375" s="955">
        <f>F375*10</f>
        <v>16.25</v>
      </c>
      <c r="I375" s="80">
        <v>0</v>
      </c>
      <c r="J375" s="80">
        <f>B375*45</f>
        <v>225</v>
      </c>
      <c r="K375" s="80">
        <f>B375*80</f>
        <v>400</v>
      </c>
      <c r="L375" s="591">
        <f>I375+J375+K375</f>
        <v>625</v>
      </c>
      <c r="M375" s="1539">
        <v>0</v>
      </c>
      <c r="N375" s="1540"/>
    </row>
    <row r="376" spans="1:14">
      <c r="A376" s="76" t="s">
        <v>174</v>
      </c>
      <c r="B376" s="1423">
        <v>1</v>
      </c>
      <c r="C376" s="1424"/>
      <c r="D376" s="1447">
        <f>F376*325900</f>
        <v>31664.444</v>
      </c>
      <c r="E376" s="1448"/>
      <c r="F376" s="1903">
        <f>0.00014*694</f>
        <v>9.7159999999999996E-2</v>
      </c>
      <c r="G376" s="1904"/>
      <c r="H376" s="962">
        <f>F376*10</f>
        <v>0.97160000000000002</v>
      </c>
      <c r="I376" s="79">
        <v>0</v>
      </c>
      <c r="J376" s="79">
        <f>694*0.45</f>
        <v>312.3</v>
      </c>
      <c r="K376" s="79">
        <f>694*0.3</f>
        <v>208.2</v>
      </c>
      <c r="L376" s="593">
        <f>SUM(I376:K376)</f>
        <v>520.5</v>
      </c>
      <c r="M376" s="1539">
        <f>L376/(F376*498.5)</f>
        <v>10.746525290156184</v>
      </c>
      <c r="N376" s="1540"/>
    </row>
    <row r="377" spans="1:14">
      <c r="A377" s="76" t="s">
        <v>165</v>
      </c>
      <c r="B377" s="1423">
        <f>Upland!N122</f>
        <v>430</v>
      </c>
      <c r="C377" s="1424"/>
      <c r="D377" s="1447">
        <f>F377*325900</f>
        <v>560548</v>
      </c>
      <c r="E377" s="1649"/>
      <c r="F377" s="1941">
        <f>B377*0.004</f>
        <v>1.72</v>
      </c>
      <c r="G377" s="1940"/>
      <c r="H377" s="962">
        <f>F377*5</f>
        <v>8.6</v>
      </c>
      <c r="I377" s="79">
        <v>0</v>
      </c>
      <c r="J377" s="79">
        <v>0</v>
      </c>
      <c r="K377" s="79">
        <f>10750*3</f>
        <v>32250</v>
      </c>
      <c r="L377" s="593">
        <f>SUM(I377:K377)</f>
        <v>32250</v>
      </c>
      <c r="M377" s="1539">
        <f>L377/(F377*498.5)</f>
        <v>37.612838515546642</v>
      </c>
      <c r="N377" s="1540"/>
    </row>
    <row r="378" spans="1:14" ht="14" thickBot="1">
      <c r="A378" s="76" t="s">
        <v>166</v>
      </c>
      <c r="B378" s="1423">
        <f>Upland!N123</f>
        <v>17</v>
      </c>
      <c r="C378" s="1424"/>
      <c r="D378" s="1458">
        <f>F378*325900</f>
        <v>4562600</v>
      </c>
      <c r="E378" s="1686"/>
      <c r="F378" s="2019">
        <v>14</v>
      </c>
      <c r="G378" s="1912"/>
      <c r="H378" s="962">
        <v>117</v>
      </c>
      <c r="I378" s="79">
        <v>0</v>
      </c>
      <c r="J378" s="79">
        <v>11287.03</v>
      </c>
      <c r="K378" s="79">
        <v>8831</v>
      </c>
      <c r="L378" s="593">
        <f>SUM(I378:K378)</f>
        <v>20118.03</v>
      </c>
      <c r="M378" s="1539">
        <f>L378/(F378*498.5)</f>
        <v>2.8826522424416106</v>
      </c>
      <c r="N378" s="1540"/>
    </row>
    <row r="379" spans="1:14" ht="14" thickBot="1">
      <c r="A379" s="53" t="s">
        <v>60</v>
      </c>
      <c r="B379" s="1438">
        <f>SUM(B372:C378)</f>
        <v>942</v>
      </c>
      <c r="C379" s="1609"/>
      <c r="D379" s="1440">
        <f>SUM(D372:E378)</f>
        <v>8245802.4449000005</v>
      </c>
      <c r="E379" s="1621"/>
      <c r="F379" s="1441">
        <f>SUM(F372:G378)</f>
        <v>25.303060000000002</v>
      </c>
      <c r="G379" s="1609"/>
      <c r="H379" s="586">
        <f>SUM(H372:H378)</f>
        <v>253.61759999999998</v>
      </c>
      <c r="I379" s="707">
        <f>SUM(I372:I378)</f>
        <v>0</v>
      </c>
      <c r="J379" s="707">
        <f>SUM(J372:J378)</f>
        <v>12773.33</v>
      </c>
      <c r="K379" s="707">
        <f>SUM(K372:K378)</f>
        <v>62545.2</v>
      </c>
      <c r="L379" s="707">
        <f>SUM(L372:L378)</f>
        <v>75318.53</v>
      </c>
      <c r="M379" s="1657"/>
      <c r="N379" s="1622"/>
    </row>
    <row r="380" spans="1:14" s="1161" customFormat="1" ht="17" thickBot="1">
      <c r="A380" s="108" t="s">
        <v>146</v>
      </c>
      <c r="B380" s="1456"/>
      <c r="C380" s="1586"/>
      <c r="D380" s="1457"/>
      <c r="E380" s="1586"/>
      <c r="F380" s="1900"/>
      <c r="G380" s="1883"/>
      <c r="H380" s="1299"/>
      <c r="I380" s="109"/>
      <c r="J380" s="109"/>
      <c r="K380" s="109"/>
      <c r="L380" s="1296"/>
      <c r="M380" s="1617"/>
      <c r="N380" s="1486"/>
    </row>
    <row r="381" spans="1:14" s="512" customFormat="1" ht="14" thickBot="1">
      <c r="A381" s="76" t="s">
        <v>146</v>
      </c>
      <c r="B381" s="1644">
        <f>Upland!N126</f>
        <v>117</v>
      </c>
      <c r="C381" s="1448"/>
      <c r="D381" s="1451">
        <f>F381*325851</f>
        <v>1620294.0975000001</v>
      </c>
      <c r="E381" s="1448"/>
      <c r="F381" s="1903">
        <f>0.0425*B381</f>
        <v>4.9725000000000001</v>
      </c>
      <c r="G381" s="1904"/>
      <c r="H381" s="1309">
        <f>F381*20</f>
        <v>99.45</v>
      </c>
      <c r="I381" s="79">
        <f>73.34*B381</f>
        <v>8580.7800000000007</v>
      </c>
      <c r="J381" s="79">
        <f>35.66*B381</f>
        <v>4172.2199999999993</v>
      </c>
      <c r="K381" s="79">
        <f>B381*50</f>
        <v>5850</v>
      </c>
      <c r="L381" s="1295">
        <f>I381+J381+K381</f>
        <v>18603</v>
      </c>
      <c r="M381" s="1427">
        <f>L381/(F381*498.5)</f>
        <v>7.5048675438078938</v>
      </c>
      <c r="N381" s="1428"/>
    </row>
    <row r="382" spans="1:14" ht="14" thickBot="1">
      <c r="A382" s="53" t="s">
        <v>60</v>
      </c>
      <c r="B382" s="1438">
        <f>SUM(B381)</f>
        <v>117</v>
      </c>
      <c r="C382" s="1609"/>
      <c r="D382" s="1440">
        <f>SUM(D381)</f>
        <v>1620294.0975000001</v>
      </c>
      <c r="E382" s="1621"/>
      <c r="F382" s="1441">
        <f>SUM(F381)</f>
        <v>4.9725000000000001</v>
      </c>
      <c r="G382" s="1609"/>
      <c r="H382" s="586">
        <f>SUM(H381)</f>
        <v>99.45</v>
      </c>
      <c r="I382" s="707">
        <f>SUM(I381)</f>
        <v>8580.7800000000007</v>
      </c>
      <c r="J382" s="56">
        <f>SUM(J381)</f>
        <v>4172.2199999999993</v>
      </c>
      <c r="K382" s="56">
        <f>SUM(K381)</f>
        <v>5850</v>
      </c>
      <c r="L382" s="707">
        <f>SUM(L381)</f>
        <v>18603</v>
      </c>
      <c r="M382" s="1657"/>
      <c r="N382" s="1622"/>
    </row>
    <row r="383" spans="1:14" s="1161" customFormat="1" ht="17" thickBot="1">
      <c r="A383" s="108" t="s">
        <v>50</v>
      </c>
      <c r="B383" s="1456"/>
      <c r="C383" s="1586"/>
      <c r="D383" s="1457"/>
      <c r="E383" s="1586"/>
      <c r="F383" s="1619"/>
      <c r="G383" s="1913"/>
      <c r="H383" s="1299"/>
      <c r="I383" s="109"/>
      <c r="J383" s="109"/>
      <c r="K383" s="109"/>
      <c r="L383" s="1296"/>
      <c r="M383" s="1617"/>
      <c r="N383" s="1486"/>
    </row>
    <row r="384" spans="1:14" s="512" customFormat="1">
      <c r="A384" s="76" t="s">
        <v>29</v>
      </c>
      <c r="B384" s="1644">
        <f>Upland!N129</f>
        <v>30</v>
      </c>
      <c r="C384" s="1448"/>
      <c r="D384" s="1451">
        <f t="shared" ref="D384:D390" si="92">F384*325851</f>
        <v>415460.02500000002</v>
      </c>
      <c r="E384" s="1448"/>
      <c r="F384" s="1903">
        <f>0.0425*B384</f>
        <v>1.2750000000000001</v>
      </c>
      <c r="G384" s="1904"/>
      <c r="H384" s="1309">
        <f>F384*20</f>
        <v>25.500000000000004</v>
      </c>
      <c r="I384" s="79">
        <v>0</v>
      </c>
      <c r="J384" s="79">
        <f>35*B384</f>
        <v>1050</v>
      </c>
      <c r="K384" s="79">
        <f>50*B384</f>
        <v>1500</v>
      </c>
      <c r="L384" s="1295">
        <f t="shared" ref="L384:L390" si="93">SUM(I384:K384)</f>
        <v>2550</v>
      </c>
      <c r="M384" s="1427">
        <f>L384/(F384*498.5)</f>
        <v>4.012036108324974</v>
      </c>
      <c r="N384" s="1428"/>
    </row>
    <row r="385" spans="1:14">
      <c r="A385" s="78" t="s">
        <v>51</v>
      </c>
      <c r="B385" s="1563">
        <f>Upland!N130</f>
        <v>5</v>
      </c>
      <c r="C385" s="1424"/>
      <c r="D385" s="1536">
        <f t="shared" si="92"/>
        <v>199909.58850000001</v>
      </c>
      <c r="E385" s="1424"/>
      <c r="F385" s="1941">
        <f>0.1227*B385</f>
        <v>0.61350000000000005</v>
      </c>
      <c r="G385" s="1940"/>
      <c r="H385" s="955">
        <f>F385*20</f>
        <v>12.270000000000001</v>
      </c>
      <c r="I385" s="80">
        <v>0</v>
      </c>
      <c r="J385" s="80">
        <f>50*B385</f>
        <v>250</v>
      </c>
      <c r="K385" s="80">
        <f>200*B385</f>
        <v>1000</v>
      </c>
      <c r="L385" s="702">
        <f t="shared" si="93"/>
        <v>1250</v>
      </c>
      <c r="M385" s="1539">
        <v>0</v>
      </c>
      <c r="N385" s="1540"/>
    </row>
    <row r="386" spans="1:14">
      <c r="A386" s="78" t="s">
        <v>170</v>
      </c>
      <c r="B386" s="1563">
        <f>Upland!N131</f>
        <v>1</v>
      </c>
      <c r="C386" s="1424"/>
      <c r="D386" s="1536">
        <f t="shared" si="92"/>
        <v>209848.04399999999</v>
      </c>
      <c r="E386" s="1424"/>
      <c r="F386" s="1941">
        <f>0.644*B386</f>
        <v>0.64400000000000002</v>
      </c>
      <c r="G386" s="1940"/>
      <c r="H386" s="955">
        <f>F386*5</f>
        <v>3.22</v>
      </c>
      <c r="I386" s="80">
        <v>0</v>
      </c>
      <c r="J386" s="80">
        <f>B386*500</f>
        <v>500</v>
      </c>
      <c r="K386" s="80">
        <f>B386*1750</f>
        <v>1750</v>
      </c>
      <c r="L386" s="702">
        <f t="shared" si="93"/>
        <v>2250</v>
      </c>
      <c r="M386" s="1539">
        <v>0</v>
      </c>
      <c r="N386" s="1540"/>
    </row>
    <row r="387" spans="1:14" hidden="1">
      <c r="A387" s="78" t="s">
        <v>13</v>
      </c>
      <c r="B387" s="1563">
        <f>Upland!N132</f>
        <v>0</v>
      </c>
      <c r="C387" s="1424"/>
      <c r="D387" s="1536">
        <f t="shared" si="92"/>
        <v>0</v>
      </c>
      <c r="E387" s="1424"/>
      <c r="F387" s="1941">
        <f>0.0276*B387</f>
        <v>0</v>
      </c>
      <c r="G387" s="1940"/>
      <c r="H387" s="955">
        <f>F387*10</f>
        <v>0</v>
      </c>
      <c r="I387" s="80">
        <v>0</v>
      </c>
      <c r="J387" s="80">
        <f>100*B387</f>
        <v>0</v>
      </c>
      <c r="K387" s="80">
        <f>80*B387</f>
        <v>0</v>
      </c>
      <c r="L387" s="702">
        <f t="shared" si="93"/>
        <v>0</v>
      </c>
      <c r="M387" s="1539">
        <v>0</v>
      </c>
      <c r="N387" s="1540"/>
    </row>
    <row r="388" spans="1:14" hidden="1">
      <c r="A388" s="76" t="s">
        <v>47</v>
      </c>
      <c r="B388" s="1563">
        <f>Upland!N133</f>
        <v>0</v>
      </c>
      <c r="C388" s="1424"/>
      <c r="D388" s="1536">
        <f t="shared" si="92"/>
        <v>0</v>
      </c>
      <c r="E388" s="1424"/>
      <c r="F388" s="1941">
        <f>0.1534*B388</f>
        <v>0</v>
      </c>
      <c r="G388" s="1940"/>
      <c r="H388" s="955">
        <f>F388*5</f>
        <v>0</v>
      </c>
      <c r="I388" s="80">
        <v>0</v>
      </c>
      <c r="J388" s="80">
        <f>0*B388</f>
        <v>0</v>
      </c>
      <c r="K388" s="80">
        <f>150*B388</f>
        <v>0</v>
      </c>
      <c r="L388" s="702">
        <f t="shared" si="93"/>
        <v>0</v>
      </c>
      <c r="M388" s="1539">
        <v>0</v>
      </c>
      <c r="N388" s="1540"/>
    </row>
    <row r="389" spans="1:14">
      <c r="A389" s="76" t="s">
        <v>30</v>
      </c>
      <c r="B389" s="1563">
        <f>Upland!N134</f>
        <v>1</v>
      </c>
      <c r="C389" s="1424"/>
      <c r="D389" s="1536">
        <f t="shared" si="92"/>
        <v>105901.575</v>
      </c>
      <c r="E389" s="1424"/>
      <c r="F389" s="1941">
        <f>0.325*B389</f>
        <v>0.32500000000000001</v>
      </c>
      <c r="G389" s="1940"/>
      <c r="H389" s="955">
        <f>F389*10</f>
        <v>3.25</v>
      </c>
      <c r="I389" s="80">
        <v>0</v>
      </c>
      <c r="J389" s="80">
        <v>480</v>
      </c>
      <c r="K389" s="80">
        <v>1200</v>
      </c>
      <c r="L389" s="702">
        <f t="shared" si="93"/>
        <v>1680</v>
      </c>
      <c r="M389" s="1539">
        <f>L389/(F389*498.5)</f>
        <v>10.369570249209165</v>
      </c>
      <c r="N389" s="1540"/>
    </row>
    <row r="390" spans="1:14">
      <c r="A390" s="76" t="s">
        <v>53</v>
      </c>
      <c r="B390" s="1563">
        <f>Upland!N135</f>
        <v>0</v>
      </c>
      <c r="C390" s="1424"/>
      <c r="D390" s="1536">
        <f t="shared" si="92"/>
        <v>0</v>
      </c>
      <c r="E390" s="1424"/>
      <c r="F390" s="1941">
        <f>0.00014*B390</f>
        <v>0</v>
      </c>
      <c r="G390" s="1940"/>
      <c r="H390" s="955">
        <f>F390*10</f>
        <v>0</v>
      </c>
      <c r="I390" s="80">
        <v>0</v>
      </c>
      <c r="J390" s="80">
        <f>0.45*B390</f>
        <v>0</v>
      </c>
      <c r="K390" s="80">
        <f>0.3*B390</f>
        <v>0</v>
      </c>
      <c r="L390" s="702">
        <f t="shared" si="93"/>
        <v>0</v>
      </c>
      <c r="M390" s="1539">
        <v>0</v>
      </c>
      <c r="N390" s="1540"/>
    </row>
    <row r="391" spans="1:14">
      <c r="A391" s="76" t="s">
        <v>56</v>
      </c>
      <c r="B391" s="1563">
        <f>Upland!N136</f>
        <v>0</v>
      </c>
      <c r="C391" s="1424"/>
      <c r="D391" s="1536">
        <f>F391*325851</f>
        <v>0</v>
      </c>
      <c r="E391" s="1424"/>
      <c r="F391" s="1941">
        <f>0.004*B391</f>
        <v>0</v>
      </c>
      <c r="G391" s="1940"/>
      <c r="H391" s="955">
        <f>F391*5</f>
        <v>0</v>
      </c>
      <c r="I391" s="80">
        <v>0</v>
      </c>
      <c r="J391" s="80">
        <f>0*B391</f>
        <v>0</v>
      </c>
      <c r="K391" s="80">
        <f>4*B391</f>
        <v>0</v>
      </c>
      <c r="L391" s="80">
        <f>630*C391</f>
        <v>0</v>
      </c>
      <c r="M391" s="1539">
        <v>0</v>
      </c>
      <c r="N391" s="1540"/>
    </row>
    <row r="392" spans="1:14">
      <c r="A392" s="76" t="s">
        <v>122</v>
      </c>
      <c r="B392" s="1563">
        <f>Upland!N137</f>
        <v>0</v>
      </c>
      <c r="C392" s="1424"/>
      <c r="D392" s="1536">
        <f>F392*325851</f>
        <v>0</v>
      </c>
      <c r="E392" s="1424"/>
      <c r="F392" s="1941">
        <f>0.018*B392</f>
        <v>0</v>
      </c>
      <c r="G392" s="1940"/>
      <c r="H392" s="955">
        <f>F392*10</f>
        <v>0</v>
      </c>
      <c r="I392" s="80">
        <v>0</v>
      </c>
      <c r="J392" s="80">
        <f>0*B392</f>
        <v>0</v>
      </c>
      <c r="K392" s="80">
        <f>13*B392</f>
        <v>0</v>
      </c>
      <c r="L392" s="80">
        <f>630*C392</f>
        <v>0</v>
      </c>
      <c r="M392" s="1539">
        <v>0</v>
      </c>
      <c r="N392" s="1540"/>
    </row>
    <row r="393" spans="1:14" ht="14" thickBot="1">
      <c r="A393" s="76" t="s">
        <v>102</v>
      </c>
      <c r="B393" s="1563">
        <f>Upland!N138</f>
        <v>0</v>
      </c>
      <c r="C393" s="1424"/>
      <c r="D393" s="1536">
        <f>F393*325851</f>
        <v>0</v>
      </c>
      <c r="E393" s="1424"/>
      <c r="F393" s="2041">
        <f>0.153*B393</f>
        <v>0</v>
      </c>
      <c r="G393" s="1912"/>
      <c r="H393" s="955">
        <f>F393*5</f>
        <v>0</v>
      </c>
      <c r="I393" s="80">
        <v>0</v>
      </c>
      <c r="J393" s="80">
        <f>0*B393</f>
        <v>0</v>
      </c>
      <c r="K393" s="80">
        <f>60*B393</f>
        <v>0</v>
      </c>
      <c r="L393" s="80">
        <f>630*C393</f>
        <v>0</v>
      </c>
      <c r="M393" s="1539">
        <v>0</v>
      </c>
      <c r="N393" s="1540"/>
    </row>
    <row r="394" spans="1:14" ht="14" hidden="1" thickBot="1">
      <c r="A394" s="78" t="s">
        <v>167</v>
      </c>
      <c r="B394" s="1560"/>
      <c r="C394" s="1544"/>
      <c r="D394" s="1693"/>
      <c r="E394" s="1459"/>
      <c r="F394" s="1458"/>
      <c r="G394" s="1459"/>
      <c r="H394" s="594"/>
      <c r="I394" s="705"/>
      <c r="J394" s="705"/>
      <c r="K394" s="705"/>
      <c r="L394" s="706"/>
      <c r="M394" s="1561"/>
      <c r="N394" s="1562"/>
    </row>
    <row r="395" spans="1:14" ht="14" thickBot="1">
      <c r="A395" s="53" t="s">
        <v>60</v>
      </c>
      <c r="B395" s="1438">
        <f>SUM(B384:C393)</f>
        <v>37</v>
      </c>
      <c r="C395" s="1609"/>
      <c r="D395" s="1440">
        <f>SUM(D384:E393)</f>
        <v>931119.23249999993</v>
      </c>
      <c r="E395" s="1621"/>
      <c r="F395" s="1441">
        <f>SUM(F384:G393)</f>
        <v>2.8575000000000004</v>
      </c>
      <c r="G395" s="1439"/>
      <c r="H395" s="586">
        <f>SUM(H384:H393)</f>
        <v>44.24</v>
      </c>
      <c r="I395" s="707">
        <f>SUM(I384:I393)</f>
        <v>0</v>
      </c>
      <c r="J395" s="56">
        <f>SUM(J384:J393)</f>
        <v>2280</v>
      </c>
      <c r="K395" s="56">
        <f>SUM(K384:K393)</f>
        <v>5450</v>
      </c>
      <c r="L395" s="707">
        <f>SUM(L384:L393)</f>
        <v>7730</v>
      </c>
      <c r="M395" s="1657"/>
      <c r="N395" s="1622"/>
    </row>
    <row r="396" spans="1:14" s="1208" customFormat="1" ht="17" thickBot="1">
      <c r="A396" s="1182" t="s">
        <v>17</v>
      </c>
      <c r="B396" s="1416">
        <f>SUM(,B395,B382,B379)</f>
        <v>1096</v>
      </c>
      <c r="C396" s="1415"/>
      <c r="D396" s="1416">
        <f>SUM(,D395,D382,D379)</f>
        <v>10797215.774900001</v>
      </c>
      <c r="E396" s="1415"/>
      <c r="F396" s="1416">
        <f>SUM(,F395,F382,F379)</f>
        <v>33.13306</v>
      </c>
      <c r="G396" s="1415"/>
      <c r="H396" s="1293">
        <f>SUM(H395,H382,H379)</f>
        <v>397.30759999999998</v>
      </c>
      <c r="I396" s="1293">
        <f>SUM(I395,I382,I379)</f>
        <v>8580.7800000000007</v>
      </c>
      <c r="J396" s="1293">
        <f>SUM(J395,J382,J379)</f>
        <v>19225.55</v>
      </c>
      <c r="K396" s="1293">
        <f>SUM(K395,K382,K379)</f>
        <v>73845.2</v>
      </c>
      <c r="L396" s="1293">
        <f>SUM(L395,L382,L379)</f>
        <v>101651.53</v>
      </c>
      <c r="M396" s="1416"/>
      <c r="N396" s="1415"/>
    </row>
    <row r="397" spans="1:14" s="512" customFormat="1" ht="16">
      <c r="A397" s="343"/>
      <c r="B397" s="340"/>
      <c r="C397" s="340"/>
      <c r="D397" s="340"/>
      <c r="E397" s="340"/>
      <c r="F397" s="340"/>
      <c r="G397" s="340"/>
      <c r="H397" s="340"/>
      <c r="I397" s="1354"/>
      <c r="J397" s="1354"/>
      <c r="K397" s="1354"/>
      <c r="L397" s="1354"/>
      <c r="M397" s="1355"/>
      <c r="N397" s="882"/>
    </row>
    <row r="398" spans="1:14" ht="16">
      <c r="A398" s="9" t="s">
        <v>18</v>
      </c>
      <c r="B398" s="1566" t="s">
        <v>59</v>
      </c>
      <c r="C398" s="1566"/>
      <c r="D398" s="1566"/>
      <c r="E398" s="1566"/>
      <c r="F398" s="61"/>
      <c r="G398" s="61"/>
      <c r="H398" s="61"/>
      <c r="I398" s="62"/>
      <c r="J398" s="62"/>
      <c r="K398" s="62"/>
      <c r="L398" s="62"/>
      <c r="M398" s="64"/>
      <c r="N398" s="65"/>
    </row>
    <row r="399" spans="1:14" ht="16">
      <c r="A399" s="520"/>
      <c r="B399" s="1559" t="s">
        <v>19</v>
      </c>
      <c r="C399" s="1559"/>
      <c r="D399" s="1559"/>
      <c r="E399" s="1559"/>
      <c r="F399" s="61"/>
      <c r="G399" s="61"/>
      <c r="H399" s="61"/>
      <c r="I399" s="62"/>
      <c r="J399" s="62"/>
      <c r="K399" s="62"/>
      <c r="L399" s="62"/>
      <c r="M399" s="64"/>
      <c r="N399" s="65"/>
    </row>
    <row r="400" spans="1:14" s="646" customFormat="1" ht="16">
      <c r="A400" s="348"/>
      <c r="B400" s="349"/>
      <c r="C400" s="349"/>
      <c r="D400" s="349"/>
      <c r="E400" s="349"/>
      <c r="F400" s="350"/>
      <c r="G400" s="350"/>
      <c r="H400" s="418"/>
      <c r="I400" s="2046" t="s">
        <v>0</v>
      </c>
      <c r="J400" s="2046"/>
      <c r="K400" s="2046"/>
      <c r="L400" s="2046"/>
      <c r="M400" s="349"/>
      <c r="N400" s="344"/>
    </row>
    <row r="401" spans="1:14" ht="16">
      <c r="A401" s="97"/>
      <c r="B401" s="1469" t="s">
        <v>1</v>
      </c>
      <c r="C401" s="1469"/>
      <c r="D401" s="1469" t="s">
        <v>2</v>
      </c>
      <c r="E401" s="1469"/>
      <c r="F401" s="1863" t="s">
        <v>3</v>
      </c>
      <c r="G401" s="1863"/>
      <c r="H401" s="602" t="s">
        <v>3</v>
      </c>
      <c r="I401" s="127" t="s">
        <v>195</v>
      </c>
      <c r="J401" s="102"/>
      <c r="K401" s="102"/>
      <c r="L401" s="128"/>
      <c r="M401" s="1469" t="s">
        <v>4</v>
      </c>
      <c r="N401" s="1526"/>
    </row>
    <row r="402" spans="1:14" ht="19" thickBot="1">
      <c r="A402" s="103" t="s">
        <v>5</v>
      </c>
      <c r="B402" s="1473" t="s">
        <v>6</v>
      </c>
      <c r="C402" s="1473"/>
      <c r="D402" s="1473" t="s">
        <v>7</v>
      </c>
      <c r="E402" s="1473"/>
      <c r="F402" s="1864" t="s">
        <v>7</v>
      </c>
      <c r="G402" s="1864"/>
      <c r="H402" s="603" t="s">
        <v>58</v>
      </c>
      <c r="I402" s="596" t="s">
        <v>196</v>
      </c>
      <c r="J402" s="595" t="s">
        <v>8</v>
      </c>
      <c r="K402" s="595" t="s">
        <v>9</v>
      </c>
      <c r="L402" s="401" t="s">
        <v>10</v>
      </c>
      <c r="M402" s="1473" t="s">
        <v>145</v>
      </c>
      <c r="N402" s="1475"/>
    </row>
    <row r="403" spans="1:14" ht="24" thickBot="1">
      <c r="A403" s="88" t="s">
        <v>144</v>
      </c>
      <c r="B403" s="1482"/>
      <c r="C403" s="2021"/>
      <c r="D403" s="2022"/>
      <c r="E403" s="2023"/>
      <c r="F403" s="2024"/>
      <c r="G403" s="2025"/>
      <c r="H403" s="647"/>
      <c r="I403" s="213"/>
      <c r="J403" s="213"/>
      <c r="K403" s="213"/>
      <c r="L403" s="214"/>
      <c r="M403" s="1482"/>
      <c r="N403" s="1483"/>
    </row>
    <row r="404" spans="1:14" s="1161" customFormat="1" ht="17" thickBot="1">
      <c r="A404" s="108" t="s">
        <v>48</v>
      </c>
      <c r="B404" s="1567"/>
      <c r="C404" s="1586"/>
      <c r="D404" s="1567"/>
      <c r="E404" s="1586"/>
      <c r="F404" s="1619"/>
      <c r="G404" s="1620"/>
      <c r="H404" s="1299"/>
      <c r="I404" s="109"/>
      <c r="J404" s="109"/>
      <c r="K404" s="109"/>
      <c r="L404" s="1296"/>
      <c r="M404" s="1617"/>
      <c r="N404" s="1486"/>
    </row>
    <row r="405" spans="1:14" hidden="1">
      <c r="A405" s="78" t="s">
        <v>28</v>
      </c>
      <c r="B405" s="1423">
        <f>Upland!N79</f>
        <v>0</v>
      </c>
      <c r="C405" s="1424"/>
      <c r="D405" s="1423">
        <f t="shared" ref="D405:D411" si="94">F405*325851</f>
        <v>0</v>
      </c>
      <c r="E405" s="1424"/>
      <c r="F405" s="1941">
        <f>0.0379*B405</f>
        <v>0</v>
      </c>
      <c r="G405" s="1940"/>
      <c r="H405" s="587">
        <f>F405*20</f>
        <v>0</v>
      </c>
      <c r="I405" s="80">
        <v>0</v>
      </c>
      <c r="J405" s="80">
        <f>0*B405</f>
        <v>0</v>
      </c>
      <c r="K405" s="80">
        <f>60*B405</f>
        <v>0</v>
      </c>
      <c r="L405" s="591">
        <f t="shared" ref="L405:L411" si="95">I405+J405+K405</f>
        <v>0</v>
      </c>
      <c r="M405" s="1539">
        <v>0</v>
      </c>
      <c r="N405" s="1540"/>
    </row>
    <row r="406" spans="1:14" s="512" customFormat="1">
      <c r="A406" s="76" t="s">
        <v>29</v>
      </c>
      <c r="B406" s="1447">
        <f>Upland!N80</f>
        <v>56</v>
      </c>
      <c r="C406" s="1448"/>
      <c r="D406" s="1447">
        <f t="shared" si="94"/>
        <v>775525.38000000012</v>
      </c>
      <c r="E406" s="1448"/>
      <c r="F406" s="1903">
        <f>0.0425*B406</f>
        <v>2.3800000000000003</v>
      </c>
      <c r="G406" s="1904"/>
      <c r="H406" s="1309">
        <f>F406*20</f>
        <v>47.600000000000009</v>
      </c>
      <c r="I406" s="79">
        <v>0</v>
      </c>
      <c r="J406" s="79">
        <f>35*B406</f>
        <v>1960</v>
      </c>
      <c r="K406" s="79">
        <f>B406*50</f>
        <v>2800</v>
      </c>
      <c r="L406" s="1295">
        <f t="shared" si="95"/>
        <v>4760</v>
      </c>
      <c r="M406" s="1427">
        <f t="shared" ref="M406:M411" si="96">L406/(F406*498.5)</f>
        <v>4.0120361083249749</v>
      </c>
      <c r="N406" s="1428"/>
    </row>
    <row r="407" spans="1:14">
      <c r="A407" s="78" t="s">
        <v>33</v>
      </c>
      <c r="B407" s="1423">
        <f>Upland!N81</f>
        <v>63</v>
      </c>
      <c r="C407" s="1424"/>
      <c r="D407" s="1423">
        <f t="shared" si="94"/>
        <v>566589.71879999992</v>
      </c>
      <c r="E407" s="1424"/>
      <c r="F407" s="1941">
        <f>0.0276*B407</f>
        <v>1.7387999999999999</v>
      </c>
      <c r="G407" s="1940"/>
      <c r="H407" s="955">
        <f>F407*15</f>
        <v>26.081999999999997</v>
      </c>
      <c r="I407" s="80">
        <f>0*B407</f>
        <v>0</v>
      </c>
      <c r="J407" s="80">
        <f>50*B407</f>
        <v>3150</v>
      </c>
      <c r="K407" s="80">
        <f>B407*110</f>
        <v>6930</v>
      </c>
      <c r="L407" s="591">
        <f t="shared" si="95"/>
        <v>10080</v>
      </c>
      <c r="M407" s="1539">
        <f t="shared" si="96"/>
        <v>11.629090169057898</v>
      </c>
      <c r="N407" s="1540"/>
    </row>
    <row r="408" spans="1:14">
      <c r="A408" s="78" t="s">
        <v>56</v>
      </c>
      <c r="B408" s="1423">
        <f>Upland!N82</f>
        <v>35</v>
      </c>
      <c r="C408" s="1424"/>
      <c r="D408" s="1423">
        <f t="shared" si="94"/>
        <v>45619.140000000007</v>
      </c>
      <c r="E408" s="1424"/>
      <c r="F408" s="1941">
        <f>0.004*B408</f>
        <v>0.14000000000000001</v>
      </c>
      <c r="G408" s="1940"/>
      <c r="H408" s="955">
        <f>F408*5</f>
        <v>0.70000000000000007</v>
      </c>
      <c r="I408" s="80">
        <f>0*B408</f>
        <v>0</v>
      </c>
      <c r="J408" s="80">
        <f>2*B408</f>
        <v>70</v>
      </c>
      <c r="K408" s="80">
        <f>B408*4</f>
        <v>140</v>
      </c>
      <c r="L408" s="591">
        <f t="shared" si="95"/>
        <v>210</v>
      </c>
      <c r="M408" s="1539">
        <f t="shared" si="96"/>
        <v>3.009027081243731</v>
      </c>
      <c r="N408" s="1540"/>
    </row>
    <row r="409" spans="1:14">
      <c r="A409" s="78" t="s">
        <v>30</v>
      </c>
      <c r="B409" s="1423">
        <f>Upland!N83</f>
        <v>0</v>
      </c>
      <c r="C409" s="1424"/>
      <c r="D409" s="1423">
        <f t="shared" si="94"/>
        <v>0</v>
      </c>
      <c r="E409" s="1424"/>
      <c r="F409" s="1941">
        <f>0.325*B409</f>
        <v>0</v>
      </c>
      <c r="G409" s="1940"/>
      <c r="H409" s="955">
        <f>F409*10</f>
        <v>0</v>
      </c>
      <c r="I409" s="80">
        <v>0</v>
      </c>
      <c r="J409" s="80">
        <f>0*B409</f>
        <v>0</v>
      </c>
      <c r="K409" s="80">
        <f>B409*80</f>
        <v>0</v>
      </c>
      <c r="L409" s="591">
        <f t="shared" si="95"/>
        <v>0</v>
      </c>
      <c r="M409" s="1539">
        <v>0</v>
      </c>
      <c r="N409" s="1540"/>
    </row>
    <row r="410" spans="1:14">
      <c r="A410" s="76" t="s">
        <v>57</v>
      </c>
      <c r="B410" s="1423">
        <f>Upland!N84</f>
        <v>0</v>
      </c>
      <c r="C410" s="1424"/>
      <c r="D410" s="1447">
        <f t="shared" si="94"/>
        <v>0</v>
      </c>
      <c r="E410" s="1448"/>
      <c r="F410" s="1903">
        <f>0.00014*0</f>
        <v>0</v>
      </c>
      <c r="G410" s="1904"/>
      <c r="H410" s="962">
        <f>F410*10</f>
        <v>0</v>
      </c>
      <c r="I410" s="79">
        <v>0</v>
      </c>
      <c r="J410" s="79">
        <v>0</v>
      </c>
      <c r="K410" s="79">
        <f>B410*0</f>
        <v>0</v>
      </c>
      <c r="L410" s="593">
        <f t="shared" si="95"/>
        <v>0</v>
      </c>
      <c r="M410" s="1539">
        <v>0</v>
      </c>
      <c r="N410" s="1540"/>
    </row>
    <row r="411" spans="1:14" ht="14" thickBot="1">
      <c r="A411" s="76" t="s">
        <v>109</v>
      </c>
      <c r="B411" s="1423">
        <f>Upland!N85</f>
        <v>4</v>
      </c>
      <c r="C411" s="1424"/>
      <c r="D411" s="1447">
        <f t="shared" si="94"/>
        <v>380828.58071999997</v>
      </c>
      <c r="E411" s="1448"/>
      <c r="F411" s="2049">
        <f>0.00014*8348</f>
        <v>1.16872</v>
      </c>
      <c r="G411" s="1904"/>
      <c r="H411" s="962">
        <f>F411*10</f>
        <v>11.687200000000001</v>
      </c>
      <c r="I411" s="79">
        <v>0</v>
      </c>
      <c r="J411" s="79">
        <f>0.45*8348</f>
        <v>3756.6</v>
      </c>
      <c r="K411" s="79">
        <f>8348*0.3</f>
        <v>2504.4</v>
      </c>
      <c r="L411" s="593">
        <f t="shared" si="95"/>
        <v>6261</v>
      </c>
      <c r="M411" s="1539">
        <f t="shared" si="96"/>
        <v>10.746525290156184</v>
      </c>
      <c r="N411" s="1540"/>
    </row>
    <row r="412" spans="1:14" ht="14" thickBot="1">
      <c r="A412" s="53" t="s">
        <v>60</v>
      </c>
      <c r="B412" s="1438">
        <f>SUM(B405:C411)</f>
        <v>158</v>
      </c>
      <c r="C412" s="1609"/>
      <c r="D412" s="1441">
        <f>SUM(D405:E411)</f>
        <v>1768562.8195199999</v>
      </c>
      <c r="E412" s="1609"/>
      <c r="F412" s="1440">
        <f>SUM(F405:G411)</f>
        <v>5.4275199999999995</v>
      </c>
      <c r="G412" s="1609"/>
      <c r="H412" s="586">
        <f>SUM(H405:H411)</f>
        <v>86.069200000000009</v>
      </c>
      <c r="I412" s="56">
        <f>SUM(I405:I411)</f>
        <v>0</v>
      </c>
      <c r="J412" s="56">
        <f>SUM(J405:J411)</f>
        <v>8936.6</v>
      </c>
      <c r="K412" s="56">
        <f>SUM(K405:K411)</f>
        <v>12374.4</v>
      </c>
      <c r="L412" s="592">
        <f>SUM(L405:L411)</f>
        <v>21311</v>
      </c>
      <c r="M412" s="1657"/>
      <c r="N412" s="1622"/>
    </row>
    <row r="413" spans="1:14" s="1161" customFormat="1" ht="17" thickBot="1">
      <c r="A413" s="108" t="s">
        <v>146</v>
      </c>
      <c r="B413" s="1456"/>
      <c r="C413" s="1586"/>
      <c r="D413" s="1567"/>
      <c r="E413" s="1586"/>
      <c r="F413" s="1882"/>
      <c r="G413" s="1883"/>
      <c r="H413" s="1299"/>
      <c r="I413" s="109"/>
      <c r="J413" s="109"/>
      <c r="K413" s="109"/>
      <c r="L413" s="1296"/>
      <c r="M413" s="1617"/>
      <c r="N413" s="1486"/>
    </row>
    <row r="414" spans="1:14" ht="14" thickBot="1">
      <c r="A414" s="76" t="s">
        <v>146</v>
      </c>
      <c r="B414" s="1563">
        <f>Upland!N88</f>
        <v>4</v>
      </c>
      <c r="C414" s="1424"/>
      <c r="D414" s="1423">
        <f>F414*325851</f>
        <v>55394.670000000006</v>
      </c>
      <c r="E414" s="1424"/>
      <c r="F414" s="1939">
        <f>0.0425*B414</f>
        <v>0.17</v>
      </c>
      <c r="G414" s="1940"/>
      <c r="H414" s="955">
        <f>F414*20</f>
        <v>3.4000000000000004</v>
      </c>
      <c r="I414" s="80">
        <f>73.34*B414</f>
        <v>293.36</v>
      </c>
      <c r="J414" s="80">
        <f>35.66*B414</f>
        <v>142.63999999999999</v>
      </c>
      <c r="K414" s="80">
        <f>B414*165</f>
        <v>660</v>
      </c>
      <c r="L414" s="591">
        <f>I414+J414+K414</f>
        <v>1096</v>
      </c>
      <c r="M414" s="1539">
        <f>L414/(F414*498.5)</f>
        <v>12.932916396247565</v>
      </c>
      <c r="N414" s="1540"/>
    </row>
    <row r="415" spans="1:14" s="512" customFormat="1" ht="14" thickBot="1">
      <c r="A415" s="53" t="s">
        <v>60</v>
      </c>
      <c r="B415" s="2050">
        <f>SUM(B414)</f>
        <v>4</v>
      </c>
      <c r="C415" s="1608"/>
      <c r="D415" s="1931">
        <f>SUM(D414)</f>
        <v>55394.670000000006</v>
      </c>
      <c r="E415" s="1608"/>
      <c r="F415" s="1607">
        <f>SUM(F414)</f>
        <v>0.17</v>
      </c>
      <c r="G415" s="1608"/>
      <c r="H415" s="1310">
        <f>SUM(H414)</f>
        <v>3.4000000000000004</v>
      </c>
      <c r="I415" s="1310">
        <f>SUM(I414)</f>
        <v>293.36</v>
      </c>
      <c r="J415" s="1356">
        <f>SUM(J414)</f>
        <v>142.63999999999999</v>
      </c>
      <c r="K415" s="1356">
        <f>SUM(K414)</f>
        <v>660</v>
      </c>
      <c r="L415" s="1310">
        <f>SUM(L414)</f>
        <v>1096</v>
      </c>
      <c r="M415" s="1610"/>
      <c r="N415" s="1611"/>
    </row>
    <row r="416" spans="1:14" s="1161" customFormat="1" ht="17" thickBot="1">
      <c r="A416" s="108" t="s">
        <v>50</v>
      </c>
      <c r="B416" s="1456"/>
      <c r="C416" s="1586"/>
      <c r="D416" s="1567"/>
      <c r="E416" s="1586"/>
      <c r="F416" s="1854"/>
      <c r="G416" s="1913"/>
      <c r="H416" s="1299"/>
      <c r="I416" s="109"/>
      <c r="J416" s="109"/>
      <c r="K416" s="109"/>
      <c r="L416" s="1296"/>
      <c r="M416" s="1617"/>
      <c r="N416" s="1486"/>
    </row>
    <row r="417" spans="1:14" hidden="1">
      <c r="A417" s="78" t="s">
        <v>26</v>
      </c>
      <c r="B417" s="1563">
        <f>Upland!N91</f>
        <v>0</v>
      </c>
      <c r="C417" s="1424"/>
      <c r="D417" s="1536">
        <f t="shared" ref="D417:D425" si="97">F417*325851</f>
        <v>0</v>
      </c>
      <c r="E417" s="1424"/>
      <c r="F417" s="1941">
        <f>0.0379*B417</f>
        <v>0</v>
      </c>
      <c r="G417" s="1940"/>
      <c r="H417" s="587">
        <f>F417*20</f>
        <v>0</v>
      </c>
      <c r="I417" s="80">
        <v>0</v>
      </c>
      <c r="J417" s="80">
        <f>35.66*B417</f>
        <v>0</v>
      </c>
      <c r="K417" s="80">
        <f>135*B417</f>
        <v>0</v>
      </c>
      <c r="L417" s="702">
        <f>SUM(I417:K417)</f>
        <v>0</v>
      </c>
      <c r="M417" s="1539">
        <v>0</v>
      </c>
      <c r="N417" s="1540"/>
    </row>
    <row r="418" spans="1:14" s="512" customFormat="1">
      <c r="A418" s="76" t="s">
        <v>25</v>
      </c>
      <c r="B418" s="1644">
        <f>Upland!N92</f>
        <v>0</v>
      </c>
      <c r="C418" s="1448"/>
      <c r="D418" s="1451">
        <f t="shared" si="97"/>
        <v>0</v>
      </c>
      <c r="E418" s="1448"/>
      <c r="F418" s="1903">
        <f>0.0379*B418</f>
        <v>0</v>
      </c>
      <c r="G418" s="1904"/>
      <c r="H418" s="1309">
        <f>F418*20</f>
        <v>0</v>
      </c>
      <c r="I418" s="79">
        <v>0</v>
      </c>
      <c r="J418" s="79">
        <f>0*B418</f>
        <v>0</v>
      </c>
      <c r="K418" s="79">
        <f>60*B418</f>
        <v>0</v>
      </c>
      <c r="L418" s="1295">
        <f t="shared" ref="L418:L425" si="98">SUM(I418:K418)</f>
        <v>0</v>
      </c>
      <c r="M418" s="1427">
        <v>0</v>
      </c>
      <c r="N418" s="1428"/>
    </row>
    <row r="419" spans="1:14">
      <c r="A419" s="78" t="s">
        <v>29</v>
      </c>
      <c r="B419" s="1563">
        <f>Upland!N93</f>
        <v>198</v>
      </c>
      <c r="C419" s="1424"/>
      <c r="D419" s="1536">
        <f t="shared" si="97"/>
        <v>2742036.1650000005</v>
      </c>
      <c r="E419" s="1424"/>
      <c r="F419" s="1941">
        <f>0.0425*B419</f>
        <v>8.4150000000000009</v>
      </c>
      <c r="G419" s="1940"/>
      <c r="H419" s="955">
        <f>F419*20</f>
        <v>168.3</v>
      </c>
      <c r="I419" s="80">
        <v>0</v>
      </c>
      <c r="J419" s="80">
        <f>135*B419</f>
        <v>26730</v>
      </c>
      <c r="K419" s="80">
        <f>165*B419</f>
        <v>32670</v>
      </c>
      <c r="L419" s="702">
        <f t="shared" si="98"/>
        <v>59400</v>
      </c>
      <c r="M419" s="1539">
        <f>L419/(F419*498.5)</f>
        <v>14.160127441146969</v>
      </c>
      <c r="N419" s="1540"/>
    </row>
    <row r="420" spans="1:14">
      <c r="A420" s="78" t="s">
        <v>51</v>
      </c>
      <c r="B420" s="1563">
        <f>Upland!N94</f>
        <v>22</v>
      </c>
      <c r="C420" s="1424"/>
      <c r="D420" s="1536">
        <f t="shared" si="97"/>
        <v>879602.18940000003</v>
      </c>
      <c r="E420" s="1424"/>
      <c r="F420" s="1941">
        <f>0.1227*B420</f>
        <v>2.6994000000000002</v>
      </c>
      <c r="G420" s="1940"/>
      <c r="H420" s="955">
        <f>F420*20</f>
        <v>53.988000000000007</v>
      </c>
      <c r="I420" s="80">
        <v>0</v>
      </c>
      <c r="J420" s="80">
        <f>0*B420</f>
        <v>0</v>
      </c>
      <c r="K420" s="80">
        <f>400*B420</f>
        <v>8800</v>
      </c>
      <c r="L420" s="702">
        <f t="shared" si="98"/>
        <v>8800</v>
      </c>
      <c r="M420" s="1539">
        <f t="shared" ref="M420:M426" si="99">L420/(F420*498.5)</f>
        <v>6.5395861586389152</v>
      </c>
      <c r="N420" s="1540"/>
    </row>
    <row r="421" spans="1:14" ht="12.75" hidden="1" customHeight="1">
      <c r="A421" s="78" t="s">
        <v>20</v>
      </c>
      <c r="B421" s="1563">
        <f>Upland!N95</f>
        <v>0</v>
      </c>
      <c r="C421" s="1424"/>
      <c r="D421" s="1536">
        <f t="shared" si="97"/>
        <v>0</v>
      </c>
      <c r="E421" s="1424"/>
      <c r="F421" s="1941">
        <f>0.644*B421</f>
        <v>0</v>
      </c>
      <c r="G421" s="1940"/>
      <c r="H421" s="955">
        <f>F421*5</f>
        <v>0</v>
      </c>
      <c r="I421" s="80">
        <v>0</v>
      </c>
      <c r="J421" s="80">
        <f>43.75*B421</f>
        <v>0</v>
      </c>
      <c r="K421" s="80">
        <f>625*B421</f>
        <v>0</v>
      </c>
      <c r="L421" s="702">
        <f t="shared" si="98"/>
        <v>0</v>
      </c>
      <c r="M421" s="1539" t="e">
        <f t="shared" si="99"/>
        <v>#DIV/0!</v>
      </c>
      <c r="N421" s="1540"/>
    </row>
    <row r="422" spans="1:14">
      <c r="A422" s="78" t="s">
        <v>13</v>
      </c>
      <c r="B422" s="1563">
        <f>Upland!N96</f>
        <v>29</v>
      </c>
      <c r="C422" s="1424"/>
      <c r="D422" s="1536">
        <f t="shared" si="97"/>
        <v>260811.1404</v>
      </c>
      <c r="E422" s="1424"/>
      <c r="F422" s="1941">
        <f>0.0276*B422</f>
        <v>0.8004</v>
      </c>
      <c r="G422" s="1940"/>
      <c r="H422" s="955">
        <f>F422*10</f>
        <v>8.0039999999999996</v>
      </c>
      <c r="I422" s="80">
        <v>0</v>
      </c>
      <c r="J422" s="80">
        <f>100*B422</f>
        <v>2900</v>
      </c>
      <c r="K422" s="80">
        <f>80*B422</f>
        <v>2320</v>
      </c>
      <c r="L422" s="702">
        <f t="shared" si="98"/>
        <v>5220</v>
      </c>
      <c r="M422" s="1539">
        <f t="shared" si="99"/>
        <v>13.082726440190136</v>
      </c>
      <c r="N422" s="1540"/>
    </row>
    <row r="423" spans="1:14">
      <c r="A423" s="76" t="s">
        <v>47</v>
      </c>
      <c r="B423" s="1563">
        <f>Upland!N97</f>
        <v>0</v>
      </c>
      <c r="C423" s="1424"/>
      <c r="D423" s="1536">
        <f t="shared" si="97"/>
        <v>0</v>
      </c>
      <c r="E423" s="1424"/>
      <c r="F423" s="1941">
        <f>0.1534*B423</f>
        <v>0</v>
      </c>
      <c r="G423" s="1940"/>
      <c r="H423" s="955">
        <f>F423*5</f>
        <v>0</v>
      </c>
      <c r="I423" s="80">
        <v>0</v>
      </c>
      <c r="J423" s="80">
        <f>0*B423</f>
        <v>0</v>
      </c>
      <c r="K423" s="80">
        <f>150*B423</f>
        <v>0</v>
      </c>
      <c r="L423" s="702">
        <f t="shared" si="98"/>
        <v>0</v>
      </c>
      <c r="M423" s="1539">
        <v>0</v>
      </c>
      <c r="N423" s="1540"/>
    </row>
    <row r="424" spans="1:14">
      <c r="A424" s="76" t="s">
        <v>30</v>
      </c>
      <c r="B424" s="1563">
        <f>Upland!N98</f>
        <v>22</v>
      </c>
      <c r="C424" s="1424"/>
      <c r="D424" s="1536">
        <f t="shared" si="97"/>
        <v>2329834.65</v>
      </c>
      <c r="E424" s="1424"/>
      <c r="F424" s="1941">
        <f>0.325*B424</f>
        <v>7.15</v>
      </c>
      <c r="G424" s="1940"/>
      <c r="H424" s="955">
        <f>F424*10</f>
        <v>71.5</v>
      </c>
      <c r="I424" s="80">
        <v>0</v>
      </c>
      <c r="J424" s="80">
        <v>1680</v>
      </c>
      <c r="K424" s="80">
        <v>14014</v>
      </c>
      <c r="L424" s="702">
        <f t="shared" si="98"/>
        <v>15694</v>
      </c>
      <c r="M424" s="1539">
        <f t="shared" si="99"/>
        <v>4.4031394883952553</v>
      </c>
      <c r="N424" s="1540"/>
    </row>
    <row r="425" spans="1:14">
      <c r="A425" s="76" t="s">
        <v>53</v>
      </c>
      <c r="B425" s="1563">
        <f>Upland!N99</f>
        <v>0</v>
      </c>
      <c r="C425" s="1424"/>
      <c r="D425" s="1536">
        <f t="shared" si="97"/>
        <v>0</v>
      </c>
      <c r="E425" s="1424"/>
      <c r="F425" s="1941">
        <f>0.00014*B425</f>
        <v>0</v>
      </c>
      <c r="G425" s="1940"/>
      <c r="H425" s="955">
        <f>F425*10</f>
        <v>0</v>
      </c>
      <c r="I425" s="80">
        <v>0</v>
      </c>
      <c r="J425" s="80">
        <f>0.45*B425</f>
        <v>0</v>
      </c>
      <c r="K425" s="80">
        <f>0.3*B425</f>
        <v>0</v>
      </c>
      <c r="L425" s="702">
        <f t="shared" si="98"/>
        <v>0</v>
      </c>
      <c r="M425" s="1539">
        <v>0</v>
      </c>
      <c r="N425" s="1540"/>
    </row>
    <row r="426" spans="1:14">
      <c r="A426" s="76" t="s">
        <v>56</v>
      </c>
      <c r="B426" s="1563">
        <f>Upland!N100</f>
        <v>1642</v>
      </c>
      <c r="C426" s="1424"/>
      <c r="D426" s="1536">
        <f>F426*325851</f>
        <v>2140189.3680000002</v>
      </c>
      <c r="E426" s="1424"/>
      <c r="F426" s="1941">
        <f>0.004*B426</f>
        <v>6.5680000000000005</v>
      </c>
      <c r="G426" s="1940"/>
      <c r="H426" s="955">
        <f>F426*5</f>
        <v>32.840000000000003</v>
      </c>
      <c r="I426" s="80">
        <v>0</v>
      </c>
      <c r="J426" s="80">
        <f>0*B426</f>
        <v>0</v>
      </c>
      <c r="K426" s="80">
        <f>4*B426</f>
        <v>6568</v>
      </c>
      <c r="L426" s="80">
        <f>630*C426</f>
        <v>0</v>
      </c>
      <c r="M426" s="1539">
        <f t="shared" si="99"/>
        <v>0</v>
      </c>
      <c r="N426" s="1540"/>
    </row>
    <row r="427" spans="1:14" hidden="1">
      <c r="A427" s="76" t="s">
        <v>122</v>
      </c>
      <c r="B427" s="1563">
        <f>Upland!N101</f>
        <v>0</v>
      </c>
      <c r="C427" s="1424"/>
      <c r="D427" s="1536">
        <f>F427*325851</f>
        <v>0</v>
      </c>
      <c r="E427" s="1424"/>
      <c r="F427" s="1941">
        <f>0.018*B427</f>
        <v>0</v>
      </c>
      <c r="G427" s="1940"/>
      <c r="H427" s="955">
        <f>F427*10</f>
        <v>0</v>
      </c>
      <c r="I427" s="80">
        <v>0</v>
      </c>
      <c r="J427" s="80">
        <f>0*B427</f>
        <v>0</v>
      </c>
      <c r="K427" s="80">
        <f>13*B427</f>
        <v>0</v>
      </c>
      <c r="L427" s="80">
        <f>630*C427</f>
        <v>0</v>
      </c>
      <c r="M427" s="1539">
        <v>0</v>
      </c>
      <c r="N427" s="1540"/>
    </row>
    <row r="428" spans="1:14" ht="14" thickBot="1">
      <c r="A428" s="76" t="s">
        <v>102</v>
      </c>
      <c r="B428" s="1563">
        <f>Upland!N102</f>
        <v>0</v>
      </c>
      <c r="C428" s="1424"/>
      <c r="D428" s="1536">
        <f>F428*325851</f>
        <v>0</v>
      </c>
      <c r="E428" s="1424"/>
      <c r="F428" s="2041">
        <f>0.153*B428</f>
        <v>0</v>
      </c>
      <c r="G428" s="1912"/>
      <c r="H428" s="955">
        <f>F428*5</f>
        <v>0</v>
      </c>
      <c r="I428" s="80">
        <v>0</v>
      </c>
      <c r="J428" s="80">
        <f>0*B428</f>
        <v>0</v>
      </c>
      <c r="K428" s="80">
        <f>60*B428</f>
        <v>0</v>
      </c>
      <c r="L428" s="80">
        <f>630*C428</f>
        <v>0</v>
      </c>
      <c r="M428" s="1539">
        <v>0</v>
      </c>
      <c r="N428" s="1540"/>
    </row>
    <row r="429" spans="1:14" ht="14" thickBot="1">
      <c r="A429" s="53" t="s">
        <v>60</v>
      </c>
      <c r="B429" s="1438">
        <f>SUM(B417:C428)</f>
        <v>1913</v>
      </c>
      <c r="C429" s="1609"/>
      <c r="D429" s="1441">
        <f>SUM(D417:E428)</f>
        <v>8352473.5128000006</v>
      </c>
      <c r="E429" s="1609"/>
      <c r="F429" s="1440">
        <f>SUM(F417:G428)</f>
        <v>25.632800000000003</v>
      </c>
      <c r="G429" s="1439"/>
      <c r="H429" s="586">
        <f>SUM(H417:H428)</f>
        <v>334.63200000000006</v>
      </c>
      <c r="I429" s="707">
        <f>SUM(I417:I428)</f>
        <v>0</v>
      </c>
      <c r="J429" s="56">
        <f>SUM(J417:J428)</f>
        <v>31310</v>
      </c>
      <c r="K429" s="56">
        <f>SUM(K417:K428)</f>
        <v>64372</v>
      </c>
      <c r="L429" s="707">
        <f>SUM(L417:L428)</f>
        <v>89114</v>
      </c>
      <c r="M429" s="1657"/>
      <c r="N429" s="1622"/>
    </row>
    <row r="430" spans="1:14" s="91" customFormat="1" ht="17" hidden="1" thickBot="1">
      <c r="A430" s="87" t="s">
        <v>54</v>
      </c>
      <c r="B430" s="1998"/>
      <c r="C430" s="1999"/>
      <c r="D430" s="92"/>
      <c r="E430" s="605"/>
      <c r="F430" s="94"/>
      <c r="G430" s="89"/>
      <c r="H430" s="605"/>
      <c r="I430" s="90"/>
      <c r="J430" s="90"/>
      <c r="K430" s="90"/>
      <c r="L430" s="718"/>
      <c r="M430" s="95"/>
      <c r="N430" s="96"/>
    </row>
    <row r="431" spans="1:14" hidden="1">
      <c r="A431" s="655" t="s">
        <v>29</v>
      </c>
      <c r="B431" s="1423">
        <f>Upland!N105</f>
        <v>0</v>
      </c>
      <c r="C431" s="1424"/>
      <c r="D431" s="1423">
        <f t="shared" ref="D431:D436" si="100">F431*325851</f>
        <v>0</v>
      </c>
      <c r="E431" s="1424"/>
      <c r="F431" s="1549">
        <f>0.0425*B431</f>
        <v>0</v>
      </c>
      <c r="G431" s="1550"/>
      <c r="H431" s="587">
        <f>F431*20</f>
        <v>0</v>
      </c>
      <c r="I431" s="80">
        <v>0</v>
      </c>
      <c r="J431" s="80">
        <f>35.66*B431</f>
        <v>0</v>
      </c>
      <c r="K431" s="80">
        <f>0*B431</f>
        <v>0</v>
      </c>
      <c r="L431" s="702">
        <f t="shared" ref="L431:L436" si="101">SUM(I431:K431)</f>
        <v>0</v>
      </c>
      <c r="M431" s="1539">
        <v>0</v>
      </c>
      <c r="N431" s="1540"/>
    </row>
    <row r="432" spans="1:14" hidden="1">
      <c r="A432" s="257" t="s">
        <v>51</v>
      </c>
      <c r="B432" s="1423">
        <f>Upland!N106</f>
        <v>0</v>
      </c>
      <c r="C432" s="1424"/>
      <c r="D432" s="1423">
        <f t="shared" si="100"/>
        <v>0</v>
      </c>
      <c r="E432" s="1424"/>
      <c r="F432" s="1549">
        <f>0.125*B432</f>
        <v>0</v>
      </c>
      <c r="G432" s="1550"/>
      <c r="H432" s="587">
        <f>F432*20</f>
        <v>0</v>
      </c>
      <c r="I432" s="80">
        <v>0</v>
      </c>
      <c r="J432" s="80">
        <f>0*B432</f>
        <v>0</v>
      </c>
      <c r="K432" s="80">
        <f>0*B432</f>
        <v>0</v>
      </c>
      <c r="L432" s="702">
        <f t="shared" si="101"/>
        <v>0</v>
      </c>
      <c r="M432" s="1539">
        <v>0</v>
      </c>
      <c r="N432" s="1540"/>
    </row>
    <row r="433" spans="1:14" hidden="1">
      <c r="A433" s="257" t="s">
        <v>15</v>
      </c>
      <c r="B433" s="1423">
        <f>Upland!N107</f>
        <v>0</v>
      </c>
      <c r="C433" s="1424"/>
      <c r="D433" s="1423">
        <f t="shared" si="100"/>
        <v>0</v>
      </c>
      <c r="E433" s="1424"/>
      <c r="F433" s="1549">
        <f>0.1534*B433</f>
        <v>0</v>
      </c>
      <c r="G433" s="1550"/>
      <c r="H433" s="587">
        <f>F433*5</f>
        <v>0</v>
      </c>
      <c r="I433" s="80">
        <v>0</v>
      </c>
      <c r="J433" s="80">
        <f>0*B433</f>
        <v>0</v>
      </c>
      <c r="K433" s="80">
        <f>0*B433</f>
        <v>0</v>
      </c>
      <c r="L433" s="702">
        <f t="shared" si="101"/>
        <v>0</v>
      </c>
      <c r="M433" s="1539">
        <v>0</v>
      </c>
      <c r="N433" s="1540"/>
    </row>
    <row r="434" spans="1:14" hidden="1">
      <c r="A434" s="257" t="s">
        <v>30</v>
      </c>
      <c r="B434" s="1423">
        <f>Upland!N108</f>
        <v>0</v>
      </c>
      <c r="C434" s="1424"/>
      <c r="D434" s="1423">
        <f t="shared" si="100"/>
        <v>0</v>
      </c>
      <c r="E434" s="1424"/>
      <c r="F434" s="1557">
        <f>0.609*B434</f>
        <v>0</v>
      </c>
      <c r="G434" s="1558"/>
      <c r="H434" s="587">
        <f>F434*10</f>
        <v>0</v>
      </c>
      <c r="I434" s="80">
        <v>0</v>
      </c>
      <c r="J434" s="80">
        <f>0*B434</f>
        <v>0</v>
      </c>
      <c r="K434" s="80">
        <f>1656.82*B434</f>
        <v>0</v>
      </c>
      <c r="L434" s="702">
        <f t="shared" si="101"/>
        <v>0</v>
      </c>
      <c r="M434" s="1539" t="e">
        <f>L434/(F434*498.5)</f>
        <v>#DIV/0!</v>
      </c>
      <c r="N434" s="1540"/>
    </row>
    <row r="435" spans="1:14" hidden="1">
      <c r="A435" s="257" t="s">
        <v>55</v>
      </c>
      <c r="B435" s="1423">
        <f>Upland!N109</f>
        <v>0</v>
      </c>
      <c r="C435" s="1424"/>
      <c r="D435" s="1423">
        <f t="shared" si="100"/>
        <v>0</v>
      </c>
      <c r="E435" s="1424"/>
      <c r="F435" s="1557">
        <f>0.992*B435</f>
        <v>0</v>
      </c>
      <c r="G435" s="1558"/>
      <c r="H435" s="587">
        <f>F435*10</f>
        <v>0</v>
      </c>
      <c r="I435" s="80">
        <v>0</v>
      </c>
      <c r="J435" s="80">
        <f>0*B435</f>
        <v>0</v>
      </c>
      <c r="K435" s="80">
        <f>0*B435</f>
        <v>0</v>
      </c>
      <c r="L435" s="702">
        <f t="shared" si="101"/>
        <v>0</v>
      </c>
      <c r="M435" s="1539">
        <v>0</v>
      </c>
      <c r="N435" s="1540"/>
    </row>
    <row r="436" spans="1:14" ht="14" hidden="1" thickBot="1">
      <c r="A436" s="77" t="s">
        <v>53</v>
      </c>
      <c r="B436" s="1423">
        <f>Upland!N110</f>
        <v>0</v>
      </c>
      <c r="C436" s="1424"/>
      <c r="D436" s="1423">
        <f t="shared" si="100"/>
        <v>0</v>
      </c>
      <c r="E436" s="1424"/>
      <c r="F436" s="1549">
        <f>0.00014*B436</f>
        <v>0</v>
      </c>
      <c r="G436" s="1550"/>
      <c r="H436" s="587">
        <f>F436*10</f>
        <v>0</v>
      </c>
      <c r="I436" s="80">
        <v>0</v>
      </c>
      <c r="J436" s="80">
        <f>0.3*B436</f>
        <v>0</v>
      </c>
      <c r="K436" s="80">
        <f>0.75*B436</f>
        <v>0</v>
      </c>
      <c r="L436" s="702">
        <f t="shared" si="101"/>
        <v>0</v>
      </c>
      <c r="M436" s="1539">
        <v>0</v>
      </c>
      <c r="N436" s="1540"/>
    </row>
    <row r="437" spans="1:14" ht="14" hidden="1" thickBot="1">
      <c r="A437" s="53" t="s">
        <v>60</v>
      </c>
      <c r="B437" s="1438">
        <f>SUM(B431:C436)</f>
        <v>0</v>
      </c>
      <c r="C437" s="1609"/>
      <c r="D437" s="1438">
        <f>SUM(D431:E436)</f>
        <v>0</v>
      </c>
      <c r="E437" s="1609"/>
      <c r="F437" s="1438">
        <f>SUM(F431:G436)</f>
        <v>0</v>
      </c>
      <c r="G437" s="1609"/>
      <c r="H437" s="586">
        <f>SUM(H431:H436)</f>
        <v>0</v>
      </c>
      <c r="I437" s="707">
        <f>SUM(I431:I436)</f>
        <v>0</v>
      </c>
      <c r="J437" s="707">
        <f>SUM(J431:J436)</f>
        <v>0</v>
      </c>
      <c r="K437" s="707">
        <f>SUM(K431:K436)</f>
        <v>0</v>
      </c>
      <c r="L437" s="707">
        <f>SUM(L431:L436)</f>
        <v>0</v>
      </c>
      <c r="M437" s="1657"/>
      <c r="N437" s="1622"/>
    </row>
    <row r="438" spans="1:14" s="1208" customFormat="1" ht="17" thickBot="1">
      <c r="A438" s="1182" t="s">
        <v>17</v>
      </c>
      <c r="B438" s="1416">
        <f>SUM(B437,B429,B415,B412)</f>
        <v>2075</v>
      </c>
      <c r="C438" s="1415"/>
      <c r="D438" s="1416">
        <f>SUM(D437,D429,D415,D412)</f>
        <v>10176431.002320001</v>
      </c>
      <c r="E438" s="1415"/>
      <c r="F438" s="1416">
        <f>SUM(F437,F429,F415,F412)</f>
        <v>31.230320000000006</v>
      </c>
      <c r="G438" s="1415"/>
      <c r="H438" s="1293">
        <f>SUM(H437,H429,H415,H412)</f>
        <v>424.10120000000006</v>
      </c>
      <c r="I438" s="1293">
        <f>SUM(I437,I429,I415,I412)</f>
        <v>293.36</v>
      </c>
      <c r="J438" s="1293">
        <f>SUM(J437,J429,J415,J412)</f>
        <v>40389.24</v>
      </c>
      <c r="K438" s="1293">
        <f>SUM(K437,K429,K415,K412)</f>
        <v>77406.399999999994</v>
      </c>
      <c r="L438" s="1293">
        <f>SUM(L437,L429,L415,L412)</f>
        <v>111521</v>
      </c>
      <c r="M438" s="1416"/>
      <c r="N438" s="1415"/>
    </row>
    <row r="439" spans="1:14" ht="16">
      <c r="A439" s="60"/>
      <c r="B439" s="61"/>
      <c r="C439" s="61"/>
      <c r="D439" s="61"/>
      <c r="E439" s="61"/>
      <c r="F439" s="61"/>
      <c r="G439" s="61"/>
      <c r="H439" s="61"/>
      <c r="I439" s="62"/>
      <c r="J439" s="62"/>
      <c r="K439" s="62"/>
      <c r="L439" s="62"/>
      <c r="M439" s="64"/>
      <c r="N439" s="65"/>
    </row>
    <row r="440" spans="1:14" s="512" customFormat="1" ht="16">
      <c r="A440" s="1357" t="s">
        <v>18</v>
      </c>
      <c r="B440" s="2048" t="s">
        <v>59</v>
      </c>
      <c r="C440" s="2048"/>
      <c r="D440" s="2048"/>
      <c r="E440" s="2048"/>
      <c r="F440" s="340"/>
      <c r="G440" s="340"/>
      <c r="H440" s="340"/>
      <c r="I440" s="1354"/>
      <c r="J440" s="1354"/>
      <c r="K440" s="1354"/>
      <c r="L440" s="1354"/>
      <c r="M440" s="1355"/>
      <c r="N440" s="882"/>
    </row>
    <row r="441" spans="1:14" ht="16">
      <c r="A441" s="520"/>
      <c r="B441" s="1559" t="s">
        <v>19</v>
      </c>
      <c r="C441" s="1559"/>
      <c r="D441" s="1559"/>
      <c r="E441" s="1559"/>
      <c r="F441" s="61"/>
      <c r="G441" s="61"/>
      <c r="H441" s="61"/>
      <c r="I441" s="62"/>
      <c r="J441" s="62"/>
      <c r="K441" s="62"/>
      <c r="L441" s="62"/>
      <c r="M441" s="64"/>
      <c r="N441" s="65"/>
    </row>
    <row r="442" spans="1:14" s="646" customFormat="1" ht="16">
      <c r="A442" s="348"/>
      <c r="B442" s="349"/>
      <c r="C442" s="349"/>
      <c r="D442" s="349"/>
      <c r="E442" s="349"/>
      <c r="F442" s="350"/>
      <c r="G442" s="350"/>
      <c r="H442" s="418"/>
      <c r="I442" s="2046" t="s">
        <v>0</v>
      </c>
      <c r="J442" s="2046"/>
      <c r="K442" s="2046"/>
      <c r="L442" s="2046"/>
      <c r="M442" s="349"/>
      <c r="N442" s="344"/>
    </row>
    <row r="443" spans="1:14" ht="16">
      <c r="A443" s="97"/>
      <c r="B443" s="1469" t="s">
        <v>1</v>
      </c>
      <c r="C443" s="1469"/>
      <c r="D443" s="1469" t="s">
        <v>2</v>
      </c>
      <c r="E443" s="1469"/>
      <c r="F443" s="1863" t="s">
        <v>3</v>
      </c>
      <c r="G443" s="1863"/>
      <c r="H443" s="602" t="s">
        <v>3</v>
      </c>
      <c r="I443" s="127" t="s">
        <v>195</v>
      </c>
      <c r="J443" s="102"/>
      <c r="K443" s="102"/>
      <c r="L443" s="128"/>
      <c r="M443" s="1469" t="s">
        <v>4</v>
      </c>
      <c r="N443" s="1526"/>
    </row>
    <row r="444" spans="1:14" ht="19" thickBot="1">
      <c r="A444" s="103" t="s">
        <v>5</v>
      </c>
      <c r="B444" s="1473" t="s">
        <v>6</v>
      </c>
      <c r="C444" s="1473"/>
      <c r="D444" s="1473" t="s">
        <v>7</v>
      </c>
      <c r="E444" s="1473"/>
      <c r="F444" s="1864" t="s">
        <v>7</v>
      </c>
      <c r="G444" s="1864"/>
      <c r="H444" s="603" t="s">
        <v>58</v>
      </c>
      <c r="I444" s="596" t="s">
        <v>196</v>
      </c>
      <c r="J444" s="595" t="s">
        <v>8</v>
      </c>
      <c r="K444" s="595" t="s">
        <v>9</v>
      </c>
      <c r="L444" s="401" t="s">
        <v>10</v>
      </c>
      <c r="M444" s="1473" t="s">
        <v>145</v>
      </c>
      <c r="N444" s="1475"/>
    </row>
    <row r="445" spans="1:14" ht="24" thickBot="1">
      <c r="A445" s="88" t="s">
        <v>131</v>
      </c>
      <c r="B445" s="1482"/>
      <c r="C445" s="2021"/>
      <c r="D445" s="2022"/>
      <c r="E445" s="2023"/>
      <c r="F445" s="2024"/>
      <c r="G445" s="2025"/>
      <c r="H445" s="647"/>
      <c r="I445" s="213"/>
      <c r="J445" s="213"/>
      <c r="K445" s="213"/>
      <c r="L445" s="214"/>
      <c r="M445" s="1482"/>
      <c r="N445" s="1483"/>
    </row>
    <row r="446" spans="1:14" s="1161" customFormat="1" ht="17" thickBot="1">
      <c r="A446" s="108" t="s">
        <v>48</v>
      </c>
      <c r="B446" s="1567"/>
      <c r="C446" s="1586"/>
      <c r="D446" s="1567"/>
      <c r="E446" s="1586"/>
      <c r="F446" s="1619"/>
      <c r="G446" s="1620"/>
      <c r="H446" s="1299"/>
      <c r="I446" s="109"/>
      <c r="J446" s="109"/>
      <c r="K446" s="109"/>
      <c r="L446" s="1296"/>
      <c r="M446" s="1617"/>
      <c r="N446" s="1486"/>
    </row>
    <row r="447" spans="1:14">
      <c r="A447" s="78" t="s">
        <v>28</v>
      </c>
      <c r="B447" s="1423">
        <f>Upland!N41</f>
        <v>0</v>
      </c>
      <c r="C447" s="1424"/>
      <c r="D447" s="1423">
        <f t="shared" ref="D447:D453" si="102">F447*325851</f>
        <v>0</v>
      </c>
      <c r="E447" s="1424"/>
      <c r="F447" s="1941">
        <f>0.0379*B447</f>
        <v>0</v>
      </c>
      <c r="G447" s="1940"/>
      <c r="H447" s="955">
        <f>F447*20</f>
        <v>0</v>
      </c>
      <c r="I447" s="80">
        <v>0</v>
      </c>
      <c r="J447" s="80">
        <f>0*B447</f>
        <v>0</v>
      </c>
      <c r="K447" s="80">
        <f>60*B447</f>
        <v>0</v>
      </c>
      <c r="L447" s="591">
        <f t="shared" ref="L447:L453" si="103">I447+J447+K447</f>
        <v>0</v>
      </c>
      <c r="M447" s="1539">
        <v>0</v>
      </c>
      <c r="N447" s="1540"/>
    </row>
    <row r="448" spans="1:14">
      <c r="A448" s="78" t="s">
        <v>29</v>
      </c>
      <c r="B448" s="1423">
        <f>Upland!N42</f>
        <v>74</v>
      </c>
      <c r="C448" s="1424"/>
      <c r="D448" s="1423">
        <f t="shared" si="102"/>
        <v>1024801.395</v>
      </c>
      <c r="E448" s="1424"/>
      <c r="F448" s="1941">
        <f>0.0425*B448</f>
        <v>3.145</v>
      </c>
      <c r="G448" s="1940"/>
      <c r="H448" s="955">
        <f>F448*20</f>
        <v>62.9</v>
      </c>
      <c r="I448" s="80">
        <v>0</v>
      </c>
      <c r="J448" s="80">
        <f>0*B448</f>
        <v>0</v>
      </c>
      <c r="K448" s="80">
        <f>B448*165</f>
        <v>12210</v>
      </c>
      <c r="L448" s="591">
        <f t="shared" si="103"/>
        <v>12210</v>
      </c>
      <c r="M448" s="1539">
        <f t="shared" ref="M448:M453" si="104">L448/(F448*498.5)</f>
        <v>7.7880700926308339</v>
      </c>
      <c r="N448" s="1540"/>
    </row>
    <row r="449" spans="1:14" s="512" customFormat="1">
      <c r="A449" s="76" t="s">
        <v>33</v>
      </c>
      <c r="B449" s="1447">
        <f>Upland!N43</f>
        <v>155</v>
      </c>
      <c r="C449" s="1448"/>
      <c r="D449" s="1447">
        <f t="shared" si="102"/>
        <v>1393990.578</v>
      </c>
      <c r="E449" s="1448"/>
      <c r="F449" s="1903">
        <f>0.0276*B449</f>
        <v>4.2779999999999996</v>
      </c>
      <c r="G449" s="1904"/>
      <c r="H449" s="1309">
        <f>F449*15</f>
        <v>64.169999999999987</v>
      </c>
      <c r="I449" s="79">
        <f>0*B449</f>
        <v>0</v>
      </c>
      <c r="J449" s="79">
        <f>0*B449</f>
        <v>0</v>
      </c>
      <c r="K449" s="79">
        <f>B449*110</f>
        <v>17050</v>
      </c>
      <c r="L449" s="1295">
        <f t="shared" si="103"/>
        <v>17050</v>
      </c>
      <c r="M449" s="1427">
        <f t="shared" si="104"/>
        <v>7.9949994912273068</v>
      </c>
      <c r="N449" s="1428"/>
    </row>
    <row r="450" spans="1:14">
      <c r="A450" s="78" t="s">
        <v>56</v>
      </c>
      <c r="B450" s="1423">
        <f>Upland!N44</f>
        <v>20</v>
      </c>
      <c r="C450" s="1424"/>
      <c r="D450" s="1423">
        <f t="shared" si="102"/>
        <v>26068.080000000002</v>
      </c>
      <c r="E450" s="1424"/>
      <c r="F450" s="1941">
        <f>0.004*B450</f>
        <v>0.08</v>
      </c>
      <c r="G450" s="1940"/>
      <c r="H450" s="955">
        <f>F450*5</f>
        <v>0.4</v>
      </c>
      <c r="I450" s="80">
        <f>0*B450</f>
        <v>0</v>
      </c>
      <c r="J450" s="80">
        <f>0*B450</f>
        <v>0</v>
      </c>
      <c r="K450" s="80">
        <f>B450*4</f>
        <v>80</v>
      </c>
      <c r="L450" s="591">
        <f t="shared" si="103"/>
        <v>80</v>
      </c>
      <c r="M450" s="1539">
        <f t="shared" si="104"/>
        <v>2.0060180541624875</v>
      </c>
      <c r="N450" s="1540"/>
    </row>
    <row r="451" spans="1:14">
      <c r="A451" s="78" t="s">
        <v>30</v>
      </c>
      <c r="B451" s="1423">
        <f>Upland!N45</f>
        <v>1</v>
      </c>
      <c r="C451" s="1424"/>
      <c r="D451" s="1423">
        <f t="shared" si="102"/>
        <v>105901.575</v>
      </c>
      <c r="E451" s="1424"/>
      <c r="F451" s="1941">
        <f>0.325*B451</f>
        <v>0.32500000000000001</v>
      </c>
      <c r="G451" s="1940"/>
      <c r="H451" s="955">
        <f>F451*10</f>
        <v>3.25</v>
      </c>
      <c r="I451" s="80">
        <v>0</v>
      </c>
      <c r="J451" s="80">
        <f>0*B451</f>
        <v>0</v>
      </c>
      <c r="K451" s="80">
        <f>B451*80</f>
        <v>80</v>
      </c>
      <c r="L451" s="591">
        <f t="shared" si="103"/>
        <v>80</v>
      </c>
      <c r="M451" s="1539">
        <f t="shared" si="104"/>
        <v>0.49378905948615071</v>
      </c>
      <c r="N451" s="1540"/>
    </row>
    <row r="452" spans="1:14">
      <c r="A452" s="76" t="s">
        <v>108</v>
      </c>
      <c r="B452" s="1447">
        <f>Upland!N46</f>
        <v>21</v>
      </c>
      <c r="C452" s="1448"/>
      <c r="D452" s="1447">
        <f t="shared" si="102"/>
        <v>1308220.0777799999</v>
      </c>
      <c r="E452" s="1448"/>
      <c r="F452" s="1903">
        <f>0.00014*28677</f>
        <v>4.01478</v>
      </c>
      <c r="G452" s="1904"/>
      <c r="H452" s="962">
        <f>F452*10</f>
        <v>40.147800000000004</v>
      </c>
      <c r="I452" s="79">
        <v>0</v>
      </c>
      <c r="J452" s="79">
        <f>35878</f>
        <v>35878</v>
      </c>
      <c r="K452" s="79">
        <f>B452*0</f>
        <v>0</v>
      </c>
      <c r="L452" s="593">
        <f t="shared" si="103"/>
        <v>35878</v>
      </c>
      <c r="M452" s="1539">
        <f t="shared" si="104"/>
        <v>17.926739633863306</v>
      </c>
      <c r="N452" s="1540"/>
    </row>
    <row r="453" spans="1:14" ht="14" thickBot="1">
      <c r="A453" s="76" t="s">
        <v>109</v>
      </c>
      <c r="B453" s="1447">
        <f>Upland!N47</f>
        <v>13</v>
      </c>
      <c r="C453" s="1448"/>
      <c r="D453" s="1447">
        <f t="shared" si="102"/>
        <v>380828.58071999997</v>
      </c>
      <c r="E453" s="1448"/>
      <c r="F453" s="1903">
        <f>0.00014*8348</f>
        <v>1.16872</v>
      </c>
      <c r="G453" s="1904"/>
      <c r="H453" s="962">
        <f>F453*10</f>
        <v>11.687200000000001</v>
      </c>
      <c r="I453" s="79">
        <v>0</v>
      </c>
      <c r="J453" s="79">
        <f>0.3*8348</f>
        <v>2504.4</v>
      </c>
      <c r="K453" s="79">
        <f>8348*0.3</f>
        <v>2504.4</v>
      </c>
      <c r="L453" s="593">
        <f t="shared" si="103"/>
        <v>5008.8</v>
      </c>
      <c r="M453" s="1539">
        <f t="shared" si="104"/>
        <v>8.5972202321249469</v>
      </c>
      <c r="N453" s="1540"/>
    </row>
    <row r="454" spans="1:14" ht="14" thickBot="1">
      <c r="A454" s="53" t="s">
        <v>60</v>
      </c>
      <c r="B454" s="1438">
        <f>SUM(B447:C453)</f>
        <v>284</v>
      </c>
      <c r="C454" s="1621"/>
      <c r="D454" s="1441">
        <f>SUM(D447:E453)</f>
        <v>4239810.2865000004</v>
      </c>
      <c r="E454" s="1621"/>
      <c r="F454" s="1441">
        <f>SUM(F447:G453)</f>
        <v>13.011500000000002</v>
      </c>
      <c r="G454" s="1609"/>
      <c r="H454" s="586">
        <f>SUM(H447:H453)</f>
        <v>182.55499999999998</v>
      </c>
      <c r="I454" s="56">
        <f>SUM(I447:I453)</f>
        <v>0</v>
      </c>
      <c r="J454" s="56">
        <f>SUM(J447:J453)</f>
        <v>38382.400000000001</v>
      </c>
      <c r="K454" s="56">
        <f>SUM(K447:K453)</f>
        <v>31924.400000000001</v>
      </c>
      <c r="L454" s="592">
        <f>SUM(L447:L453)</f>
        <v>70306.8</v>
      </c>
      <c r="M454" s="1657"/>
      <c r="N454" s="1622"/>
    </row>
    <row r="455" spans="1:14" s="1161" customFormat="1" ht="17" thickBot="1">
      <c r="A455" s="108" t="s">
        <v>146</v>
      </c>
      <c r="B455" s="1567"/>
      <c r="C455" s="1586"/>
      <c r="D455" s="1567"/>
      <c r="E455" s="1586"/>
      <c r="F455" s="1900"/>
      <c r="G455" s="1883"/>
      <c r="H455" s="1299"/>
      <c r="I455" s="109"/>
      <c r="J455" s="109"/>
      <c r="K455" s="109"/>
      <c r="L455" s="1296"/>
      <c r="M455" s="1617"/>
      <c r="N455" s="1486"/>
    </row>
    <row r="456" spans="1:14" ht="14" thickBot="1">
      <c r="A456" s="76" t="s">
        <v>146</v>
      </c>
      <c r="B456" s="1423">
        <f>Upland!N50</f>
        <v>339</v>
      </c>
      <c r="C456" s="1424"/>
      <c r="D456" s="1423">
        <f>F456*325851</f>
        <v>4694698.2825000007</v>
      </c>
      <c r="E456" s="1424"/>
      <c r="F456" s="1941">
        <f>0.0425*B456</f>
        <v>14.407500000000001</v>
      </c>
      <c r="G456" s="1940"/>
      <c r="H456" s="955">
        <f>F456*20</f>
        <v>288.15000000000003</v>
      </c>
      <c r="I456" s="80">
        <f>73.34*B456</f>
        <v>24862.260000000002</v>
      </c>
      <c r="J456" s="80">
        <f>35.66*B456</f>
        <v>12088.739999999998</v>
      </c>
      <c r="K456" s="80">
        <f>B456*165</f>
        <v>55935</v>
      </c>
      <c r="L456" s="702">
        <f>I456+J456+K456</f>
        <v>92886</v>
      </c>
      <c r="M456" s="1539">
        <f>L456/(F456*498.5)</f>
        <v>12.932916396247567</v>
      </c>
      <c r="N456" s="1540"/>
    </row>
    <row r="457" spans="1:14" ht="14" thickBot="1">
      <c r="A457" s="53" t="s">
        <v>60</v>
      </c>
      <c r="B457" s="1438">
        <f>SUM(B456)</f>
        <v>339</v>
      </c>
      <c r="C457" s="1609"/>
      <c r="D457" s="1440">
        <f>SUM(D456)</f>
        <v>4694698.2825000007</v>
      </c>
      <c r="E457" s="1621"/>
      <c r="F457" s="1441">
        <f>SUM(F456)</f>
        <v>14.407500000000001</v>
      </c>
      <c r="G457" s="1609"/>
      <c r="H457" s="586">
        <f>SUM(H456)</f>
        <v>288.15000000000003</v>
      </c>
      <c r="I457" s="707">
        <f>SUM(I456)</f>
        <v>24862.260000000002</v>
      </c>
      <c r="J457" s="56">
        <f>SUM(J456)</f>
        <v>12088.739999999998</v>
      </c>
      <c r="K457" s="56">
        <f>SUM(K456)</f>
        <v>55935</v>
      </c>
      <c r="L457" s="707">
        <f>SUM(L456)</f>
        <v>92886</v>
      </c>
      <c r="M457" s="1657"/>
      <c r="N457" s="1622"/>
    </row>
    <row r="458" spans="1:14" s="1161" customFormat="1" ht="17" thickBot="1">
      <c r="A458" s="108" t="s">
        <v>50</v>
      </c>
      <c r="B458" s="1567"/>
      <c r="C458" s="1586"/>
      <c r="D458" s="1567"/>
      <c r="E458" s="1586"/>
      <c r="F458" s="1619"/>
      <c r="G458" s="1913"/>
      <c r="H458" s="1299"/>
      <c r="I458" s="109"/>
      <c r="J458" s="109"/>
      <c r="K458" s="109"/>
      <c r="L458" s="1296"/>
      <c r="M458" s="1617"/>
      <c r="N458" s="1486"/>
    </row>
    <row r="459" spans="1:14">
      <c r="A459" s="78" t="s">
        <v>26</v>
      </c>
      <c r="B459" s="1423">
        <f>Upland!N53</f>
        <v>0</v>
      </c>
      <c r="C459" s="1424"/>
      <c r="D459" s="1423">
        <f t="shared" ref="D459:D467" si="105">F459*325851</f>
        <v>0</v>
      </c>
      <c r="E459" s="1424"/>
      <c r="F459" s="1941">
        <f>0.0379*B459</f>
        <v>0</v>
      </c>
      <c r="G459" s="1940"/>
      <c r="H459" s="955">
        <f>F459*20</f>
        <v>0</v>
      </c>
      <c r="I459" s="80">
        <v>0</v>
      </c>
      <c r="J459" s="80">
        <f>35.66*B459</f>
        <v>0</v>
      </c>
      <c r="K459" s="80">
        <f>135*B459</f>
        <v>0</v>
      </c>
      <c r="L459" s="702">
        <f>SUM(I459:K459)</f>
        <v>0</v>
      </c>
      <c r="M459" s="1539">
        <v>0</v>
      </c>
      <c r="N459" s="1540"/>
    </row>
    <row r="460" spans="1:14">
      <c r="A460" s="78" t="s">
        <v>25</v>
      </c>
      <c r="B460" s="1423">
        <f>Upland!N54</f>
        <v>0</v>
      </c>
      <c r="C460" s="1424"/>
      <c r="D460" s="1423">
        <f t="shared" si="105"/>
        <v>0</v>
      </c>
      <c r="E460" s="1424"/>
      <c r="F460" s="1941">
        <f>0.0379*B460</f>
        <v>0</v>
      </c>
      <c r="G460" s="1940"/>
      <c r="H460" s="955">
        <f>F460*20</f>
        <v>0</v>
      </c>
      <c r="I460" s="80">
        <v>0</v>
      </c>
      <c r="J460" s="80">
        <f>0*B460</f>
        <v>0</v>
      </c>
      <c r="K460" s="80">
        <f>60*B460</f>
        <v>0</v>
      </c>
      <c r="L460" s="702">
        <f t="shared" ref="L460:L467" si="106">SUM(I460:K460)</f>
        <v>0</v>
      </c>
      <c r="M460" s="1539">
        <v>0</v>
      </c>
      <c r="N460" s="1540"/>
    </row>
    <row r="461" spans="1:14" s="512" customFormat="1">
      <c r="A461" s="76" t="s">
        <v>29</v>
      </c>
      <c r="B461" s="1447">
        <f>Upland!N55</f>
        <v>162</v>
      </c>
      <c r="C461" s="1448"/>
      <c r="D461" s="1447">
        <f t="shared" si="105"/>
        <v>2243484.1350000002</v>
      </c>
      <c r="E461" s="1448"/>
      <c r="F461" s="1903">
        <f>0.0425*B461</f>
        <v>6.8850000000000007</v>
      </c>
      <c r="G461" s="1904"/>
      <c r="H461" s="1309">
        <f>F461*20</f>
        <v>137.70000000000002</v>
      </c>
      <c r="I461" s="79">
        <v>0</v>
      </c>
      <c r="J461" s="79">
        <f>135*B461</f>
        <v>21870</v>
      </c>
      <c r="K461" s="79">
        <f>165*B461</f>
        <v>26730</v>
      </c>
      <c r="L461" s="1295">
        <f t="shared" si="106"/>
        <v>48600</v>
      </c>
      <c r="M461" s="1427">
        <f>L461/(F461*498.5)</f>
        <v>14.160127441146971</v>
      </c>
      <c r="N461" s="1428"/>
    </row>
    <row r="462" spans="1:14">
      <c r="A462" s="78" t="s">
        <v>51</v>
      </c>
      <c r="B462" s="1423">
        <f>Upland!N56</f>
        <v>0</v>
      </c>
      <c r="C462" s="1424"/>
      <c r="D462" s="1423">
        <f t="shared" si="105"/>
        <v>0</v>
      </c>
      <c r="E462" s="1424"/>
      <c r="F462" s="1941">
        <f>0.1227*B462</f>
        <v>0</v>
      </c>
      <c r="G462" s="1940"/>
      <c r="H462" s="955">
        <f>F462*20</f>
        <v>0</v>
      </c>
      <c r="I462" s="80">
        <v>0</v>
      </c>
      <c r="J462" s="80">
        <f>0*B462</f>
        <v>0</v>
      </c>
      <c r="K462" s="80">
        <f>400*B462</f>
        <v>0</v>
      </c>
      <c r="L462" s="702">
        <f t="shared" si="106"/>
        <v>0</v>
      </c>
      <c r="M462" s="1539">
        <v>0</v>
      </c>
      <c r="N462" s="1540"/>
    </row>
    <row r="463" spans="1:14">
      <c r="A463" s="78" t="s">
        <v>20</v>
      </c>
      <c r="B463" s="1423">
        <f>Upland!N57</f>
        <v>0</v>
      </c>
      <c r="C463" s="1424"/>
      <c r="D463" s="1423">
        <f t="shared" si="105"/>
        <v>0</v>
      </c>
      <c r="E463" s="1424"/>
      <c r="F463" s="1941">
        <f>0.644*B463</f>
        <v>0</v>
      </c>
      <c r="G463" s="1940"/>
      <c r="H463" s="955">
        <f>F463*5</f>
        <v>0</v>
      </c>
      <c r="I463" s="80">
        <v>0</v>
      </c>
      <c r="J463" s="80">
        <f>43.75*B463</f>
        <v>0</v>
      </c>
      <c r="K463" s="80">
        <f>625*B463</f>
        <v>0</v>
      </c>
      <c r="L463" s="702">
        <f t="shared" si="106"/>
        <v>0</v>
      </c>
      <c r="M463" s="1539">
        <v>0</v>
      </c>
      <c r="N463" s="1540"/>
    </row>
    <row r="464" spans="1:14">
      <c r="A464" s="78" t="s">
        <v>13</v>
      </c>
      <c r="B464" s="1423">
        <f>Upland!N58</f>
        <v>0</v>
      </c>
      <c r="C464" s="1424"/>
      <c r="D464" s="1423">
        <f t="shared" si="105"/>
        <v>0</v>
      </c>
      <c r="E464" s="1424"/>
      <c r="F464" s="1941">
        <f>0.0276*B464</f>
        <v>0</v>
      </c>
      <c r="G464" s="1940"/>
      <c r="H464" s="955">
        <f>F464*10</f>
        <v>0</v>
      </c>
      <c r="I464" s="80">
        <v>0</v>
      </c>
      <c r="J464" s="80">
        <f>100*B464</f>
        <v>0</v>
      </c>
      <c r="K464" s="80">
        <f>80*B464</f>
        <v>0</v>
      </c>
      <c r="L464" s="702">
        <f t="shared" si="106"/>
        <v>0</v>
      </c>
      <c r="M464" s="1539">
        <v>0</v>
      </c>
      <c r="N464" s="1540"/>
    </row>
    <row r="465" spans="1:14">
      <c r="A465" s="76" t="s">
        <v>47</v>
      </c>
      <c r="B465" s="1423">
        <f>Upland!N59</f>
        <v>0</v>
      </c>
      <c r="C465" s="1424"/>
      <c r="D465" s="1423">
        <f t="shared" si="105"/>
        <v>0</v>
      </c>
      <c r="E465" s="1424"/>
      <c r="F465" s="1941">
        <f>0.1534*B465</f>
        <v>0</v>
      </c>
      <c r="G465" s="1940"/>
      <c r="H465" s="955">
        <f>F465*5</f>
        <v>0</v>
      </c>
      <c r="I465" s="80">
        <v>0</v>
      </c>
      <c r="J465" s="80">
        <f>0*B465</f>
        <v>0</v>
      </c>
      <c r="K465" s="80">
        <f>150*B465</f>
        <v>0</v>
      </c>
      <c r="L465" s="702">
        <f t="shared" si="106"/>
        <v>0</v>
      </c>
      <c r="M465" s="1539">
        <v>0</v>
      </c>
      <c r="N465" s="1540"/>
    </row>
    <row r="466" spans="1:14">
      <c r="A466" s="76" t="s">
        <v>30</v>
      </c>
      <c r="B466" s="1423">
        <f>Upland!N60</f>
        <v>0</v>
      </c>
      <c r="C466" s="1424"/>
      <c r="D466" s="1423">
        <f t="shared" si="105"/>
        <v>0</v>
      </c>
      <c r="E466" s="1424"/>
      <c r="F466" s="1941">
        <f>0.325*B466</f>
        <v>0</v>
      </c>
      <c r="G466" s="1940"/>
      <c r="H466" s="955">
        <f>F466*10</f>
        <v>0</v>
      </c>
      <c r="I466" s="80">
        <v>0</v>
      </c>
      <c r="J466" s="80">
        <f>0*B466</f>
        <v>0</v>
      </c>
      <c r="K466" s="80">
        <f>669*B466</f>
        <v>0</v>
      </c>
      <c r="L466" s="702">
        <f t="shared" si="106"/>
        <v>0</v>
      </c>
      <c r="M466" s="1539">
        <v>0</v>
      </c>
      <c r="N466" s="1540"/>
    </row>
    <row r="467" spans="1:14">
      <c r="A467" s="76" t="s">
        <v>53</v>
      </c>
      <c r="B467" s="1423">
        <f>Upland!N61</f>
        <v>0</v>
      </c>
      <c r="C467" s="1424"/>
      <c r="D467" s="1423">
        <f t="shared" si="105"/>
        <v>0</v>
      </c>
      <c r="E467" s="1424"/>
      <c r="F467" s="1941">
        <f>0.00014*B467</f>
        <v>0</v>
      </c>
      <c r="G467" s="1940"/>
      <c r="H467" s="955">
        <f>F467*10</f>
        <v>0</v>
      </c>
      <c r="I467" s="80">
        <v>0</v>
      </c>
      <c r="J467" s="80">
        <f>0.3*B467</f>
        <v>0</v>
      </c>
      <c r="K467" s="80">
        <f>0.3*B467</f>
        <v>0</v>
      </c>
      <c r="L467" s="702">
        <f t="shared" si="106"/>
        <v>0</v>
      </c>
      <c r="M467" s="1539">
        <v>0</v>
      </c>
      <c r="N467" s="1540"/>
    </row>
    <row r="468" spans="1:14">
      <c r="A468" s="76" t="s">
        <v>56</v>
      </c>
      <c r="B468" s="1423">
        <f>Upland!N62</f>
        <v>0</v>
      </c>
      <c r="C468" s="1424"/>
      <c r="D468" s="1423">
        <f>F468*325851</f>
        <v>0</v>
      </c>
      <c r="E468" s="1424"/>
      <c r="F468" s="1941">
        <f>0.004*B468</f>
        <v>0</v>
      </c>
      <c r="G468" s="1940"/>
      <c r="H468" s="955">
        <f>F468*5</f>
        <v>0</v>
      </c>
      <c r="I468" s="80">
        <v>0</v>
      </c>
      <c r="J468" s="80">
        <f>0*B468</f>
        <v>0</v>
      </c>
      <c r="K468" s="80">
        <f>4*B468</f>
        <v>0</v>
      </c>
      <c r="L468" s="80">
        <f>630*C468</f>
        <v>0</v>
      </c>
      <c r="M468" s="1539">
        <v>0</v>
      </c>
      <c r="N468" s="1540"/>
    </row>
    <row r="469" spans="1:14">
      <c r="A469" s="76" t="s">
        <v>122</v>
      </c>
      <c r="B469" s="1423">
        <f>Upland!N63</f>
        <v>0</v>
      </c>
      <c r="C469" s="1424"/>
      <c r="D469" s="1423">
        <f>F469*325851</f>
        <v>0</v>
      </c>
      <c r="E469" s="1424"/>
      <c r="F469" s="1941">
        <f>0.018*B469</f>
        <v>0</v>
      </c>
      <c r="G469" s="1940"/>
      <c r="H469" s="955">
        <f>F469*10</f>
        <v>0</v>
      </c>
      <c r="I469" s="80">
        <v>0</v>
      </c>
      <c r="J469" s="80">
        <f>0*B469</f>
        <v>0</v>
      </c>
      <c r="K469" s="80">
        <f>13*B469</f>
        <v>0</v>
      </c>
      <c r="L469" s="80">
        <f>630*C469</f>
        <v>0</v>
      </c>
      <c r="M469" s="1539">
        <v>0</v>
      </c>
      <c r="N469" s="1540"/>
    </row>
    <row r="470" spans="1:14" ht="14" thickBot="1">
      <c r="A470" s="76" t="s">
        <v>102</v>
      </c>
      <c r="B470" s="1423">
        <f>Upland!N64</f>
        <v>0</v>
      </c>
      <c r="C470" s="1424"/>
      <c r="D470" s="1423">
        <f>F470*325851</f>
        <v>0</v>
      </c>
      <c r="E470" s="1424"/>
      <c r="F470" s="2041">
        <f>0.153*B470</f>
        <v>0</v>
      </c>
      <c r="G470" s="1912"/>
      <c r="H470" s="955">
        <f>F470*5</f>
        <v>0</v>
      </c>
      <c r="I470" s="80">
        <v>0</v>
      </c>
      <c r="J470" s="80">
        <f>0*B470</f>
        <v>0</v>
      </c>
      <c r="K470" s="80">
        <f>60*B470</f>
        <v>0</v>
      </c>
      <c r="L470" s="80">
        <f>630*C470</f>
        <v>0</v>
      </c>
      <c r="M470" s="1539">
        <v>0</v>
      </c>
      <c r="N470" s="1540"/>
    </row>
    <row r="471" spans="1:14" ht="14" thickBot="1">
      <c r="A471" s="53" t="s">
        <v>60</v>
      </c>
      <c r="B471" s="1438">
        <f>SUM(B459:C470)</f>
        <v>162</v>
      </c>
      <c r="C471" s="1621"/>
      <c r="D471" s="1441">
        <f>SUM(D459:E470)</f>
        <v>2243484.1350000002</v>
      </c>
      <c r="E471" s="1621"/>
      <c r="F471" s="1441">
        <f>SUM(F459:G470)</f>
        <v>6.8850000000000007</v>
      </c>
      <c r="G471" s="1439"/>
      <c r="H471" s="586">
        <f>SUM(H459:H470)</f>
        <v>137.70000000000002</v>
      </c>
      <c r="I471" s="721">
        <f>SUM(I459:I470)</f>
        <v>0</v>
      </c>
      <c r="J471" s="56">
        <f>SUM(J459:J470)</f>
        <v>21870</v>
      </c>
      <c r="K471" s="56">
        <f>SUM(K459:K470)</f>
        <v>26730</v>
      </c>
      <c r="L471" s="707">
        <f>SUM(L459:L470)</f>
        <v>48600</v>
      </c>
      <c r="M471" s="1657"/>
      <c r="N471" s="1622"/>
    </row>
    <row r="472" spans="1:14" s="1161" customFormat="1" ht="17" thickBot="1">
      <c r="A472" s="108" t="s">
        <v>54</v>
      </c>
      <c r="B472" s="1457"/>
      <c r="C472" s="1913"/>
      <c r="D472" s="1304"/>
      <c r="E472" s="1299"/>
      <c r="F472" s="1304"/>
      <c r="G472" s="1299"/>
      <c r="H472" s="1299"/>
      <c r="I472" s="109"/>
      <c r="J472" s="109"/>
      <c r="K472" s="109"/>
      <c r="L472" s="1296"/>
      <c r="M472" s="1302"/>
      <c r="N472" s="1297"/>
    </row>
    <row r="473" spans="1:14">
      <c r="A473" s="655" t="s">
        <v>29</v>
      </c>
      <c r="B473" s="2018">
        <f>Upland!N67</f>
        <v>0</v>
      </c>
      <c r="C473" s="2052"/>
      <c r="D473" s="1423">
        <f t="shared" ref="D473:D478" si="107">F473*325851</f>
        <v>0</v>
      </c>
      <c r="E473" s="1424"/>
      <c r="F473" s="1941">
        <f>0.0425*B473</f>
        <v>0</v>
      </c>
      <c r="G473" s="1940"/>
      <c r="H473" s="955">
        <f>F473*20</f>
        <v>0</v>
      </c>
      <c r="I473" s="80">
        <v>0</v>
      </c>
      <c r="J473" s="80">
        <f>35.66*B473</f>
        <v>0</v>
      </c>
      <c r="K473" s="80">
        <f>0*B473</f>
        <v>0</v>
      </c>
      <c r="L473" s="702">
        <f t="shared" ref="L473:L478" si="108">SUM(I473:K473)</f>
        <v>0</v>
      </c>
      <c r="M473" s="1539">
        <v>0</v>
      </c>
      <c r="N473" s="1540"/>
    </row>
    <row r="474" spans="1:14">
      <c r="A474" s="257" t="s">
        <v>51</v>
      </c>
      <c r="B474" s="1423">
        <f>Upland!N68</f>
        <v>0</v>
      </c>
      <c r="C474" s="1424"/>
      <c r="D474" s="1423">
        <f t="shared" si="107"/>
        <v>0</v>
      </c>
      <c r="E474" s="1424"/>
      <c r="F474" s="1941">
        <f>0.125*B474</f>
        <v>0</v>
      </c>
      <c r="G474" s="1940"/>
      <c r="H474" s="955">
        <f>F474*20</f>
        <v>0</v>
      </c>
      <c r="I474" s="80">
        <v>0</v>
      </c>
      <c r="J474" s="80">
        <f>0*B474</f>
        <v>0</v>
      </c>
      <c r="K474" s="80">
        <f>0*B474</f>
        <v>0</v>
      </c>
      <c r="L474" s="702">
        <f t="shared" si="108"/>
        <v>0</v>
      </c>
      <c r="M474" s="1539">
        <v>0</v>
      </c>
      <c r="N474" s="1540"/>
    </row>
    <row r="475" spans="1:14" s="512" customFormat="1">
      <c r="A475" s="254" t="s">
        <v>15</v>
      </c>
      <c r="B475" s="1447">
        <f>Upland!N69</f>
        <v>0</v>
      </c>
      <c r="C475" s="1448"/>
      <c r="D475" s="1447">
        <f t="shared" si="107"/>
        <v>0</v>
      </c>
      <c r="E475" s="1448"/>
      <c r="F475" s="1903">
        <f>0.1534*B475</f>
        <v>0</v>
      </c>
      <c r="G475" s="1904"/>
      <c r="H475" s="1309">
        <f>F475*5</f>
        <v>0</v>
      </c>
      <c r="I475" s="79">
        <v>0</v>
      </c>
      <c r="J475" s="79">
        <f>0*B475</f>
        <v>0</v>
      </c>
      <c r="K475" s="79">
        <f>0*B475</f>
        <v>0</v>
      </c>
      <c r="L475" s="1295">
        <f t="shared" si="108"/>
        <v>0</v>
      </c>
      <c r="M475" s="1427">
        <v>0</v>
      </c>
      <c r="N475" s="1428"/>
    </row>
    <row r="476" spans="1:14">
      <c r="A476" s="257" t="s">
        <v>30</v>
      </c>
      <c r="B476" s="1423">
        <f>Upland!N70</f>
        <v>51</v>
      </c>
      <c r="C476" s="1424"/>
      <c r="D476" s="1423">
        <f t="shared" si="107"/>
        <v>10120606.208999999</v>
      </c>
      <c r="E476" s="1424"/>
      <c r="F476" s="1903">
        <f>0.609*B476</f>
        <v>31.058999999999997</v>
      </c>
      <c r="G476" s="1904"/>
      <c r="H476" s="955">
        <f>F476*10</f>
        <v>310.58999999999997</v>
      </c>
      <c r="I476" s="80">
        <v>0</v>
      </c>
      <c r="J476" s="80">
        <f>0*B476</f>
        <v>0</v>
      </c>
      <c r="K476" s="80">
        <f>1656.82*B476</f>
        <v>84497.819999999992</v>
      </c>
      <c r="L476" s="702">
        <f t="shared" si="108"/>
        <v>84497.819999999992</v>
      </c>
      <c r="M476" s="1539">
        <f>L476/(F476*498.5)</f>
        <v>5.457489051720021</v>
      </c>
      <c r="N476" s="1540"/>
    </row>
    <row r="477" spans="1:14">
      <c r="A477" s="257" t="s">
        <v>55</v>
      </c>
      <c r="B477" s="1423">
        <f>Upland!N71</f>
        <v>0</v>
      </c>
      <c r="C477" s="1424"/>
      <c r="D477" s="1423">
        <f t="shared" si="107"/>
        <v>0</v>
      </c>
      <c r="E477" s="1424"/>
      <c r="F477" s="1903">
        <f>0.992*B477</f>
        <v>0</v>
      </c>
      <c r="G477" s="1904"/>
      <c r="H477" s="955">
        <f>F477*10</f>
        <v>0</v>
      </c>
      <c r="I477" s="80">
        <v>0</v>
      </c>
      <c r="J477" s="80">
        <f>0*B477</f>
        <v>0</v>
      </c>
      <c r="K477" s="80">
        <f>0*B477</f>
        <v>0</v>
      </c>
      <c r="L477" s="702">
        <f t="shared" si="108"/>
        <v>0</v>
      </c>
      <c r="M477" s="1539">
        <v>0</v>
      </c>
      <c r="N477" s="1540"/>
    </row>
    <row r="478" spans="1:14" s="521" customFormat="1" ht="14" thickBot="1">
      <c r="A478" s="77" t="s">
        <v>53</v>
      </c>
      <c r="B478" s="1536">
        <f>Upland!N72</f>
        <v>0</v>
      </c>
      <c r="C478" s="1424"/>
      <c r="D478" s="1423">
        <f t="shared" si="107"/>
        <v>0</v>
      </c>
      <c r="E478" s="1424"/>
      <c r="F478" s="1941">
        <f>0.00014*B478</f>
        <v>0</v>
      </c>
      <c r="G478" s="1940"/>
      <c r="H478" s="955">
        <f>F478*10</f>
        <v>0</v>
      </c>
      <c r="I478" s="80">
        <v>0</v>
      </c>
      <c r="J478" s="80">
        <f>0.3*B478</f>
        <v>0</v>
      </c>
      <c r="K478" s="80">
        <f>0.75*B478</f>
        <v>0</v>
      </c>
      <c r="L478" s="702">
        <f t="shared" si="108"/>
        <v>0</v>
      </c>
      <c r="M478" s="1539">
        <v>0</v>
      </c>
      <c r="N478" s="1540"/>
    </row>
    <row r="479" spans="1:14" s="521" customFormat="1" ht="14" thickBot="1">
      <c r="A479" s="53" t="s">
        <v>60</v>
      </c>
      <c r="B479" s="1438">
        <f>SUM(B473:C478)</f>
        <v>51</v>
      </c>
      <c r="C479" s="1609"/>
      <c r="D479" s="1440">
        <f>SUM(D473:E478)</f>
        <v>10120606.208999999</v>
      </c>
      <c r="E479" s="1621"/>
      <c r="F479" s="1441">
        <f>SUM(F473:G478)</f>
        <v>31.058999999999997</v>
      </c>
      <c r="G479" s="1609"/>
      <c r="H479" s="586">
        <f>SUM(H473:H478)</f>
        <v>310.58999999999997</v>
      </c>
      <c r="I479" s="721">
        <f>SUM(I473:I478)</f>
        <v>0</v>
      </c>
      <c r="J479" s="721">
        <f>SUM(J473:J478)</f>
        <v>0</v>
      </c>
      <c r="K479" s="707">
        <f>SUM(K473:K478)</f>
        <v>84497.819999999992</v>
      </c>
      <c r="L479" s="707">
        <f>SUM(L473:L478)</f>
        <v>84497.819999999992</v>
      </c>
      <c r="M479" s="1657"/>
      <c r="N479" s="1622"/>
    </row>
    <row r="480" spans="1:14" s="1245" customFormat="1" ht="17" thickBot="1">
      <c r="A480" s="1182" t="s">
        <v>17</v>
      </c>
      <c r="B480" s="1416">
        <f>SUM(B479,B471,B457,B454)</f>
        <v>836</v>
      </c>
      <c r="C480" s="1415"/>
      <c r="D480" s="1416">
        <f>SUM(D479,D471,D457,D454)</f>
        <v>21298598.912999999</v>
      </c>
      <c r="E480" s="1415"/>
      <c r="F480" s="1416">
        <f>SUM(F479,F471,F457,F454)</f>
        <v>65.363</v>
      </c>
      <c r="G480" s="1415"/>
      <c r="H480" s="1293">
        <f>SUM(H479,H471,H457,H454)</f>
        <v>918.995</v>
      </c>
      <c r="I480" s="1293">
        <f>SUM(I479,I471,I457,I454)</f>
        <v>24862.260000000002</v>
      </c>
      <c r="J480" s="1293">
        <f>SUM(J479,J471,J457,J454)</f>
        <v>72341.14</v>
      </c>
      <c r="K480" s="1293">
        <f>SUM(K479,K471,K457,K454)</f>
        <v>199087.22</v>
      </c>
      <c r="L480" s="1293">
        <f>SUM(L479,L471,L457,L454)</f>
        <v>296290.62</v>
      </c>
      <c r="M480" s="1416"/>
      <c r="N480" s="1415"/>
    </row>
    <row r="481" spans="1:14" s="521" customFormat="1" ht="16">
      <c r="A481" s="60"/>
      <c r="B481" s="61"/>
      <c r="C481" s="61"/>
      <c r="D481" s="61"/>
      <c r="E481" s="61"/>
      <c r="F481" s="61"/>
      <c r="G481" s="61"/>
      <c r="H481" s="61"/>
      <c r="I481" s="62"/>
      <c r="J481" s="62"/>
      <c r="K481" s="62"/>
      <c r="L481" s="62"/>
      <c r="M481" s="64"/>
      <c r="N481" s="65"/>
    </row>
    <row r="482" spans="1:14" s="521" customFormat="1" ht="16">
      <c r="A482" s="9" t="s">
        <v>18</v>
      </c>
      <c r="B482" s="1566" t="s">
        <v>59</v>
      </c>
      <c r="C482" s="1566"/>
      <c r="D482" s="1566"/>
      <c r="E482" s="1566"/>
      <c r="F482" s="61"/>
      <c r="G482" s="61"/>
      <c r="H482" s="61"/>
      <c r="I482" s="62"/>
      <c r="J482" s="62"/>
      <c r="K482" s="62"/>
      <c r="L482" s="62"/>
      <c r="M482" s="64"/>
      <c r="N482" s="65"/>
    </row>
    <row r="483" spans="1:14" s="1361" customFormat="1" ht="16">
      <c r="A483" s="512"/>
      <c r="B483" s="2051" t="s">
        <v>19</v>
      </c>
      <c r="C483" s="2051"/>
      <c r="D483" s="2051"/>
      <c r="E483" s="2051"/>
      <c r="F483" s="340"/>
      <c r="G483" s="340"/>
      <c r="H483" s="340"/>
      <c r="I483" s="1354"/>
      <c r="J483" s="1354"/>
      <c r="K483" s="1354"/>
      <c r="L483" s="1354"/>
      <c r="M483" s="1355"/>
      <c r="N483" s="882"/>
    </row>
    <row r="484" spans="1:14" s="646" customFormat="1" ht="16">
      <c r="A484" s="348"/>
      <c r="B484" s="349"/>
      <c r="C484" s="349"/>
      <c r="D484" s="349"/>
      <c r="E484" s="349"/>
      <c r="F484" s="350"/>
      <c r="G484" s="350"/>
      <c r="H484" s="418"/>
      <c r="I484" s="2046" t="s">
        <v>0</v>
      </c>
      <c r="J484" s="2046"/>
      <c r="K484" s="2046"/>
      <c r="L484" s="2046"/>
      <c r="M484" s="349"/>
      <c r="N484" s="344"/>
    </row>
    <row r="485" spans="1:14" ht="16">
      <c r="A485" s="97"/>
      <c r="B485" s="1469" t="s">
        <v>1</v>
      </c>
      <c r="C485" s="1469"/>
      <c r="D485" s="1469" t="s">
        <v>2</v>
      </c>
      <c r="E485" s="1469"/>
      <c r="F485" s="1863" t="s">
        <v>3</v>
      </c>
      <c r="G485" s="1863"/>
      <c r="H485" s="602" t="s">
        <v>3</v>
      </c>
      <c r="I485" s="127" t="s">
        <v>195</v>
      </c>
      <c r="J485" s="102"/>
      <c r="K485" s="102"/>
      <c r="L485" s="128"/>
      <c r="M485" s="1469" t="s">
        <v>4</v>
      </c>
      <c r="N485" s="1526"/>
    </row>
    <row r="486" spans="1:14" ht="19" thickBot="1">
      <c r="A486" s="103" t="s">
        <v>5</v>
      </c>
      <c r="B486" s="1473" t="s">
        <v>6</v>
      </c>
      <c r="C486" s="1473"/>
      <c r="D486" s="1473" t="s">
        <v>7</v>
      </c>
      <c r="E486" s="1473"/>
      <c r="F486" s="1864" t="s">
        <v>7</v>
      </c>
      <c r="G486" s="1864"/>
      <c r="H486" s="603" t="s">
        <v>58</v>
      </c>
      <c r="I486" s="596" t="s">
        <v>196</v>
      </c>
      <c r="J486" s="595" t="s">
        <v>8</v>
      </c>
      <c r="K486" s="595" t="s">
        <v>9</v>
      </c>
      <c r="L486" s="401" t="s">
        <v>10</v>
      </c>
      <c r="M486" s="1473" t="s">
        <v>145</v>
      </c>
      <c r="N486" s="1475"/>
    </row>
    <row r="487" spans="1:14" ht="24" thickBot="1">
      <c r="A487" s="88" t="s">
        <v>132</v>
      </c>
      <c r="B487" s="1482"/>
      <c r="C487" s="2021"/>
      <c r="D487" s="2022"/>
      <c r="E487" s="2023"/>
      <c r="F487" s="2024"/>
      <c r="G487" s="2025"/>
      <c r="H487" s="647"/>
      <c r="I487" s="213"/>
      <c r="J487" s="213"/>
      <c r="K487" s="213"/>
      <c r="L487" s="214"/>
      <c r="M487" s="1482"/>
      <c r="N487" s="1483"/>
    </row>
    <row r="488" spans="1:14" s="1161" customFormat="1" ht="17" thickBot="1">
      <c r="A488" s="108" t="s">
        <v>48</v>
      </c>
      <c r="B488" s="1567"/>
      <c r="C488" s="1586"/>
      <c r="D488" s="1567"/>
      <c r="E488" s="1586"/>
      <c r="F488" s="1619"/>
      <c r="G488" s="1620"/>
      <c r="H488" s="1299"/>
      <c r="I488" s="109"/>
      <c r="J488" s="109"/>
      <c r="K488" s="109"/>
      <c r="L488" s="1296"/>
      <c r="M488" s="1617"/>
      <c r="N488" s="1486"/>
    </row>
    <row r="489" spans="1:14">
      <c r="A489" s="78" t="s">
        <v>28</v>
      </c>
      <c r="B489" s="1423">
        <f>Upland!N6</f>
        <v>27</v>
      </c>
      <c r="C489" s="1424"/>
      <c r="D489" s="1423">
        <f t="shared" ref="D489:D495" si="109">F489*325851</f>
        <v>333443.32830000005</v>
      </c>
      <c r="E489" s="1424"/>
      <c r="F489" s="1941">
        <f>0.0379*B489</f>
        <v>1.0233000000000001</v>
      </c>
      <c r="G489" s="1940"/>
      <c r="H489" s="955">
        <f>F489*20</f>
        <v>20.466000000000001</v>
      </c>
      <c r="I489" s="80">
        <v>0</v>
      </c>
      <c r="J489" s="80">
        <f>0*B489</f>
        <v>0</v>
      </c>
      <c r="K489" s="80">
        <f>60*B489</f>
        <v>1620</v>
      </c>
      <c r="L489" s="591">
        <f t="shared" ref="L489:L495" si="110">I489+J489+K489</f>
        <v>1620</v>
      </c>
      <c r="M489" s="1539">
        <f t="shared" ref="M489:M495" si="111">L489/(F489*427)</f>
        <v>3.7075256591671657</v>
      </c>
      <c r="N489" s="1540"/>
    </row>
    <row r="490" spans="1:14">
      <c r="A490" s="78" t="s">
        <v>29</v>
      </c>
      <c r="B490" s="1563">
        <f>Upland!N7</f>
        <v>15</v>
      </c>
      <c r="C490" s="1424"/>
      <c r="D490" s="1423">
        <f t="shared" si="109"/>
        <v>207730.01250000001</v>
      </c>
      <c r="E490" s="1424"/>
      <c r="F490" s="1941">
        <f>0.0425*B490</f>
        <v>0.63750000000000007</v>
      </c>
      <c r="G490" s="1940"/>
      <c r="H490" s="955">
        <f>F490*20</f>
        <v>12.750000000000002</v>
      </c>
      <c r="I490" s="80">
        <v>0</v>
      </c>
      <c r="J490" s="80">
        <f>0*B490</f>
        <v>0</v>
      </c>
      <c r="K490" s="80">
        <f>B490*165</f>
        <v>2475</v>
      </c>
      <c r="L490" s="591">
        <f t="shared" si="110"/>
        <v>2475</v>
      </c>
      <c r="M490" s="1539">
        <f t="shared" si="111"/>
        <v>9.0921614547458312</v>
      </c>
      <c r="N490" s="1540"/>
    </row>
    <row r="491" spans="1:14">
      <c r="A491" s="78" t="s">
        <v>33</v>
      </c>
      <c r="B491" s="1563">
        <f>Upland!N8</f>
        <v>236</v>
      </c>
      <c r="C491" s="1424"/>
      <c r="D491" s="1423">
        <f t="shared" si="109"/>
        <v>2122463.0736000002</v>
      </c>
      <c r="E491" s="1424"/>
      <c r="F491" s="1941">
        <f>0.0276*B491</f>
        <v>6.5136000000000003</v>
      </c>
      <c r="G491" s="1940"/>
      <c r="H491" s="955">
        <f>F491*15</f>
        <v>97.704000000000008</v>
      </c>
      <c r="I491" s="80">
        <f>0*B491</f>
        <v>0</v>
      </c>
      <c r="J491" s="80">
        <f>0*B491</f>
        <v>0</v>
      </c>
      <c r="K491" s="80">
        <f>B491*110</f>
        <v>25960</v>
      </c>
      <c r="L491" s="591">
        <f t="shared" si="110"/>
        <v>25960</v>
      </c>
      <c r="M491" s="1539">
        <f t="shared" si="111"/>
        <v>9.3337406238332825</v>
      </c>
      <c r="N491" s="1540"/>
    </row>
    <row r="492" spans="1:14" s="512" customFormat="1">
      <c r="A492" s="76" t="s">
        <v>56</v>
      </c>
      <c r="B492" s="1644">
        <f>Upland!N9</f>
        <v>143</v>
      </c>
      <c r="C492" s="1448"/>
      <c r="D492" s="1447">
        <f>F492*325851</f>
        <v>186386.77200000003</v>
      </c>
      <c r="E492" s="1448"/>
      <c r="F492" s="1903">
        <f>0.004*B492</f>
        <v>0.57200000000000006</v>
      </c>
      <c r="G492" s="1904"/>
      <c r="H492" s="1309">
        <f>F492*5</f>
        <v>2.8600000000000003</v>
      </c>
      <c r="I492" s="79">
        <f>0*B492</f>
        <v>0</v>
      </c>
      <c r="J492" s="79">
        <f>0*B492</f>
        <v>0</v>
      </c>
      <c r="K492" s="79">
        <f>B492*4</f>
        <v>572</v>
      </c>
      <c r="L492" s="1295">
        <f>I492+J492+K492</f>
        <v>572</v>
      </c>
      <c r="M492" s="1427">
        <f>L492/(F492*427)</f>
        <v>2.3419203747072599</v>
      </c>
      <c r="N492" s="1428"/>
    </row>
    <row r="493" spans="1:14">
      <c r="A493" s="78" t="s">
        <v>30</v>
      </c>
      <c r="B493" s="1563">
        <f>Upland!N10</f>
        <v>2</v>
      </c>
      <c r="C493" s="1424"/>
      <c r="D493" s="1423">
        <f t="shared" si="109"/>
        <v>211803.15</v>
      </c>
      <c r="E493" s="1424"/>
      <c r="F493" s="1941">
        <f>0.325*B493</f>
        <v>0.65</v>
      </c>
      <c r="G493" s="1940"/>
      <c r="H493" s="955">
        <f>F493*10</f>
        <v>6.5</v>
      </c>
      <c r="I493" s="80">
        <v>0</v>
      </c>
      <c r="J493" s="80">
        <f>160*B493</f>
        <v>320</v>
      </c>
      <c r="K493" s="80">
        <f>B493*80</f>
        <v>160</v>
      </c>
      <c r="L493" s="591">
        <f t="shared" si="110"/>
        <v>480</v>
      </c>
      <c r="M493" s="1539">
        <f t="shared" si="111"/>
        <v>1.7294181228607457</v>
      </c>
      <c r="N493" s="1540"/>
    </row>
    <row r="494" spans="1:14">
      <c r="A494" s="76" t="s">
        <v>90</v>
      </c>
      <c r="B494" s="1563">
        <f>Upland!N11</f>
        <v>8</v>
      </c>
      <c r="C494" s="1424"/>
      <c r="D494" s="1423">
        <f t="shared" si="109"/>
        <v>391731.55517999991</v>
      </c>
      <c r="E494" s="1424"/>
      <c r="F494" s="1903">
        <f>0.00014*8587</f>
        <v>1.2021799999999998</v>
      </c>
      <c r="G494" s="1904"/>
      <c r="H494" s="955">
        <f>F494*10</f>
        <v>12.021799999999999</v>
      </c>
      <c r="I494" s="80">
        <v>0</v>
      </c>
      <c r="J494" s="80">
        <f>2*8587</f>
        <v>17174</v>
      </c>
      <c r="K494" s="80">
        <f>B494*0</f>
        <v>0</v>
      </c>
      <c r="L494" s="591">
        <f t="shared" si="110"/>
        <v>17174</v>
      </c>
      <c r="M494" s="1539">
        <f t="shared" si="111"/>
        <v>33.456005352960865</v>
      </c>
      <c r="N494" s="1540"/>
    </row>
    <row r="495" spans="1:14" ht="14" thickBot="1">
      <c r="A495" s="76" t="s">
        <v>91</v>
      </c>
      <c r="B495" s="1563">
        <f>Upland!N12</f>
        <v>11</v>
      </c>
      <c r="C495" s="1424"/>
      <c r="D495" s="1423">
        <f t="shared" si="109"/>
        <v>452496.24965999991</v>
      </c>
      <c r="E495" s="1424"/>
      <c r="F495" s="1941">
        <f>0.00014*9919</f>
        <v>1.3886599999999998</v>
      </c>
      <c r="G495" s="1940"/>
      <c r="H495" s="955">
        <f>F495*10</f>
        <v>13.886599999999998</v>
      </c>
      <c r="I495" s="80">
        <v>0</v>
      </c>
      <c r="J495" s="80">
        <f>0.3*9919</f>
        <v>2975.7</v>
      </c>
      <c r="K495" s="80">
        <f>9919*0.3</f>
        <v>2975.7</v>
      </c>
      <c r="L495" s="591">
        <f t="shared" si="110"/>
        <v>5951.4</v>
      </c>
      <c r="M495" s="1539">
        <f t="shared" si="111"/>
        <v>10.036801605888259</v>
      </c>
      <c r="N495" s="1540"/>
    </row>
    <row r="496" spans="1:14" ht="14" thickBot="1">
      <c r="A496" s="256" t="s">
        <v>60</v>
      </c>
      <c r="B496" s="1438">
        <f>SUM(B489:C495)</f>
        <v>442</v>
      </c>
      <c r="C496" s="1609"/>
      <c r="D496" s="1441">
        <f>SUM(D489:E495)</f>
        <v>3906054.1412399993</v>
      </c>
      <c r="E496" s="1609"/>
      <c r="F496" s="1440">
        <f>SUM(F489:G495)</f>
        <v>11.987240000000002</v>
      </c>
      <c r="G496" s="1439"/>
      <c r="H496" s="619">
        <f>SUM(H489:H495)</f>
        <v>166.1884</v>
      </c>
      <c r="I496" s="56">
        <f>SUM(I489:I495)</f>
        <v>0</v>
      </c>
      <c r="J496" s="56">
        <f>SUM(J489:J495)</f>
        <v>20469.7</v>
      </c>
      <c r="K496" s="56">
        <f>SUM(K489:K495)</f>
        <v>33762.699999999997</v>
      </c>
      <c r="L496" s="610">
        <f>SUM(L489:L495)</f>
        <v>54232.4</v>
      </c>
      <c r="M496" s="1657"/>
      <c r="N496" s="1622"/>
    </row>
    <row r="497" spans="1:14" s="1161" customFormat="1" ht="17" thickBot="1">
      <c r="A497" s="1256" t="s">
        <v>147</v>
      </c>
      <c r="B497" s="1456"/>
      <c r="C497" s="1586"/>
      <c r="D497" s="1567"/>
      <c r="E497" s="1586"/>
      <c r="F497" s="1567"/>
      <c r="G497" s="1586"/>
      <c r="H497" s="1299"/>
      <c r="I497" s="109"/>
      <c r="J497" s="109"/>
      <c r="K497" s="109"/>
      <c r="L497" s="1296"/>
      <c r="M497" s="1617"/>
      <c r="N497" s="1486"/>
    </row>
    <row r="498" spans="1:14" ht="14" thickBot="1">
      <c r="A498" s="254" t="s">
        <v>147</v>
      </c>
      <c r="B498" s="1563">
        <f>Upland!N15</f>
        <v>1541</v>
      </c>
      <c r="C498" s="1424"/>
      <c r="D498" s="1423">
        <f>F498*325851</f>
        <v>19030969.218900003</v>
      </c>
      <c r="E498" s="1424"/>
      <c r="F498" s="1941">
        <f>0.0379*B498</f>
        <v>58.403900000000007</v>
      </c>
      <c r="G498" s="1940"/>
      <c r="H498" s="955">
        <f>F498*20</f>
        <v>1168.0780000000002</v>
      </c>
      <c r="I498" s="80">
        <f>73.34*B498</f>
        <v>113016.94</v>
      </c>
      <c r="J498" s="80">
        <f>35.66*B498</f>
        <v>54952.06</v>
      </c>
      <c r="K498" s="80">
        <f>B498*60</f>
        <v>92460</v>
      </c>
      <c r="L498" s="608">
        <f>I498+J498+K498</f>
        <v>260429</v>
      </c>
      <c r="M498" s="1539">
        <f>L498/(F498*427)</f>
        <v>10.442863939987516</v>
      </c>
      <c r="N498" s="1540"/>
    </row>
    <row r="499" spans="1:14" ht="14" thickBot="1">
      <c r="A499" s="256" t="s">
        <v>60</v>
      </c>
      <c r="B499" s="1438">
        <f>SUM(B498)</f>
        <v>1541</v>
      </c>
      <c r="C499" s="1609"/>
      <c r="D499" s="1438">
        <f>SUM(D498)</f>
        <v>19030969.218900003</v>
      </c>
      <c r="E499" s="1621"/>
      <c r="F499" s="1441">
        <f>SUM(F498)</f>
        <v>58.403900000000007</v>
      </c>
      <c r="G499" s="1439"/>
      <c r="H499" s="619">
        <f>SUM(H498)</f>
        <v>1168.0780000000002</v>
      </c>
      <c r="I499" s="619">
        <f>SUM(I498)</f>
        <v>113016.94</v>
      </c>
      <c r="J499" s="619">
        <f>SUM(J498)</f>
        <v>54952.06</v>
      </c>
      <c r="K499" s="619">
        <f>SUM(K498)</f>
        <v>92460</v>
      </c>
      <c r="L499" s="619">
        <f>SUM(L498)</f>
        <v>260429</v>
      </c>
      <c r="M499" s="1657"/>
      <c r="N499" s="1622"/>
    </row>
    <row r="500" spans="1:14" s="1161" customFormat="1" ht="17" thickBot="1">
      <c r="A500" s="110" t="s">
        <v>50</v>
      </c>
      <c r="B500" s="1456"/>
      <c r="C500" s="1586"/>
      <c r="D500" s="1567"/>
      <c r="E500" s="1586"/>
      <c r="F500" s="1567"/>
      <c r="G500" s="1586"/>
      <c r="H500" s="1299"/>
      <c r="I500" s="109"/>
      <c r="J500" s="109"/>
      <c r="K500" s="109"/>
      <c r="L500" s="1296"/>
      <c r="M500" s="1617"/>
      <c r="N500" s="1486"/>
    </row>
    <row r="501" spans="1:14" s="512" customFormat="1">
      <c r="A501" s="254" t="s">
        <v>26</v>
      </c>
      <c r="B501" s="1644">
        <f>Upland!N18</f>
        <v>0</v>
      </c>
      <c r="C501" s="1448"/>
      <c r="D501" s="1447">
        <f t="shared" ref="D501:D509" si="112">F501*325851</f>
        <v>0</v>
      </c>
      <c r="E501" s="1448"/>
      <c r="F501" s="1903">
        <f>0.0379*B501</f>
        <v>0</v>
      </c>
      <c r="G501" s="1904"/>
      <c r="H501" s="1309">
        <f>F501*20</f>
        <v>0</v>
      </c>
      <c r="I501" s="79">
        <v>0</v>
      </c>
      <c r="J501" s="79">
        <f>35.66*B501</f>
        <v>0</v>
      </c>
      <c r="K501" s="79">
        <f>135*B501</f>
        <v>0</v>
      </c>
      <c r="L501" s="1295">
        <f>SUM(I501:K501)</f>
        <v>0</v>
      </c>
      <c r="M501" s="1807">
        <v>0</v>
      </c>
      <c r="N501" s="1808"/>
    </row>
    <row r="502" spans="1:14">
      <c r="A502" s="257" t="s">
        <v>25</v>
      </c>
      <c r="B502" s="1563">
        <f>Upland!N19</f>
        <v>1</v>
      </c>
      <c r="C502" s="1424"/>
      <c r="D502" s="1423">
        <f t="shared" si="112"/>
        <v>12349.752900000001</v>
      </c>
      <c r="E502" s="1424"/>
      <c r="F502" s="1941">
        <f>0.0379*B502</f>
        <v>3.7900000000000003E-2</v>
      </c>
      <c r="G502" s="1940"/>
      <c r="H502" s="955">
        <f>F502*20</f>
        <v>0.75800000000000001</v>
      </c>
      <c r="I502" s="80">
        <v>0</v>
      </c>
      <c r="J502" s="80">
        <f>0*B502</f>
        <v>0</v>
      </c>
      <c r="K502" s="80">
        <f>135*B502</f>
        <v>135</v>
      </c>
      <c r="L502" s="608">
        <f t="shared" ref="L502:L517" si="113">SUM(I502:K502)</f>
        <v>135</v>
      </c>
      <c r="M502" s="1539">
        <f>L502/(F502*427)</f>
        <v>8.3419327331261233</v>
      </c>
      <c r="N502" s="1540"/>
    </row>
    <row r="503" spans="1:14">
      <c r="A503" s="257" t="s">
        <v>29</v>
      </c>
      <c r="B503" s="1563">
        <f>Upland!N20</f>
        <v>472</v>
      </c>
      <c r="C503" s="1424"/>
      <c r="D503" s="1423">
        <f t="shared" si="112"/>
        <v>6536571.0600000005</v>
      </c>
      <c r="E503" s="1424"/>
      <c r="F503" s="1941">
        <f>0.0425*B503</f>
        <v>20.060000000000002</v>
      </c>
      <c r="G503" s="1940"/>
      <c r="H503" s="955">
        <f>F503*20</f>
        <v>401.20000000000005</v>
      </c>
      <c r="I503" s="80">
        <v>0</v>
      </c>
      <c r="J503" s="80">
        <f>135*B503</f>
        <v>63720</v>
      </c>
      <c r="K503" s="80">
        <f>165*B503</f>
        <v>77880</v>
      </c>
      <c r="L503" s="608">
        <f t="shared" si="113"/>
        <v>141600</v>
      </c>
      <c r="M503" s="1539">
        <f>L503/(F503*427)</f>
        <v>16.531202644992423</v>
      </c>
      <c r="N503" s="1540"/>
    </row>
    <row r="504" spans="1:14" s="512" customFormat="1">
      <c r="A504" s="254" t="s">
        <v>51</v>
      </c>
      <c r="B504" s="1644">
        <f>Upland!N21</f>
        <v>0</v>
      </c>
      <c r="C504" s="1448"/>
      <c r="D504" s="1447">
        <f t="shared" si="112"/>
        <v>0</v>
      </c>
      <c r="E504" s="1448"/>
      <c r="F504" s="1903">
        <f>0.1227*B504</f>
        <v>0</v>
      </c>
      <c r="G504" s="1904"/>
      <c r="H504" s="1309">
        <f>F504*20</f>
        <v>0</v>
      </c>
      <c r="I504" s="79">
        <v>0</v>
      </c>
      <c r="J504" s="79">
        <f>0*B504</f>
        <v>0</v>
      </c>
      <c r="K504" s="79">
        <f>400*B504</f>
        <v>0</v>
      </c>
      <c r="L504" s="1295">
        <f t="shared" si="113"/>
        <v>0</v>
      </c>
      <c r="M504" s="1427">
        <v>0</v>
      </c>
      <c r="N504" s="1428"/>
    </row>
    <row r="505" spans="1:14">
      <c r="A505" s="257" t="s">
        <v>20</v>
      </c>
      <c r="B505" s="1563">
        <f>Upland!N22</f>
        <v>0</v>
      </c>
      <c r="C505" s="1424"/>
      <c r="D505" s="1423">
        <f t="shared" si="112"/>
        <v>0</v>
      </c>
      <c r="E505" s="1424"/>
      <c r="F505" s="1941">
        <f>0.644*B505</f>
        <v>0</v>
      </c>
      <c r="G505" s="1940"/>
      <c r="H505" s="955">
        <f>F505*5</f>
        <v>0</v>
      </c>
      <c r="I505" s="80">
        <v>0</v>
      </c>
      <c r="J505" s="80">
        <f>175*B505</f>
        <v>0</v>
      </c>
      <c r="K505" s="80">
        <f>625*B505</f>
        <v>0</v>
      </c>
      <c r="L505" s="608">
        <f t="shared" si="113"/>
        <v>0</v>
      </c>
      <c r="M505" s="1539">
        <v>0</v>
      </c>
      <c r="N505" s="1540"/>
    </row>
    <row r="506" spans="1:14">
      <c r="A506" s="257" t="s">
        <v>13</v>
      </c>
      <c r="B506" s="1563">
        <f>Upland!N23</f>
        <v>31</v>
      </c>
      <c r="C506" s="1424"/>
      <c r="D506" s="1423">
        <f t="shared" si="112"/>
        <v>278798.11560000002</v>
      </c>
      <c r="E506" s="1424"/>
      <c r="F506" s="1941">
        <f>0.0276*B506</f>
        <v>0.85560000000000003</v>
      </c>
      <c r="G506" s="1940"/>
      <c r="H506" s="955">
        <f>F506*15</f>
        <v>12.834</v>
      </c>
      <c r="I506" s="80">
        <v>0</v>
      </c>
      <c r="J506" s="80">
        <f>290*B506</f>
        <v>8990</v>
      </c>
      <c r="K506" s="80">
        <f>130*B506</f>
        <v>4030</v>
      </c>
      <c r="L506" s="608">
        <f t="shared" si="113"/>
        <v>13020</v>
      </c>
      <c r="M506" s="1539">
        <f>L506/(F506*427)</f>
        <v>35.637918745545257</v>
      </c>
      <c r="N506" s="1540"/>
    </row>
    <row r="507" spans="1:14">
      <c r="A507" s="254" t="s">
        <v>47</v>
      </c>
      <c r="B507" s="1563">
        <f>Upland!N24</f>
        <v>0</v>
      </c>
      <c r="C507" s="1424"/>
      <c r="D507" s="1423">
        <f t="shared" si="112"/>
        <v>0</v>
      </c>
      <c r="E507" s="1424"/>
      <c r="F507" s="1941">
        <f>0.1534*B507</f>
        <v>0</v>
      </c>
      <c r="G507" s="1940"/>
      <c r="H507" s="955">
        <f>F507*5</f>
        <v>0</v>
      </c>
      <c r="I507" s="80">
        <v>0</v>
      </c>
      <c r="J507" s="80">
        <f>0*B507</f>
        <v>0</v>
      </c>
      <c r="K507" s="80">
        <f>150*B507</f>
        <v>0</v>
      </c>
      <c r="L507" s="608">
        <f t="shared" si="113"/>
        <v>0</v>
      </c>
      <c r="M507" s="1539">
        <v>0</v>
      </c>
      <c r="N507" s="1540"/>
    </row>
    <row r="508" spans="1:14">
      <c r="A508" s="254" t="s">
        <v>30</v>
      </c>
      <c r="B508" s="1563">
        <f>Upland!N25</f>
        <v>0</v>
      </c>
      <c r="C508" s="1424"/>
      <c r="D508" s="1423">
        <f t="shared" si="112"/>
        <v>0</v>
      </c>
      <c r="E508" s="1424"/>
      <c r="F508" s="1941">
        <f>0.325*B508</f>
        <v>0</v>
      </c>
      <c r="G508" s="1940"/>
      <c r="H508" s="955">
        <f>F508*10</f>
        <v>0</v>
      </c>
      <c r="I508" s="80">
        <v>0</v>
      </c>
      <c r="J508" s="80">
        <f>0*B508</f>
        <v>0</v>
      </c>
      <c r="K508" s="80">
        <f>630*B508</f>
        <v>0</v>
      </c>
      <c r="L508" s="608">
        <f t="shared" si="113"/>
        <v>0</v>
      </c>
      <c r="M508" s="1539">
        <v>0</v>
      </c>
      <c r="N508" s="1540"/>
    </row>
    <row r="509" spans="1:14">
      <c r="A509" s="254" t="s">
        <v>53</v>
      </c>
      <c r="B509" s="1563">
        <f>Upland!N26</f>
        <v>0</v>
      </c>
      <c r="C509" s="1424"/>
      <c r="D509" s="1423">
        <f t="shared" si="112"/>
        <v>0</v>
      </c>
      <c r="E509" s="1424"/>
      <c r="F509" s="1941">
        <f>0.00014*B509</f>
        <v>0</v>
      </c>
      <c r="G509" s="1940"/>
      <c r="H509" s="955">
        <f>F509*10</f>
        <v>0</v>
      </c>
      <c r="I509" s="80">
        <v>0</v>
      </c>
      <c r="J509" s="80">
        <f>0.3*B509</f>
        <v>0</v>
      </c>
      <c r="K509" s="80">
        <f>0.3*B509</f>
        <v>0</v>
      </c>
      <c r="L509" s="608">
        <f t="shared" si="113"/>
        <v>0</v>
      </c>
      <c r="M509" s="1539">
        <v>0</v>
      </c>
      <c r="N509" s="1540"/>
    </row>
    <row r="510" spans="1:14" ht="14" thickBot="1">
      <c r="A510" s="254" t="s">
        <v>56</v>
      </c>
      <c r="B510" s="1560">
        <f>Upland!N29</f>
        <v>0</v>
      </c>
      <c r="C510" s="1544"/>
      <c r="D510" s="1423">
        <f>F510*325851</f>
        <v>0</v>
      </c>
      <c r="E510" s="1424"/>
      <c r="F510" s="1941">
        <f>0.004*B510</f>
        <v>0</v>
      </c>
      <c r="G510" s="1940"/>
      <c r="H510" s="955">
        <f>F510*5</f>
        <v>0</v>
      </c>
      <c r="I510" s="80">
        <v>0</v>
      </c>
      <c r="J510" s="80">
        <f>0*B510</f>
        <v>0</v>
      </c>
      <c r="K510" s="80">
        <f>4*B510</f>
        <v>0</v>
      </c>
      <c r="L510" s="80">
        <f>630*C510</f>
        <v>0</v>
      </c>
      <c r="M510" s="1561">
        <v>0</v>
      </c>
      <c r="N510" s="1562"/>
    </row>
    <row r="511" spans="1:14" ht="14" thickBot="1">
      <c r="A511" s="256" t="s">
        <v>60</v>
      </c>
      <c r="B511" s="1438">
        <f>SUM(B501:C510)</f>
        <v>504</v>
      </c>
      <c r="C511" s="1621"/>
      <c r="D511" s="1441">
        <f>SUM(D501:E510)</f>
        <v>6827718.9285000004</v>
      </c>
      <c r="E511" s="1609"/>
      <c r="F511" s="1440">
        <f>SUM(F501:G510)</f>
        <v>20.953500000000002</v>
      </c>
      <c r="G511" s="1439"/>
      <c r="H511" s="619">
        <f>SUM(H501:H510)</f>
        <v>414.79200000000003</v>
      </c>
      <c r="I511" s="619">
        <f>SUM(I501:I510)</f>
        <v>0</v>
      </c>
      <c r="J511" s="619">
        <f>SUM(J501:J510)</f>
        <v>72710</v>
      </c>
      <c r="K511" s="619">
        <f>SUM(K501:K510)</f>
        <v>82045</v>
      </c>
      <c r="L511" s="619">
        <f>SUM(L501:L510)</f>
        <v>154755</v>
      </c>
      <c r="M511" s="1657"/>
      <c r="N511" s="1622"/>
    </row>
    <row r="512" spans="1:14" s="1161" customFormat="1" ht="17" thickBot="1">
      <c r="A512" s="110" t="s">
        <v>54</v>
      </c>
      <c r="B512" s="1456"/>
      <c r="C512" s="1913"/>
      <c r="D512" s="1304"/>
      <c r="E512" s="1299"/>
      <c r="F512" s="1304"/>
      <c r="G512" s="1299"/>
      <c r="H512" s="1299"/>
      <c r="I512" s="109"/>
      <c r="J512" s="109"/>
      <c r="K512" s="109"/>
      <c r="L512" s="1296"/>
      <c r="M512" s="1302"/>
      <c r="N512" s="1297"/>
    </row>
    <row r="513" spans="1:14">
      <c r="A513" s="655" t="s">
        <v>29</v>
      </c>
      <c r="B513" s="1594">
        <f>Upland!N30</f>
        <v>0</v>
      </c>
      <c r="C513" s="2052"/>
      <c r="D513" s="1423">
        <f>F513*325851</f>
        <v>0</v>
      </c>
      <c r="E513" s="1424"/>
      <c r="F513" s="1941">
        <f>0.0425*B513</f>
        <v>0</v>
      </c>
      <c r="G513" s="1940"/>
      <c r="H513" s="955">
        <f>F513*20</f>
        <v>0</v>
      </c>
      <c r="I513" s="80">
        <v>0</v>
      </c>
      <c r="J513" s="80">
        <f>35.66*B513</f>
        <v>0</v>
      </c>
      <c r="K513" s="80">
        <f>630*B513</f>
        <v>0</v>
      </c>
      <c r="L513" s="608">
        <f t="shared" si="113"/>
        <v>0</v>
      </c>
      <c r="M513" s="1599">
        <v>0</v>
      </c>
      <c r="N513" s="1600"/>
    </row>
    <row r="514" spans="1:14">
      <c r="A514" s="257" t="s">
        <v>51</v>
      </c>
      <c r="B514" s="1563">
        <f>Upland!N31</f>
        <v>0</v>
      </c>
      <c r="C514" s="1424"/>
      <c r="D514" s="1423">
        <f>F514*325851</f>
        <v>0</v>
      </c>
      <c r="E514" s="1424"/>
      <c r="F514" s="1941">
        <f>0.1227*B514</f>
        <v>0</v>
      </c>
      <c r="G514" s="1940"/>
      <c r="H514" s="955">
        <f>F514*20</f>
        <v>0</v>
      </c>
      <c r="I514" s="80">
        <v>0</v>
      </c>
      <c r="J514" s="80">
        <f>0*B514</f>
        <v>0</v>
      </c>
      <c r="K514" s="80">
        <f>1225*B514</f>
        <v>0</v>
      </c>
      <c r="L514" s="608">
        <f t="shared" si="113"/>
        <v>0</v>
      </c>
      <c r="M514" s="1539">
        <v>0</v>
      </c>
      <c r="N514" s="1540"/>
    </row>
    <row r="515" spans="1:14">
      <c r="A515" s="257" t="s">
        <v>15</v>
      </c>
      <c r="B515" s="1563">
        <f>Upland!N32</f>
        <v>0</v>
      </c>
      <c r="C515" s="1424"/>
      <c r="D515" s="1423">
        <f>F515*325851</f>
        <v>0</v>
      </c>
      <c r="E515" s="1424"/>
      <c r="F515" s="1941">
        <f>0.1534*B515</f>
        <v>0</v>
      </c>
      <c r="G515" s="1940"/>
      <c r="H515" s="955">
        <f>F515*5</f>
        <v>0</v>
      </c>
      <c r="I515" s="80">
        <v>0</v>
      </c>
      <c r="J515" s="80">
        <f>0*B515</f>
        <v>0</v>
      </c>
      <c r="K515" s="80">
        <f>380*B515</f>
        <v>0</v>
      </c>
      <c r="L515" s="608">
        <f t="shared" si="113"/>
        <v>0</v>
      </c>
      <c r="M515" s="1539">
        <v>0</v>
      </c>
      <c r="N515" s="1540"/>
    </row>
    <row r="516" spans="1:14" s="512" customFormat="1">
      <c r="A516" s="254" t="s">
        <v>30</v>
      </c>
      <c r="B516" s="1644">
        <f>Upland!N33</f>
        <v>0</v>
      </c>
      <c r="C516" s="1448"/>
      <c r="D516" s="1447">
        <f>F516*325851</f>
        <v>0</v>
      </c>
      <c r="E516" s="1448"/>
      <c r="F516" s="1903">
        <f>0.466*B516</f>
        <v>0</v>
      </c>
      <c r="G516" s="1904"/>
      <c r="H516" s="1309">
        <f>F516*10</f>
        <v>0</v>
      </c>
      <c r="I516" s="79">
        <v>0</v>
      </c>
      <c r="J516" s="79">
        <f>0*B516</f>
        <v>0</v>
      </c>
      <c r="K516" s="79">
        <f>1004*B516</f>
        <v>0</v>
      </c>
      <c r="L516" s="1295">
        <f t="shared" si="113"/>
        <v>0</v>
      </c>
      <c r="M516" s="1427">
        <v>0</v>
      </c>
      <c r="N516" s="1428"/>
    </row>
    <row r="517" spans="1:14" ht="14" thickBot="1">
      <c r="A517" s="257" t="s">
        <v>55</v>
      </c>
      <c r="B517" s="1560">
        <f>Upland!N34</f>
        <v>0</v>
      </c>
      <c r="C517" s="1544"/>
      <c r="D517" s="1423">
        <f>F517*325851</f>
        <v>0</v>
      </c>
      <c r="E517" s="1424"/>
      <c r="F517" s="1903">
        <f>0.823*B517</f>
        <v>0</v>
      </c>
      <c r="G517" s="1904"/>
      <c r="H517" s="955">
        <f>F517*10</f>
        <v>0</v>
      </c>
      <c r="I517" s="80">
        <v>0</v>
      </c>
      <c r="J517" s="80">
        <f>0*B517</f>
        <v>0</v>
      </c>
      <c r="K517" s="80">
        <f>3124*B517</f>
        <v>0</v>
      </c>
      <c r="L517" s="608">
        <f t="shared" si="113"/>
        <v>0</v>
      </c>
      <c r="M517" s="1561">
        <v>0</v>
      </c>
      <c r="N517" s="1562"/>
    </row>
    <row r="518" spans="1:14" ht="14" thickBot="1">
      <c r="A518" s="256" t="s">
        <v>60</v>
      </c>
      <c r="B518" s="1438">
        <f>SUM(B513:C517)</f>
        <v>0</v>
      </c>
      <c r="C518" s="1609"/>
      <c r="D518" s="1440">
        <f>SUM(D513:E517)</f>
        <v>0</v>
      </c>
      <c r="E518" s="1621"/>
      <c r="F518" s="1441">
        <f>SUM(F513:G517)</f>
        <v>0</v>
      </c>
      <c r="G518" s="1609"/>
      <c r="H518" s="619">
        <f>SUM(H513:H517)</f>
        <v>0</v>
      </c>
      <c r="I518" s="721">
        <f>SUM(I513:I517)</f>
        <v>0</v>
      </c>
      <c r="J518" s="721">
        <f>SUM(J513:J517)</f>
        <v>0</v>
      </c>
      <c r="K518" s="721">
        <f>SUM(K513:K517)</f>
        <v>0</v>
      </c>
      <c r="L518" s="721">
        <f>SUM(L513:L517)</f>
        <v>0</v>
      </c>
      <c r="M518" s="1657"/>
      <c r="N518" s="1622"/>
    </row>
    <row r="519" spans="1:14" s="1208" customFormat="1" ht="17" thickBot="1">
      <c r="A519" s="1182" t="s">
        <v>17</v>
      </c>
      <c r="B519" s="1416">
        <f>SUM(B518,B511,B499,B496)</f>
        <v>2487</v>
      </c>
      <c r="C519" s="1415"/>
      <c r="D519" s="1416">
        <f>SUM(D518,D511,D499,D496)</f>
        <v>29764742.288640004</v>
      </c>
      <c r="E519" s="1415"/>
      <c r="F519" s="1416">
        <f>SUM(F518,F511,F499,F496)</f>
        <v>91.344640000000012</v>
      </c>
      <c r="G519" s="1415"/>
      <c r="H519" s="1293">
        <f>SUM(H518,H511,H499,H496)</f>
        <v>1749.0584000000003</v>
      </c>
      <c r="I519" s="1293">
        <f>SUM(I518,I511,I499,I496)</f>
        <v>113016.94</v>
      </c>
      <c r="J519" s="1293">
        <f>SUM(J518,J511,J499,J496)</f>
        <v>148131.76</v>
      </c>
      <c r="K519" s="1293">
        <f>SUM(K518,K511,K499,K496)</f>
        <v>208267.7</v>
      </c>
      <c r="L519" s="1293">
        <f>SUM(L518,L511,L499,L496)</f>
        <v>469416.4</v>
      </c>
      <c r="M519" s="1416"/>
      <c r="N519" s="1415"/>
    </row>
    <row r="520" spans="1:14" ht="16">
      <c r="A520" s="60"/>
      <c r="B520" s="61"/>
      <c r="C520" s="61"/>
      <c r="D520" s="61"/>
      <c r="E520" s="61"/>
      <c r="F520" s="61"/>
      <c r="G520" s="61"/>
      <c r="H520" s="61"/>
      <c r="I520" s="62"/>
      <c r="J520" s="62"/>
      <c r="K520" s="62"/>
      <c r="L520" s="62"/>
      <c r="M520" s="64"/>
      <c r="N520" s="65"/>
    </row>
    <row r="521" spans="1:14" ht="16">
      <c r="A521" s="9" t="s">
        <v>18</v>
      </c>
      <c r="B521" s="1566" t="s">
        <v>59</v>
      </c>
      <c r="C521" s="1566"/>
      <c r="D521" s="1566"/>
      <c r="E521" s="1566"/>
      <c r="F521" s="61"/>
      <c r="G521" s="61"/>
      <c r="H521" s="61"/>
      <c r="I521" s="62"/>
      <c r="J521" s="62"/>
      <c r="K521" s="62"/>
      <c r="L521" s="62"/>
      <c r="M521" s="64"/>
      <c r="N521" s="65"/>
    </row>
    <row r="522" spans="1:14" ht="16">
      <c r="A522" s="520"/>
      <c r="B522" s="1559" t="s">
        <v>19</v>
      </c>
      <c r="C522" s="1559"/>
      <c r="D522" s="1559"/>
      <c r="E522" s="1559"/>
      <c r="F522" s="61"/>
      <c r="G522" s="61"/>
      <c r="H522" s="61"/>
      <c r="I522" s="62"/>
      <c r="J522" s="62"/>
      <c r="K522" s="62"/>
      <c r="L522" s="62"/>
      <c r="M522" s="64"/>
      <c r="N522" s="65"/>
    </row>
    <row r="523" spans="1:14" s="1367" customFormat="1" ht="16">
      <c r="A523" s="1362"/>
      <c r="B523" s="1363"/>
      <c r="C523" s="1363"/>
      <c r="D523" s="1363"/>
      <c r="E523" s="1363"/>
      <c r="F523" s="1364"/>
      <c r="G523" s="1364"/>
      <c r="H523" s="1365"/>
      <c r="I523" s="2078" t="s">
        <v>0</v>
      </c>
      <c r="J523" s="2078"/>
      <c r="K523" s="2078"/>
      <c r="L523" s="2078"/>
      <c r="M523" s="1363"/>
      <c r="N523" s="1366"/>
    </row>
    <row r="524" spans="1:14" ht="16">
      <c r="A524" s="97"/>
      <c r="B524" s="1469" t="s">
        <v>1</v>
      </c>
      <c r="C524" s="1469"/>
      <c r="D524" s="1469" t="s">
        <v>2</v>
      </c>
      <c r="E524" s="1469"/>
      <c r="F524" s="1863" t="s">
        <v>3</v>
      </c>
      <c r="G524" s="1863"/>
      <c r="H524" s="602" t="s">
        <v>3</v>
      </c>
      <c r="I524" s="127" t="s">
        <v>195</v>
      </c>
      <c r="J524" s="102"/>
      <c r="K524" s="102"/>
      <c r="L524" s="128"/>
      <c r="M524" s="1469" t="s">
        <v>4</v>
      </c>
      <c r="N524" s="1526"/>
    </row>
    <row r="525" spans="1:14" ht="19" thickBot="1">
      <c r="A525" s="103" t="s">
        <v>5</v>
      </c>
      <c r="B525" s="1473" t="s">
        <v>6</v>
      </c>
      <c r="C525" s="1473"/>
      <c r="D525" s="1473" t="s">
        <v>7</v>
      </c>
      <c r="E525" s="1473"/>
      <c r="F525" s="1864" t="s">
        <v>7</v>
      </c>
      <c r="G525" s="1864"/>
      <c r="H525" s="603" t="s">
        <v>58</v>
      </c>
      <c r="I525" s="596" t="s">
        <v>196</v>
      </c>
      <c r="J525" s="595" t="s">
        <v>8</v>
      </c>
      <c r="K525" s="595" t="s">
        <v>9</v>
      </c>
      <c r="L525" s="401" t="s">
        <v>10</v>
      </c>
      <c r="M525" s="1473" t="s">
        <v>145</v>
      </c>
      <c r="N525" s="1475"/>
    </row>
    <row r="526" spans="1:14" ht="24" thickBot="1">
      <c r="A526" s="88" t="s">
        <v>133</v>
      </c>
      <c r="B526" s="2075"/>
      <c r="C526" s="2077"/>
      <c r="D526" s="2071"/>
      <c r="E526" s="2072"/>
      <c r="F526" s="2073"/>
      <c r="G526" s="2074"/>
      <c r="H526" s="656"/>
      <c r="I526" s="657"/>
      <c r="J526" s="657"/>
      <c r="K526" s="657"/>
      <c r="L526" s="658"/>
      <c r="M526" s="2075"/>
      <c r="N526" s="2076"/>
    </row>
    <row r="527" spans="1:14" s="1161" customFormat="1" ht="17" thickBot="1">
      <c r="A527" s="108" t="s">
        <v>61</v>
      </c>
      <c r="B527" s="1567"/>
      <c r="C527" s="1586"/>
      <c r="D527" s="1567"/>
      <c r="E527" s="1586"/>
      <c r="F527" s="1619"/>
      <c r="G527" s="1620"/>
      <c r="H527" s="1299"/>
      <c r="I527" s="109"/>
      <c r="J527" s="109"/>
      <c r="K527" s="109"/>
      <c r="L527" s="1296"/>
      <c r="M527" s="1617"/>
      <c r="N527" s="1486"/>
    </row>
    <row r="528" spans="1:14">
      <c r="A528" s="257" t="s">
        <v>28</v>
      </c>
      <c r="B528" s="1594">
        <f>[1]Upland!$N$4</f>
        <v>56</v>
      </c>
      <c r="C528" s="1595"/>
      <c r="D528" s="2018">
        <f>F528*325851</f>
        <v>633193.66320000007</v>
      </c>
      <c r="E528" s="1595"/>
      <c r="F528" s="2039">
        <f>0.0347*B528</f>
        <v>1.9432</v>
      </c>
      <c r="G528" s="2040"/>
      <c r="H528" s="963">
        <f>F528*20</f>
        <v>38.864000000000004</v>
      </c>
      <c r="I528" s="690">
        <v>0</v>
      </c>
      <c r="J528" s="690">
        <v>0</v>
      </c>
      <c r="K528" s="690">
        <f>60*B528</f>
        <v>3360</v>
      </c>
      <c r="L528" s="620">
        <f t="shared" ref="L528:L533" si="114">I528+J528+K528</f>
        <v>3360</v>
      </c>
      <c r="M528" s="1599">
        <f>L528/(F528*427)</f>
        <v>4.0494300427214869</v>
      </c>
      <c r="N528" s="1600"/>
    </row>
    <row r="529" spans="1:14">
      <c r="A529" s="257" t="s">
        <v>29</v>
      </c>
      <c r="B529" s="1563">
        <f>[1]Upland!$N$5</f>
        <v>5</v>
      </c>
      <c r="C529" s="1424"/>
      <c r="D529" s="1423">
        <f t="shared" ref="D529:D546" si="115">F529*325851</f>
        <v>69243.337500000009</v>
      </c>
      <c r="E529" s="1424"/>
      <c r="F529" s="1941">
        <f>0.0425*B529</f>
        <v>0.21250000000000002</v>
      </c>
      <c r="G529" s="1940"/>
      <c r="H529" s="955">
        <f>F529*20</f>
        <v>4.25</v>
      </c>
      <c r="I529" s="80">
        <v>0</v>
      </c>
      <c r="J529" s="80">
        <v>0</v>
      </c>
      <c r="K529" s="80">
        <f>B529*265</f>
        <v>1325</v>
      </c>
      <c r="L529" s="608">
        <f t="shared" si="114"/>
        <v>1325</v>
      </c>
      <c r="M529" s="1539">
        <f>L529/(F529*427)</f>
        <v>14.602562336409973</v>
      </c>
      <c r="N529" s="1540"/>
    </row>
    <row r="530" spans="1:14">
      <c r="A530" s="257" t="s">
        <v>33</v>
      </c>
      <c r="B530" s="1563">
        <f>[1]Upland!$N$7</f>
        <v>238</v>
      </c>
      <c r="C530" s="1424"/>
      <c r="D530" s="1423">
        <f t="shared" si="115"/>
        <v>6560944.7147999993</v>
      </c>
      <c r="E530" s="1424"/>
      <c r="F530" s="1941">
        <f>0.0846*B530</f>
        <v>20.134799999999998</v>
      </c>
      <c r="G530" s="1940"/>
      <c r="H530" s="955">
        <f>F530*15</f>
        <v>302.02199999999999</v>
      </c>
      <c r="I530" s="80">
        <v>0</v>
      </c>
      <c r="J530" s="80">
        <v>0</v>
      </c>
      <c r="K530" s="80">
        <f>B530*110</f>
        <v>26180</v>
      </c>
      <c r="L530" s="608">
        <f t="shared" si="114"/>
        <v>26180</v>
      </c>
      <c r="M530" s="1539">
        <f>L530/(F530*427)</f>
        <v>3.0450501325980928</v>
      </c>
      <c r="N530" s="1540"/>
    </row>
    <row r="531" spans="1:14">
      <c r="A531" s="254" t="s">
        <v>24</v>
      </c>
      <c r="B531" s="1563">
        <f>[1]Upland!$N$8</f>
        <v>0</v>
      </c>
      <c r="C531" s="1424"/>
      <c r="D531" s="1423">
        <f t="shared" si="115"/>
        <v>0</v>
      </c>
      <c r="E531" s="1424"/>
      <c r="F531" s="1941">
        <f>0.004*B531</f>
        <v>0</v>
      </c>
      <c r="G531" s="1940"/>
      <c r="H531" s="955">
        <f>F531*5</f>
        <v>0</v>
      </c>
      <c r="I531" s="80">
        <v>0</v>
      </c>
      <c r="J531" s="80">
        <v>0</v>
      </c>
      <c r="K531" s="80">
        <f>B531*4</f>
        <v>0</v>
      </c>
      <c r="L531" s="608">
        <f t="shared" si="114"/>
        <v>0</v>
      </c>
      <c r="M531" s="1539">
        <v>0</v>
      </c>
      <c r="N531" s="1540"/>
    </row>
    <row r="532" spans="1:14" s="512" customFormat="1">
      <c r="A532" s="254" t="s">
        <v>72</v>
      </c>
      <c r="B532" s="1644">
        <f>[1]Upland!$N$10</f>
        <v>2</v>
      </c>
      <c r="C532" s="1448"/>
      <c r="D532" s="1447">
        <f>F532*325851</f>
        <v>423606.3</v>
      </c>
      <c r="E532" s="1448"/>
      <c r="F532" s="1903">
        <f>0.65*B532</f>
        <v>1.3</v>
      </c>
      <c r="G532" s="1904"/>
      <c r="H532" s="1309">
        <f>F532*10</f>
        <v>13</v>
      </c>
      <c r="I532" s="79">
        <v>0</v>
      </c>
      <c r="J532" s="79">
        <f>160*B532</f>
        <v>320</v>
      </c>
      <c r="K532" s="79">
        <f>80*B532</f>
        <v>160</v>
      </c>
      <c r="L532" s="1295">
        <f t="shared" si="114"/>
        <v>480</v>
      </c>
      <c r="M532" s="1427">
        <f>L532/(F532*427)</f>
        <v>0.86470906143037285</v>
      </c>
      <c r="N532" s="1428"/>
    </row>
    <row r="533" spans="1:14" ht="14" thickBot="1">
      <c r="A533" s="254" t="s">
        <v>73</v>
      </c>
      <c r="B533" s="1563">
        <f>[1]Upland!$N$11</f>
        <v>109</v>
      </c>
      <c r="C533" s="1424"/>
      <c r="D533" s="1423">
        <f>F533*325851</f>
        <v>23086543.350000001</v>
      </c>
      <c r="E533" s="1424"/>
      <c r="F533" s="1941">
        <f>0.65*B533</f>
        <v>70.850000000000009</v>
      </c>
      <c r="G533" s="1940"/>
      <c r="H533" s="955">
        <f>F533*10</f>
        <v>708.50000000000011</v>
      </c>
      <c r="I533" s="80">
        <v>0</v>
      </c>
      <c r="J533" s="80">
        <v>0</v>
      </c>
      <c r="K533" s="80">
        <f>240*B533</f>
        <v>26160</v>
      </c>
      <c r="L533" s="608">
        <f t="shared" si="114"/>
        <v>26160</v>
      </c>
      <c r="M533" s="1539">
        <f>L533/(F533*427)</f>
        <v>0.86470906143037274</v>
      </c>
      <c r="N533" s="1540"/>
    </row>
    <row r="534" spans="1:14" ht="14" thickBot="1">
      <c r="A534" s="256" t="s">
        <v>60</v>
      </c>
      <c r="B534" s="1438">
        <f>SUM(B528:C533)</f>
        <v>410</v>
      </c>
      <c r="C534" s="1609"/>
      <c r="D534" s="1441">
        <f>SUM(D528:E533)</f>
        <v>30773531.365499999</v>
      </c>
      <c r="E534" s="1609"/>
      <c r="F534" s="1440">
        <f>SUM(F529:G533)</f>
        <v>92.49730000000001</v>
      </c>
      <c r="G534" s="1609"/>
      <c r="H534" s="619">
        <f>SUM(H528:H533)</f>
        <v>1066.636</v>
      </c>
      <c r="I534" s="56">
        <f>SUM(I529:I533)</f>
        <v>0</v>
      </c>
      <c r="J534" s="56">
        <f>SUM(J529:J533)</f>
        <v>320</v>
      </c>
      <c r="K534" s="56">
        <f>SUM(K529:K533)</f>
        <v>53825</v>
      </c>
      <c r="L534" s="610">
        <f>SUM(L529:L533)</f>
        <v>54145</v>
      </c>
      <c r="M534" s="1657"/>
      <c r="N534" s="1622"/>
    </row>
    <row r="535" spans="1:14" s="1161" customFormat="1" ht="17" thickBot="1">
      <c r="A535" s="1256" t="s">
        <v>147</v>
      </c>
      <c r="B535" s="1456"/>
      <c r="C535" s="1586"/>
      <c r="D535" s="1567"/>
      <c r="E535" s="1586"/>
      <c r="F535" s="1882"/>
      <c r="G535" s="1883"/>
      <c r="H535" s="1299"/>
      <c r="I535" s="109"/>
      <c r="J535" s="109"/>
      <c r="K535" s="109"/>
      <c r="L535" s="1296"/>
      <c r="M535" s="1617"/>
      <c r="N535" s="1486"/>
    </row>
    <row r="536" spans="1:14" ht="14" thickBot="1">
      <c r="A536" s="257" t="s">
        <v>31</v>
      </c>
      <c r="B536" s="1563">
        <f>[1]Upland!$N$6</f>
        <v>1008</v>
      </c>
      <c r="C536" s="1424"/>
      <c r="D536" s="1423">
        <f>F536*325851</f>
        <v>11397485.937600002</v>
      </c>
      <c r="E536" s="1424"/>
      <c r="F536" s="1633">
        <f>0.0347*B536</f>
        <v>34.977600000000002</v>
      </c>
      <c r="G536" s="1550"/>
      <c r="H536" s="930">
        <f>F536*20</f>
        <v>699.55200000000002</v>
      </c>
      <c r="I536" s="80">
        <f>73.34*B536</f>
        <v>73926.720000000001</v>
      </c>
      <c r="J536" s="80">
        <f>35.66*B536</f>
        <v>35945.279999999999</v>
      </c>
      <c r="K536" s="80">
        <f>B536*60</f>
        <v>60480</v>
      </c>
      <c r="L536" s="608">
        <f>I536+J536+K536</f>
        <v>170352</v>
      </c>
      <c r="M536" s="1539">
        <f>L536/(F536*427)</f>
        <v>11.405894620332187</v>
      </c>
      <c r="N536" s="1540"/>
    </row>
    <row r="537" spans="1:14" ht="14" thickBot="1">
      <c r="A537" s="256" t="s">
        <v>60</v>
      </c>
      <c r="B537" s="1438">
        <f>SUM(B536)</f>
        <v>1008</v>
      </c>
      <c r="C537" s="1609"/>
      <c r="D537" s="1441">
        <f>SUM(D536)</f>
        <v>11397485.937600002</v>
      </c>
      <c r="E537" s="1609"/>
      <c r="F537" s="1440">
        <f>SUM(F536)</f>
        <v>34.977600000000002</v>
      </c>
      <c r="G537" s="1609"/>
      <c r="H537" s="619">
        <f>SUM(H536)</f>
        <v>699.55200000000002</v>
      </c>
      <c r="I537" s="619">
        <f>SUM(I536)</f>
        <v>73926.720000000001</v>
      </c>
      <c r="J537" s="619">
        <f>SUM(J536)</f>
        <v>35945.279999999999</v>
      </c>
      <c r="K537" s="619">
        <f>SUM(K536)</f>
        <v>60480</v>
      </c>
      <c r="L537" s="619">
        <f>SUM(L536)</f>
        <v>170352</v>
      </c>
      <c r="M537" s="1657"/>
      <c r="N537" s="1622"/>
    </row>
    <row r="538" spans="1:14" s="1161" customFormat="1" ht="17" thickBot="1">
      <c r="A538" s="110" t="s">
        <v>50</v>
      </c>
      <c r="B538" s="1456"/>
      <c r="C538" s="1586"/>
      <c r="D538" s="1567"/>
      <c r="E538" s="1586"/>
      <c r="F538" s="1854"/>
      <c r="G538" s="1913"/>
      <c r="H538" s="1299"/>
      <c r="I538" s="109"/>
      <c r="J538" s="109"/>
      <c r="K538" s="109"/>
      <c r="L538" s="1296"/>
      <c r="M538" s="1617"/>
      <c r="N538" s="1486"/>
    </row>
    <row r="539" spans="1:14">
      <c r="A539" s="257" t="s">
        <v>26</v>
      </c>
      <c r="B539" s="1563">
        <f>[1]Upland!$N$13</f>
        <v>0</v>
      </c>
      <c r="C539" s="1424"/>
      <c r="D539" s="1423">
        <f t="shared" si="115"/>
        <v>0</v>
      </c>
      <c r="E539" s="1424"/>
      <c r="F539" s="1939">
        <f>0.0278*B539</f>
        <v>0</v>
      </c>
      <c r="G539" s="1940"/>
      <c r="H539" s="955">
        <f>F539*20</f>
        <v>0</v>
      </c>
      <c r="I539" s="80">
        <v>0</v>
      </c>
      <c r="J539" s="80">
        <f>15*B539</f>
        <v>0</v>
      </c>
      <c r="K539" s="80">
        <f>135*B539</f>
        <v>0</v>
      </c>
      <c r="L539" s="608">
        <f>SUM(I539:K539)</f>
        <v>0</v>
      </c>
      <c r="M539" s="1539">
        <v>0</v>
      </c>
      <c r="N539" s="1540"/>
    </row>
    <row r="540" spans="1:14" s="512" customFormat="1">
      <c r="A540" s="254" t="s">
        <v>25</v>
      </c>
      <c r="B540" s="1644">
        <f>[1]Upland!$N$14</f>
        <v>0</v>
      </c>
      <c r="C540" s="1448"/>
      <c r="D540" s="1447">
        <f t="shared" si="115"/>
        <v>0</v>
      </c>
      <c r="E540" s="1448"/>
      <c r="F540" s="2049">
        <f>0.0347*B540</f>
        <v>0</v>
      </c>
      <c r="G540" s="1904"/>
      <c r="H540" s="1309">
        <f>F540*20</f>
        <v>0</v>
      </c>
      <c r="I540" s="79">
        <v>0</v>
      </c>
      <c r="J540" s="79">
        <f>15*B540</f>
        <v>0</v>
      </c>
      <c r="K540" s="79">
        <f>135*B540</f>
        <v>0</v>
      </c>
      <c r="L540" s="1295">
        <f t="shared" ref="L540:L546" si="116">SUM(I540:K540)</f>
        <v>0</v>
      </c>
      <c r="M540" s="1427">
        <v>0</v>
      </c>
      <c r="N540" s="1428"/>
    </row>
    <row r="541" spans="1:14">
      <c r="A541" s="257" t="s">
        <v>32</v>
      </c>
      <c r="B541" s="1563">
        <f>[1]Upland!$N$15</f>
        <v>0</v>
      </c>
      <c r="C541" s="1424"/>
      <c r="D541" s="1423">
        <f t="shared" si="115"/>
        <v>0</v>
      </c>
      <c r="E541" s="1424"/>
      <c r="F541" s="1939">
        <f>0.0425*B541</f>
        <v>0</v>
      </c>
      <c r="G541" s="1940"/>
      <c r="H541" s="955">
        <f>F541*20</f>
        <v>0</v>
      </c>
      <c r="I541" s="80">
        <v>0</v>
      </c>
      <c r="J541" s="80">
        <f>45*B541</f>
        <v>0</v>
      </c>
      <c r="K541" s="80">
        <f>165*B541</f>
        <v>0</v>
      </c>
      <c r="L541" s="608">
        <f t="shared" si="116"/>
        <v>0</v>
      </c>
      <c r="M541" s="1539">
        <v>0</v>
      </c>
      <c r="N541" s="1540"/>
    </row>
    <row r="542" spans="1:14">
      <c r="A542" s="257" t="s">
        <v>27</v>
      </c>
      <c r="B542" s="1563">
        <f>[1]Upland!$N$16</f>
        <v>2</v>
      </c>
      <c r="C542" s="1424"/>
      <c r="D542" s="1423">
        <f t="shared" si="115"/>
        <v>79833.494999999995</v>
      </c>
      <c r="E542" s="1424"/>
      <c r="F542" s="1939">
        <f>0.1225*B542</f>
        <v>0.245</v>
      </c>
      <c r="G542" s="1940"/>
      <c r="H542" s="955">
        <f>F542*20</f>
        <v>4.9000000000000004</v>
      </c>
      <c r="I542" s="80">
        <v>0</v>
      </c>
      <c r="J542" s="80">
        <v>0</v>
      </c>
      <c r="K542" s="80">
        <f>400*B542</f>
        <v>800</v>
      </c>
      <c r="L542" s="608">
        <f t="shared" si="116"/>
        <v>800</v>
      </c>
      <c r="M542" s="1539">
        <f>L542/(F542*427)</f>
        <v>7.6470869378196245</v>
      </c>
      <c r="N542" s="1540"/>
    </row>
    <row r="543" spans="1:14" s="512" customFormat="1">
      <c r="A543" s="254" t="s">
        <v>20</v>
      </c>
      <c r="B543" s="1644">
        <f>[1]Upland!$N$17</f>
        <v>1</v>
      </c>
      <c r="C543" s="1448"/>
      <c r="D543" s="1447">
        <f t="shared" si="115"/>
        <v>209848.04399999999</v>
      </c>
      <c r="E543" s="1448"/>
      <c r="F543" s="2049">
        <f>0.644*B543</f>
        <v>0.64400000000000002</v>
      </c>
      <c r="G543" s="1904"/>
      <c r="H543" s="1309">
        <f>F543*5</f>
        <v>3.22</v>
      </c>
      <c r="I543" s="79">
        <v>0</v>
      </c>
      <c r="J543" s="79">
        <v>0</v>
      </c>
      <c r="K543" s="79">
        <f>625*B543</f>
        <v>625</v>
      </c>
      <c r="L543" s="1295">
        <f t="shared" si="116"/>
        <v>625</v>
      </c>
      <c r="M543" s="1427">
        <f>L543/(F543*427)</f>
        <v>2.2728264506087537</v>
      </c>
      <c r="N543" s="1428"/>
    </row>
    <row r="544" spans="1:14">
      <c r="A544" s="257" t="s">
        <v>33</v>
      </c>
      <c r="B544" s="1563">
        <f>[1]Upland!$N$18</f>
        <v>1</v>
      </c>
      <c r="C544" s="1424"/>
      <c r="D544" s="1423">
        <f t="shared" si="115"/>
        <v>27566.994599999998</v>
      </c>
      <c r="E544" s="1424"/>
      <c r="F544" s="1939">
        <f>0.0846*B544</f>
        <v>8.4599999999999995E-2</v>
      </c>
      <c r="G544" s="1940"/>
      <c r="H544" s="955">
        <f>F544*15</f>
        <v>1.2689999999999999</v>
      </c>
      <c r="I544" s="80">
        <v>0</v>
      </c>
      <c r="J544" s="80">
        <f>70*B544</f>
        <v>70</v>
      </c>
      <c r="K544" s="80">
        <f>130*B544</f>
        <v>130</v>
      </c>
      <c r="L544" s="608">
        <f t="shared" si="116"/>
        <v>200</v>
      </c>
      <c r="M544" s="1539">
        <f>L544/(F544*427)</f>
        <v>5.5364547865419862</v>
      </c>
      <c r="N544" s="1540"/>
    </row>
    <row r="545" spans="1:14">
      <c r="A545" s="254" t="s">
        <v>15</v>
      </c>
      <c r="B545" s="1563">
        <f>[1]Upland!$N$19</f>
        <v>0</v>
      </c>
      <c r="C545" s="1424"/>
      <c r="D545" s="1423">
        <f t="shared" si="115"/>
        <v>0</v>
      </c>
      <c r="E545" s="1424"/>
      <c r="F545" s="1939">
        <f>0.1534*B545</f>
        <v>0</v>
      </c>
      <c r="G545" s="1940"/>
      <c r="H545" s="955">
        <f>F545*5</f>
        <v>0</v>
      </c>
      <c r="I545" s="80">
        <v>0</v>
      </c>
      <c r="J545" s="80">
        <v>0</v>
      </c>
      <c r="K545" s="80">
        <f>150*B545</f>
        <v>0</v>
      </c>
      <c r="L545" s="608">
        <f t="shared" si="116"/>
        <v>0</v>
      </c>
      <c r="M545" s="1539">
        <v>0</v>
      </c>
      <c r="N545" s="1540"/>
    </row>
    <row r="546" spans="1:14" ht="14" thickBot="1">
      <c r="A546" s="254" t="s">
        <v>30</v>
      </c>
      <c r="B546" s="1563">
        <f>[1]Upland!$N$20</f>
        <v>0</v>
      </c>
      <c r="C546" s="1424"/>
      <c r="D546" s="1423">
        <f t="shared" si="115"/>
        <v>0</v>
      </c>
      <c r="E546" s="1424"/>
      <c r="F546" s="1939">
        <f>0.65*B546</f>
        <v>0</v>
      </c>
      <c r="G546" s="1940"/>
      <c r="H546" s="955">
        <f>F546*10</f>
        <v>0</v>
      </c>
      <c r="I546" s="80">
        <v>0</v>
      </c>
      <c r="J546" s="80">
        <v>0</v>
      </c>
      <c r="K546" s="80">
        <f>630*B546</f>
        <v>0</v>
      </c>
      <c r="L546" s="608">
        <f t="shared" si="116"/>
        <v>0</v>
      </c>
      <c r="M546" s="1539">
        <v>0</v>
      </c>
      <c r="N546" s="1540"/>
    </row>
    <row r="547" spans="1:14" ht="14" thickBot="1">
      <c r="A547" s="256" t="s">
        <v>60</v>
      </c>
      <c r="B547" s="1438">
        <f>SUM(B539:C546)</f>
        <v>4</v>
      </c>
      <c r="C547" s="1609"/>
      <c r="D547" s="1441">
        <f>SUM(D539:E546)</f>
        <v>317248.53359999997</v>
      </c>
      <c r="E547" s="1609"/>
      <c r="F547" s="1440">
        <f>SUM(F539:G546)</f>
        <v>0.97360000000000002</v>
      </c>
      <c r="G547" s="1609"/>
      <c r="H547" s="619">
        <f>SUM(H539:H546)</f>
        <v>9.3890000000000011</v>
      </c>
      <c r="I547" s="619">
        <f>SUM(I539:I546)</f>
        <v>0</v>
      </c>
      <c r="J547" s="619">
        <f>SUM(J539:J546)</f>
        <v>70</v>
      </c>
      <c r="K547" s="619">
        <f>SUM(K539:K546)</f>
        <v>1555</v>
      </c>
      <c r="L547" s="619">
        <f>SUM(L539:L546)</f>
        <v>1625</v>
      </c>
      <c r="M547" s="1657"/>
      <c r="N547" s="1622"/>
    </row>
    <row r="548" spans="1:14" s="1161" customFormat="1" ht="17" thickBot="1">
      <c r="A548" s="1183" t="s">
        <v>17</v>
      </c>
      <c r="B548" s="1665">
        <f>SUM(B547,B537,B534)</f>
        <v>1422</v>
      </c>
      <c r="C548" s="1664"/>
      <c r="D548" s="1665">
        <f>SUM(D547,D537,D534)</f>
        <v>42488265.8367</v>
      </c>
      <c r="E548" s="1664"/>
      <c r="F548" s="1665">
        <f>SUM(F547,F537,F534)</f>
        <v>128.44850000000002</v>
      </c>
      <c r="G548" s="1664"/>
      <c r="H548" s="1305">
        <f>SUM(H547,H537,H534)</f>
        <v>1775.577</v>
      </c>
      <c r="I548" s="1375">
        <f>SUM(I547,I537,I534)</f>
        <v>73926.720000000001</v>
      </c>
      <c r="J548" s="1375">
        <f>SUM(J547,J537,J534)</f>
        <v>36335.279999999999</v>
      </c>
      <c r="K548" s="1375">
        <f>K534+K537+K547</f>
        <v>115860</v>
      </c>
      <c r="L548" s="1375">
        <f>L534+L537+L547</f>
        <v>226122</v>
      </c>
      <c r="M548" s="1668"/>
      <c r="N548" s="1669"/>
    </row>
    <row r="549" spans="1:14">
      <c r="F549" s="659"/>
      <c r="G549" s="659"/>
    </row>
    <row r="550" spans="1:14" ht="15">
      <c r="A550" s="9" t="s">
        <v>18</v>
      </c>
      <c r="B550" s="1566" t="s">
        <v>59</v>
      </c>
      <c r="C550" s="1566"/>
      <c r="D550" s="1566"/>
      <c r="E550" s="1641"/>
      <c r="F550" s="659"/>
      <c r="G550" s="659"/>
    </row>
    <row r="551" spans="1:14">
      <c r="B551" s="1559" t="s">
        <v>19</v>
      </c>
      <c r="C551" s="1559"/>
      <c r="D551" s="1559"/>
      <c r="E551" s="1559"/>
      <c r="F551" s="659"/>
      <c r="G551" s="659"/>
    </row>
    <row r="552" spans="1:14" s="646" customFormat="1" ht="16">
      <c r="A552" s="348"/>
      <c r="B552" s="349"/>
      <c r="C552" s="349"/>
      <c r="D552" s="349"/>
      <c r="E552" s="349"/>
      <c r="F552" s="350"/>
      <c r="G552" s="350"/>
      <c r="H552" s="418"/>
      <c r="I552" s="2046" t="s">
        <v>0</v>
      </c>
      <c r="J552" s="2046"/>
      <c r="K552" s="2046"/>
      <c r="L552" s="2046"/>
      <c r="M552" s="349"/>
      <c r="N552" s="344"/>
    </row>
    <row r="553" spans="1:14" s="512" customFormat="1" ht="16">
      <c r="A553" s="1368"/>
      <c r="B553" s="2054" t="s">
        <v>1</v>
      </c>
      <c r="C553" s="2054"/>
      <c r="D553" s="2054" t="s">
        <v>2</v>
      </c>
      <c r="E553" s="2054"/>
      <c r="F553" s="2055" t="s">
        <v>3</v>
      </c>
      <c r="G553" s="2055"/>
      <c r="H553" s="1369" t="s">
        <v>3</v>
      </c>
      <c r="I553" s="1370" t="s">
        <v>195</v>
      </c>
      <c r="J553" s="1371"/>
      <c r="K553" s="1371"/>
      <c r="L553" s="1372"/>
      <c r="M553" s="2054" t="s">
        <v>4</v>
      </c>
      <c r="N553" s="2056"/>
    </row>
    <row r="554" spans="1:14" ht="19" thickBot="1">
      <c r="A554" s="103" t="s">
        <v>5</v>
      </c>
      <c r="B554" s="1473" t="s">
        <v>6</v>
      </c>
      <c r="C554" s="1473"/>
      <c r="D554" s="1473" t="s">
        <v>7</v>
      </c>
      <c r="E554" s="1473"/>
      <c r="F554" s="1864" t="s">
        <v>7</v>
      </c>
      <c r="G554" s="1864"/>
      <c r="H554" s="603" t="s">
        <v>58</v>
      </c>
      <c r="I554" s="596" t="s">
        <v>196</v>
      </c>
      <c r="J554" s="595" t="s">
        <v>8</v>
      </c>
      <c r="K554" s="595" t="s">
        <v>9</v>
      </c>
      <c r="L554" s="401" t="s">
        <v>10</v>
      </c>
      <c r="M554" s="1473" t="s">
        <v>145</v>
      </c>
      <c r="N554" s="1475"/>
    </row>
    <row r="555" spans="1:14" ht="24" thickBot="1">
      <c r="A555" s="88" t="s">
        <v>134</v>
      </c>
      <c r="B555" s="1482"/>
      <c r="C555" s="2021"/>
      <c r="D555" s="2022"/>
      <c r="E555" s="2023"/>
      <c r="F555" s="2024"/>
      <c r="G555" s="2025"/>
      <c r="H555" s="647"/>
      <c r="I555" s="213"/>
      <c r="J555" s="213"/>
      <c r="K555" s="213"/>
      <c r="L555" s="214"/>
      <c r="M555" s="1482"/>
      <c r="N555" s="1483"/>
    </row>
    <row r="556" spans="1:14" s="1161" customFormat="1" ht="17" thickBot="1">
      <c r="A556" s="108" t="s">
        <v>61</v>
      </c>
      <c r="B556" s="1567"/>
      <c r="C556" s="1586"/>
      <c r="D556" s="1567"/>
      <c r="E556" s="1586"/>
      <c r="F556" s="1619"/>
      <c r="G556" s="1620"/>
      <c r="H556" s="1299"/>
      <c r="I556" s="109"/>
      <c r="J556" s="109"/>
      <c r="K556" s="109"/>
      <c r="L556" s="1296"/>
      <c r="M556" s="1617"/>
      <c r="N556" s="1486"/>
    </row>
    <row r="557" spans="1:14">
      <c r="A557" s="257" t="s">
        <v>62</v>
      </c>
      <c r="B557" s="1594">
        <v>1248</v>
      </c>
      <c r="C557" s="1595"/>
      <c r="D557" s="2018">
        <f>F557*325851</f>
        <v>14111173.065600002</v>
      </c>
      <c r="E557" s="1595"/>
      <c r="F557" s="2039">
        <f>0.0347*B557</f>
        <v>43.305600000000005</v>
      </c>
      <c r="G557" s="2040"/>
      <c r="H557" s="963">
        <f>F557*20</f>
        <v>866.11200000000008</v>
      </c>
      <c r="I557" s="690">
        <v>0</v>
      </c>
      <c r="J557" s="690">
        <f>B557*6.5</f>
        <v>8112</v>
      </c>
      <c r="K557" s="690">
        <f>B557*60</f>
        <v>74880</v>
      </c>
      <c r="L557" s="620">
        <f>I557+J557+K557</f>
        <v>82992</v>
      </c>
      <c r="M557" s="1599">
        <f>L557/(F557*427)</f>
        <v>4.4881182973496472</v>
      </c>
      <c r="N557" s="1600"/>
    </row>
    <row r="558" spans="1:14">
      <c r="A558" s="257" t="s">
        <v>63</v>
      </c>
      <c r="B558" s="2053">
        <v>0</v>
      </c>
      <c r="C558" s="1649"/>
      <c r="D558" s="1423">
        <f>F558*325851</f>
        <v>0</v>
      </c>
      <c r="E558" s="1424"/>
      <c r="F558" s="1941">
        <f>0.0347*B558</f>
        <v>0</v>
      </c>
      <c r="G558" s="1940"/>
      <c r="H558" s="955">
        <f>F558*20</f>
        <v>0</v>
      </c>
      <c r="I558" s="80">
        <v>0</v>
      </c>
      <c r="J558" s="80">
        <v>0</v>
      </c>
      <c r="K558" s="80">
        <v>0</v>
      </c>
      <c r="L558" s="608">
        <f>I558+J558+K558</f>
        <v>0</v>
      </c>
      <c r="M558" s="1539">
        <v>0</v>
      </c>
      <c r="N558" s="1540"/>
    </row>
    <row r="559" spans="1:14">
      <c r="A559" s="257" t="s">
        <v>64</v>
      </c>
      <c r="B559" s="2053">
        <v>153</v>
      </c>
      <c r="C559" s="1649"/>
      <c r="D559" s="1423">
        <f>F559*325851</f>
        <v>1729975.5441000001</v>
      </c>
      <c r="E559" s="1424"/>
      <c r="F559" s="1941">
        <f>0.0347*B559</f>
        <v>5.3090999999999999</v>
      </c>
      <c r="G559" s="1940"/>
      <c r="H559" s="955">
        <f>F559*20</f>
        <v>106.182</v>
      </c>
      <c r="I559" s="80">
        <v>0</v>
      </c>
      <c r="J559" s="80">
        <f>B559*1</f>
        <v>153</v>
      </c>
      <c r="K559" s="80">
        <f>B559*60</f>
        <v>9180</v>
      </c>
      <c r="L559" s="608">
        <f>I559+J559+K559</f>
        <v>9333</v>
      </c>
      <c r="M559" s="1539">
        <f>L559/(F559*427)</f>
        <v>4.116920543433511</v>
      </c>
      <c r="N559" s="1540"/>
    </row>
    <row r="560" spans="1:14" ht="14" thickBot="1">
      <c r="A560" s="257" t="s">
        <v>13</v>
      </c>
      <c r="B560" s="2053">
        <v>222</v>
      </c>
      <c r="C560" s="1649"/>
      <c r="D560" s="1423">
        <f>F560*325851</f>
        <v>1996554.2472000001</v>
      </c>
      <c r="E560" s="1424"/>
      <c r="F560" s="1941">
        <f>0.0276*B560</f>
        <v>6.1272000000000002</v>
      </c>
      <c r="G560" s="1940"/>
      <c r="H560" s="955">
        <f>F560*15</f>
        <v>91.908000000000001</v>
      </c>
      <c r="I560" s="80">
        <v>0</v>
      </c>
      <c r="J560" s="80">
        <f>B560*1</f>
        <v>222</v>
      </c>
      <c r="K560" s="80">
        <f>B560*110</f>
        <v>24420</v>
      </c>
      <c r="L560" s="608">
        <f>I560+J560+K560</f>
        <v>24642</v>
      </c>
      <c r="M560" s="1539">
        <f>L560/(F560*427)</f>
        <v>9.4185928113226751</v>
      </c>
      <c r="N560" s="1540"/>
    </row>
    <row r="561" spans="1:14" ht="14" thickBot="1">
      <c r="A561" s="256" t="s">
        <v>60</v>
      </c>
      <c r="B561" s="1438">
        <f>SUM(B557:C560)</f>
        <v>1623</v>
      </c>
      <c r="C561" s="1621"/>
      <c r="D561" s="1441">
        <f>SUM(D557:E560)</f>
        <v>17837702.856900003</v>
      </c>
      <c r="E561" s="1621"/>
      <c r="F561" s="1511">
        <f>SUM(F557:G560)</f>
        <v>54.741900000000008</v>
      </c>
      <c r="G561" s="1575"/>
      <c r="H561" s="619">
        <f>SUM(H557:H560)</f>
        <v>1064.202</v>
      </c>
      <c r="I561" s="619">
        <f>SUM(I557:I560)</f>
        <v>0</v>
      </c>
      <c r="J561" s="619">
        <f>SUM(J557:J560)</f>
        <v>8487</v>
      </c>
      <c r="K561" s="619">
        <f>SUM(K557:K560)</f>
        <v>108480</v>
      </c>
      <c r="L561" s="619">
        <f>SUM(L557:L560)</f>
        <v>116967</v>
      </c>
      <c r="M561" s="1657"/>
      <c r="N561" s="1622"/>
    </row>
    <row r="562" spans="1:14" s="274" customFormat="1" ht="17" thickBot="1">
      <c r="A562" s="1373" t="s">
        <v>147</v>
      </c>
      <c r="B562" s="2079"/>
      <c r="C562" s="2066"/>
      <c r="D562" s="2065"/>
      <c r="E562" s="2066"/>
      <c r="F562" s="2067"/>
      <c r="G562" s="2068"/>
      <c r="H562" s="1358"/>
      <c r="I562" s="1359"/>
      <c r="J562" s="1359"/>
      <c r="K562" s="1359"/>
      <c r="L562" s="1360"/>
      <c r="M562" s="2069"/>
      <c r="N562" s="2070"/>
    </row>
    <row r="563" spans="1:14" ht="14" thickBot="1">
      <c r="A563" s="257" t="s">
        <v>11</v>
      </c>
      <c r="B563" s="2053">
        <v>930</v>
      </c>
      <c r="C563" s="1649"/>
      <c r="D563" s="1423">
        <f>F563*325851</f>
        <v>10515537.620999999</v>
      </c>
      <c r="E563" s="1424"/>
      <c r="F563" s="1549">
        <f>0.0347*B563</f>
        <v>32.271000000000001</v>
      </c>
      <c r="G563" s="1550"/>
      <c r="H563" s="930">
        <f>F563*20</f>
        <v>645.42000000000007</v>
      </c>
      <c r="I563" s="80">
        <v>0</v>
      </c>
      <c r="J563" s="80">
        <f>B563*105</f>
        <v>97650</v>
      </c>
      <c r="K563" s="80">
        <f>B563*60</f>
        <v>55800</v>
      </c>
      <c r="L563" s="608">
        <f>I563+J563+K563</f>
        <v>153450</v>
      </c>
      <c r="M563" s="1539">
        <f>L563/(F563*427)</f>
        <v>11.135932617484089</v>
      </c>
      <c r="N563" s="1540"/>
    </row>
    <row r="564" spans="1:14" ht="14" thickBot="1">
      <c r="A564" s="256" t="s">
        <v>60</v>
      </c>
      <c r="B564" s="1438">
        <f>SUM(B563)</f>
        <v>930</v>
      </c>
      <c r="C564" s="1621"/>
      <c r="D564" s="1441">
        <f>SUM(D563)</f>
        <v>10515537.620999999</v>
      </c>
      <c r="E564" s="1621"/>
      <c r="F564" s="1511">
        <f>SUM(F563)</f>
        <v>32.271000000000001</v>
      </c>
      <c r="G564" s="1575"/>
      <c r="H564" s="619">
        <f>SUM(H563)</f>
        <v>645.42000000000007</v>
      </c>
      <c r="I564" s="619">
        <f>SUM(I563)</f>
        <v>0</v>
      </c>
      <c r="J564" s="619">
        <f>SUM(J563)</f>
        <v>97650</v>
      </c>
      <c r="K564" s="619">
        <f>SUM(K563)</f>
        <v>55800</v>
      </c>
      <c r="L564" s="619">
        <f>SUM(L563)</f>
        <v>153450</v>
      </c>
      <c r="M564" s="1657"/>
      <c r="N564" s="1622"/>
    </row>
    <row r="565" spans="1:14" s="1161" customFormat="1" ht="17" thickBot="1">
      <c r="A565" s="110" t="s">
        <v>50</v>
      </c>
      <c r="B565" s="1456"/>
      <c r="C565" s="1586"/>
      <c r="D565" s="1567"/>
      <c r="E565" s="1586"/>
      <c r="F565" s="1587"/>
      <c r="G565" s="1588"/>
      <c r="H565" s="1299"/>
      <c r="I565" s="109"/>
      <c r="J565" s="109"/>
      <c r="K565" s="109"/>
      <c r="L565" s="1296"/>
      <c r="M565" s="1617"/>
      <c r="N565" s="1486"/>
    </row>
    <row r="566" spans="1:14">
      <c r="A566" s="257" t="s">
        <v>66</v>
      </c>
      <c r="B566" s="2053">
        <v>0</v>
      </c>
      <c r="C566" s="1649"/>
      <c r="D566" s="1423">
        <f t="shared" ref="D566:D571" si="117">F566*325851</f>
        <v>0</v>
      </c>
      <c r="E566" s="1424"/>
      <c r="F566" s="1549">
        <f>0.0347*B566</f>
        <v>0</v>
      </c>
      <c r="G566" s="1550"/>
      <c r="H566" s="930">
        <f>F566*20</f>
        <v>0</v>
      </c>
      <c r="I566" s="80">
        <v>0</v>
      </c>
      <c r="J566" s="80">
        <f>B566*1</f>
        <v>0</v>
      </c>
      <c r="K566" s="80">
        <v>0</v>
      </c>
      <c r="L566" s="608">
        <f>I566+J566+K566</f>
        <v>0</v>
      </c>
      <c r="M566" s="1539">
        <v>0</v>
      </c>
      <c r="N566" s="1540"/>
    </row>
    <row r="567" spans="1:14">
      <c r="A567" s="257" t="s">
        <v>68</v>
      </c>
      <c r="B567" s="2053">
        <v>0</v>
      </c>
      <c r="C567" s="1649"/>
      <c r="D567" s="1423">
        <f t="shared" si="117"/>
        <v>0</v>
      </c>
      <c r="E567" s="1424"/>
      <c r="F567" s="1549">
        <f>0.644*B567</f>
        <v>0</v>
      </c>
      <c r="G567" s="1550"/>
      <c r="H567" s="930">
        <f>F567*5</f>
        <v>0</v>
      </c>
      <c r="I567" s="80">
        <v>0</v>
      </c>
      <c r="J567" s="80">
        <v>0</v>
      </c>
      <c r="K567" s="80">
        <v>0</v>
      </c>
      <c r="L567" s="608">
        <v>0</v>
      </c>
      <c r="M567" s="1539">
        <v>0</v>
      </c>
      <c r="N567" s="1540"/>
    </row>
    <row r="568" spans="1:14" s="512" customFormat="1">
      <c r="A568" s="254" t="s">
        <v>13</v>
      </c>
      <c r="B568" s="2063">
        <v>11</v>
      </c>
      <c r="C568" s="2059"/>
      <c r="D568" s="1447">
        <f t="shared" si="117"/>
        <v>98928.363599999997</v>
      </c>
      <c r="E568" s="1448"/>
      <c r="F568" s="1557">
        <f>0.0276*B568</f>
        <v>0.30359999999999998</v>
      </c>
      <c r="G568" s="1558"/>
      <c r="H568" s="1303">
        <f>F568*15</f>
        <v>4.5539999999999994</v>
      </c>
      <c r="I568" s="79">
        <v>0</v>
      </c>
      <c r="J568" s="79">
        <v>0</v>
      </c>
      <c r="K568" s="79">
        <f>B568*250</f>
        <v>2750</v>
      </c>
      <c r="L568" s="1295">
        <f>I568+J568+K568</f>
        <v>2750</v>
      </c>
      <c r="M568" s="1427">
        <f>L568/(F568*427)</f>
        <v>21.213046872348372</v>
      </c>
      <c r="N568" s="1428"/>
    </row>
    <row r="569" spans="1:14">
      <c r="A569" s="254" t="s">
        <v>15</v>
      </c>
      <c r="B569" s="2053">
        <v>0</v>
      </c>
      <c r="C569" s="1649"/>
      <c r="D569" s="1423">
        <f t="shared" si="117"/>
        <v>0</v>
      </c>
      <c r="E569" s="1424"/>
      <c r="F569" s="1549">
        <f>0.1534*B569</f>
        <v>0</v>
      </c>
      <c r="G569" s="1550"/>
      <c r="H569" s="930">
        <f>F569*5</f>
        <v>0</v>
      </c>
      <c r="I569" s="80">
        <v>0</v>
      </c>
      <c r="J569" s="80">
        <v>0</v>
      </c>
      <c r="K569" s="80">
        <v>0</v>
      </c>
      <c r="L569" s="608">
        <f>I569+J569+K569</f>
        <v>0</v>
      </c>
      <c r="M569" s="1539">
        <v>0</v>
      </c>
      <c r="N569" s="1540"/>
    </row>
    <row r="570" spans="1:14">
      <c r="A570" s="254" t="s">
        <v>16</v>
      </c>
      <c r="B570" s="2053">
        <v>0</v>
      </c>
      <c r="C570" s="1649"/>
      <c r="D570" s="1423">
        <f t="shared" si="117"/>
        <v>0</v>
      </c>
      <c r="E570" s="1424"/>
      <c r="F570" s="1549">
        <f>0.004*B570</f>
        <v>0</v>
      </c>
      <c r="G570" s="1550"/>
      <c r="H570" s="930">
        <f>F570*5</f>
        <v>0</v>
      </c>
      <c r="I570" s="80">
        <v>0</v>
      </c>
      <c r="J570" s="80">
        <v>0</v>
      </c>
      <c r="K570" s="80">
        <v>0</v>
      </c>
      <c r="L570" s="608">
        <f>I570+J570+K570</f>
        <v>0</v>
      </c>
      <c r="M570" s="1539">
        <v>0</v>
      </c>
      <c r="N570" s="1540"/>
    </row>
    <row r="571" spans="1:14" s="512" customFormat="1" ht="14" thickBot="1">
      <c r="A571" s="254" t="s">
        <v>30</v>
      </c>
      <c r="B571" s="2063">
        <v>0</v>
      </c>
      <c r="C571" s="2059"/>
      <c r="D571" s="1447">
        <f t="shared" si="117"/>
        <v>0</v>
      </c>
      <c r="E571" s="1448"/>
      <c r="F571" s="2047">
        <f>0.65*B571</f>
        <v>0</v>
      </c>
      <c r="G571" s="1552"/>
      <c r="H571" s="1303">
        <f>F571*10</f>
        <v>0</v>
      </c>
      <c r="I571" s="79">
        <v>0</v>
      </c>
      <c r="J571" s="79">
        <v>0</v>
      </c>
      <c r="K571" s="79">
        <v>0</v>
      </c>
      <c r="L571" s="1295">
        <f>I571+J571+K571</f>
        <v>0</v>
      </c>
      <c r="M571" s="1427">
        <v>0</v>
      </c>
      <c r="N571" s="1428"/>
    </row>
    <row r="572" spans="1:14" ht="14" thickBot="1">
      <c r="A572" s="256" t="s">
        <v>60</v>
      </c>
      <c r="B572" s="1438">
        <f>SUM(B566:C571)</f>
        <v>11</v>
      </c>
      <c r="C572" s="1609"/>
      <c r="D572" s="1440">
        <f>SUM(D566:E571)</f>
        <v>98928.363599999997</v>
      </c>
      <c r="E572" s="1621"/>
      <c r="F572" s="1441">
        <f>SUM(F566:G571)</f>
        <v>0.30359999999999998</v>
      </c>
      <c r="G572" s="1609"/>
      <c r="H572" s="56">
        <f>SUM(H566:H571)</f>
        <v>4.5539999999999994</v>
      </c>
      <c r="I572" s="610">
        <f>SUM(I566:I571)</f>
        <v>0</v>
      </c>
      <c r="J572" s="618">
        <f>SUM(J566:J571)</f>
        <v>0</v>
      </c>
      <c r="K572" s="618">
        <f>SUM(K566:K571)</f>
        <v>2750</v>
      </c>
      <c r="L572" s="56">
        <f>SUM(L566:L571)</f>
        <v>2750</v>
      </c>
      <c r="M572" s="1657"/>
      <c r="N572" s="1622"/>
    </row>
    <row r="573" spans="1:14" s="1161" customFormat="1" ht="17" thickBot="1">
      <c r="A573" s="1182" t="s">
        <v>17</v>
      </c>
      <c r="B573" s="1416">
        <f>SUM(B572,B561,B564)</f>
        <v>2564</v>
      </c>
      <c r="C573" s="1682"/>
      <c r="D573" s="1416">
        <f>SUM(D572,D561,D564)</f>
        <v>28452168.841500003</v>
      </c>
      <c r="E573" s="1682"/>
      <c r="F573" s="1416">
        <f>SUM(F572,F561,F564)</f>
        <v>87.316500000000019</v>
      </c>
      <c r="G573" s="1682"/>
      <c r="H573" s="1293">
        <f>SUM(H572,H564,H561)</f>
        <v>1714.1759999999999</v>
      </c>
      <c r="I573" s="1179">
        <f>I561+I564+I572</f>
        <v>0</v>
      </c>
      <c r="J573" s="1175">
        <f>J561+J564+J572</f>
        <v>106137</v>
      </c>
      <c r="K573" s="1175">
        <f>K561+K564+K572</f>
        <v>167030</v>
      </c>
      <c r="L573" s="1175">
        <f>L561+L564+L572</f>
        <v>273167</v>
      </c>
      <c r="M573" s="1672"/>
      <c r="N573" s="1673"/>
    </row>
    <row r="574" spans="1:14">
      <c r="A574" s="50"/>
      <c r="B574" s="601"/>
      <c r="C574" s="601"/>
      <c r="D574" s="601"/>
      <c r="E574" s="601"/>
      <c r="F574" s="51"/>
      <c r="G574" s="51"/>
      <c r="H574" s="601"/>
      <c r="I574" s="601"/>
      <c r="J574" s="21"/>
      <c r="K574" s="21"/>
      <c r="L574" s="21"/>
      <c r="M574" s="600"/>
      <c r="N574" s="600"/>
    </row>
    <row r="575" spans="1:14" ht="14" thickBot="1">
      <c r="A575" s="50"/>
      <c r="B575" s="601"/>
      <c r="C575" s="601"/>
      <c r="D575" s="601"/>
      <c r="E575" s="601"/>
      <c r="F575" s="51"/>
      <c r="G575" s="51"/>
      <c r="H575" s="601"/>
      <c r="I575" s="601"/>
      <c r="J575" s="21"/>
      <c r="K575" s="21"/>
      <c r="L575" s="21"/>
      <c r="M575" s="600"/>
      <c r="N575" s="600"/>
    </row>
    <row r="576" spans="1:14" ht="24" thickBot="1">
      <c r="A576" s="88" t="s">
        <v>135</v>
      </c>
      <c r="B576" s="1482"/>
      <c r="C576" s="2021"/>
      <c r="D576" s="2022"/>
      <c r="E576" s="2023"/>
      <c r="F576" s="2024"/>
      <c r="G576" s="2025"/>
      <c r="H576" s="647"/>
      <c r="I576" s="213"/>
      <c r="J576" s="213"/>
      <c r="K576" s="213"/>
      <c r="L576" s="214"/>
      <c r="M576" s="1482"/>
      <c r="N576" s="1483"/>
    </row>
    <row r="577" spans="1:14" s="1161" customFormat="1" ht="17" thickBot="1">
      <c r="A577" s="108" t="s">
        <v>61</v>
      </c>
      <c r="B577" s="1567"/>
      <c r="C577" s="1586"/>
      <c r="D577" s="1567"/>
      <c r="E577" s="1586"/>
      <c r="F577" s="1619"/>
      <c r="G577" s="1620"/>
      <c r="H577" s="1299"/>
      <c r="I577" s="109"/>
      <c r="J577" s="109"/>
      <c r="K577" s="109"/>
      <c r="L577" s="1296"/>
      <c r="M577" s="1617"/>
      <c r="N577" s="1486"/>
    </row>
    <row r="578" spans="1:14">
      <c r="A578" s="257" t="s">
        <v>62</v>
      </c>
      <c r="B578" s="2064">
        <v>0</v>
      </c>
      <c r="C578" s="1683"/>
      <c r="D578" s="2018">
        <f>F578*325851</f>
        <v>0</v>
      </c>
      <c r="E578" s="1595"/>
      <c r="F578" s="2039">
        <f>0.0347*B578</f>
        <v>0</v>
      </c>
      <c r="G578" s="2040"/>
      <c r="H578" s="963">
        <f>F578*20</f>
        <v>0</v>
      </c>
      <c r="I578" s="690">
        <v>0</v>
      </c>
      <c r="J578" s="690">
        <v>0</v>
      </c>
      <c r="K578" s="690">
        <v>0</v>
      </c>
      <c r="L578" s="620">
        <f>I578+J578+K578</f>
        <v>0</v>
      </c>
      <c r="M578" s="1599">
        <v>0</v>
      </c>
      <c r="N578" s="1600"/>
    </row>
    <row r="579" spans="1:14" s="512" customFormat="1">
      <c r="A579" s="254" t="s">
        <v>63</v>
      </c>
      <c r="B579" s="2063">
        <v>11</v>
      </c>
      <c r="C579" s="2059"/>
      <c r="D579" s="1447">
        <f>F579*325851</f>
        <v>124377.32670000002</v>
      </c>
      <c r="E579" s="1448"/>
      <c r="F579" s="1903">
        <f>0.0347*B579</f>
        <v>0.38170000000000004</v>
      </c>
      <c r="G579" s="1904"/>
      <c r="H579" s="1309">
        <f>F579*20</f>
        <v>7.6340000000000003</v>
      </c>
      <c r="I579" s="79">
        <v>0</v>
      </c>
      <c r="J579" s="79">
        <f>B579*11</f>
        <v>121</v>
      </c>
      <c r="K579" s="79">
        <f>B579*60</f>
        <v>660</v>
      </c>
      <c r="L579" s="1295">
        <f>I579+J579+K579</f>
        <v>781</v>
      </c>
      <c r="M579" s="1427">
        <f>L579/(F579*427)</f>
        <v>4.7918255505537592</v>
      </c>
      <c r="N579" s="1428"/>
    </row>
    <row r="580" spans="1:14">
      <c r="A580" s="257" t="s">
        <v>64</v>
      </c>
      <c r="B580" s="2053">
        <v>126</v>
      </c>
      <c r="C580" s="1649"/>
      <c r="D580" s="1423">
        <f>F580*325851</f>
        <v>1424685.7422000002</v>
      </c>
      <c r="E580" s="1424"/>
      <c r="F580" s="1941">
        <f>0.0347*B580</f>
        <v>4.3722000000000003</v>
      </c>
      <c r="G580" s="1940"/>
      <c r="H580" s="955">
        <f>F580*20</f>
        <v>87.444000000000003</v>
      </c>
      <c r="I580" s="80">
        <v>0</v>
      </c>
      <c r="J580" s="80">
        <f>B580*1</f>
        <v>126</v>
      </c>
      <c r="K580" s="80">
        <f>B580*60</f>
        <v>7560</v>
      </c>
      <c r="L580" s="608">
        <f>I580+J580+K580</f>
        <v>7686</v>
      </c>
      <c r="M580" s="1539">
        <f>L580/(F580*427)</f>
        <v>4.116920543433511</v>
      </c>
      <c r="N580" s="1540"/>
    </row>
    <row r="581" spans="1:14">
      <c r="A581" s="257" t="s">
        <v>13</v>
      </c>
      <c r="B581" s="2053">
        <v>287</v>
      </c>
      <c r="C581" s="1649"/>
      <c r="D581" s="1423">
        <f>F581*325851</f>
        <v>2581130.9411999998</v>
      </c>
      <c r="E581" s="1424"/>
      <c r="F581" s="1941">
        <f>0.0276*B581</f>
        <v>7.9211999999999998</v>
      </c>
      <c r="G581" s="1940"/>
      <c r="H581" s="955">
        <f>F581*15</f>
        <v>118.818</v>
      </c>
      <c r="I581" s="80">
        <v>0</v>
      </c>
      <c r="J581" s="80">
        <f>B581*1</f>
        <v>287</v>
      </c>
      <c r="K581" s="80">
        <f>B581*110</f>
        <v>31570</v>
      </c>
      <c r="L581" s="608">
        <f>I581+J581+K581</f>
        <v>31857</v>
      </c>
      <c r="M581" s="1539">
        <f>L581/(F581*427)</f>
        <v>9.4185928113226769</v>
      </c>
      <c r="N581" s="1540"/>
    </row>
    <row r="582" spans="1:14" ht="14" thickBot="1">
      <c r="A582" s="254" t="s">
        <v>14</v>
      </c>
      <c r="B582" s="2053">
        <v>14</v>
      </c>
      <c r="C582" s="1649"/>
      <c r="D582" s="1423">
        <f>46.8*B582*365</f>
        <v>239147.99999999997</v>
      </c>
      <c r="E582" s="1424"/>
      <c r="F582" s="1941">
        <f>D582/325900</f>
        <v>0.7338079165388155</v>
      </c>
      <c r="G582" s="1940"/>
      <c r="H582" s="955">
        <f>F582*5</f>
        <v>3.6690395826940776</v>
      </c>
      <c r="I582" s="80">
        <v>0</v>
      </c>
      <c r="J582" s="80">
        <f>B582*53</f>
        <v>742</v>
      </c>
      <c r="K582" s="80">
        <v>0</v>
      </c>
      <c r="L582" s="608">
        <f>I582+J582+K582</f>
        <v>742</v>
      </c>
      <c r="M582" s="1539">
        <f>L582/(F582*427)</f>
        <v>2.3680651010540976</v>
      </c>
      <c r="N582" s="1540"/>
    </row>
    <row r="583" spans="1:14" s="512" customFormat="1" ht="14" thickBot="1">
      <c r="A583" s="256" t="s">
        <v>60</v>
      </c>
      <c r="B583" s="2050">
        <f>SUM(B578:C582)</f>
        <v>438</v>
      </c>
      <c r="C583" s="1608"/>
      <c r="D583" s="1931">
        <f>SUM(D578:E582)</f>
        <v>4369342.0100999996</v>
      </c>
      <c r="E583" s="1608"/>
      <c r="F583" s="1607">
        <f>SUM(F578:G582)</f>
        <v>13.408907916538816</v>
      </c>
      <c r="G583" s="1608"/>
      <c r="H583" s="1310">
        <f>SUM(H578:H582)</f>
        <v>217.56503958269408</v>
      </c>
      <c r="I583" s="1310">
        <f>SUM(I578:I582)</f>
        <v>0</v>
      </c>
      <c r="J583" s="1310">
        <f>SUM(J578:J582)</f>
        <v>1276</v>
      </c>
      <c r="K583" s="1310">
        <f>SUM(K578:K582)</f>
        <v>39790</v>
      </c>
      <c r="L583" s="1310">
        <f>SUM(L578:L582)</f>
        <v>41066</v>
      </c>
      <c r="M583" s="1610"/>
      <c r="N583" s="1611"/>
    </row>
    <row r="584" spans="1:14" s="1161" customFormat="1" ht="17" thickBot="1">
      <c r="A584" s="1256" t="s">
        <v>147</v>
      </c>
      <c r="B584" s="1456"/>
      <c r="C584" s="1586"/>
      <c r="D584" s="1567"/>
      <c r="E584" s="1586"/>
      <c r="F584" s="1882"/>
      <c r="G584" s="1883"/>
      <c r="H584" s="1299"/>
      <c r="I584" s="109"/>
      <c r="J584" s="109"/>
      <c r="K584" s="109"/>
      <c r="L584" s="1296"/>
      <c r="M584" s="1617"/>
      <c r="N584" s="1486"/>
    </row>
    <row r="585" spans="1:14" ht="14" thickBot="1">
      <c r="A585" s="257" t="s">
        <v>11</v>
      </c>
      <c r="B585" s="2053">
        <v>981</v>
      </c>
      <c r="C585" s="1649"/>
      <c r="D585" s="1423">
        <f>F585*325851</f>
        <v>11092196.1357</v>
      </c>
      <c r="E585" s="1424"/>
      <c r="F585" s="1939">
        <f>0.0347*B585</f>
        <v>34.040700000000001</v>
      </c>
      <c r="G585" s="1940"/>
      <c r="H585" s="955">
        <f>F585*20</f>
        <v>680.81400000000008</v>
      </c>
      <c r="I585" s="80">
        <v>0</v>
      </c>
      <c r="J585" s="80">
        <f>B585*105</f>
        <v>103005</v>
      </c>
      <c r="K585" s="80">
        <f>B585*60</f>
        <v>58860</v>
      </c>
      <c r="L585" s="608">
        <f>I585+J585+K585</f>
        <v>161865</v>
      </c>
      <c r="M585" s="1539">
        <f>L585/(F585*427)</f>
        <v>11.135932617484089</v>
      </c>
      <c r="N585" s="1540"/>
    </row>
    <row r="586" spans="1:14" ht="14" thickBot="1">
      <c r="A586" s="256" t="s">
        <v>60</v>
      </c>
      <c r="B586" s="1438">
        <f>SUM(B585)</f>
        <v>981</v>
      </c>
      <c r="C586" s="1609"/>
      <c r="D586" s="1441">
        <f>SUM(D585)</f>
        <v>11092196.1357</v>
      </c>
      <c r="E586" s="1609"/>
      <c r="F586" s="1440">
        <f>SUM(F585)</f>
        <v>34.040700000000001</v>
      </c>
      <c r="G586" s="1609"/>
      <c r="H586" s="619">
        <f>SUM(H585)</f>
        <v>680.81400000000008</v>
      </c>
      <c r="I586" s="619">
        <f>SUM(I585)</f>
        <v>0</v>
      </c>
      <c r="J586" s="619">
        <f>SUM(J585)</f>
        <v>103005</v>
      </c>
      <c r="K586" s="619">
        <f>SUM(K585)</f>
        <v>58860</v>
      </c>
      <c r="L586" s="619">
        <f>SUM(L585)</f>
        <v>161865</v>
      </c>
      <c r="M586" s="1657"/>
      <c r="N586" s="1622"/>
    </row>
    <row r="587" spans="1:14" s="1161" customFormat="1" ht="17" thickBot="1">
      <c r="A587" s="110" t="s">
        <v>50</v>
      </c>
      <c r="B587" s="1456"/>
      <c r="C587" s="1586"/>
      <c r="D587" s="1567"/>
      <c r="E587" s="1586"/>
      <c r="F587" s="1854"/>
      <c r="G587" s="1913"/>
      <c r="H587" s="1299"/>
      <c r="I587" s="109"/>
      <c r="J587" s="109"/>
      <c r="K587" s="109"/>
      <c r="L587" s="1296"/>
      <c r="M587" s="1617"/>
      <c r="N587" s="1486"/>
    </row>
    <row r="588" spans="1:14">
      <c r="A588" s="257" t="s">
        <v>66</v>
      </c>
      <c r="B588" s="2053">
        <v>0</v>
      </c>
      <c r="C588" s="1649"/>
      <c r="D588" s="1423">
        <f t="shared" ref="D588:D593" si="118">F588*325851</f>
        <v>0</v>
      </c>
      <c r="E588" s="1424"/>
      <c r="F588" s="1939">
        <f>0.0347*B588</f>
        <v>0</v>
      </c>
      <c r="G588" s="1940"/>
      <c r="H588" s="955">
        <f>F588*20</f>
        <v>0</v>
      </c>
      <c r="I588" s="80">
        <v>0</v>
      </c>
      <c r="J588" s="80"/>
      <c r="K588" s="80"/>
      <c r="L588" s="608">
        <f>I588+J588+K588</f>
        <v>0</v>
      </c>
      <c r="M588" s="1539">
        <v>0</v>
      </c>
      <c r="N588" s="1540"/>
    </row>
    <row r="589" spans="1:14">
      <c r="A589" s="257" t="s">
        <v>68</v>
      </c>
      <c r="B589" s="2053">
        <v>0</v>
      </c>
      <c r="C589" s="1649"/>
      <c r="D589" s="1423">
        <f t="shared" si="118"/>
        <v>0</v>
      </c>
      <c r="E589" s="1424"/>
      <c r="F589" s="1939">
        <f>0.644*B589</f>
        <v>0</v>
      </c>
      <c r="G589" s="1940"/>
      <c r="H589" s="955">
        <f>F589*5</f>
        <v>0</v>
      </c>
      <c r="I589" s="80">
        <v>0</v>
      </c>
      <c r="J589" s="80">
        <v>0</v>
      </c>
      <c r="K589" s="80">
        <v>0</v>
      </c>
      <c r="L589" s="608">
        <v>0</v>
      </c>
      <c r="M589" s="1539">
        <v>0</v>
      </c>
      <c r="N589" s="1540"/>
    </row>
    <row r="590" spans="1:14" s="512" customFormat="1">
      <c r="A590" s="254" t="s">
        <v>13</v>
      </c>
      <c r="B590" s="2063">
        <v>3</v>
      </c>
      <c r="C590" s="2059"/>
      <c r="D590" s="1447">
        <f t="shared" si="118"/>
        <v>26980.462800000001</v>
      </c>
      <c r="E590" s="1448"/>
      <c r="F590" s="2049">
        <f>0.0276*B590</f>
        <v>8.2799999999999999E-2</v>
      </c>
      <c r="G590" s="1904"/>
      <c r="H590" s="1309">
        <f>F590*15</f>
        <v>1.242</v>
      </c>
      <c r="I590" s="79">
        <v>0</v>
      </c>
      <c r="J590" s="79">
        <v>0</v>
      </c>
      <c r="K590" s="79">
        <f>B590*250</f>
        <v>750</v>
      </c>
      <c r="L590" s="1295">
        <f>I590+J590+K590</f>
        <v>750</v>
      </c>
      <c r="M590" s="1427">
        <f>L590/(F590*427)</f>
        <v>21.213046872348368</v>
      </c>
      <c r="N590" s="1428"/>
    </row>
    <row r="591" spans="1:14">
      <c r="A591" s="254" t="s">
        <v>15</v>
      </c>
      <c r="B591" s="2053">
        <v>0</v>
      </c>
      <c r="C591" s="1649"/>
      <c r="D591" s="1423">
        <f t="shared" si="118"/>
        <v>0</v>
      </c>
      <c r="E591" s="1424"/>
      <c r="F591" s="1939">
        <f>0.1534*B591</f>
        <v>0</v>
      </c>
      <c r="G591" s="1940"/>
      <c r="H591" s="955">
        <f>F591*5</f>
        <v>0</v>
      </c>
      <c r="I591" s="80">
        <v>0</v>
      </c>
      <c r="J591" s="80">
        <v>0</v>
      </c>
      <c r="K591" s="80">
        <v>0</v>
      </c>
      <c r="L591" s="608">
        <f>I591+J591+K591</f>
        <v>0</v>
      </c>
      <c r="M591" s="1539">
        <v>0</v>
      </c>
      <c r="N591" s="1540"/>
    </row>
    <row r="592" spans="1:14">
      <c r="A592" s="254" t="s">
        <v>16</v>
      </c>
      <c r="B592" s="2053">
        <v>0</v>
      </c>
      <c r="C592" s="1649"/>
      <c r="D592" s="1423">
        <f t="shared" si="118"/>
        <v>0</v>
      </c>
      <c r="E592" s="1424"/>
      <c r="F592" s="1939">
        <f>0.004*B592</f>
        <v>0</v>
      </c>
      <c r="G592" s="1940"/>
      <c r="H592" s="955">
        <f>F592*5</f>
        <v>0</v>
      </c>
      <c r="I592" s="80">
        <v>0</v>
      </c>
      <c r="J592" s="80">
        <v>0</v>
      </c>
      <c r="K592" s="80">
        <v>0</v>
      </c>
      <c r="L592" s="608">
        <f>I592+J592+K592</f>
        <v>0</v>
      </c>
      <c r="M592" s="1539">
        <v>0</v>
      </c>
      <c r="N592" s="1540"/>
    </row>
    <row r="593" spans="1:14" s="512" customFormat="1" ht="14" thickBot="1">
      <c r="A593" s="254" t="s">
        <v>69</v>
      </c>
      <c r="B593" s="2063">
        <v>0</v>
      </c>
      <c r="C593" s="2059"/>
      <c r="D593" s="1447">
        <f t="shared" si="118"/>
        <v>0</v>
      </c>
      <c r="E593" s="1448"/>
      <c r="F593" s="2049">
        <f>3.2*B593</f>
        <v>0</v>
      </c>
      <c r="G593" s="1904"/>
      <c r="H593" s="1309">
        <f>F593*5</f>
        <v>0</v>
      </c>
      <c r="I593" s="79">
        <v>0</v>
      </c>
      <c r="J593" s="79">
        <v>0</v>
      </c>
      <c r="K593" s="79">
        <v>0</v>
      </c>
      <c r="L593" s="1295">
        <v>0</v>
      </c>
      <c r="M593" s="1427">
        <v>0</v>
      </c>
      <c r="N593" s="1428"/>
    </row>
    <row r="594" spans="1:14" ht="14" thickBot="1">
      <c r="A594" s="256" t="s">
        <v>60</v>
      </c>
      <c r="B594" s="1438">
        <f>SUM(B588:C593)</f>
        <v>3</v>
      </c>
      <c r="C594" s="1609"/>
      <c r="D594" s="1441">
        <f>SUM(D587:E593)</f>
        <v>26980.462800000001</v>
      </c>
      <c r="E594" s="1609"/>
      <c r="F594" s="1440">
        <f>SUM(F587:G593)</f>
        <v>8.2799999999999999E-2</v>
      </c>
      <c r="G594" s="1621"/>
      <c r="H594" s="56">
        <f>SUM(H588:H593)</f>
        <v>1.242</v>
      </c>
      <c r="I594" s="619">
        <f>SUM(I588:I593)</f>
        <v>0</v>
      </c>
      <c r="J594" s="56">
        <f>SUM(J588:J593)</f>
        <v>0</v>
      </c>
      <c r="K594" s="56">
        <f>SUM(K588:K593)</f>
        <v>750</v>
      </c>
      <c r="L594" s="610">
        <f>SUM(L588:L593)</f>
        <v>750</v>
      </c>
      <c r="M594" s="1657"/>
      <c r="N594" s="1622"/>
    </row>
    <row r="595" spans="1:14" s="1161" customFormat="1" ht="17" thickBot="1">
      <c r="A595" s="1183" t="s">
        <v>17</v>
      </c>
      <c r="B595" s="1665">
        <f>SUM(B594,B586,B583)</f>
        <v>1422</v>
      </c>
      <c r="C595" s="1684"/>
      <c r="D595" s="1665">
        <f>SUM(D594,D586,D583)</f>
        <v>15488518.6086</v>
      </c>
      <c r="E595" s="1684"/>
      <c r="F595" s="1665">
        <f>SUM(F594,F586,F583)</f>
        <v>47.532407916538816</v>
      </c>
      <c r="G595" s="1684"/>
      <c r="H595" s="1305">
        <f>SUM(H594,H583,H586)</f>
        <v>899.62103958269415</v>
      </c>
      <c r="I595" s="1189">
        <f>SUM(I594,I586,I583)</f>
        <v>0</v>
      </c>
      <c r="J595" s="1189">
        <f>SUM(J594,J586,J583)</f>
        <v>104281</v>
      </c>
      <c r="K595" s="1189">
        <f>SUM(K594,K586,K583)</f>
        <v>99400</v>
      </c>
      <c r="L595" s="1189">
        <f>SUM(L594,L586,L583)</f>
        <v>203681</v>
      </c>
      <c r="M595" s="1668"/>
      <c r="N595" s="1669"/>
    </row>
    <row r="596" spans="1:14">
      <c r="F596" s="659"/>
      <c r="G596" s="659"/>
    </row>
    <row r="597" spans="1:14" ht="15">
      <c r="A597" s="9" t="s">
        <v>18</v>
      </c>
      <c r="B597" s="1566" t="s">
        <v>59</v>
      </c>
      <c r="C597" s="1566"/>
      <c r="D597" s="1566"/>
      <c r="E597" s="1641"/>
      <c r="F597" s="659"/>
      <c r="G597" s="659"/>
    </row>
    <row r="598" spans="1:14">
      <c r="B598" s="1559" t="s">
        <v>19</v>
      </c>
      <c r="C598" s="1559"/>
      <c r="D598" s="1559"/>
      <c r="E598" s="1559"/>
      <c r="F598" s="659"/>
      <c r="G598" s="659"/>
    </row>
    <row r="599" spans="1:14" s="646" customFormat="1" ht="16">
      <c r="A599" s="348"/>
      <c r="B599" s="349"/>
      <c r="C599" s="349"/>
      <c r="D599" s="349"/>
      <c r="E599" s="349"/>
      <c r="F599" s="350"/>
      <c r="G599" s="350"/>
      <c r="H599" s="418"/>
      <c r="I599" s="2046" t="s">
        <v>0</v>
      </c>
      <c r="J599" s="2046"/>
      <c r="K599" s="2046"/>
      <c r="L599" s="2046"/>
      <c r="M599" s="349"/>
      <c r="N599" s="344"/>
    </row>
    <row r="600" spans="1:14" ht="16">
      <c r="A600" s="97"/>
      <c r="B600" s="1469" t="s">
        <v>1</v>
      </c>
      <c r="C600" s="1469"/>
      <c r="D600" s="1469" t="s">
        <v>2</v>
      </c>
      <c r="E600" s="1469"/>
      <c r="F600" s="1863" t="s">
        <v>3</v>
      </c>
      <c r="G600" s="1863"/>
      <c r="H600" s="602" t="s">
        <v>3</v>
      </c>
      <c r="I600" s="127" t="s">
        <v>195</v>
      </c>
      <c r="J600" s="102"/>
      <c r="K600" s="102"/>
      <c r="L600" s="128"/>
      <c r="M600" s="1469" t="s">
        <v>4</v>
      </c>
      <c r="N600" s="1526"/>
    </row>
    <row r="601" spans="1:14" s="512" customFormat="1" ht="19" thickBot="1">
      <c r="A601" s="1345" t="s">
        <v>5</v>
      </c>
      <c r="B601" s="2061" t="s">
        <v>6</v>
      </c>
      <c r="C601" s="2061"/>
      <c r="D601" s="2061" t="s">
        <v>7</v>
      </c>
      <c r="E601" s="2061"/>
      <c r="F601" s="2060" t="s">
        <v>7</v>
      </c>
      <c r="G601" s="2060"/>
      <c r="H601" s="1374" t="s">
        <v>58</v>
      </c>
      <c r="I601" s="1347" t="s">
        <v>196</v>
      </c>
      <c r="J601" s="1348" t="s">
        <v>8</v>
      </c>
      <c r="K601" s="1348" t="s">
        <v>9</v>
      </c>
      <c r="L601" s="1349" t="s">
        <v>10</v>
      </c>
      <c r="M601" s="2061" t="s">
        <v>145</v>
      </c>
      <c r="N601" s="2062"/>
    </row>
    <row r="602" spans="1:14" ht="24" thickBot="1">
      <c r="A602" s="88" t="s">
        <v>136</v>
      </c>
      <c r="B602" s="1482"/>
      <c r="C602" s="2021"/>
      <c r="D602" s="2022"/>
      <c r="E602" s="2023"/>
      <c r="F602" s="2024"/>
      <c r="G602" s="2025"/>
      <c r="H602" s="647"/>
      <c r="I602" s="213"/>
      <c r="J602" s="213"/>
      <c r="K602" s="213"/>
      <c r="L602" s="214"/>
      <c r="M602" s="1482"/>
      <c r="N602" s="1483"/>
    </row>
    <row r="603" spans="1:14" s="1161" customFormat="1" ht="17" thickBot="1">
      <c r="A603" s="108" t="s">
        <v>61</v>
      </c>
      <c r="B603" s="1567"/>
      <c r="C603" s="1586"/>
      <c r="D603" s="1567"/>
      <c r="E603" s="1586"/>
      <c r="F603" s="1619"/>
      <c r="G603" s="1620"/>
      <c r="H603" s="1299"/>
      <c r="I603" s="109"/>
      <c r="J603" s="109"/>
      <c r="K603" s="109"/>
      <c r="L603" s="1296"/>
      <c r="M603" s="1617"/>
      <c r="N603" s="1486"/>
    </row>
    <row r="604" spans="1:14">
      <c r="A604" s="513" t="s">
        <v>62</v>
      </c>
      <c r="B604" s="1489">
        <v>100</v>
      </c>
      <c r="C604" s="1649"/>
      <c r="D604" s="1423">
        <f>F604*325851</f>
        <v>1130702.97</v>
      </c>
      <c r="E604" s="1424"/>
      <c r="F604" s="1941">
        <f>0.0347*B604</f>
        <v>3.47</v>
      </c>
      <c r="G604" s="1940"/>
      <c r="H604" s="955">
        <f>F604*20</f>
        <v>69.400000000000006</v>
      </c>
      <c r="I604" s="80">
        <v>0</v>
      </c>
      <c r="J604" s="80">
        <v>200</v>
      </c>
      <c r="K604" s="80">
        <v>6000</v>
      </c>
      <c r="L604" s="591">
        <f>I604+J604+K604</f>
        <v>6200</v>
      </c>
      <c r="M604" s="1651">
        <v>4.8</v>
      </c>
      <c r="N604" s="1652"/>
    </row>
    <row r="605" spans="1:14">
      <c r="A605" s="78" t="s">
        <v>63</v>
      </c>
      <c r="B605" s="1489">
        <v>44</v>
      </c>
      <c r="C605" s="1649"/>
      <c r="D605" s="1423">
        <f>F605*325851</f>
        <v>497509.30680000008</v>
      </c>
      <c r="E605" s="1424"/>
      <c r="F605" s="1941">
        <f>0.0347*B605</f>
        <v>1.5268000000000002</v>
      </c>
      <c r="G605" s="1940"/>
      <c r="H605" s="955">
        <f>F605*20</f>
        <v>30.536000000000001</v>
      </c>
      <c r="I605" s="80">
        <v>0</v>
      </c>
      <c r="J605" s="80">
        <v>484</v>
      </c>
      <c r="K605" s="80">
        <v>2640</v>
      </c>
      <c r="L605" s="591">
        <f>I605+J605+K605</f>
        <v>3124</v>
      </c>
      <c r="M605" s="1651">
        <v>5.3</v>
      </c>
      <c r="N605" s="1652"/>
    </row>
    <row r="606" spans="1:14">
      <c r="A606" s="78" t="s">
        <v>64</v>
      </c>
      <c r="B606" s="1489">
        <v>227</v>
      </c>
      <c r="C606" s="1649"/>
      <c r="D606" s="1423">
        <f>F606*325851</f>
        <v>2566695.7418999998</v>
      </c>
      <c r="E606" s="1424"/>
      <c r="F606" s="1941">
        <f>0.0347*B606</f>
        <v>7.8769</v>
      </c>
      <c r="G606" s="1940"/>
      <c r="H606" s="955">
        <f>F606*20</f>
        <v>157.53800000000001</v>
      </c>
      <c r="I606" s="80">
        <v>0</v>
      </c>
      <c r="J606" s="80">
        <v>227</v>
      </c>
      <c r="K606" s="80">
        <v>13620</v>
      </c>
      <c r="L606" s="591">
        <f>I606+J606+K606</f>
        <v>13847</v>
      </c>
      <c r="M606" s="1651">
        <v>4.5999999999999996</v>
      </c>
      <c r="N606" s="1652"/>
    </row>
    <row r="607" spans="1:14">
      <c r="A607" s="78" t="s">
        <v>13</v>
      </c>
      <c r="B607" s="1489">
        <v>244</v>
      </c>
      <c r="C607" s="1649"/>
      <c r="D607" s="1423">
        <f>F607*325851</f>
        <v>2194410.9744000002</v>
      </c>
      <c r="E607" s="1424"/>
      <c r="F607" s="1941">
        <f>0.0276*B607</f>
        <v>6.7343999999999999</v>
      </c>
      <c r="G607" s="1940"/>
      <c r="H607" s="955">
        <f>F607*15</f>
        <v>101.01600000000001</v>
      </c>
      <c r="I607" s="80">
        <v>0</v>
      </c>
      <c r="J607" s="80">
        <v>244</v>
      </c>
      <c r="K607" s="80">
        <v>26840</v>
      </c>
      <c r="L607" s="591">
        <f>I607+J607+K607</f>
        <v>27084</v>
      </c>
      <c r="M607" s="1651">
        <v>5.7</v>
      </c>
      <c r="N607" s="1652"/>
    </row>
    <row r="608" spans="1:14" ht="14" thickBot="1">
      <c r="A608" s="76" t="s">
        <v>14</v>
      </c>
      <c r="B608" s="1489">
        <v>63</v>
      </c>
      <c r="C608" s="1649"/>
      <c r="D608" s="1423">
        <v>802854</v>
      </c>
      <c r="E608" s="1424"/>
      <c r="F608" s="1941">
        <v>2.46</v>
      </c>
      <c r="G608" s="1940"/>
      <c r="H608" s="955">
        <f>F608*5</f>
        <v>12.3</v>
      </c>
      <c r="I608" s="80">
        <v>0</v>
      </c>
      <c r="J608" s="80">
        <v>3339</v>
      </c>
      <c r="K608" s="80">
        <v>0</v>
      </c>
      <c r="L608" s="591">
        <f>I608+J608+K608</f>
        <v>3339</v>
      </c>
      <c r="M608" s="1651">
        <v>2</v>
      </c>
      <c r="N608" s="1652"/>
    </row>
    <row r="609" spans="1:14" ht="14" thickBot="1">
      <c r="A609" s="53" t="s">
        <v>60</v>
      </c>
      <c r="B609" s="1440">
        <f>SUM(B604:C608)</f>
        <v>678</v>
      </c>
      <c r="C609" s="1621"/>
      <c r="D609" s="1441">
        <f>SUM(D604:E608)</f>
        <v>7192172.9931000005</v>
      </c>
      <c r="E609" s="1621"/>
      <c r="F609" s="1441">
        <f>SUM(F604:G608)</f>
        <v>22.068100000000001</v>
      </c>
      <c r="G609" s="1609"/>
      <c r="H609" s="586">
        <f>SUM(H604:H608)</f>
        <v>370.79000000000008</v>
      </c>
      <c r="I609" s="619">
        <f>SUM(I604:I608)</f>
        <v>0</v>
      </c>
      <c r="J609" s="619">
        <f>SUM(J604:J608)</f>
        <v>4494</v>
      </c>
      <c r="K609" s="619">
        <f>SUM(K604:K608)</f>
        <v>49100</v>
      </c>
      <c r="L609" s="619">
        <f>SUM(L604:L608)</f>
        <v>53594</v>
      </c>
      <c r="M609" s="1657"/>
      <c r="N609" s="1622"/>
    </row>
    <row r="610" spans="1:14" s="1161" customFormat="1" ht="17" thickBot="1">
      <c r="A610" s="1246" t="s">
        <v>147</v>
      </c>
      <c r="B610" s="1457"/>
      <c r="C610" s="1586"/>
      <c r="D610" s="1567"/>
      <c r="E610" s="1586"/>
      <c r="F610" s="1900"/>
      <c r="G610" s="1883"/>
      <c r="H610" s="1299"/>
      <c r="I610" s="109"/>
      <c r="J610" s="109"/>
      <c r="K610" s="109"/>
      <c r="L610" s="1296"/>
      <c r="M610" s="1617"/>
      <c r="N610" s="1486"/>
    </row>
    <row r="611" spans="1:14" ht="14" thickBot="1">
      <c r="A611" s="78" t="s">
        <v>11</v>
      </c>
      <c r="B611" s="1489">
        <v>116</v>
      </c>
      <c r="C611" s="1649"/>
      <c r="D611" s="1423">
        <f>F611*325851</f>
        <v>1311615.4452</v>
      </c>
      <c r="E611" s="1424"/>
      <c r="F611" s="1941">
        <f>0.0347*B611</f>
        <v>4.0251999999999999</v>
      </c>
      <c r="G611" s="1940"/>
      <c r="H611" s="955">
        <f>F611*20</f>
        <v>80.503999999999991</v>
      </c>
      <c r="I611" s="80">
        <v>0</v>
      </c>
      <c r="J611" s="80">
        <v>3944</v>
      </c>
      <c r="K611" s="80">
        <v>6960</v>
      </c>
      <c r="L611" s="591">
        <f>I611+J611+K611</f>
        <v>10904</v>
      </c>
      <c r="M611" s="1651">
        <v>4.2</v>
      </c>
      <c r="N611" s="1652"/>
    </row>
    <row r="612" spans="1:14" ht="14" thickBot="1">
      <c r="A612" s="53" t="s">
        <v>60</v>
      </c>
      <c r="B612" s="1440">
        <f>SUM(B611)</f>
        <v>116</v>
      </c>
      <c r="C612" s="1439"/>
      <c r="D612" s="1441">
        <f>SUM(D611)</f>
        <v>1311615.4452</v>
      </c>
      <c r="E612" s="1439"/>
      <c r="F612" s="1440">
        <f>SUM(F611)</f>
        <v>4.0251999999999999</v>
      </c>
      <c r="G612" s="1439"/>
      <c r="H612" s="586">
        <f>SUM(H611)</f>
        <v>80.503999999999991</v>
      </c>
      <c r="I612" s="586">
        <f>SUM(I611)</f>
        <v>0</v>
      </c>
      <c r="J612" s="586">
        <f>SUM(J611)</f>
        <v>3944</v>
      </c>
      <c r="K612" s="586">
        <f>SUM(K611)</f>
        <v>6960</v>
      </c>
      <c r="L612" s="586">
        <f>SUM(L611)</f>
        <v>10904</v>
      </c>
      <c r="M612" s="1657"/>
      <c r="N612" s="1790"/>
    </row>
    <row r="613" spans="1:14" s="1161" customFormat="1" ht="17" thickBot="1">
      <c r="A613" s="108" t="s">
        <v>50</v>
      </c>
      <c r="B613" s="1457"/>
      <c r="C613" s="1586"/>
      <c r="D613" s="1567"/>
      <c r="E613" s="1586"/>
      <c r="F613" s="1619"/>
      <c r="G613" s="1620"/>
      <c r="H613" s="1299"/>
      <c r="I613" s="109"/>
      <c r="J613" s="109"/>
      <c r="K613" s="109"/>
      <c r="L613" s="1296"/>
      <c r="M613" s="1617"/>
      <c r="N613" s="1486"/>
    </row>
    <row r="614" spans="1:14">
      <c r="A614" s="78" t="s">
        <v>13</v>
      </c>
      <c r="B614" s="1489">
        <v>16</v>
      </c>
      <c r="C614" s="1649"/>
      <c r="D614" s="1423">
        <f>F614*325851</f>
        <v>143895.80160000001</v>
      </c>
      <c r="E614" s="1424"/>
      <c r="F614" s="1549">
        <f>0.0276*B614</f>
        <v>0.44159999999999999</v>
      </c>
      <c r="G614" s="1550"/>
      <c r="H614" s="930">
        <f>F614*15</f>
        <v>6.6239999999999997</v>
      </c>
      <c r="I614" s="80">
        <v>0</v>
      </c>
      <c r="J614" s="80">
        <v>0</v>
      </c>
      <c r="K614" s="80">
        <v>4000</v>
      </c>
      <c r="L614" s="591">
        <f>I614+J614+K614</f>
        <v>4000</v>
      </c>
      <c r="M614" s="1651">
        <v>5</v>
      </c>
      <c r="N614" s="1652"/>
    </row>
    <row r="615" spans="1:14">
      <c r="A615" s="76" t="s">
        <v>75</v>
      </c>
      <c r="B615" s="1489">
        <v>17</v>
      </c>
      <c r="C615" s="1649"/>
      <c r="D615" s="1423">
        <f>F615*325851</f>
        <v>849754.2378</v>
      </c>
      <c r="E615" s="1424"/>
      <c r="F615" s="1549">
        <f>0.1534*B615</f>
        <v>2.6078000000000001</v>
      </c>
      <c r="G615" s="1550"/>
      <c r="H615" s="930">
        <f>F615*5</f>
        <v>13.039000000000001</v>
      </c>
      <c r="I615" s="80">
        <v>0</v>
      </c>
      <c r="J615" s="80">
        <v>1700</v>
      </c>
      <c r="K615" s="80">
        <v>1700</v>
      </c>
      <c r="L615" s="591">
        <f>I615+J615+K615</f>
        <v>3400</v>
      </c>
      <c r="M615" s="1651">
        <v>3.1</v>
      </c>
      <c r="N615" s="1652"/>
    </row>
    <row r="616" spans="1:14">
      <c r="A616" s="76" t="s">
        <v>71</v>
      </c>
      <c r="B616" s="1489">
        <v>1</v>
      </c>
      <c r="C616" s="1649"/>
      <c r="D616" s="1423">
        <f>F616*325851</f>
        <v>49985.543400000002</v>
      </c>
      <c r="E616" s="1424"/>
      <c r="F616" s="1549">
        <f>0.1534*B616</f>
        <v>0.15340000000000001</v>
      </c>
      <c r="G616" s="1550"/>
      <c r="H616" s="930">
        <f>F616*5</f>
        <v>0.76700000000000002</v>
      </c>
      <c r="I616" s="80">
        <v>0</v>
      </c>
      <c r="J616" s="80">
        <v>0</v>
      </c>
      <c r="K616" s="80">
        <v>100</v>
      </c>
      <c r="L616" s="591">
        <f>I616+J616+K616</f>
        <v>100</v>
      </c>
      <c r="M616" s="1651">
        <v>1.2</v>
      </c>
      <c r="N616" s="1652"/>
    </row>
    <row r="617" spans="1:14" s="512" customFormat="1" ht="14" thickBot="1">
      <c r="A617" s="76" t="s">
        <v>16</v>
      </c>
      <c r="B617" s="1981">
        <v>0</v>
      </c>
      <c r="C617" s="2059"/>
      <c r="D617" s="1447">
        <f>F617*325851</f>
        <v>0</v>
      </c>
      <c r="E617" s="1448"/>
      <c r="F617" s="1557">
        <f>0.004*B617</f>
        <v>0</v>
      </c>
      <c r="G617" s="1558"/>
      <c r="H617" s="1303">
        <f>F617*5</f>
        <v>0</v>
      </c>
      <c r="I617" s="79">
        <v>0</v>
      </c>
      <c r="J617" s="79">
        <v>0</v>
      </c>
      <c r="K617" s="79">
        <v>0</v>
      </c>
      <c r="L617" s="1295">
        <f>I617+J617+K617</f>
        <v>0</v>
      </c>
      <c r="M617" s="2057">
        <v>0</v>
      </c>
      <c r="N617" s="2058"/>
    </row>
    <row r="618" spans="1:14" ht="14" thickBot="1">
      <c r="A618" s="53" t="s">
        <v>60</v>
      </c>
      <c r="B618" s="1440">
        <f>SUM(B614:C617)</f>
        <v>34</v>
      </c>
      <c r="C618" s="1621"/>
      <c r="D618" s="1441">
        <f>SUM(D614:E617)</f>
        <v>1043635.5828</v>
      </c>
      <c r="E618" s="1609"/>
      <c r="F618" s="1440">
        <f>SUM(F614:G617)</f>
        <v>3.2028000000000003</v>
      </c>
      <c r="G618" s="1609"/>
      <c r="H618" s="56">
        <f>SUM(H614:H617)</f>
        <v>20.43</v>
      </c>
      <c r="I618" s="619">
        <f>SUM(I614:I617)</f>
        <v>0</v>
      </c>
      <c r="J618" s="592">
        <f>SUM(J614:J617)</f>
        <v>1700</v>
      </c>
      <c r="K618" s="56">
        <f>SUM(K614:K617)</f>
        <v>5800</v>
      </c>
      <c r="L618" s="56">
        <f>SUM(L614:L617)</f>
        <v>7500</v>
      </c>
      <c r="M618" s="1657"/>
      <c r="N618" s="1622"/>
    </row>
    <row r="619" spans="1:14" s="1161" customFormat="1" ht="17" thickBot="1">
      <c r="A619" s="1183" t="s">
        <v>17</v>
      </c>
      <c r="B619" s="1665">
        <f>SUM(B618,B609,B612)</f>
        <v>828</v>
      </c>
      <c r="C619" s="1684"/>
      <c r="D619" s="1665">
        <f>SUM(D618,D609,D612)</f>
        <v>9547424.0210999995</v>
      </c>
      <c r="E619" s="1684"/>
      <c r="F619" s="1665">
        <f>SUM(F618,F609,F612)</f>
        <v>29.296100000000003</v>
      </c>
      <c r="G619" s="1684"/>
      <c r="H619" s="1305">
        <f>SUM(H618,H609,H612)</f>
        <v>471.72400000000005</v>
      </c>
      <c r="I619" s="1189">
        <f>SUM(I618,I612,I609)</f>
        <v>0</v>
      </c>
      <c r="J619" s="1188">
        <f>SUM(J618,J612,J609)</f>
        <v>10138</v>
      </c>
      <c r="K619" s="1188">
        <f>SUM(K618,K612,K609)</f>
        <v>61860</v>
      </c>
      <c r="L619" s="1188">
        <f>SUM(L618,L612,L609)</f>
        <v>71998</v>
      </c>
      <c r="M619" s="1668"/>
      <c r="N619" s="1669"/>
    </row>
    <row r="620" spans="1:14" s="512" customFormat="1">
      <c r="H620" s="668"/>
    </row>
    <row r="621" spans="1:14" ht="14" thickBot="1"/>
    <row r="622" spans="1:14" ht="24" thickBot="1">
      <c r="A622" s="88" t="s">
        <v>137</v>
      </c>
      <c r="B622" s="509"/>
      <c r="C622" s="662"/>
      <c r="D622" s="661"/>
      <c r="E622" s="662"/>
      <c r="F622" s="663"/>
      <c r="G622" s="664"/>
      <c r="H622" s="665"/>
      <c r="I622" s="666"/>
      <c r="J622" s="666"/>
      <c r="K622" s="666"/>
      <c r="L622" s="666"/>
      <c r="M622" s="509"/>
      <c r="N622" s="510"/>
    </row>
    <row r="623" spans="1:14" s="1161" customFormat="1" ht="17" thickBot="1">
      <c r="A623" s="108" t="s">
        <v>74</v>
      </c>
      <c r="B623" s="1457"/>
      <c r="C623" s="1586"/>
      <c r="D623" s="1567"/>
      <c r="E623" s="1586"/>
      <c r="F623" s="1619"/>
      <c r="G623" s="1620"/>
      <c r="H623" s="1299"/>
      <c r="I623" s="109"/>
      <c r="J623" s="109"/>
      <c r="K623" s="109"/>
      <c r="L623" s="1296"/>
      <c r="M623" s="1617"/>
      <c r="N623" s="1486"/>
    </row>
    <row r="624" spans="1:14">
      <c r="A624" s="78" t="s">
        <v>62</v>
      </c>
      <c r="B624" s="1489">
        <v>100</v>
      </c>
      <c r="C624" s="1649"/>
      <c r="D624" s="1423">
        <f>F624*325851</f>
        <v>1130702.97</v>
      </c>
      <c r="E624" s="1424"/>
      <c r="F624" s="1941">
        <f>0.0347*B624</f>
        <v>3.47</v>
      </c>
      <c r="G624" s="1940"/>
      <c r="H624" s="955">
        <f>F624*20</f>
        <v>69.400000000000006</v>
      </c>
      <c r="I624" s="80">
        <v>0</v>
      </c>
      <c r="J624" s="80">
        <v>200</v>
      </c>
      <c r="K624" s="80">
        <v>6000</v>
      </c>
      <c r="L624" s="80">
        <f>I624+J624+K624</f>
        <v>6200</v>
      </c>
      <c r="M624" s="1651">
        <v>4.8</v>
      </c>
      <c r="N624" s="1652"/>
    </row>
    <row r="625" spans="1:14">
      <c r="A625" s="78" t="s">
        <v>63</v>
      </c>
      <c r="B625" s="1489">
        <v>39</v>
      </c>
      <c r="C625" s="1649"/>
      <c r="D625" s="1423">
        <f>F625*325851</f>
        <v>440974.15830000007</v>
      </c>
      <c r="E625" s="1424"/>
      <c r="F625" s="1941">
        <f>0.0347*B625</f>
        <v>1.3533000000000002</v>
      </c>
      <c r="G625" s="1940"/>
      <c r="H625" s="955">
        <f>F625*20</f>
        <v>27.066000000000003</v>
      </c>
      <c r="I625" s="80">
        <v>0</v>
      </c>
      <c r="J625" s="80">
        <v>429</v>
      </c>
      <c r="K625" s="80">
        <v>2340</v>
      </c>
      <c r="L625" s="80">
        <f>I625+J625+K625</f>
        <v>2769</v>
      </c>
      <c r="M625" s="1651">
        <v>5.5</v>
      </c>
      <c r="N625" s="1652"/>
    </row>
    <row r="626" spans="1:14" s="512" customFormat="1">
      <c r="A626" s="76" t="s">
        <v>64</v>
      </c>
      <c r="B626" s="1981">
        <v>12</v>
      </c>
      <c r="C626" s="2059"/>
      <c r="D626" s="1447">
        <f>F626*325851</f>
        <v>135684.35639999999</v>
      </c>
      <c r="E626" s="1448"/>
      <c r="F626" s="1903">
        <f>0.0347*B626</f>
        <v>0.41639999999999999</v>
      </c>
      <c r="G626" s="1904"/>
      <c r="H626" s="1309">
        <f>F626*20</f>
        <v>8.3279999999999994</v>
      </c>
      <c r="I626" s="79">
        <v>0</v>
      </c>
      <c r="J626" s="79">
        <v>12</v>
      </c>
      <c r="K626" s="79">
        <v>720</v>
      </c>
      <c r="L626" s="79">
        <f>I626+J626+K626</f>
        <v>732</v>
      </c>
      <c r="M626" s="2057">
        <v>4.3</v>
      </c>
      <c r="N626" s="2058"/>
    </row>
    <row r="627" spans="1:14">
      <c r="A627" s="78" t="s">
        <v>13</v>
      </c>
      <c r="B627" s="1489">
        <v>239</v>
      </c>
      <c r="C627" s="1649"/>
      <c r="D627" s="1423">
        <f>F627*325851</f>
        <v>2149443.5364000001</v>
      </c>
      <c r="E627" s="1424"/>
      <c r="F627" s="1941">
        <f>0.0276*B627</f>
        <v>6.5964</v>
      </c>
      <c r="G627" s="1940"/>
      <c r="H627" s="955">
        <f>F627*15</f>
        <v>98.945999999999998</v>
      </c>
      <c r="I627" s="80">
        <v>0</v>
      </c>
      <c r="J627" s="80">
        <v>239</v>
      </c>
      <c r="K627" s="80">
        <v>26290</v>
      </c>
      <c r="L627" s="80">
        <f>I627+J627+K627</f>
        <v>26529</v>
      </c>
      <c r="M627" s="1651">
        <v>5.7</v>
      </c>
      <c r="N627" s="1652"/>
    </row>
    <row r="628" spans="1:14" ht="14" thickBot="1">
      <c r="A628" s="78" t="s">
        <v>14</v>
      </c>
      <c r="B628" s="1489">
        <v>20</v>
      </c>
      <c r="C628" s="1649"/>
      <c r="D628" s="1423">
        <v>1246986</v>
      </c>
      <c r="E628" s="1424"/>
      <c r="F628" s="1941">
        <v>3.83</v>
      </c>
      <c r="G628" s="1940"/>
      <c r="H628" s="955">
        <f>F628*5</f>
        <v>19.149999999999999</v>
      </c>
      <c r="I628" s="80">
        <v>0</v>
      </c>
      <c r="J628" s="80">
        <v>1060</v>
      </c>
      <c r="K628" s="80">
        <v>0</v>
      </c>
      <c r="L628" s="80">
        <f>I628+J628+K628</f>
        <v>1060</v>
      </c>
      <c r="M628" s="1651">
        <v>2.1</v>
      </c>
      <c r="N628" s="1652"/>
    </row>
    <row r="629" spans="1:14" ht="14" thickBot="1">
      <c r="A629" s="53" t="s">
        <v>60</v>
      </c>
      <c r="B629" s="1440">
        <f>SUM(B624:C628)</f>
        <v>410</v>
      </c>
      <c r="C629" s="1621"/>
      <c r="D629" s="1441">
        <f>SUM(D624:E628)</f>
        <v>5103791.0210999995</v>
      </c>
      <c r="E629" s="1621"/>
      <c r="F629" s="1441">
        <f>SUM(F624:G628)</f>
        <v>15.666100000000002</v>
      </c>
      <c r="G629" s="1609"/>
      <c r="H629" s="586">
        <f>SUM(H624:H628)</f>
        <v>222.89000000000001</v>
      </c>
      <c r="I629" s="619">
        <f>SUM(I624:I628)</f>
        <v>0</v>
      </c>
      <c r="J629" s="619">
        <f>SUM(J624:J628)</f>
        <v>1940</v>
      </c>
      <c r="K629" s="619">
        <f>SUM(K624:K628)</f>
        <v>35350</v>
      </c>
      <c r="L629" s="619">
        <f>SUM(L624:L628)</f>
        <v>37290</v>
      </c>
      <c r="M629" s="1657"/>
      <c r="N629" s="1622"/>
    </row>
    <row r="630" spans="1:14" s="1161" customFormat="1" ht="17" thickBot="1">
      <c r="A630" s="1246" t="s">
        <v>147</v>
      </c>
      <c r="B630" s="1457"/>
      <c r="C630" s="1586"/>
      <c r="D630" s="1567"/>
      <c r="E630" s="1586"/>
      <c r="F630" s="1900"/>
      <c r="G630" s="1883"/>
      <c r="H630" s="1299"/>
      <c r="I630" s="109"/>
      <c r="J630" s="109"/>
      <c r="K630" s="109"/>
      <c r="L630" s="1296"/>
      <c r="M630" s="1617"/>
      <c r="N630" s="1486"/>
    </row>
    <row r="631" spans="1:14" ht="14" thickBot="1">
      <c r="A631" s="78" t="s">
        <v>11</v>
      </c>
      <c r="B631" s="1489">
        <v>83</v>
      </c>
      <c r="C631" s="1649"/>
      <c r="D631" s="1423">
        <f>F631*325851</f>
        <v>938483.46510000003</v>
      </c>
      <c r="E631" s="1424"/>
      <c r="F631" s="1941">
        <f>0.0347*B631</f>
        <v>2.8801000000000001</v>
      </c>
      <c r="G631" s="1940"/>
      <c r="H631" s="955">
        <f>F631*20</f>
        <v>57.602000000000004</v>
      </c>
      <c r="I631" s="80">
        <v>0</v>
      </c>
      <c r="J631" s="80">
        <v>2822</v>
      </c>
      <c r="K631" s="80">
        <v>4980</v>
      </c>
      <c r="L631" s="80">
        <f>I631+J631+K631</f>
        <v>7802</v>
      </c>
      <c r="M631" s="1651">
        <v>4.0999999999999996</v>
      </c>
      <c r="N631" s="1652"/>
    </row>
    <row r="632" spans="1:14" ht="14" thickBot="1">
      <c r="A632" s="53" t="s">
        <v>60</v>
      </c>
      <c r="B632" s="1440">
        <f>SUM(B631)</f>
        <v>83</v>
      </c>
      <c r="C632" s="1609"/>
      <c r="D632" s="1440">
        <f>SUM(D631)</f>
        <v>938483.46510000003</v>
      </c>
      <c r="E632" s="1621"/>
      <c r="F632" s="1441">
        <f>SUM(F631)</f>
        <v>2.8801000000000001</v>
      </c>
      <c r="G632" s="1609"/>
      <c r="H632" s="586">
        <f>SUM(H631)</f>
        <v>57.602000000000004</v>
      </c>
      <c r="I632" s="586">
        <f>SUM(I631)</f>
        <v>0</v>
      </c>
      <c r="J632" s="586">
        <f>SUM(J631)</f>
        <v>2822</v>
      </c>
      <c r="K632" s="586">
        <f>SUM(K631)</f>
        <v>4980</v>
      </c>
      <c r="L632" s="586">
        <f>SUM(L631)</f>
        <v>7802</v>
      </c>
      <c r="M632" s="1657"/>
      <c r="N632" s="1622"/>
    </row>
    <row r="633" spans="1:14" s="1161" customFormat="1" ht="17" thickBot="1">
      <c r="A633" s="108" t="s">
        <v>50</v>
      </c>
      <c r="B633" s="1457"/>
      <c r="C633" s="1586"/>
      <c r="D633" s="1567"/>
      <c r="E633" s="1586"/>
      <c r="F633" s="1619"/>
      <c r="G633" s="1913"/>
      <c r="H633" s="1299"/>
      <c r="I633" s="109"/>
      <c r="J633" s="109"/>
      <c r="K633" s="109"/>
      <c r="L633" s="1296"/>
      <c r="M633" s="1617"/>
      <c r="N633" s="1486"/>
    </row>
    <row r="634" spans="1:14">
      <c r="A634" s="78" t="s">
        <v>13</v>
      </c>
      <c r="B634" s="1489">
        <v>18</v>
      </c>
      <c r="C634" s="1649"/>
      <c r="D634" s="1423">
        <f>F634*325851</f>
        <v>161882.77679999999</v>
      </c>
      <c r="E634" s="1424"/>
      <c r="F634" s="1549">
        <f>0.0276*B634</f>
        <v>0.49680000000000002</v>
      </c>
      <c r="G634" s="1550"/>
      <c r="H634" s="930">
        <f>F634*15</f>
        <v>7.452</v>
      </c>
      <c r="I634" s="80">
        <v>0</v>
      </c>
      <c r="J634" s="80">
        <v>0</v>
      </c>
      <c r="K634" s="80">
        <v>4500</v>
      </c>
      <c r="L634" s="80">
        <f>I634+J634+K634</f>
        <v>4500</v>
      </c>
      <c r="M634" s="1539">
        <v>5</v>
      </c>
      <c r="N634" s="1540"/>
    </row>
    <row r="635" spans="1:14">
      <c r="A635" s="78" t="s">
        <v>15</v>
      </c>
      <c r="B635" s="1489">
        <v>11</v>
      </c>
      <c r="C635" s="1649"/>
      <c r="D635" s="1423">
        <f>F635*325851</f>
        <v>549840.97739999997</v>
      </c>
      <c r="E635" s="1424"/>
      <c r="F635" s="1549">
        <f>0.1534*B635</f>
        <v>1.6874</v>
      </c>
      <c r="G635" s="1550"/>
      <c r="H635" s="930">
        <f>F635*5</f>
        <v>8.4369999999999994</v>
      </c>
      <c r="I635" s="80">
        <v>0</v>
      </c>
      <c r="J635" s="80">
        <v>1100</v>
      </c>
      <c r="K635" s="80">
        <v>1100</v>
      </c>
      <c r="L635" s="80">
        <f>I635+J635+K635</f>
        <v>2200</v>
      </c>
      <c r="M635" s="1651">
        <v>3.1</v>
      </c>
      <c r="N635" s="1652"/>
    </row>
    <row r="636" spans="1:14">
      <c r="A636" s="76" t="s">
        <v>16</v>
      </c>
      <c r="B636" s="1489">
        <v>65</v>
      </c>
      <c r="C636" s="1649"/>
      <c r="D636" s="1423">
        <f>F636*325851</f>
        <v>84721.260000000009</v>
      </c>
      <c r="E636" s="1424"/>
      <c r="F636" s="1549">
        <f>0.004*B636</f>
        <v>0.26</v>
      </c>
      <c r="G636" s="1550"/>
      <c r="H636" s="930">
        <f>F636*5</f>
        <v>1.3</v>
      </c>
      <c r="I636" s="80">
        <v>0</v>
      </c>
      <c r="J636" s="80">
        <v>0</v>
      </c>
      <c r="K636" s="80">
        <v>3250</v>
      </c>
      <c r="L636" s="80">
        <f>I636+J636+K636</f>
        <v>3250</v>
      </c>
      <c r="M636" s="1651">
        <v>0.5</v>
      </c>
      <c r="N636" s="1652"/>
    </row>
    <row r="637" spans="1:14" s="512" customFormat="1">
      <c r="A637" s="76" t="s">
        <v>12</v>
      </c>
      <c r="B637" s="1981">
        <v>0</v>
      </c>
      <c r="C637" s="2059"/>
      <c r="D637" s="1447">
        <f>F637*325851</f>
        <v>0</v>
      </c>
      <c r="E637" s="1448"/>
      <c r="F637" s="1557">
        <f>3.2*B637</f>
        <v>0</v>
      </c>
      <c r="G637" s="1558"/>
      <c r="H637" s="1303">
        <f>F637*5</f>
        <v>0</v>
      </c>
      <c r="I637" s="79">
        <v>0</v>
      </c>
      <c r="J637" s="79">
        <v>0</v>
      </c>
      <c r="K637" s="79">
        <v>0</v>
      </c>
      <c r="L637" s="1295">
        <f>I637+J637+K637</f>
        <v>0</v>
      </c>
      <c r="M637" s="2057">
        <v>0</v>
      </c>
      <c r="N637" s="2058"/>
    </row>
    <row r="638" spans="1:14" ht="14" thickBot="1">
      <c r="A638" s="78" t="s">
        <v>21</v>
      </c>
      <c r="B638" s="1489" t="s">
        <v>22</v>
      </c>
      <c r="C638" s="1649"/>
      <c r="D638" s="1423" t="s">
        <v>22</v>
      </c>
      <c r="E638" s="1424"/>
      <c r="F638" s="1549" t="s">
        <v>22</v>
      </c>
      <c r="G638" s="1550"/>
      <c r="H638" s="930" t="s">
        <v>22</v>
      </c>
      <c r="I638" s="80" t="s">
        <v>22</v>
      </c>
      <c r="J638" s="80" t="s">
        <v>22</v>
      </c>
      <c r="K638" s="80" t="s">
        <v>22</v>
      </c>
      <c r="L638" s="80" t="s">
        <v>22</v>
      </c>
      <c r="M638" s="1651" t="s">
        <v>22</v>
      </c>
      <c r="N638" s="1652"/>
    </row>
    <row r="639" spans="1:14" ht="14" thickBot="1">
      <c r="A639" s="53" t="s">
        <v>60</v>
      </c>
      <c r="B639" s="1440">
        <f>SUM(B634:C638)</f>
        <v>94</v>
      </c>
      <c r="C639" s="1621"/>
      <c r="D639" s="1441">
        <f>SUM(D634:E638)</f>
        <v>796445.01419999998</v>
      </c>
      <c r="E639" s="1609"/>
      <c r="F639" s="1440">
        <f>SUM(F634:G638)</f>
        <v>2.4442000000000004</v>
      </c>
      <c r="G639" s="1609"/>
      <c r="H639" s="586">
        <f>SUM(H634:H638)</f>
        <v>17.189</v>
      </c>
      <c r="I639" s="604">
        <f>SUM(I634:I638)</f>
        <v>0</v>
      </c>
      <c r="J639" s="604">
        <f>SUM(J634:J638)</f>
        <v>1100</v>
      </c>
      <c r="K639" s="604">
        <f>SUM(K634:K638)</f>
        <v>8850</v>
      </c>
      <c r="L639" s="604">
        <f>SUM(L634:L638)</f>
        <v>9950</v>
      </c>
      <c r="M639" s="1657"/>
      <c r="N639" s="1622"/>
    </row>
    <row r="640" spans="1:14" s="1161" customFormat="1" ht="17" thickBot="1">
      <c r="A640" s="1183" t="s">
        <v>17</v>
      </c>
      <c r="B640" s="1665">
        <f>SUM(B639,B632,B629)</f>
        <v>587</v>
      </c>
      <c r="C640" s="1664"/>
      <c r="D640" s="1665">
        <f>SUM(D639,D632,D629)</f>
        <v>6838719.5003999993</v>
      </c>
      <c r="E640" s="1664"/>
      <c r="F640" s="1665">
        <f>SUM(F639,F632,F629)</f>
        <v>20.990400000000001</v>
      </c>
      <c r="G640" s="1664"/>
      <c r="H640" s="1305">
        <f>SUM(H639,H632,H629)</f>
        <v>297.68100000000004</v>
      </c>
      <c r="I640" s="1189">
        <f>SUM(I639,I632,I629)</f>
        <v>0</v>
      </c>
      <c r="J640" s="1189">
        <f>SUM(J639,J632,J629)</f>
        <v>5862</v>
      </c>
      <c r="K640" s="1189">
        <f>SUM(K639,K632,K629)</f>
        <v>49180</v>
      </c>
      <c r="L640" s="1189">
        <f>SUM(L639,L632,L629)</f>
        <v>55042</v>
      </c>
      <c r="M640" s="1668"/>
      <c r="N640" s="1669"/>
    </row>
    <row r="641" spans="1:14">
      <c r="A641" s="512"/>
      <c r="B641" s="512"/>
      <c r="C641" s="512"/>
      <c r="D641" s="512"/>
      <c r="E641" s="512"/>
      <c r="F641" s="667"/>
      <c r="G641" s="667"/>
      <c r="H641" s="668"/>
      <c r="I641" s="512"/>
      <c r="J641" s="512"/>
      <c r="K641" s="512"/>
      <c r="L641" s="512"/>
      <c r="M641" s="512"/>
      <c r="N641" s="512"/>
    </row>
    <row r="642" spans="1:14" ht="15">
      <c r="A642" s="9" t="s">
        <v>18</v>
      </c>
      <c r="B642" s="1566" t="s">
        <v>59</v>
      </c>
      <c r="C642" s="1566"/>
      <c r="D642" s="1566"/>
      <c r="E642" s="1641"/>
      <c r="F642" s="659"/>
      <c r="G642" s="659"/>
    </row>
    <row r="643" spans="1:14">
      <c r="B643" s="1559" t="s">
        <v>19</v>
      </c>
      <c r="C643" s="1559"/>
      <c r="D643" s="1559"/>
      <c r="E643" s="1559"/>
      <c r="F643" s="659"/>
      <c r="G643" s="659"/>
    </row>
    <row r="647" spans="1:14" s="1208" customFormat="1">
      <c r="H647" s="1211"/>
    </row>
  </sheetData>
  <mergeCells count="2294">
    <mergeCell ref="B76:C76"/>
    <mergeCell ref="D76:E76"/>
    <mergeCell ref="F76:G76"/>
    <mergeCell ref="M76:N76"/>
    <mergeCell ref="B78:E78"/>
    <mergeCell ref="B79:E79"/>
    <mergeCell ref="B71:C71"/>
    <mergeCell ref="D71:E71"/>
    <mergeCell ref="F71:G71"/>
    <mergeCell ref="M71:N71"/>
    <mergeCell ref="B72:C72"/>
    <mergeCell ref="D72:E72"/>
    <mergeCell ref="F72:G72"/>
    <mergeCell ref="M72:N72"/>
    <mergeCell ref="B73:C73"/>
    <mergeCell ref="D73:E73"/>
    <mergeCell ref="F73:G73"/>
    <mergeCell ref="B74:C74"/>
    <mergeCell ref="D74:E74"/>
    <mergeCell ref="F74:G74"/>
    <mergeCell ref="M74:N74"/>
    <mergeCell ref="B75:C75"/>
    <mergeCell ref="D75:E75"/>
    <mergeCell ref="F75:G75"/>
    <mergeCell ref="M75:N75"/>
    <mergeCell ref="B66:C66"/>
    <mergeCell ref="D66:E66"/>
    <mergeCell ref="F66:G66"/>
    <mergeCell ref="M66:N66"/>
    <mergeCell ref="B67:C67"/>
    <mergeCell ref="D67:E67"/>
    <mergeCell ref="F67:G67"/>
    <mergeCell ref="M67:N67"/>
    <mergeCell ref="B68:C68"/>
    <mergeCell ref="D68:E68"/>
    <mergeCell ref="F68:G68"/>
    <mergeCell ref="M68:N68"/>
    <mergeCell ref="B69:C69"/>
    <mergeCell ref="D69:E69"/>
    <mergeCell ref="F69:G69"/>
    <mergeCell ref="M69:N69"/>
    <mergeCell ref="B70:C70"/>
    <mergeCell ref="D70:E70"/>
    <mergeCell ref="F70:G70"/>
    <mergeCell ref="M70:N70"/>
    <mergeCell ref="B61:C61"/>
    <mergeCell ref="D61:E61"/>
    <mergeCell ref="F61:G61"/>
    <mergeCell ref="M61:N61"/>
    <mergeCell ref="B62:C62"/>
    <mergeCell ref="D62:E62"/>
    <mergeCell ref="F62:G62"/>
    <mergeCell ref="M62:N62"/>
    <mergeCell ref="B63:C63"/>
    <mergeCell ref="D63:E63"/>
    <mergeCell ref="F63:G63"/>
    <mergeCell ref="M63:N63"/>
    <mergeCell ref="B64:C64"/>
    <mergeCell ref="D64:E64"/>
    <mergeCell ref="F64:G64"/>
    <mergeCell ref="M64:N64"/>
    <mergeCell ref="B65:C65"/>
    <mergeCell ref="D65:E65"/>
    <mergeCell ref="F65:G65"/>
    <mergeCell ref="M65:N65"/>
    <mergeCell ref="B56:C56"/>
    <mergeCell ref="D56:E56"/>
    <mergeCell ref="F56:G56"/>
    <mergeCell ref="M56:N56"/>
    <mergeCell ref="B57:C57"/>
    <mergeCell ref="D57:E57"/>
    <mergeCell ref="F57:G57"/>
    <mergeCell ref="M57:N57"/>
    <mergeCell ref="B58:C58"/>
    <mergeCell ref="D58:E58"/>
    <mergeCell ref="F58:G58"/>
    <mergeCell ref="M58:N58"/>
    <mergeCell ref="B59:C59"/>
    <mergeCell ref="D59:E59"/>
    <mergeCell ref="F59:G59"/>
    <mergeCell ref="M59:N59"/>
    <mergeCell ref="B60:C60"/>
    <mergeCell ref="D60:E60"/>
    <mergeCell ref="F60:G60"/>
    <mergeCell ref="B51:C51"/>
    <mergeCell ref="D51:E51"/>
    <mergeCell ref="F51:G51"/>
    <mergeCell ref="M51:N51"/>
    <mergeCell ref="B52:C52"/>
    <mergeCell ref="D52:E52"/>
    <mergeCell ref="F52:G52"/>
    <mergeCell ref="M52:N52"/>
    <mergeCell ref="B53:C53"/>
    <mergeCell ref="D53:E53"/>
    <mergeCell ref="F53:G53"/>
    <mergeCell ref="M53:N53"/>
    <mergeCell ref="B54:C54"/>
    <mergeCell ref="D54:E54"/>
    <mergeCell ref="F54:G54"/>
    <mergeCell ref="B55:C55"/>
    <mergeCell ref="D55:E55"/>
    <mergeCell ref="F55:G55"/>
    <mergeCell ref="M55:N55"/>
    <mergeCell ref="B46:C46"/>
    <mergeCell ref="D46:E46"/>
    <mergeCell ref="F46:G46"/>
    <mergeCell ref="M46:N46"/>
    <mergeCell ref="B47:C47"/>
    <mergeCell ref="D47:E47"/>
    <mergeCell ref="F47:G47"/>
    <mergeCell ref="M47:N47"/>
    <mergeCell ref="B48:C48"/>
    <mergeCell ref="D48:E48"/>
    <mergeCell ref="F48:G48"/>
    <mergeCell ref="M48:N48"/>
    <mergeCell ref="B49:C49"/>
    <mergeCell ref="D49:E49"/>
    <mergeCell ref="F49:G49"/>
    <mergeCell ref="M49:N49"/>
    <mergeCell ref="B50:C50"/>
    <mergeCell ref="D50:E50"/>
    <mergeCell ref="F50:G50"/>
    <mergeCell ref="M50:N50"/>
    <mergeCell ref="I41:L41"/>
    <mergeCell ref="B42:C42"/>
    <mergeCell ref="D42:E42"/>
    <mergeCell ref="F42:G42"/>
    <mergeCell ref="M42:N42"/>
    <mergeCell ref="B43:C43"/>
    <mergeCell ref="D43:E43"/>
    <mergeCell ref="F43:G43"/>
    <mergeCell ref="M43:N43"/>
    <mergeCell ref="B44:C44"/>
    <mergeCell ref="D44:E44"/>
    <mergeCell ref="F44:G44"/>
    <mergeCell ref="M44:N44"/>
    <mergeCell ref="B45:C45"/>
    <mergeCell ref="D45:E45"/>
    <mergeCell ref="F45:G45"/>
    <mergeCell ref="M45:N45"/>
    <mergeCell ref="B328:E328"/>
    <mergeCell ref="B329:E329"/>
    <mergeCell ref="B319:C319"/>
    <mergeCell ref="D319:E319"/>
    <mergeCell ref="F319:G319"/>
    <mergeCell ref="M319:N319"/>
    <mergeCell ref="B320:C320"/>
    <mergeCell ref="D320:E320"/>
    <mergeCell ref="F320:G320"/>
    <mergeCell ref="M320:N320"/>
    <mergeCell ref="B325:C325"/>
    <mergeCell ref="D325:E325"/>
    <mergeCell ref="F325:G325"/>
    <mergeCell ref="M325:N325"/>
    <mergeCell ref="B326:C326"/>
    <mergeCell ref="D326:E326"/>
    <mergeCell ref="F326:G326"/>
    <mergeCell ref="M326:N326"/>
    <mergeCell ref="B324:C324"/>
    <mergeCell ref="D324:E324"/>
    <mergeCell ref="F324:G324"/>
    <mergeCell ref="M324:N324"/>
    <mergeCell ref="B321:C321"/>
    <mergeCell ref="D321:E321"/>
    <mergeCell ref="B323:C323"/>
    <mergeCell ref="D323:E323"/>
    <mergeCell ref="F323:G323"/>
    <mergeCell ref="M323:N323"/>
    <mergeCell ref="B322:C322"/>
    <mergeCell ref="D322:E322"/>
    <mergeCell ref="F322:G322"/>
    <mergeCell ref="M322:N322"/>
    <mergeCell ref="B137:C137"/>
    <mergeCell ref="D137:E137"/>
    <mergeCell ref="F137:G137"/>
    <mergeCell ref="M137:N137"/>
    <mergeCell ref="B177:C177"/>
    <mergeCell ref="D177:E177"/>
    <mergeCell ref="F177:G177"/>
    <mergeCell ref="M177:N177"/>
    <mergeCell ref="B314:C314"/>
    <mergeCell ref="D314:E314"/>
    <mergeCell ref="F314:G314"/>
    <mergeCell ref="M314:N314"/>
    <mergeCell ref="B315:C315"/>
    <mergeCell ref="D315:E315"/>
    <mergeCell ref="F315:G315"/>
    <mergeCell ref="M315:N315"/>
    <mergeCell ref="B312:C312"/>
    <mergeCell ref="D312:E312"/>
    <mergeCell ref="F312:G312"/>
    <mergeCell ref="M312:N312"/>
    <mergeCell ref="B313:C313"/>
    <mergeCell ref="D313:E313"/>
    <mergeCell ref="F313:G313"/>
    <mergeCell ref="M313:N313"/>
    <mergeCell ref="B306:C306"/>
    <mergeCell ref="D306:E306"/>
    <mergeCell ref="F306:G306"/>
    <mergeCell ref="M306:N306"/>
    <mergeCell ref="B307:C307"/>
    <mergeCell ref="D307:E307"/>
    <mergeCell ref="F307:G307"/>
    <mergeCell ref="M307:N307"/>
    <mergeCell ref="F321:G321"/>
    <mergeCell ref="M321:N321"/>
    <mergeCell ref="B318:C318"/>
    <mergeCell ref="D318:E318"/>
    <mergeCell ref="F318:G318"/>
    <mergeCell ref="M318:N318"/>
    <mergeCell ref="B310:C310"/>
    <mergeCell ref="D310:E310"/>
    <mergeCell ref="F310:G310"/>
    <mergeCell ref="M310:N310"/>
    <mergeCell ref="B311:C311"/>
    <mergeCell ref="D311:E311"/>
    <mergeCell ref="F311:G311"/>
    <mergeCell ref="M311:N311"/>
    <mergeCell ref="B308:C308"/>
    <mergeCell ref="D308:E308"/>
    <mergeCell ref="F308:G308"/>
    <mergeCell ref="M308:N308"/>
    <mergeCell ref="B309:C309"/>
    <mergeCell ref="D309:E309"/>
    <mergeCell ref="F309:G309"/>
    <mergeCell ref="M309:N309"/>
    <mergeCell ref="B316:C316"/>
    <mergeCell ref="D316:E316"/>
    <mergeCell ref="F316:G316"/>
    <mergeCell ref="M316:N316"/>
    <mergeCell ref="B317:C317"/>
    <mergeCell ref="D317:E317"/>
    <mergeCell ref="F317:G317"/>
    <mergeCell ref="M317:N317"/>
    <mergeCell ref="B304:C304"/>
    <mergeCell ref="D304:E304"/>
    <mergeCell ref="F304:G304"/>
    <mergeCell ref="M304:N304"/>
    <mergeCell ref="B305:C305"/>
    <mergeCell ref="D305:E305"/>
    <mergeCell ref="F305:G305"/>
    <mergeCell ref="M305:N305"/>
    <mergeCell ref="B301:C301"/>
    <mergeCell ref="D301:E301"/>
    <mergeCell ref="F301:G301"/>
    <mergeCell ref="M301:N301"/>
    <mergeCell ref="B303:C303"/>
    <mergeCell ref="D303:E303"/>
    <mergeCell ref="F303:G303"/>
    <mergeCell ref="M303:N303"/>
    <mergeCell ref="B302:C302"/>
    <mergeCell ref="D302:E302"/>
    <mergeCell ref="F302:G302"/>
    <mergeCell ref="M302:N302"/>
    <mergeCell ref="B298:C298"/>
    <mergeCell ref="D298:E298"/>
    <mergeCell ref="F298:G298"/>
    <mergeCell ref="M298:N298"/>
    <mergeCell ref="B300:C300"/>
    <mergeCell ref="D300:E300"/>
    <mergeCell ref="F300:G300"/>
    <mergeCell ref="M300:N300"/>
    <mergeCell ref="B296:C296"/>
    <mergeCell ref="D296:E296"/>
    <mergeCell ref="F296:G296"/>
    <mergeCell ref="M296:N296"/>
    <mergeCell ref="B297:C297"/>
    <mergeCell ref="D297:E297"/>
    <mergeCell ref="F297:G297"/>
    <mergeCell ref="M297:N297"/>
    <mergeCell ref="B294:C294"/>
    <mergeCell ref="D294:E294"/>
    <mergeCell ref="F294:G294"/>
    <mergeCell ref="M294:N294"/>
    <mergeCell ref="B295:C295"/>
    <mergeCell ref="D295:E295"/>
    <mergeCell ref="F295:G295"/>
    <mergeCell ref="M295:N295"/>
    <mergeCell ref="B299:C299"/>
    <mergeCell ref="D299:E299"/>
    <mergeCell ref="F299:G299"/>
    <mergeCell ref="M299:N299"/>
    <mergeCell ref="B292:C292"/>
    <mergeCell ref="D292:E292"/>
    <mergeCell ref="F292:G292"/>
    <mergeCell ref="M292:N292"/>
    <mergeCell ref="B293:C293"/>
    <mergeCell ref="D293:E293"/>
    <mergeCell ref="F293:G293"/>
    <mergeCell ref="M293:N293"/>
    <mergeCell ref="I289:L289"/>
    <mergeCell ref="B290:C290"/>
    <mergeCell ref="D290:E290"/>
    <mergeCell ref="F290:G290"/>
    <mergeCell ref="M290:N290"/>
    <mergeCell ref="B291:C291"/>
    <mergeCell ref="D291:E291"/>
    <mergeCell ref="F291:G291"/>
    <mergeCell ref="M291:N291"/>
    <mergeCell ref="B396:C396"/>
    <mergeCell ref="D396:E396"/>
    <mergeCell ref="F396:G396"/>
    <mergeCell ref="M396:N396"/>
    <mergeCell ref="B392:C392"/>
    <mergeCell ref="D392:E392"/>
    <mergeCell ref="F392:G392"/>
    <mergeCell ref="M392:N392"/>
    <mergeCell ref="B393:C393"/>
    <mergeCell ref="D393:E393"/>
    <mergeCell ref="B398:E398"/>
    <mergeCell ref="B399:E399"/>
    <mergeCell ref="B377:C377"/>
    <mergeCell ref="B378:C378"/>
    <mergeCell ref="M377:N377"/>
    <mergeCell ref="M378:N378"/>
    <mergeCell ref="B395:C395"/>
    <mergeCell ref="D395:E395"/>
    <mergeCell ref="F395:G395"/>
    <mergeCell ref="M395:N395"/>
    <mergeCell ref="F393:G393"/>
    <mergeCell ref="M393:N393"/>
    <mergeCell ref="B390:C390"/>
    <mergeCell ref="D390:E390"/>
    <mergeCell ref="F390:G390"/>
    <mergeCell ref="M390:N390"/>
    <mergeCell ref="B391:C391"/>
    <mergeCell ref="D391:E391"/>
    <mergeCell ref="F391:G391"/>
    <mergeCell ref="M391:N391"/>
    <mergeCell ref="B388:C388"/>
    <mergeCell ref="D388:E388"/>
    <mergeCell ref="F388:G388"/>
    <mergeCell ref="M388:N388"/>
    <mergeCell ref="B389:C389"/>
    <mergeCell ref="D389:E389"/>
    <mergeCell ref="F389:G389"/>
    <mergeCell ref="M389:N389"/>
    <mergeCell ref="B386:C386"/>
    <mergeCell ref="D386:E386"/>
    <mergeCell ref="F386:G386"/>
    <mergeCell ref="M386:N386"/>
    <mergeCell ref="B387:C387"/>
    <mergeCell ref="D387:E387"/>
    <mergeCell ref="F387:G387"/>
    <mergeCell ref="M387:N387"/>
    <mergeCell ref="B384:C384"/>
    <mergeCell ref="D384:E384"/>
    <mergeCell ref="F384:G384"/>
    <mergeCell ref="M384:N384"/>
    <mergeCell ref="B385:C385"/>
    <mergeCell ref="D385:E385"/>
    <mergeCell ref="F385:G385"/>
    <mergeCell ref="M385:N385"/>
    <mergeCell ref="B382:C382"/>
    <mergeCell ref="D382:E382"/>
    <mergeCell ref="F382:G382"/>
    <mergeCell ref="M382:N382"/>
    <mergeCell ref="B383:C383"/>
    <mergeCell ref="D383:E383"/>
    <mergeCell ref="F383:G383"/>
    <mergeCell ref="M383:N383"/>
    <mergeCell ref="B380:C380"/>
    <mergeCell ref="D380:E380"/>
    <mergeCell ref="F380:G380"/>
    <mergeCell ref="M380:N380"/>
    <mergeCell ref="B381:C381"/>
    <mergeCell ref="D381:E381"/>
    <mergeCell ref="F381:G381"/>
    <mergeCell ref="M381:N381"/>
    <mergeCell ref="B376:C376"/>
    <mergeCell ref="D376:E376"/>
    <mergeCell ref="F376:G376"/>
    <mergeCell ref="M376:N376"/>
    <mergeCell ref="B379:C379"/>
    <mergeCell ref="D379:E379"/>
    <mergeCell ref="F379:G379"/>
    <mergeCell ref="M379:N379"/>
    <mergeCell ref="D377:E377"/>
    <mergeCell ref="D378:E378"/>
    <mergeCell ref="F377:G377"/>
    <mergeCell ref="F378:G378"/>
    <mergeCell ref="D373:E373"/>
    <mergeCell ref="F373:G373"/>
    <mergeCell ref="M373:N373"/>
    <mergeCell ref="B374:C374"/>
    <mergeCell ref="D374:E374"/>
    <mergeCell ref="F374:G374"/>
    <mergeCell ref="M374:N374"/>
    <mergeCell ref="B372:C372"/>
    <mergeCell ref="D372:E372"/>
    <mergeCell ref="F372:G372"/>
    <mergeCell ref="M372:N372"/>
    <mergeCell ref="B370:C370"/>
    <mergeCell ref="D370:E370"/>
    <mergeCell ref="F370:G370"/>
    <mergeCell ref="M370:N370"/>
    <mergeCell ref="B371:C371"/>
    <mergeCell ref="D371:E371"/>
    <mergeCell ref="F371:G371"/>
    <mergeCell ref="M371:N371"/>
    <mergeCell ref="I442:L442"/>
    <mergeCell ref="B443:C443"/>
    <mergeCell ref="D443:E443"/>
    <mergeCell ref="F443:G443"/>
    <mergeCell ref="M443:N443"/>
    <mergeCell ref="B444:C444"/>
    <mergeCell ref="D444:E444"/>
    <mergeCell ref="F444:G444"/>
    <mergeCell ref="M444:N444"/>
    <mergeCell ref="B447:C447"/>
    <mergeCell ref="D447:E447"/>
    <mergeCell ref="F447:G447"/>
    <mergeCell ref="M447:N447"/>
    <mergeCell ref="F446:G446"/>
    <mergeCell ref="M446:N446"/>
    <mergeCell ref="B448:C448"/>
    <mergeCell ref="D448:E448"/>
    <mergeCell ref="F448:G448"/>
    <mergeCell ref="M448:N448"/>
    <mergeCell ref="B445:C445"/>
    <mergeCell ref="D445:E445"/>
    <mergeCell ref="F445:G445"/>
    <mergeCell ref="M445:N445"/>
    <mergeCell ref="B446:C446"/>
    <mergeCell ref="D446:E446"/>
    <mergeCell ref="B619:C619"/>
    <mergeCell ref="D619:E619"/>
    <mergeCell ref="M593:N593"/>
    <mergeCell ref="F584:G584"/>
    <mergeCell ref="D584:E584"/>
    <mergeCell ref="B584:C584"/>
    <mergeCell ref="B611:C611"/>
    <mergeCell ref="D611:E611"/>
    <mergeCell ref="D633:E633"/>
    <mergeCell ref="F633:G633"/>
    <mergeCell ref="M633:N633"/>
    <mergeCell ref="D628:E628"/>
    <mergeCell ref="F628:G628"/>
    <mergeCell ref="D630:E630"/>
    <mergeCell ref="D629:E629"/>
    <mergeCell ref="F629:G629"/>
    <mergeCell ref="F631:G631"/>
    <mergeCell ref="M631:N631"/>
    <mergeCell ref="M589:N589"/>
    <mergeCell ref="I599:L599"/>
    <mergeCell ref="B600:C600"/>
    <mergeCell ref="D600:E600"/>
    <mergeCell ref="F600:G600"/>
    <mergeCell ref="M600:N600"/>
    <mergeCell ref="F593:G593"/>
    <mergeCell ref="F607:G607"/>
    <mergeCell ref="M607:N607"/>
    <mergeCell ref="M609:N609"/>
    <mergeCell ref="B608:C608"/>
    <mergeCell ref="D608:E608"/>
    <mergeCell ref="F587:G587"/>
    <mergeCell ref="M587:N587"/>
    <mergeCell ref="F635:G635"/>
    <mergeCell ref="M635:N635"/>
    <mergeCell ref="B634:C634"/>
    <mergeCell ref="D634:E634"/>
    <mergeCell ref="F634:G634"/>
    <mergeCell ref="M634:N634"/>
    <mergeCell ref="B633:C633"/>
    <mergeCell ref="M592:N592"/>
    <mergeCell ref="B593:C593"/>
    <mergeCell ref="M584:N584"/>
    <mergeCell ref="B586:C586"/>
    <mergeCell ref="D586:E586"/>
    <mergeCell ref="F586:G586"/>
    <mergeCell ref="M586:N586"/>
    <mergeCell ref="F585:G585"/>
    <mergeCell ref="M585:N585"/>
    <mergeCell ref="F595:G595"/>
    <mergeCell ref="M595:N595"/>
    <mergeCell ref="D585:E585"/>
    <mergeCell ref="B591:C591"/>
    <mergeCell ref="D591:E591"/>
    <mergeCell ref="F591:G591"/>
    <mergeCell ref="M591:N591"/>
    <mergeCell ref="B590:C590"/>
    <mergeCell ref="D590:E590"/>
    <mergeCell ref="F590:G590"/>
    <mergeCell ref="M590:N590"/>
    <mergeCell ref="B589:C589"/>
    <mergeCell ref="D589:E589"/>
    <mergeCell ref="F589:G589"/>
    <mergeCell ref="F619:G619"/>
    <mergeCell ref="M619:N619"/>
    <mergeCell ref="B594:C594"/>
    <mergeCell ref="D594:E594"/>
    <mergeCell ref="F594:G594"/>
    <mergeCell ref="M594:N594"/>
    <mergeCell ref="F592:G592"/>
    <mergeCell ref="F560:G560"/>
    <mergeCell ref="D547:E547"/>
    <mergeCell ref="M564:N564"/>
    <mergeCell ref="B563:C563"/>
    <mergeCell ref="D563:E563"/>
    <mergeCell ref="F563:G563"/>
    <mergeCell ref="M563:N563"/>
    <mergeCell ref="F561:G561"/>
    <mergeCell ref="M561:N561"/>
    <mergeCell ref="B562:C562"/>
    <mergeCell ref="B560:C560"/>
    <mergeCell ref="D560:E560"/>
    <mergeCell ref="F548:G548"/>
    <mergeCell ref="M548:N548"/>
    <mergeCell ref="B548:C548"/>
    <mergeCell ref="B573:C573"/>
    <mergeCell ref="D573:E573"/>
    <mergeCell ref="B592:C592"/>
    <mergeCell ref="D592:E592"/>
    <mergeCell ref="B587:C587"/>
    <mergeCell ref="D587:E587"/>
    <mergeCell ref="B585:C585"/>
    <mergeCell ref="F572:G572"/>
    <mergeCell ref="M572:N572"/>
    <mergeCell ref="B566:C566"/>
    <mergeCell ref="D566:E566"/>
    <mergeCell ref="F566:G566"/>
    <mergeCell ref="D525:E525"/>
    <mergeCell ref="B539:C539"/>
    <mergeCell ref="D539:E539"/>
    <mergeCell ref="F539:G539"/>
    <mergeCell ref="F542:G542"/>
    <mergeCell ref="B538:C538"/>
    <mergeCell ref="B535:C535"/>
    <mergeCell ref="D535:E535"/>
    <mergeCell ref="I523:L523"/>
    <mergeCell ref="B524:C524"/>
    <mergeCell ref="D524:E524"/>
    <mergeCell ref="F524:G524"/>
    <mergeCell ref="M524:N524"/>
    <mergeCell ref="B525:C525"/>
    <mergeCell ref="F525:G525"/>
    <mergeCell ref="M525:N525"/>
    <mergeCell ref="B545:C545"/>
    <mergeCell ref="D545:E545"/>
    <mergeCell ref="F545:G545"/>
    <mergeCell ref="M545:N545"/>
    <mergeCell ref="B544:C544"/>
    <mergeCell ref="D544:E544"/>
    <mergeCell ref="F544:G544"/>
    <mergeCell ref="M544:N544"/>
    <mergeCell ref="B536:C536"/>
    <mergeCell ref="B533:C533"/>
    <mergeCell ref="D532:E532"/>
    <mergeCell ref="D533:E533"/>
    <mergeCell ref="F531:G531"/>
    <mergeCell ref="M531:N531"/>
    <mergeCell ref="F536:G536"/>
    <mergeCell ref="M536:N536"/>
    <mergeCell ref="B516:C516"/>
    <mergeCell ref="B513:C513"/>
    <mergeCell ref="M513:N513"/>
    <mergeCell ref="B510:C510"/>
    <mergeCell ref="D510:E510"/>
    <mergeCell ref="F510:G510"/>
    <mergeCell ref="M510:N510"/>
    <mergeCell ref="M511:N511"/>
    <mergeCell ref="B515:C515"/>
    <mergeCell ref="B514:C514"/>
    <mergeCell ref="B511:C511"/>
    <mergeCell ref="D511:E511"/>
    <mergeCell ref="F511:G511"/>
    <mergeCell ref="D514:E514"/>
    <mergeCell ref="F514:G514"/>
    <mergeCell ref="B512:C512"/>
    <mergeCell ref="M514:N514"/>
    <mergeCell ref="D513:E513"/>
    <mergeCell ref="F513:G513"/>
    <mergeCell ref="D516:E516"/>
    <mergeCell ref="F516:G516"/>
    <mergeCell ref="M516:N516"/>
    <mergeCell ref="D515:E515"/>
    <mergeCell ref="F515:G515"/>
    <mergeCell ref="M515:N515"/>
    <mergeCell ref="B508:C508"/>
    <mergeCell ref="D508:E508"/>
    <mergeCell ref="F508:G508"/>
    <mergeCell ref="M508:N508"/>
    <mergeCell ref="B509:C509"/>
    <mergeCell ref="D509:E509"/>
    <mergeCell ref="F509:G509"/>
    <mergeCell ref="M509:N509"/>
    <mergeCell ref="B505:C505"/>
    <mergeCell ref="D505:E505"/>
    <mergeCell ref="F505:G505"/>
    <mergeCell ref="M505:N505"/>
    <mergeCell ref="B506:C506"/>
    <mergeCell ref="D506:E506"/>
    <mergeCell ref="F506:G506"/>
    <mergeCell ref="M506:N506"/>
    <mergeCell ref="B507:C507"/>
    <mergeCell ref="D507:E507"/>
    <mergeCell ref="F507:G507"/>
    <mergeCell ref="M507:N507"/>
    <mergeCell ref="M503:N503"/>
    <mergeCell ref="B504:C504"/>
    <mergeCell ref="D504:E504"/>
    <mergeCell ref="F504:G504"/>
    <mergeCell ref="M504:N504"/>
    <mergeCell ref="B500:C500"/>
    <mergeCell ref="D500:E500"/>
    <mergeCell ref="F500:G500"/>
    <mergeCell ref="M500:N500"/>
    <mergeCell ref="B499:C499"/>
    <mergeCell ref="D499:E499"/>
    <mergeCell ref="F499:G499"/>
    <mergeCell ref="M499:N499"/>
    <mergeCell ref="B501:C501"/>
    <mergeCell ref="D501:E501"/>
    <mergeCell ref="F501:G501"/>
    <mergeCell ref="M501:N501"/>
    <mergeCell ref="M491:N491"/>
    <mergeCell ref="B642:E642"/>
    <mergeCell ref="B643:E643"/>
    <mergeCell ref="B550:E550"/>
    <mergeCell ref="B551:E551"/>
    <mergeCell ref="B597:E597"/>
    <mergeCell ref="B598:E598"/>
    <mergeCell ref="B569:C569"/>
    <mergeCell ref="D569:E569"/>
    <mergeCell ref="B571:C571"/>
    <mergeCell ref="D571:E571"/>
    <mergeCell ref="B613:C613"/>
    <mergeCell ref="D613:E613"/>
    <mergeCell ref="B612:C612"/>
    <mergeCell ref="D612:E612"/>
    <mergeCell ref="B595:C595"/>
    <mergeCell ref="D595:E595"/>
    <mergeCell ref="B601:C601"/>
    <mergeCell ref="D601:E601"/>
    <mergeCell ref="D593:E593"/>
    <mergeCell ref="B542:C542"/>
    <mergeCell ref="D542:E542"/>
    <mergeCell ref="D548:E548"/>
    <mergeCell ref="B572:C572"/>
    <mergeCell ref="D572:E572"/>
    <mergeCell ref="B502:C502"/>
    <mergeCell ref="D502:E502"/>
    <mergeCell ref="F502:G502"/>
    <mergeCell ref="M502:N502"/>
    <mergeCell ref="B503:C503"/>
    <mergeCell ref="D503:E503"/>
    <mergeCell ref="F503:G503"/>
    <mergeCell ref="B543:C543"/>
    <mergeCell ref="D543:E543"/>
    <mergeCell ref="F543:G543"/>
    <mergeCell ref="M543:N543"/>
    <mergeCell ref="D538:E538"/>
    <mergeCell ref="F538:G538"/>
    <mergeCell ref="M542:N542"/>
    <mergeCell ref="B540:C540"/>
    <mergeCell ref="D540:E540"/>
    <mergeCell ref="F540:G540"/>
    <mergeCell ref="M540:N540"/>
    <mergeCell ref="M539:N539"/>
    <mergeCell ref="B541:C541"/>
    <mergeCell ref="D541:E541"/>
    <mergeCell ref="F541:G541"/>
    <mergeCell ref="M541:N541"/>
    <mergeCell ref="M533:N533"/>
    <mergeCell ref="F532:G532"/>
    <mergeCell ref="M538:N538"/>
    <mergeCell ref="F533:G533"/>
    <mergeCell ref="F534:G534"/>
    <mergeCell ref="M534:N534"/>
    <mergeCell ref="B537:C537"/>
    <mergeCell ref="D527:E527"/>
    <mergeCell ref="F527:G527"/>
    <mergeCell ref="M527:N527"/>
    <mergeCell ref="D528:E528"/>
    <mergeCell ref="F528:G528"/>
    <mergeCell ref="B527:C527"/>
    <mergeCell ref="B529:C529"/>
    <mergeCell ref="D529:E529"/>
    <mergeCell ref="F529:G529"/>
    <mergeCell ref="M529:N529"/>
    <mergeCell ref="M532:N532"/>
    <mergeCell ref="B528:C528"/>
    <mergeCell ref="M528:N528"/>
    <mergeCell ref="B531:C531"/>
    <mergeCell ref="D531:E531"/>
    <mergeCell ref="B530:C530"/>
    <mergeCell ref="D530:E530"/>
    <mergeCell ref="F530:G530"/>
    <mergeCell ref="M530:N530"/>
    <mergeCell ref="B532:C532"/>
    <mergeCell ref="D526:E526"/>
    <mergeCell ref="F526:G526"/>
    <mergeCell ref="M526:N526"/>
    <mergeCell ref="I484:L484"/>
    <mergeCell ref="B485:C485"/>
    <mergeCell ref="D485:E485"/>
    <mergeCell ref="F485:G485"/>
    <mergeCell ref="B487:C487"/>
    <mergeCell ref="D487:E487"/>
    <mergeCell ref="M489:N489"/>
    <mergeCell ref="M485:N485"/>
    <mergeCell ref="B486:C486"/>
    <mergeCell ref="D486:E486"/>
    <mergeCell ref="F486:G486"/>
    <mergeCell ref="M486:N486"/>
    <mergeCell ref="F487:G487"/>
    <mergeCell ref="M487:N487"/>
    <mergeCell ref="B488:C488"/>
    <mergeCell ref="D488:E488"/>
    <mergeCell ref="F488:G488"/>
    <mergeCell ref="M488:N488"/>
    <mergeCell ref="B489:C489"/>
    <mergeCell ref="D489:E489"/>
    <mergeCell ref="F489:G489"/>
    <mergeCell ref="B526:C526"/>
    <mergeCell ref="B490:C490"/>
    <mergeCell ref="D490:E490"/>
    <mergeCell ref="F490:G490"/>
    <mergeCell ref="M490:N490"/>
    <mergeCell ref="B491:C491"/>
    <mergeCell ref="D491:E491"/>
    <mergeCell ref="F491:G491"/>
    <mergeCell ref="M566:N566"/>
    <mergeCell ref="F568:G568"/>
    <mergeCell ref="M568:N568"/>
    <mergeCell ref="B567:C567"/>
    <mergeCell ref="D567:E567"/>
    <mergeCell ref="D537:E537"/>
    <mergeCell ref="F537:G537"/>
    <mergeCell ref="M537:N537"/>
    <mergeCell ref="B534:C534"/>
    <mergeCell ref="D534:E534"/>
    <mergeCell ref="F535:G535"/>
    <mergeCell ref="M535:N535"/>
    <mergeCell ref="D536:E536"/>
    <mergeCell ref="B547:C547"/>
    <mergeCell ref="B546:C546"/>
    <mergeCell ref="D546:E546"/>
    <mergeCell ref="F546:G546"/>
    <mergeCell ref="M546:N546"/>
    <mergeCell ref="F547:G547"/>
    <mergeCell ref="M547:N547"/>
    <mergeCell ref="D562:E562"/>
    <mergeCell ref="F562:G562"/>
    <mergeCell ref="M562:N562"/>
    <mergeCell ref="B561:C561"/>
    <mergeCell ref="D561:E561"/>
    <mergeCell ref="B555:C555"/>
    <mergeCell ref="D555:E555"/>
    <mergeCell ref="F555:G555"/>
    <mergeCell ref="M555:N555"/>
    <mergeCell ref="B556:C556"/>
    <mergeCell ref="D556:E556"/>
    <mergeCell ref="F556:G556"/>
    <mergeCell ref="M556:N556"/>
    <mergeCell ref="B565:C565"/>
    <mergeCell ref="D565:E565"/>
    <mergeCell ref="F565:G565"/>
    <mergeCell ref="M565:N565"/>
    <mergeCell ref="F559:G559"/>
    <mergeCell ref="M559:N559"/>
    <mergeCell ref="M560:N560"/>
    <mergeCell ref="B564:C564"/>
    <mergeCell ref="D564:E564"/>
    <mergeCell ref="F564:G564"/>
    <mergeCell ref="B557:C557"/>
    <mergeCell ref="D557:E557"/>
    <mergeCell ref="F557:G557"/>
    <mergeCell ref="M557:N557"/>
    <mergeCell ref="B559:C559"/>
    <mergeCell ref="D559:E559"/>
    <mergeCell ref="F558:G558"/>
    <mergeCell ref="M558:N558"/>
    <mergeCell ref="B558:C558"/>
    <mergeCell ref="D558:E558"/>
    <mergeCell ref="F567:G567"/>
    <mergeCell ref="M567:N567"/>
    <mergeCell ref="B576:C576"/>
    <mergeCell ref="D576:E576"/>
    <mergeCell ref="F576:G576"/>
    <mergeCell ref="M576:N576"/>
    <mergeCell ref="B579:C579"/>
    <mergeCell ref="D579:E579"/>
    <mergeCell ref="F579:G579"/>
    <mergeCell ref="M579:N579"/>
    <mergeCell ref="B578:C578"/>
    <mergeCell ref="D578:E578"/>
    <mergeCell ref="B583:C583"/>
    <mergeCell ref="D583:E583"/>
    <mergeCell ref="B582:C582"/>
    <mergeCell ref="D582:E582"/>
    <mergeCell ref="F582:G582"/>
    <mergeCell ref="M582:N582"/>
    <mergeCell ref="F583:G583"/>
    <mergeCell ref="M583:N583"/>
    <mergeCell ref="F569:G569"/>
    <mergeCell ref="M569:N569"/>
    <mergeCell ref="B568:C568"/>
    <mergeCell ref="D568:E568"/>
    <mergeCell ref="F573:G573"/>
    <mergeCell ref="M573:N573"/>
    <mergeCell ref="B570:C570"/>
    <mergeCell ref="D570:E570"/>
    <mergeCell ref="F570:G570"/>
    <mergeCell ref="M570:N570"/>
    <mergeCell ref="F571:G571"/>
    <mergeCell ref="M571:N571"/>
    <mergeCell ref="F618:G618"/>
    <mergeCell ref="M618:N618"/>
    <mergeCell ref="F601:G601"/>
    <mergeCell ref="M601:N601"/>
    <mergeCell ref="F613:G613"/>
    <mergeCell ref="M613:N613"/>
    <mergeCell ref="F612:G612"/>
    <mergeCell ref="M612:N612"/>
    <mergeCell ref="M604:N604"/>
    <mergeCell ref="F611:G611"/>
    <mergeCell ref="M611:N611"/>
    <mergeCell ref="F609:G609"/>
    <mergeCell ref="B606:C606"/>
    <mergeCell ref="D606:E606"/>
    <mergeCell ref="F606:G606"/>
    <mergeCell ref="M606:N606"/>
    <mergeCell ref="B607:C607"/>
    <mergeCell ref="D607:E607"/>
    <mergeCell ref="B609:C609"/>
    <mergeCell ref="D609:E609"/>
    <mergeCell ref="B610:C610"/>
    <mergeCell ref="D610:E610"/>
    <mergeCell ref="F610:G610"/>
    <mergeCell ref="B640:C640"/>
    <mergeCell ref="D640:E640"/>
    <mergeCell ref="F640:G640"/>
    <mergeCell ref="F636:G636"/>
    <mergeCell ref="B628:C628"/>
    <mergeCell ref="B626:C626"/>
    <mergeCell ref="D626:E626"/>
    <mergeCell ref="M640:N640"/>
    <mergeCell ref="B638:C638"/>
    <mergeCell ref="D638:E638"/>
    <mergeCell ref="B617:C617"/>
    <mergeCell ref="B639:C639"/>
    <mergeCell ref="D639:E639"/>
    <mergeCell ref="F639:G639"/>
    <mergeCell ref="M639:N639"/>
    <mergeCell ref="F638:G638"/>
    <mergeCell ref="M638:N638"/>
    <mergeCell ref="B636:C636"/>
    <mergeCell ref="D636:E636"/>
    <mergeCell ref="M636:N636"/>
    <mergeCell ref="B637:C637"/>
    <mergeCell ref="D637:E637"/>
    <mergeCell ref="F637:G637"/>
    <mergeCell ref="M637:N637"/>
    <mergeCell ref="F630:G630"/>
    <mergeCell ref="B635:C635"/>
    <mergeCell ref="D635:E635"/>
    <mergeCell ref="B624:C624"/>
    <mergeCell ref="D624:E624"/>
    <mergeCell ref="F624:G624"/>
    <mergeCell ref="M624:N624"/>
    <mergeCell ref="B623:C623"/>
    <mergeCell ref="B554:C554"/>
    <mergeCell ref="D554:E554"/>
    <mergeCell ref="F554:G554"/>
    <mergeCell ref="F577:G577"/>
    <mergeCell ref="M577:N577"/>
    <mergeCell ref="M630:N630"/>
    <mergeCell ref="D632:E632"/>
    <mergeCell ref="F632:G632"/>
    <mergeCell ref="M632:N632"/>
    <mergeCell ref="B632:C632"/>
    <mergeCell ref="F626:G626"/>
    <mergeCell ref="M626:N626"/>
    <mergeCell ref="B625:C625"/>
    <mergeCell ref="D625:E625"/>
    <mergeCell ref="F625:G625"/>
    <mergeCell ref="M625:N625"/>
    <mergeCell ref="B631:C631"/>
    <mergeCell ref="D631:E631"/>
    <mergeCell ref="B629:C629"/>
    <mergeCell ref="B627:C627"/>
    <mergeCell ref="D627:E627"/>
    <mergeCell ref="F627:G627"/>
    <mergeCell ref="M627:N627"/>
    <mergeCell ref="M628:N628"/>
    <mergeCell ref="B630:C630"/>
    <mergeCell ref="M629:N629"/>
    <mergeCell ref="B605:C605"/>
    <mergeCell ref="D605:E605"/>
    <mergeCell ref="F605:G605"/>
    <mergeCell ref="M605:N605"/>
    <mergeCell ref="B615:C615"/>
    <mergeCell ref="D615:E615"/>
    <mergeCell ref="D623:E623"/>
    <mergeCell ref="F623:G623"/>
    <mergeCell ref="M623:N623"/>
    <mergeCell ref="B602:C602"/>
    <mergeCell ref="D602:E602"/>
    <mergeCell ref="F602:G602"/>
    <mergeCell ref="M602:N602"/>
    <mergeCell ref="B604:C604"/>
    <mergeCell ref="D604:E604"/>
    <mergeCell ref="B603:C603"/>
    <mergeCell ref="D603:E603"/>
    <mergeCell ref="F603:G603"/>
    <mergeCell ref="M603:N603"/>
    <mergeCell ref="F604:G604"/>
    <mergeCell ref="F615:G615"/>
    <mergeCell ref="M615:N615"/>
    <mergeCell ref="B614:C614"/>
    <mergeCell ref="D614:E614"/>
    <mergeCell ref="F614:G614"/>
    <mergeCell ref="M614:N614"/>
    <mergeCell ref="B616:C616"/>
    <mergeCell ref="D616:E616"/>
    <mergeCell ref="F616:G616"/>
    <mergeCell ref="M616:N616"/>
    <mergeCell ref="M610:N610"/>
    <mergeCell ref="F608:G608"/>
    <mergeCell ref="M608:N608"/>
    <mergeCell ref="D617:E617"/>
    <mergeCell ref="F617:G617"/>
    <mergeCell ref="M617:N617"/>
    <mergeCell ref="B618:C618"/>
    <mergeCell ref="D618:E618"/>
    <mergeCell ref="M496:N496"/>
    <mergeCell ref="B588:C588"/>
    <mergeCell ref="D588:E588"/>
    <mergeCell ref="F588:G588"/>
    <mergeCell ref="M588:N588"/>
    <mergeCell ref="B577:C577"/>
    <mergeCell ref="D577:E577"/>
    <mergeCell ref="F578:G578"/>
    <mergeCell ref="M578:N578"/>
    <mergeCell ref="B581:C581"/>
    <mergeCell ref="D581:E581"/>
    <mergeCell ref="F581:G581"/>
    <mergeCell ref="M581:N581"/>
    <mergeCell ref="B580:C580"/>
    <mergeCell ref="D580:E580"/>
    <mergeCell ref="F580:G580"/>
    <mergeCell ref="M580:N580"/>
    <mergeCell ref="B497:C497"/>
    <mergeCell ref="D497:E497"/>
    <mergeCell ref="F497:G497"/>
    <mergeCell ref="M497:N497"/>
    <mergeCell ref="B498:C498"/>
    <mergeCell ref="D498:E498"/>
    <mergeCell ref="F498:G498"/>
    <mergeCell ref="M498:N498"/>
    <mergeCell ref="B522:E522"/>
    <mergeCell ref="M554:N554"/>
    <mergeCell ref="I552:L552"/>
    <mergeCell ref="B553:C553"/>
    <mergeCell ref="D553:E553"/>
    <mergeCell ref="F553:G553"/>
    <mergeCell ref="M553:N553"/>
    <mergeCell ref="F492:G492"/>
    <mergeCell ref="M492:N492"/>
    <mergeCell ref="B493:C493"/>
    <mergeCell ref="D493:E493"/>
    <mergeCell ref="F493:G493"/>
    <mergeCell ref="M493:N493"/>
    <mergeCell ref="B492:C492"/>
    <mergeCell ref="D492:E492"/>
    <mergeCell ref="B494:C494"/>
    <mergeCell ref="D494:E494"/>
    <mergeCell ref="F494:G494"/>
    <mergeCell ref="M494:N494"/>
    <mergeCell ref="B495:C495"/>
    <mergeCell ref="D495:E495"/>
    <mergeCell ref="F495:G495"/>
    <mergeCell ref="M495:N495"/>
    <mergeCell ref="B521:E521"/>
    <mergeCell ref="B518:C518"/>
    <mergeCell ref="D518:E518"/>
    <mergeCell ref="F518:G518"/>
    <mergeCell ref="M518:N518"/>
    <mergeCell ref="D519:E519"/>
    <mergeCell ref="F519:G519"/>
    <mergeCell ref="M519:N519"/>
    <mergeCell ref="B519:C519"/>
    <mergeCell ref="B517:C517"/>
    <mergeCell ref="D517:E517"/>
    <mergeCell ref="F517:G517"/>
    <mergeCell ref="M517:N517"/>
    <mergeCell ref="B496:C496"/>
    <mergeCell ref="D496:E496"/>
    <mergeCell ref="F496:G496"/>
    <mergeCell ref="B451:C451"/>
    <mergeCell ref="D451:E451"/>
    <mergeCell ref="F451:G451"/>
    <mergeCell ref="M451:N451"/>
    <mergeCell ref="B452:C452"/>
    <mergeCell ref="D452:E452"/>
    <mergeCell ref="F452:G452"/>
    <mergeCell ref="M452:N452"/>
    <mergeCell ref="B449:C449"/>
    <mergeCell ref="D449:E449"/>
    <mergeCell ref="F449:G449"/>
    <mergeCell ref="M449:N449"/>
    <mergeCell ref="B450:C450"/>
    <mergeCell ref="D450:E450"/>
    <mergeCell ref="F450:G450"/>
    <mergeCell ref="M450:N450"/>
    <mergeCell ref="B455:C455"/>
    <mergeCell ref="D455:E455"/>
    <mergeCell ref="F455:G455"/>
    <mergeCell ref="M455:N455"/>
    <mergeCell ref="B456:C456"/>
    <mergeCell ref="D456:E456"/>
    <mergeCell ref="F456:G456"/>
    <mergeCell ref="M456:N456"/>
    <mergeCell ref="B453:C453"/>
    <mergeCell ref="D453:E453"/>
    <mergeCell ref="F453:G453"/>
    <mergeCell ref="M453:N453"/>
    <mergeCell ref="B454:C454"/>
    <mergeCell ref="D454:E454"/>
    <mergeCell ref="F454:G454"/>
    <mergeCell ref="M454:N454"/>
    <mergeCell ref="B459:C459"/>
    <mergeCell ref="D459:E459"/>
    <mergeCell ref="F459:G459"/>
    <mergeCell ref="M459:N459"/>
    <mergeCell ref="B460:C460"/>
    <mergeCell ref="D460:E460"/>
    <mergeCell ref="F460:G460"/>
    <mergeCell ref="M460:N460"/>
    <mergeCell ref="B457:C457"/>
    <mergeCell ref="D457:E457"/>
    <mergeCell ref="F457:G457"/>
    <mergeCell ref="M457:N457"/>
    <mergeCell ref="B458:C458"/>
    <mergeCell ref="D458:E458"/>
    <mergeCell ref="F458:G458"/>
    <mergeCell ref="M458:N458"/>
    <mergeCell ref="D463:E463"/>
    <mergeCell ref="F463:G463"/>
    <mergeCell ref="M463:N463"/>
    <mergeCell ref="B464:C464"/>
    <mergeCell ref="D464:E464"/>
    <mergeCell ref="F464:G464"/>
    <mergeCell ref="M464:N464"/>
    <mergeCell ref="M468:N468"/>
    <mergeCell ref="B461:C461"/>
    <mergeCell ref="D461:E461"/>
    <mergeCell ref="F461:G461"/>
    <mergeCell ref="M461:N461"/>
    <mergeCell ref="B462:C462"/>
    <mergeCell ref="D462:E462"/>
    <mergeCell ref="F462:G462"/>
    <mergeCell ref="M462:N462"/>
    <mergeCell ref="B463:C463"/>
    <mergeCell ref="B470:C470"/>
    <mergeCell ref="D470:E470"/>
    <mergeCell ref="M466:N466"/>
    <mergeCell ref="B467:C467"/>
    <mergeCell ref="D467:E467"/>
    <mergeCell ref="F467:G467"/>
    <mergeCell ref="M467:N467"/>
    <mergeCell ref="B468:C468"/>
    <mergeCell ref="D468:E468"/>
    <mergeCell ref="F468:G468"/>
    <mergeCell ref="B465:C465"/>
    <mergeCell ref="D465:E465"/>
    <mergeCell ref="F465:G465"/>
    <mergeCell ref="M465:N465"/>
    <mergeCell ref="B466:C466"/>
    <mergeCell ref="D466:E466"/>
    <mergeCell ref="F466:G466"/>
    <mergeCell ref="F470:G470"/>
    <mergeCell ref="M470:N470"/>
    <mergeCell ref="B469:C469"/>
    <mergeCell ref="D469:E469"/>
    <mergeCell ref="F469:G469"/>
    <mergeCell ref="M469:N469"/>
    <mergeCell ref="B471:C471"/>
    <mergeCell ref="D471:E471"/>
    <mergeCell ref="F471:G471"/>
    <mergeCell ref="M471:N471"/>
    <mergeCell ref="B472:C472"/>
    <mergeCell ref="B473:C473"/>
    <mergeCell ref="M473:N473"/>
    <mergeCell ref="B476:C476"/>
    <mergeCell ref="D476:E476"/>
    <mergeCell ref="F476:G476"/>
    <mergeCell ref="M476:N476"/>
    <mergeCell ref="B477:C477"/>
    <mergeCell ref="D477:E477"/>
    <mergeCell ref="F477:G477"/>
    <mergeCell ref="M477:N477"/>
    <mergeCell ref="F480:G480"/>
    <mergeCell ref="M480:N480"/>
    <mergeCell ref="B474:C474"/>
    <mergeCell ref="D474:E474"/>
    <mergeCell ref="F474:G474"/>
    <mergeCell ref="M474:N474"/>
    <mergeCell ref="B475:C475"/>
    <mergeCell ref="D475:E475"/>
    <mergeCell ref="F475:G475"/>
    <mergeCell ref="M475:N475"/>
    <mergeCell ref="B478:C478"/>
    <mergeCell ref="D478:E478"/>
    <mergeCell ref="F478:G478"/>
    <mergeCell ref="M478:N478"/>
    <mergeCell ref="D473:E473"/>
    <mergeCell ref="F473:G473"/>
    <mergeCell ref="B482:E482"/>
    <mergeCell ref="B483:E483"/>
    <mergeCell ref="B479:C479"/>
    <mergeCell ref="D479:E479"/>
    <mergeCell ref="F479:G479"/>
    <mergeCell ref="M479:N479"/>
    <mergeCell ref="B480:C480"/>
    <mergeCell ref="D480:E480"/>
    <mergeCell ref="I400:L400"/>
    <mergeCell ref="B401:C401"/>
    <mergeCell ref="D401:E401"/>
    <mergeCell ref="F401:G401"/>
    <mergeCell ref="M401:N401"/>
    <mergeCell ref="B402:C402"/>
    <mergeCell ref="D402:E402"/>
    <mergeCell ref="F402:G402"/>
    <mergeCell ref="M402:N402"/>
    <mergeCell ref="B403:C403"/>
    <mergeCell ref="D403:E403"/>
    <mergeCell ref="F403:G403"/>
    <mergeCell ref="M403:N403"/>
    <mergeCell ref="B404:C404"/>
    <mergeCell ref="D404:E404"/>
    <mergeCell ref="F404:G404"/>
    <mergeCell ref="M404:N404"/>
    <mergeCell ref="B405:C405"/>
    <mergeCell ref="D405:E405"/>
    <mergeCell ref="F405:G405"/>
    <mergeCell ref="M405:N405"/>
    <mergeCell ref="B406:C406"/>
    <mergeCell ref="D406:E406"/>
    <mergeCell ref="F406:G406"/>
    <mergeCell ref="M406:N406"/>
    <mergeCell ref="B407:C407"/>
    <mergeCell ref="D407:E407"/>
    <mergeCell ref="F407:G407"/>
    <mergeCell ref="M407:N407"/>
    <mergeCell ref="B408:C408"/>
    <mergeCell ref="D408:E408"/>
    <mergeCell ref="F408:G408"/>
    <mergeCell ref="M408:N408"/>
    <mergeCell ref="B409:C409"/>
    <mergeCell ref="D409:E409"/>
    <mergeCell ref="F409:G409"/>
    <mergeCell ref="M409:N409"/>
    <mergeCell ref="B410:C410"/>
    <mergeCell ref="D410:E410"/>
    <mergeCell ref="F410:G410"/>
    <mergeCell ref="M410:N410"/>
    <mergeCell ref="B411:C411"/>
    <mergeCell ref="D411:E411"/>
    <mergeCell ref="F411:G411"/>
    <mergeCell ref="M411:N411"/>
    <mergeCell ref="B412:C412"/>
    <mergeCell ref="D412:E412"/>
    <mergeCell ref="F412:G412"/>
    <mergeCell ref="M412:N412"/>
    <mergeCell ref="B413:C413"/>
    <mergeCell ref="D413:E413"/>
    <mergeCell ref="F413:G413"/>
    <mergeCell ref="M413:N413"/>
    <mergeCell ref="B414:C414"/>
    <mergeCell ref="D414:E414"/>
    <mergeCell ref="F414:G414"/>
    <mergeCell ref="M414:N414"/>
    <mergeCell ref="B415:C415"/>
    <mergeCell ref="D415:E415"/>
    <mergeCell ref="F415:G415"/>
    <mergeCell ref="M415:N415"/>
    <mergeCell ref="B416:C416"/>
    <mergeCell ref="D416:E416"/>
    <mergeCell ref="F416:G416"/>
    <mergeCell ref="M416:N416"/>
    <mergeCell ref="B417:C417"/>
    <mergeCell ref="D417:E417"/>
    <mergeCell ref="F417:G417"/>
    <mergeCell ref="M417:N417"/>
    <mergeCell ref="B418:C418"/>
    <mergeCell ref="D418:E418"/>
    <mergeCell ref="F418:G418"/>
    <mergeCell ref="M418:N418"/>
    <mergeCell ref="B419:C419"/>
    <mergeCell ref="D419:E419"/>
    <mergeCell ref="F419:G419"/>
    <mergeCell ref="M419:N419"/>
    <mergeCell ref="B420:C420"/>
    <mergeCell ref="D420:E420"/>
    <mergeCell ref="F420:G420"/>
    <mergeCell ref="M420:N420"/>
    <mergeCell ref="B421:C421"/>
    <mergeCell ref="D421:E421"/>
    <mergeCell ref="F421:G421"/>
    <mergeCell ref="M421:N421"/>
    <mergeCell ref="B422:C422"/>
    <mergeCell ref="D422:E422"/>
    <mergeCell ref="F422:G422"/>
    <mergeCell ref="M422:N422"/>
    <mergeCell ref="B423:C423"/>
    <mergeCell ref="D423:E423"/>
    <mergeCell ref="F423:G423"/>
    <mergeCell ref="M423:N423"/>
    <mergeCell ref="B424:C424"/>
    <mergeCell ref="D424:E424"/>
    <mergeCell ref="F424:G424"/>
    <mergeCell ref="M424:N424"/>
    <mergeCell ref="B425:C425"/>
    <mergeCell ref="D425:E425"/>
    <mergeCell ref="F425:G425"/>
    <mergeCell ref="M425:N425"/>
    <mergeCell ref="B426:C426"/>
    <mergeCell ref="D426:E426"/>
    <mergeCell ref="F426:G426"/>
    <mergeCell ref="M426:N426"/>
    <mergeCell ref="M431:N431"/>
    <mergeCell ref="B427:C427"/>
    <mergeCell ref="D427:E427"/>
    <mergeCell ref="F427:G427"/>
    <mergeCell ref="M427:N427"/>
    <mergeCell ref="B428:C428"/>
    <mergeCell ref="D428:E428"/>
    <mergeCell ref="F428:G428"/>
    <mergeCell ref="M428:N428"/>
    <mergeCell ref="F433:G433"/>
    <mergeCell ref="M433:N433"/>
    <mergeCell ref="B429:C429"/>
    <mergeCell ref="D429:E429"/>
    <mergeCell ref="F429:G429"/>
    <mergeCell ref="M429:N429"/>
    <mergeCell ref="B430:C430"/>
    <mergeCell ref="B431:C431"/>
    <mergeCell ref="D431:E431"/>
    <mergeCell ref="F431:G431"/>
    <mergeCell ref="B435:C435"/>
    <mergeCell ref="D435:E435"/>
    <mergeCell ref="F435:G435"/>
    <mergeCell ref="M435:N435"/>
    <mergeCell ref="B432:C432"/>
    <mergeCell ref="D432:E432"/>
    <mergeCell ref="F432:G432"/>
    <mergeCell ref="M432:N432"/>
    <mergeCell ref="B433:C433"/>
    <mergeCell ref="D433:E433"/>
    <mergeCell ref="B440:E440"/>
    <mergeCell ref="B441:E441"/>
    <mergeCell ref="B436:C436"/>
    <mergeCell ref="D436:E436"/>
    <mergeCell ref="F436:G436"/>
    <mergeCell ref="M436:N436"/>
    <mergeCell ref="B437:C437"/>
    <mergeCell ref="D437:E437"/>
    <mergeCell ref="F437:G437"/>
    <mergeCell ref="M437:N437"/>
    <mergeCell ref="B438:C438"/>
    <mergeCell ref="D438:E438"/>
    <mergeCell ref="F438:G438"/>
    <mergeCell ref="M438:N438"/>
    <mergeCell ref="B434:C434"/>
    <mergeCell ref="D434:E434"/>
    <mergeCell ref="F434:G434"/>
    <mergeCell ref="M434:N434"/>
    <mergeCell ref="I331:L331"/>
    <mergeCell ref="B332:C332"/>
    <mergeCell ref="D332:E332"/>
    <mergeCell ref="F332:G332"/>
    <mergeCell ref="M332:N332"/>
    <mergeCell ref="B333:C333"/>
    <mergeCell ref="D333:E333"/>
    <mergeCell ref="F333:G333"/>
    <mergeCell ref="M333:N333"/>
    <mergeCell ref="B334:C334"/>
    <mergeCell ref="D334:E334"/>
    <mergeCell ref="F334:G334"/>
    <mergeCell ref="M334:N334"/>
    <mergeCell ref="B335:C335"/>
    <mergeCell ref="D335:E335"/>
    <mergeCell ref="F335:G335"/>
    <mergeCell ref="M335:N335"/>
    <mergeCell ref="B336:C336"/>
    <mergeCell ref="D336:E336"/>
    <mergeCell ref="F336:G336"/>
    <mergeCell ref="M336:N336"/>
    <mergeCell ref="B337:C337"/>
    <mergeCell ref="D337:E337"/>
    <mergeCell ref="F337:G337"/>
    <mergeCell ref="M337:N337"/>
    <mergeCell ref="B338:C338"/>
    <mergeCell ref="D338:E338"/>
    <mergeCell ref="F338:G338"/>
    <mergeCell ref="M338:N338"/>
    <mergeCell ref="B339:C339"/>
    <mergeCell ref="D339:E339"/>
    <mergeCell ref="F339:G339"/>
    <mergeCell ref="M339:N339"/>
    <mergeCell ref="B340:C340"/>
    <mergeCell ref="D340:E340"/>
    <mergeCell ref="F340:G340"/>
    <mergeCell ref="M340:N340"/>
    <mergeCell ref="B341:C341"/>
    <mergeCell ref="D341:E341"/>
    <mergeCell ref="F341:G341"/>
    <mergeCell ref="M341:N341"/>
    <mergeCell ref="B342:C342"/>
    <mergeCell ref="D342:E342"/>
    <mergeCell ref="F342:G342"/>
    <mergeCell ref="M342:N342"/>
    <mergeCell ref="B343:C343"/>
    <mergeCell ref="D343:E343"/>
    <mergeCell ref="F343:G343"/>
    <mergeCell ref="M343:N343"/>
    <mergeCell ref="B344:C344"/>
    <mergeCell ref="D344:E344"/>
    <mergeCell ref="F344:G344"/>
    <mergeCell ref="M344:N344"/>
    <mergeCell ref="B345:C345"/>
    <mergeCell ref="D345:E345"/>
    <mergeCell ref="F345:G345"/>
    <mergeCell ref="M345:N345"/>
    <mergeCell ref="F354:G354"/>
    <mergeCell ref="M354:N354"/>
    <mergeCell ref="F355:G355"/>
    <mergeCell ref="M355:N355"/>
    <mergeCell ref="B356:C356"/>
    <mergeCell ref="D356:E356"/>
    <mergeCell ref="F356:G356"/>
    <mergeCell ref="M356:N356"/>
    <mergeCell ref="B347:C347"/>
    <mergeCell ref="D347:E347"/>
    <mergeCell ref="F347:G347"/>
    <mergeCell ref="M347:N347"/>
    <mergeCell ref="B348:C348"/>
    <mergeCell ref="D348:E348"/>
    <mergeCell ref="F348:G348"/>
    <mergeCell ref="M348:N348"/>
    <mergeCell ref="B349:C349"/>
    <mergeCell ref="D349:E349"/>
    <mergeCell ref="F349:G349"/>
    <mergeCell ref="M349:N349"/>
    <mergeCell ref="B350:C350"/>
    <mergeCell ref="D350:E350"/>
    <mergeCell ref="F350:G350"/>
    <mergeCell ref="M350:N350"/>
    <mergeCell ref="B351:C351"/>
    <mergeCell ref="D351:E351"/>
    <mergeCell ref="F351:G351"/>
    <mergeCell ref="M351:N351"/>
    <mergeCell ref="B346:C346"/>
    <mergeCell ref="D346:E346"/>
    <mergeCell ref="F346:G346"/>
    <mergeCell ref="M346:N346"/>
    <mergeCell ref="B362:C362"/>
    <mergeCell ref="D362:E362"/>
    <mergeCell ref="F362:G362"/>
    <mergeCell ref="M362:N362"/>
    <mergeCell ref="B355:C355"/>
    <mergeCell ref="D355:E355"/>
    <mergeCell ref="B359:C359"/>
    <mergeCell ref="D359:E359"/>
    <mergeCell ref="F359:G359"/>
    <mergeCell ref="M359:N359"/>
    <mergeCell ref="B361:C361"/>
    <mergeCell ref="D361:E361"/>
    <mergeCell ref="B360:C360"/>
    <mergeCell ref="D360:E360"/>
    <mergeCell ref="F360:G360"/>
    <mergeCell ref="M360:N360"/>
    <mergeCell ref="F361:G361"/>
    <mergeCell ref="M361:N361"/>
    <mergeCell ref="B352:C352"/>
    <mergeCell ref="D352:E352"/>
    <mergeCell ref="F352:G352"/>
    <mergeCell ref="M352:N352"/>
    <mergeCell ref="B353:C353"/>
    <mergeCell ref="D353:E353"/>
    <mergeCell ref="F353:G353"/>
    <mergeCell ref="M353:N353"/>
    <mergeCell ref="B354:C354"/>
    <mergeCell ref="D354:E354"/>
    <mergeCell ref="B394:C394"/>
    <mergeCell ref="D394:E394"/>
    <mergeCell ref="F394:G394"/>
    <mergeCell ref="M394:N394"/>
    <mergeCell ref="B365:E365"/>
    <mergeCell ref="B366:E366"/>
    <mergeCell ref="B363:C363"/>
    <mergeCell ref="D363:E363"/>
    <mergeCell ref="F363:G363"/>
    <mergeCell ref="M363:N363"/>
    <mergeCell ref="B357:C357"/>
    <mergeCell ref="D357:E357"/>
    <mergeCell ref="F357:G357"/>
    <mergeCell ref="M357:N357"/>
    <mergeCell ref="B358:C358"/>
    <mergeCell ref="D358:E358"/>
    <mergeCell ref="F358:G358"/>
    <mergeCell ref="M358:N358"/>
    <mergeCell ref="I367:L367"/>
    <mergeCell ref="B368:C368"/>
    <mergeCell ref="D368:E368"/>
    <mergeCell ref="F368:G368"/>
    <mergeCell ref="M368:N368"/>
    <mergeCell ref="B369:C369"/>
    <mergeCell ref="D369:E369"/>
    <mergeCell ref="F369:G369"/>
    <mergeCell ref="M369:N369"/>
    <mergeCell ref="B375:C375"/>
    <mergeCell ref="D375:E375"/>
    <mergeCell ref="F375:G375"/>
    <mergeCell ref="M375:N375"/>
    <mergeCell ref="B373:C373"/>
    <mergeCell ref="I245:L245"/>
    <mergeCell ref="B246:C246"/>
    <mergeCell ref="D246:E246"/>
    <mergeCell ref="F246:G246"/>
    <mergeCell ref="M246:N246"/>
    <mergeCell ref="B247:C247"/>
    <mergeCell ref="D247:E247"/>
    <mergeCell ref="F247:G247"/>
    <mergeCell ref="M247:N247"/>
    <mergeCell ref="B248:C248"/>
    <mergeCell ref="D248:E248"/>
    <mergeCell ref="F248:G248"/>
    <mergeCell ref="M248:N248"/>
    <mergeCell ref="B249:C249"/>
    <mergeCell ref="D249:E249"/>
    <mergeCell ref="F249:G249"/>
    <mergeCell ref="M249:N249"/>
    <mergeCell ref="B250:C250"/>
    <mergeCell ref="D250:E250"/>
    <mergeCell ref="F250:G250"/>
    <mergeCell ref="M250:N250"/>
    <mergeCell ref="B251:C251"/>
    <mergeCell ref="D251:E251"/>
    <mergeCell ref="F251:G251"/>
    <mergeCell ref="M251:N251"/>
    <mergeCell ref="B252:C252"/>
    <mergeCell ref="D252:E252"/>
    <mergeCell ref="F252:G252"/>
    <mergeCell ref="M252:N252"/>
    <mergeCell ref="B253:C253"/>
    <mergeCell ref="D253:E253"/>
    <mergeCell ref="F253:G253"/>
    <mergeCell ref="M253:N253"/>
    <mergeCell ref="B254:C254"/>
    <mergeCell ref="D254:E254"/>
    <mergeCell ref="F254:G254"/>
    <mergeCell ref="M254:N254"/>
    <mergeCell ref="B256:C256"/>
    <mergeCell ref="D256:E256"/>
    <mergeCell ref="F256:G256"/>
    <mergeCell ref="M256:N256"/>
    <mergeCell ref="B257:C257"/>
    <mergeCell ref="D257:E257"/>
    <mergeCell ref="F257:G257"/>
    <mergeCell ref="M257:N257"/>
    <mergeCell ref="B258:C258"/>
    <mergeCell ref="D258:E258"/>
    <mergeCell ref="F258:G258"/>
    <mergeCell ref="M258:N258"/>
    <mergeCell ref="B259:C259"/>
    <mergeCell ref="D259:E259"/>
    <mergeCell ref="F259:G259"/>
    <mergeCell ref="M259:N259"/>
    <mergeCell ref="B260:C260"/>
    <mergeCell ref="D260:E260"/>
    <mergeCell ref="F260:G260"/>
    <mergeCell ref="M260:N260"/>
    <mergeCell ref="B261:C261"/>
    <mergeCell ref="D261:E261"/>
    <mergeCell ref="F261:G261"/>
    <mergeCell ref="M261:N261"/>
    <mergeCell ref="B262:C262"/>
    <mergeCell ref="D262:E262"/>
    <mergeCell ref="F262:G262"/>
    <mergeCell ref="M262:N262"/>
    <mergeCell ref="B263:C263"/>
    <mergeCell ref="D263:E263"/>
    <mergeCell ref="F263:G263"/>
    <mergeCell ref="M263:N263"/>
    <mergeCell ref="B264:C264"/>
    <mergeCell ref="D264:E264"/>
    <mergeCell ref="F264:G264"/>
    <mergeCell ref="M264:N264"/>
    <mergeCell ref="B265:C265"/>
    <mergeCell ref="D265:E265"/>
    <mergeCell ref="F265:G265"/>
    <mergeCell ref="M265:N265"/>
    <mergeCell ref="B266:C266"/>
    <mergeCell ref="D266:E266"/>
    <mergeCell ref="F266:G266"/>
    <mergeCell ref="M266:N266"/>
    <mergeCell ref="B267:C267"/>
    <mergeCell ref="D267:E267"/>
    <mergeCell ref="F267:G267"/>
    <mergeCell ref="M267:N267"/>
    <mergeCell ref="B268:C268"/>
    <mergeCell ref="D268:E268"/>
    <mergeCell ref="F268:G268"/>
    <mergeCell ref="M268:N268"/>
    <mergeCell ref="B269:C269"/>
    <mergeCell ref="D269:E269"/>
    <mergeCell ref="F269:G269"/>
    <mergeCell ref="M269:N269"/>
    <mergeCell ref="B270:C270"/>
    <mergeCell ref="D270:E270"/>
    <mergeCell ref="F270:G270"/>
    <mergeCell ref="M270:N270"/>
    <mergeCell ref="F278:G278"/>
    <mergeCell ref="M278:N278"/>
    <mergeCell ref="B280:C280"/>
    <mergeCell ref="D280:E280"/>
    <mergeCell ref="F280:G280"/>
    <mergeCell ref="M280:N280"/>
    <mergeCell ref="B281:C281"/>
    <mergeCell ref="D281:E281"/>
    <mergeCell ref="F281:G281"/>
    <mergeCell ref="M281:N281"/>
    <mergeCell ref="B271:C271"/>
    <mergeCell ref="D271:E271"/>
    <mergeCell ref="F271:G271"/>
    <mergeCell ref="M271:N271"/>
    <mergeCell ref="B272:C272"/>
    <mergeCell ref="D272:E272"/>
    <mergeCell ref="F272:G272"/>
    <mergeCell ref="M272:N272"/>
    <mergeCell ref="B273:C273"/>
    <mergeCell ref="D273:E273"/>
    <mergeCell ref="F273:G273"/>
    <mergeCell ref="M273:N273"/>
    <mergeCell ref="B274:C274"/>
    <mergeCell ref="D274:E274"/>
    <mergeCell ref="F274:G274"/>
    <mergeCell ref="M274:N274"/>
    <mergeCell ref="B275:C275"/>
    <mergeCell ref="D275:E275"/>
    <mergeCell ref="F275:G275"/>
    <mergeCell ref="M275:N275"/>
    <mergeCell ref="B282:C282"/>
    <mergeCell ref="D282:E282"/>
    <mergeCell ref="F282:G282"/>
    <mergeCell ref="M282:N282"/>
    <mergeCell ref="B283:C283"/>
    <mergeCell ref="D283:E283"/>
    <mergeCell ref="F283:G283"/>
    <mergeCell ref="M283:N283"/>
    <mergeCell ref="B284:C284"/>
    <mergeCell ref="D284:E284"/>
    <mergeCell ref="F284:G284"/>
    <mergeCell ref="M284:N284"/>
    <mergeCell ref="B286:E286"/>
    <mergeCell ref="B287:E287"/>
    <mergeCell ref="B255:C255"/>
    <mergeCell ref="D255:E255"/>
    <mergeCell ref="F255:G255"/>
    <mergeCell ref="M255:N255"/>
    <mergeCell ref="B279:C279"/>
    <mergeCell ref="D279:E279"/>
    <mergeCell ref="F279:G279"/>
    <mergeCell ref="M279:N279"/>
    <mergeCell ref="B276:C276"/>
    <mergeCell ref="D276:E276"/>
    <mergeCell ref="F276:G276"/>
    <mergeCell ref="M276:N276"/>
    <mergeCell ref="B277:C277"/>
    <mergeCell ref="D277:E277"/>
    <mergeCell ref="F277:G277"/>
    <mergeCell ref="M277:N277"/>
    <mergeCell ref="B278:C278"/>
    <mergeCell ref="D278:E278"/>
    <mergeCell ref="I200:L200"/>
    <mergeCell ref="B201:C201"/>
    <mergeCell ref="D201:E201"/>
    <mergeCell ref="F201:G201"/>
    <mergeCell ref="M201:N201"/>
    <mergeCell ref="B202:C202"/>
    <mergeCell ref="D202:E202"/>
    <mergeCell ref="F202:G202"/>
    <mergeCell ref="M202:N202"/>
    <mergeCell ref="B203:C203"/>
    <mergeCell ref="D203:E203"/>
    <mergeCell ref="F203:G203"/>
    <mergeCell ref="M203:N203"/>
    <mergeCell ref="B204:C204"/>
    <mergeCell ref="D204:E204"/>
    <mergeCell ref="F204:G204"/>
    <mergeCell ref="M204:N204"/>
    <mergeCell ref="B205:C205"/>
    <mergeCell ref="D205:E205"/>
    <mergeCell ref="F205:G205"/>
    <mergeCell ref="M205:N205"/>
    <mergeCell ref="B206:C206"/>
    <mergeCell ref="D206:E206"/>
    <mergeCell ref="F206:G206"/>
    <mergeCell ref="M206:N206"/>
    <mergeCell ref="B207:C207"/>
    <mergeCell ref="D207:E207"/>
    <mergeCell ref="F207:G207"/>
    <mergeCell ref="M207:N207"/>
    <mergeCell ref="B208:C208"/>
    <mergeCell ref="D208:E208"/>
    <mergeCell ref="F208:G208"/>
    <mergeCell ref="M208:N208"/>
    <mergeCell ref="B209:C209"/>
    <mergeCell ref="D209:E209"/>
    <mergeCell ref="F209:G209"/>
    <mergeCell ref="M209:N209"/>
    <mergeCell ref="B210:C210"/>
    <mergeCell ref="D210:E210"/>
    <mergeCell ref="F210:G210"/>
    <mergeCell ref="M210:N210"/>
    <mergeCell ref="B211:C211"/>
    <mergeCell ref="D211:E211"/>
    <mergeCell ref="F211:G211"/>
    <mergeCell ref="M211:N211"/>
    <mergeCell ref="B212:C212"/>
    <mergeCell ref="D212:E212"/>
    <mergeCell ref="F212:G212"/>
    <mergeCell ref="M212:N212"/>
    <mergeCell ref="B213:C213"/>
    <mergeCell ref="D213:E213"/>
    <mergeCell ref="F213:G213"/>
    <mergeCell ref="M213:N213"/>
    <mergeCell ref="B214:C214"/>
    <mergeCell ref="D214:E214"/>
    <mergeCell ref="F214:G214"/>
    <mergeCell ref="M214:N214"/>
    <mergeCell ref="B215:C215"/>
    <mergeCell ref="D215:E215"/>
    <mergeCell ref="F215:G215"/>
    <mergeCell ref="M215:N215"/>
    <mergeCell ref="B216:C216"/>
    <mergeCell ref="D216:E216"/>
    <mergeCell ref="F216:G216"/>
    <mergeCell ref="M216:N216"/>
    <mergeCell ref="B217:C217"/>
    <mergeCell ref="D217:E217"/>
    <mergeCell ref="F217:G217"/>
    <mergeCell ref="M217:N217"/>
    <mergeCell ref="B218:C218"/>
    <mergeCell ref="D218:E218"/>
    <mergeCell ref="F218:G218"/>
    <mergeCell ref="M218:N218"/>
    <mergeCell ref="B219:C219"/>
    <mergeCell ref="D219:E219"/>
    <mergeCell ref="F219:G219"/>
    <mergeCell ref="M219:N219"/>
    <mergeCell ref="B220:C220"/>
    <mergeCell ref="D220:E220"/>
    <mergeCell ref="F220:G220"/>
    <mergeCell ref="M220:N220"/>
    <mergeCell ref="B221:C221"/>
    <mergeCell ref="D221:E221"/>
    <mergeCell ref="F221:G221"/>
    <mergeCell ref="M221:N221"/>
    <mergeCell ref="B222:C222"/>
    <mergeCell ref="D222:E222"/>
    <mergeCell ref="F222:G222"/>
    <mergeCell ref="M222:N222"/>
    <mergeCell ref="B223:C223"/>
    <mergeCell ref="D223:E223"/>
    <mergeCell ref="F223:G223"/>
    <mergeCell ref="M223:N223"/>
    <mergeCell ref="B224:C224"/>
    <mergeCell ref="D224:E224"/>
    <mergeCell ref="F224:G224"/>
    <mergeCell ref="M224:N224"/>
    <mergeCell ref="B225:C225"/>
    <mergeCell ref="D225:E225"/>
    <mergeCell ref="F225:G225"/>
    <mergeCell ref="M225:N225"/>
    <mergeCell ref="B226:C226"/>
    <mergeCell ref="D226:E226"/>
    <mergeCell ref="F226:G226"/>
    <mergeCell ref="M226:N226"/>
    <mergeCell ref="B227:C227"/>
    <mergeCell ref="D227:E227"/>
    <mergeCell ref="F227:G227"/>
    <mergeCell ref="M227:N227"/>
    <mergeCell ref="B228:C228"/>
    <mergeCell ref="D228:E228"/>
    <mergeCell ref="F228:G228"/>
    <mergeCell ref="M228:N228"/>
    <mergeCell ref="B229:C229"/>
    <mergeCell ref="D229:E229"/>
    <mergeCell ref="F229:G229"/>
    <mergeCell ref="M229:N229"/>
    <mergeCell ref="B230:C230"/>
    <mergeCell ref="D230:E230"/>
    <mergeCell ref="F230:G230"/>
    <mergeCell ref="M230:N230"/>
    <mergeCell ref="B231:C231"/>
    <mergeCell ref="D231:E231"/>
    <mergeCell ref="F231:G231"/>
    <mergeCell ref="M231:N231"/>
    <mergeCell ref="B232:C232"/>
    <mergeCell ref="D232:E232"/>
    <mergeCell ref="F232:G232"/>
    <mergeCell ref="M232:N232"/>
    <mergeCell ref="B233:C233"/>
    <mergeCell ref="D233:E233"/>
    <mergeCell ref="F233:G233"/>
    <mergeCell ref="M233:N233"/>
    <mergeCell ref="B234:C234"/>
    <mergeCell ref="D234:E234"/>
    <mergeCell ref="F234:G234"/>
    <mergeCell ref="M234:N234"/>
    <mergeCell ref="B242:E242"/>
    <mergeCell ref="B243:E243"/>
    <mergeCell ref="B236:C236"/>
    <mergeCell ref="D236:E236"/>
    <mergeCell ref="F236:G236"/>
    <mergeCell ref="M236:N236"/>
    <mergeCell ref="B237:C237"/>
    <mergeCell ref="D237:E237"/>
    <mergeCell ref="F237:G237"/>
    <mergeCell ref="M237:N237"/>
    <mergeCell ref="B238:C238"/>
    <mergeCell ref="D238:E238"/>
    <mergeCell ref="F238:G238"/>
    <mergeCell ref="M238:N238"/>
    <mergeCell ref="B239:C239"/>
    <mergeCell ref="D239:E239"/>
    <mergeCell ref="F239:G239"/>
    <mergeCell ref="M239:N239"/>
    <mergeCell ref="B240:C240"/>
    <mergeCell ref="D240:E240"/>
    <mergeCell ref="F240:G240"/>
    <mergeCell ref="M240:N240"/>
    <mergeCell ref="I161:L161"/>
    <mergeCell ref="B162:C162"/>
    <mergeCell ref="D162:E162"/>
    <mergeCell ref="F162:G162"/>
    <mergeCell ref="M162:N162"/>
    <mergeCell ref="B163:C163"/>
    <mergeCell ref="D163:E163"/>
    <mergeCell ref="F163:G163"/>
    <mergeCell ref="M163:N163"/>
    <mergeCell ref="B164:C164"/>
    <mergeCell ref="D164:E164"/>
    <mergeCell ref="F164:G164"/>
    <mergeCell ref="M164:N164"/>
    <mergeCell ref="B165:C165"/>
    <mergeCell ref="D165:E165"/>
    <mergeCell ref="F165:G165"/>
    <mergeCell ref="M165:N165"/>
    <mergeCell ref="F172:G172"/>
    <mergeCell ref="M172:N172"/>
    <mergeCell ref="B166:C166"/>
    <mergeCell ref="D166:E166"/>
    <mergeCell ref="F166:G166"/>
    <mergeCell ref="M166:N166"/>
    <mergeCell ref="B167:C167"/>
    <mergeCell ref="D167:E167"/>
    <mergeCell ref="F167:G167"/>
    <mergeCell ref="M167:N167"/>
    <mergeCell ref="B168:C168"/>
    <mergeCell ref="D168:E168"/>
    <mergeCell ref="F168:G168"/>
    <mergeCell ref="M168:N168"/>
    <mergeCell ref="B169:C169"/>
    <mergeCell ref="D169:E169"/>
    <mergeCell ref="F169:G169"/>
    <mergeCell ref="M169:N169"/>
    <mergeCell ref="B170:C170"/>
    <mergeCell ref="D170:E170"/>
    <mergeCell ref="F170:G170"/>
    <mergeCell ref="M170:N170"/>
    <mergeCell ref="B183:C183"/>
    <mergeCell ref="D183:E183"/>
    <mergeCell ref="F183:G183"/>
    <mergeCell ref="M183:N183"/>
    <mergeCell ref="B184:C184"/>
    <mergeCell ref="D184:E184"/>
    <mergeCell ref="F184:G184"/>
    <mergeCell ref="M184:N184"/>
    <mergeCell ref="B185:C185"/>
    <mergeCell ref="D185:E185"/>
    <mergeCell ref="B171:C171"/>
    <mergeCell ref="D171:E171"/>
    <mergeCell ref="F171:G171"/>
    <mergeCell ref="M171:N171"/>
    <mergeCell ref="B173:C173"/>
    <mergeCell ref="D173:E173"/>
    <mergeCell ref="F173:G173"/>
    <mergeCell ref="M173:N173"/>
    <mergeCell ref="B174:C174"/>
    <mergeCell ref="D174:E174"/>
    <mergeCell ref="F174:G174"/>
    <mergeCell ref="M174:N174"/>
    <mergeCell ref="B175:C175"/>
    <mergeCell ref="D175:E175"/>
    <mergeCell ref="F175:G175"/>
    <mergeCell ref="M175:N175"/>
    <mergeCell ref="B176:C176"/>
    <mergeCell ref="D176:E176"/>
    <mergeCell ref="F176:G176"/>
    <mergeCell ref="M176:N176"/>
    <mergeCell ref="B172:C172"/>
    <mergeCell ref="D172:E172"/>
    <mergeCell ref="F190:G190"/>
    <mergeCell ref="F191:G191"/>
    <mergeCell ref="B194:C194"/>
    <mergeCell ref="D194:E194"/>
    <mergeCell ref="F194:G194"/>
    <mergeCell ref="M194:N194"/>
    <mergeCell ref="B190:C190"/>
    <mergeCell ref="D190:E190"/>
    <mergeCell ref="B191:C191"/>
    <mergeCell ref="D191:E191"/>
    <mergeCell ref="M191:N191"/>
    <mergeCell ref="M190:N190"/>
    <mergeCell ref="B178:C178"/>
    <mergeCell ref="D178:E178"/>
    <mergeCell ref="F178:G178"/>
    <mergeCell ref="M178:N178"/>
    <mergeCell ref="B179:C179"/>
    <mergeCell ref="D179:E179"/>
    <mergeCell ref="F179:G179"/>
    <mergeCell ref="M179:N179"/>
    <mergeCell ref="B180:C180"/>
    <mergeCell ref="D180:E180"/>
    <mergeCell ref="F180:G180"/>
    <mergeCell ref="M180:N180"/>
    <mergeCell ref="B181:C181"/>
    <mergeCell ref="D181:E181"/>
    <mergeCell ref="F181:G181"/>
    <mergeCell ref="M181:N181"/>
    <mergeCell ref="B182:C182"/>
    <mergeCell ref="D182:E182"/>
    <mergeCell ref="F182:G182"/>
    <mergeCell ref="M182:N182"/>
    <mergeCell ref="F185:G185"/>
    <mergeCell ref="M185:N185"/>
    <mergeCell ref="B186:C186"/>
    <mergeCell ref="D186:E186"/>
    <mergeCell ref="F186:G186"/>
    <mergeCell ref="M186:N186"/>
    <mergeCell ref="B187:C187"/>
    <mergeCell ref="D187:E187"/>
    <mergeCell ref="F187:G187"/>
    <mergeCell ref="M187:N187"/>
    <mergeCell ref="B195:C195"/>
    <mergeCell ref="D195:E195"/>
    <mergeCell ref="F195:G195"/>
    <mergeCell ref="M195:N195"/>
    <mergeCell ref="B197:E197"/>
    <mergeCell ref="B198:E198"/>
    <mergeCell ref="B188:C188"/>
    <mergeCell ref="D188:E188"/>
    <mergeCell ref="F188:G188"/>
    <mergeCell ref="M188:N188"/>
    <mergeCell ref="B189:C189"/>
    <mergeCell ref="D189:E189"/>
    <mergeCell ref="F189:G189"/>
    <mergeCell ref="M189:N189"/>
    <mergeCell ref="B192:C192"/>
    <mergeCell ref="D192:E192"/>
    <mergeCell ref="F192:G192"/>
    <mergeCell ref="M192:N192"/>
    <mergeCell ref="B193:C193"/>
    <mergeCell ref="D193:E193"/>
    <mergeCell ref="F193:G193"/>
    <mergeCell ref="M193:N193"/>
    <mergeCell ref="I121:L121"/>
    <mergeCell ref="B122:C122"/>
    <mergeCell ref="D122:E122"/>
    <mergeCell ref="F122:G122"/>
    <mergeCell ref="M122:N122"/>
    <mergeCell ref="B123:C123"/>
    <mergeCell ref="D123:E123"/>
    <mergeCell ref="F123:G123"/>
    <mergeCell ref="M123:N123"/>
    <mergeCell ref="B124:C124"/>
    <mergeCell ref="D124:E124"/>
    <mergeCell ref="F124:G124"/>
    <mergeCell ref="M124:N124"/>
    <mergeCell ref="B125:C125"/>
    <mergeCell ref="D125:E125"/>
    <mergeCell ref="F125:G125"/>
    <mergeCell ref="M125:N125"/>
    <mergeCell ref="B136:C136"/>
    <mergeCell ref="D136:E136"/>
    <mergeCell ref="F136:G136"/>
    <mergeCell ref="M136:N136"/>
    <mergeCell ref="B126:C126"/>
    <mergeCell ref="D126:E126"/>
    <mergeCell ref="F126:G126"/>
    <mergeCell ref="M126:N126"/>
    <mergeCell ref="B127:C127"/>
    <mergeCell ref="D127:E127"/>
    <mergeCell ref="F127:G127"/>
    <mergeCell ref="M127:N127"/>
    <mergeCell ref="B128:C128"/>
    <mergeCell ref="D128:E128"/>
    <mergeCell ref="F128:G128"/>
    <mergeCell ref="M128:N128"/>
    <mergeCell ref="B129:C129"/>
    <mergeCell ref="D129:E129"/>
    <mergeCell ref="F129:G129"/>
    <mergeCell ref="M129:N129"/>
    <mergeCell ref="B130:C130"/>
    <mergeCell ref="D130:E130"/>
    <mergeCell ref="F130:G130"/>
    <mergeCell ref="M130:N130"/>
    <mergeCell ref="B132:C132"/>
    <mergeCell ref="D132:E132"/>
    <mergeCell ref="F132:G132"/>
    <mergeCell ref="M132:N132"/>
    <mergeCell ref="B138:C138"/>
    <mergeCell ref="D138:E138"/>
    <mergeCell ref="F138:G138"/>
    <mergeCell ref="M138:N138"/>
    <mergeCell ref="B139:C139"/>
    <mergeCell ref="D139:E139"/>
    <mergeCell ref="F139:G139"/>
    <mergeCell ref="M139:N139"/>
    <mergeCell ref="B140:C140"/>
    <mergeCell ref="D140:E140"/>
    <mergeCell ref="F140:G140"/>
    <mergeCell ref="M140:N140"/>
    <mergeCell ref="B141:C141"/>
    <mergeCell ref="D141:E141"/>
    <mergeCell ref="F141:G141"/>
    <mergeCell ref="M141:N141"/>
    <mergeCell ref="B131:C131"/>
    <mergeCell ref="D131:E131"/>
    <mergeCell ref="F131:G131"/>
    <mergeCell ref="M131:N131"/>
    <mergeCell ref="B133:C133"/>
    <mergeCell ref="D133:E133"/>
    <mergeCell ref="F133:G133"/>
    <mergeCell ref="M133:N133"/>
    <mergeCell ref="B134:C134"/>
    <mergeCell ref="D134:E134"/>
    <mergeCell ref="F134:G134"/>
    <mergeCell ref="M134:N134"/>
    <mergeCell ref="B135:C135"/>
    <mergeCell ref="D135:E135"/>
    <mergeCell ref="F135:G135"/>
    <mergeCell ref="M135:N135"/>
    <mergeCell ref="B142:C142"/>
    <mergeCell ref="D142:E142"/>
    <mergeCell ref="F142:G142"/>
    <mergeCell ref="M142:N142"/>
    <mergeCell ref="B143:C143"/>
    <mergeCell ref="D143:E143"/>
    <mergeCell ref="F143:G143"/>
    <mergeCell ref="M143:N143"/>
    <mergeCell ref="B144:C144"/>
    <mergeCell ref="D144:E144"/>
    <mergeCell ref="F144:G144"/>
    <mergeCell ref="M144:N144"/>
    <mergeCell ref="B145:C145"/>
    <mergeCell ref="D145:E145"/>
    <mergeCell ref="F145:G145"/>
    <mergeCell ref="M145:N145"/>
    <mergeCell ref="B146:C146"/>
    <mergeCell ref="D146:E146"/>
    <mergeCell ref="F146:G146"/>
    <mergeCell ref="M146:N146"/>
    <mergeCell ref="B147:C147"/>
    <mergeCell ref="D147:E147"/>
    <mergeCell ref="F147:G147"/>
    <mergeCell ref="M147:N147"/>
    <mergeCell ref="B148:C148"/>
    <mergeCell ref="D148:E148"/>
    <mergeCell ref="F148:G148"/>
    <mergeCell ref="M148:N148"/>
    <mergeCell ref="B149:C149"/>
    <mergeCell ref="D149:E149"/>
    <mergeCell ref="F149:G149"/>
    <mergeCell ref="M149:N149"/>
    <mergeCell ref="B150:C150"/>
    <mergeCell ref="D150:E150"/>
    <mergeCell ref="F150:G150"/>
    <mergeCell ref="M150:N150"/>
    <mergeCell ref="B151:C151"/>
    <mergeCell ref="D151:E151"/>
    <mergeCell ref="F151:G151"/>
    <mergeCell ref="M151:N151"/>
    <mergeCell ref="B158:E158"/>
    <mergeCell ref="B159:E159"/>
    <mergeCell ref="B152:C152"/>
    <mergeCell ref="D152:E152"/>
    <mergeCell ref="F152:G152"/>
    <mergeCell ref="M152:N152"/>
    <mergeCell ref="B153:C153"/>
    <mergeCell ref="D153:E153"/>
    <mergeCell ref="F153:G153"/>
    <mergeCell ref="M153:N153"/>
    <mergeCell ref="B154:C154"/>
    <mergeCell ref="D154:E154"/>
    <mergeCell ref="F154:G154"/>
    <mergeCell ref="M154:N154"/>
    <mergeCell ref="B155:C155"/>
    <mergeCell ref="D155:E155"/>
    <mergeCell ref="F155:G155"/>
    <mergeCell ref="M155:N155"/>
    <mergeCell ref="B156:C156"/>
    <mergeCell ref="D156:E156"/>
    <mergeCell ref="F156:G156"/>
    <mergeCell ref="M156:N156"/>
    <mergeCell ref="I81:L81"/>
    <mergeCell ref="B82:C82"/>
    <mergeCell ref="D82:E82"/>
    <mergeCell ref="F82:G82"/>
    <mergeCell ref="M82:N82"/>
    <mergeCell ref="B83:C83"/>
    <mergeCell ref="D83:E83"/>
    <mergeCell ref="F83:G83"/>
    <mergeCell ref="M83:N83"/>
    <mergeCell ref="B84:C84"/>
    <mergeCell ref="D84:E84"/>
    <mergeCell ref="F84:G84"/>
    <mergeCell ref="M84:N84"/>
    <mergeCell ref="B85:C85"/>
    <mergeCell ref="D85:E85"/>
    <mergeCell ref="F85:G85"/>
    <mergeCell ref="M85:N85"/>
    <mergeCell ref="B86:C86"/>
    <mergeCell ref="D86:E86"/>
    <mergeCell ref="F86:G86"/>
    <mergeCell ref="M86:N86"/>
    <mergeCell ref="B87:C87"/>
    <mergeCell ref="D87:E87"/>
    <mergeCell ref="F87:G87"/>
    <mergeCell ref="M87:N87"/>
    <mergeCell ref="B88:C88"/>
    <mergeCell ref="D88:E88"/>
    <mergeCell ref="F88:G88"/>
    <mergeCell ref="M88:N88"/>
    <mergeCell ref="B89:C89"/>
    <mergeCell ref="D89:E89"/>
    <mergeCell ref="F89:G89"/>
    <mergeCell ref="M89:N89"/>
    <mergeCell ref="B90:C90"/>
    <mergeCell ref="D90:E90"/>
    <mergeCell ref="F90:G90"/>
    <mergeCell ref="M90:N90"/>
    <mergeCell ref="B91:C91"/>
    <mergeCell ref="D91:E91"/>
    <mergeCell ref="F91:G91"/>
    <mergeCell ref="M91:N91"/>
    <mergeCell ref="B92:C92"/>
    <mergeCell ref="D92:E92"/>
    <mergeCell ref="F92:G92"/>
    <mergeCell ref="M92:N92"/>
    <mergeCell ref="B93:C93"/>
    <mergeCell ref="D93:E93"/>
    <mergeCell ref="F93:G93"/>
    <mergeCell ref="M93:N93"/>
    <mergeCell ref="B94:C94"/>
    <mergeCell ref="D94:E94"/>
    <mergeCell ref="F94:G94"/>
    <mergeCell ref="B95:C95"/>
    <mergeCell ref="D95:E95"/>
    <mergeCell ref="F95:G95"/>
    <mergeCell ref="M95:N95"/>
    <mergeCell ref="B96:C96"/>
    <mergeCell ref="D96:E96"/>
    <mergeCell ref="F96:G96"/>
    <mergeCell ref="M96:N96"/>
    <mergeCell ref="B97:C97"/>
    <mergeCell ref="D97:E97"/>
    <mergeCell ref="F97:G97"/>
    <mergeCell ref="M97:N97"/>
    <mergeCell ref="B98:C98"/>
    <mergeCell ref="D98:E98"/>
    <mergeCell ref="F98:G98"/>
    <mergeCell ref="M98:N98"/>
    <mergeCell ref="B99:C99"/>
    <mergeCell ref="D99:E99"/>
    <mergeCell ref="F99:G99"/>
    <mergeCell ref="M99:N99"/>
    <mergeCell ref="B100:C100"/>
    <mergeCell ref="D100:E100"/>
    <mergeCell ref="F100:G100"/>
    <mergeCell ref="B101:C101"/>
    <mergeCell ref="D101:E101"/>
    <mergeCell ref="F101:G101"/>
    <mergeCell ref="M101:N101"/>
    <mergeCell ref="B102:C102"/>
    <mergeCell ref="D102:E102"/>
    <mergeCell ref="F102:G102"/>
    <mergeCell ref="M102:N102"/>
    <mergeCell ref="B103:C103"/>
    <mergeCell ref="D103:E103"/>
    <mergeCell ref="F103:G103"/>
    <mergeCell ref="M103:N103"/>
    <mergeCell ref="B104:C104"/>
    <mergeCell ref="D104:E104"/>
    <mergeCell ref="F104:G104"/>
    <mergeCell ref="M104:N104"/>
    <mergeCell ref="B105:C105"/>
    <mergeCell ref="D105:E105"/>
    <mergeCell ref="F105:G105"/>
    <mergeCell ref="M105:N105"/>
    <mergeCell ref="B106:C106"/>
    <mergeCell ref="D106:E106"/>
    <mergeCell ref="F106:G106"/>
    <mergeCell ref="M106:N106"/>
    <mergeCell ref="B107:C107"/>
    <mergeCell ref="D107:E107"/>
    <mergeCell ref="F107:G107"/>
    <mergeCell ref="M107:N107"/>
    <mergeCell ref="B108:C108"/>
    <mergeCell ref="D108:E108"/>
    <mergeCell ref="F108:G108"/>
    <mergeCell ref="M108:N108"/>
    <mergeCell ref="B109:C109"/>
    <mergeCell ref="D109:E109"/>
    <mergeCell ref="F109:G109"/>
    <mergeCell ref="M109:N109"/>
    <mergeCell ref="B110:C110"/>
    <mergeCell ref="D110:E110"/>
    <mergeCell ref="F110:G110"/>
    <mergeCell ref="M110:N110"/>
    <mergeCell ref="B116:C116"/>
    <mergeCell ref="D116:E116"/>
    <mergeCell ref="F116:G116"/>
    <mergeCell ref="M116:N116"/>
    <mergeCell ref="B118:E118"/>
    <mergeCell ref="B119:E119"/>
    <mergeCell ref="B111:C111"/>
    <mergeCell ref="D111:E111"/>
    <mergeCell ref="F111:G111"/>
    <mergeCell ref="M111:N111"/>
    <mergeCell ref="B112:C112"/>
    <mergeCell ref="D112:E112"/>
    <mergeCell ref="F112:G112"/>
    <mergeCell ref="M112:N112"/>
    <mergeCell ref="B113:C113"/>
    <mergeCell ref="D113:E113"/>
    <mergeCell ref="F113:G113"/>
    <mergeCell ref="B114:C114"/>
    <mergeCell ref="D114:E114"/>
    <mergeCell ref="F114:G114"/>
    <mergeCell ref="M114:N114"/>
    <mergeCell ref="B115:C115"/>
    <mergeCell ref="D115:E115"/>
    <mergeCell ref="F115:G115"/>
    <mergeCell ref="M115:N115"/>
    <mergeCell ref="I1:L1"/>
    <mergeCell ref="B2:C2"/>
    <mergeCell ref="D2:E2"/>
    <mergeCell ref="F2:G2"/>
    <mergeCell ref="M2:N2"/>
    <mergeCell ref="B3:C3"/>
    <mergeCell ref="D3:E3"/>
    <mergeCell ref="F3:G3"/>
    <mergeCell ref="M3:N3"/>
    <mergeCell ref="B4:C4"/>
    <mergeCell ref="D4:E4"/>
    <mergeCell ref="F4:G4"/>
    <mergeCell ref="M4:N4"/>
    <mergeCell ref="B5:C5"/>
    <mergeCell ref="D5:E5"/>
    <mergeCell ref="F5:G5"/>
    <mergeCell ref="M5:N5"/>
    <mergeCell ref="B6:C6"/>
    <mergeCell ref="D6:E6"/>
    <mergeCell ref="F6:G6"/>
    <mergeCell ref="M6:N6"/>
    <mergeCell ref="B7:C7"/>
    <mergeCell ref="D7:E7"/>
    <mergeCell ref="F7:G7"/>
    <mergeCell ref="M7:N7"/>
    <mergeCell ref="B8:C8"/>
    <mergeCell ref="D8:E8"/>
    <mergeCell ref="F8:G8"/>
    <mergeCell ref="M8:N8"/>
    <mergeCell ref="B9:C9"/>
    <mergeCell ref="D9:E9"/>
    <mergeCell ref="F9:G9"/>
    <mergeCell ref="M9:N9"/>
    <mergeCell ref="B10:C10"/>
    <mergeCell ref="D10:E10"/>
    <mergeCell ref="F10:G10"/>
    <mergeCell ref="M10:N10"/>
    <mergeCell ref="B11:C11"/>
    <mergeCell ref="D11:E11"/>
    <mergeCell ref="F11:G11"/>
    <mergeCell ref="M11:N11"/>
    <mergeCell ref="B12:C12"/>
    <mergeCell ref="D12:E12"/>
    <mergeCell ref="F12:G12"/>
    <mergeCell ref="M12:N12"/>
    <mergeCell ref="B13:C13"/>
    <mergeCell ref="D13:E13"/>
    <mergeCell ref="F13:G13"/>
    <mergeCell ref="M13:N13"/>
    <mergeCell ref="B14:C14"/>
    <mergeCell ref="D14:E14"/>
    <mergeCell ref="F14:G14"/>
    <mergeCell ref="B15:C15"/>
    <mergeCell ref="D15:E15"/>
    <mergeCell ref="F15:G15"/>
    <mergeCell ref="M15:N15"/>
    <mergeCell ref="B16:C16"/>
    <mergeCell ref="D16:E16"/>
    <mergeCell ref="F16:G16"/>
    <mergeCell ref="M16:N16"/>
    <mergeCell ref="B17:C17"/>
    <mergeCell ref="D17:E17"/>
    <mergeCell ref="F17:G17"/>
    <mergeCell ref="M17:N17"/>
    <mergeCell ref="B18:C18"/>
    <mergeCell ref="D18:E18"/>
    <mergeCell ref="F18:G18"/>
    <mergeCell ref="M18:N18"/>
    <mergeCell ref="B20:C20"/>
    <mergeCell ref="D20:E20"/>
    <mergeCell ref="F20:G20"/>
    <mergeCell ref="M20:N20"/>
    <mergeCell ref="B21:C21"/>
    <mergeCell ref="D21:E21"/>
    <mergeCell ref="F21:G21"/>
    <mergeCell ref="B19:C19"/>
    <mergeCell ref="D19:E19"/>
    <mergeCell ref="F19:G19"/>
    <mergeCell ref="M19:N19"/>
    <mergeCell ref="B22:C22"/>
    <mergeCell ref="D22:E22"/>
    <mergeCell ref="F22:G22"/>
    <mergeCell ref="M22:N22"/>
    <mergeCell ref="B23:C23"/>
    <mergeCell ref="D23:E23"/>
    <mergeCell ref="F23:G23"/>
    <mergeCell ref="M23:N23"/>
    <mergeCell ref="B24:C24"/>
    <mergeCell ref="D24:E24"/>
    <mergeCell ref="F24:G24"/>
    <mergeCell ref="M24:N24"/>
    <mergeCell ref="B25:C25"/>
    <mergeCell ref="D25:E25"/>
    <mergeCell ref="F25:G25"/>
    <mergeCell ref="M25:N25"/>
    <mergeCell ref="B26:C26"/>
    <mergeCell ref="D26:E26"/>
    <mergeCell ref="F26:G26"/>
    <mergeCell ref="M26:N26"/>
    <mergeCell ref="B27:C27"/>
    <mergeCell ref="D27:E27"/>
    <mergeCell ref="F27:G27"/>
    <mergeCell ref="M27:N27"/>
    <mergeCell ref="B28:C28"/>
    <mergeCell ref="D28:E28"/>
    <mergeCell ref="F28:G28"/>
    <mergeCell ref="M28:N28"/>
    <mergeCell ref="B29:C29"/>
    <mergeCell ref="D29:E29"/>
    <mergeCell ref="F29:G29"/>
    <mergeCell ref="M29:N29"/>
    <mergeCell ref="B30:C30"/>
    <mergeCell ref="D30:E30"/>
    <mergeCell ref="F30:G30"/>
    <mergeCell ref="M30:N30"/>
    <mergeCell ref="B31:C31"/>
    <mergeCell ref="D31:E31"/>
    <mergeCell ref="F31:G31"/>
    <mergeCell ref="M31:N31"/>
    <mergeCell ref="B37:C37"/>
    <mergeCell ref="D37:E37"/>
    <mergeCell ref="F37:G37"/>
    <mergeCell ref="M37:N37"/>
    <mergeCell ref="B39:E39"/>
    <mergeCell ref="B40:E40"/>
    <mergeCell ref="B32:C32"/>
    <mergeCell ref="D32:E32"/>
    <mergeCell ref="F32:G32"/>
    <mergeCell ref="M32:N32"/>
    <mergeCell ref="B33:C33"/>
    <mergeCell ref="D33:E33"/>
    <mergeCell ref="F33:G33"/>
    <mergeCell ref="M33:N33"/>
    <mergeCell ref="B34:C34"/>
    <mergeCell ref="D34:E34"/>
    <mergeCell ref="F34:G34"/>
    <mergeCell ref="B35:C35"/>
    <mergeCell ref="D35:E35"/>
    <mergeCell ref="F35:G35"/>
    <mergeCell ref="M35:N35"/>
    <mergeCell ref="B36:C36"/>
    <mergeCell ref="D36:E36"/>
    <mergeCell ref="F36:G36"/>
    <mergeCell ref="M36:N36"/>
  </mergeCells>
  <phoneticPr fontId="2" type="noConversion"/>
  <printOptions horizontalCentered="1"/>
  <pageMargins left="0.25" right="0.25" top="1.5" bottom="0" header="0.6" footer="0"/>
  <pageSetup scale="45" fitToHeight="0" orientation="landscape" r:id="rId1"/>
  <headerFooter alignWithMargins="0">
    <oddHeader xml:space="preserve">&amp;C&amp;"Arial,Bold"&amp;22City of Upland
IEUA Regional Conservation Programs Annual Report&amp;"Arial,Regular"
</oddHeader>
  </headerFooter>
  <rowBreaks count="14" manualBreakCount="14">
    <brk id="79" max="16383" man="1"/>
    <brk id="120" max="13" man="1"/>
    <brk id="159" max="13" man="1"/>
    <brk id="198" max="13" man="1"/>
    <brk id="243" max="13" man="1"/>
    <brk id="287" max="13" man="1"/>
    <brk id="329" max="13" man="1"/>
    <brk id="366" max="16383" man="1"/>
    <brk id="399" max="16383" man="1"/>
    <brk id="441" max="16383" man="1"/>
    <brk id="483" max="16383" man="1"/>
    <brk id="522" max="16383" man="1"/>
    <brk id="551" max="16383" man="1"/>
    <brk id="598"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3">
    <tabColor rgb="FFFFC000"/>
    <pageSetUpPr fitToPage="1"/>
  </sheetPr>
  <dimension ref="A3:O459"/>
  <sheetViews>
    <sheetView topLeftCell="A425" zoomScale="110" zoomScaleNormal="110" zoomScaleSheetLayoutView="100" workbookViewId="0">
      <pane xSplit="1" topLeftCell="C1" activePane="topRight" state="frozen"/>
      <selection activeCell="A425" sqref="A425"/>
      <selection pane="topRight" activeCell="M445" sqref="M445"/>
    </sheetView>
  </sheetViews>
  <sheetFormatPr baseColWidth="10" defaultColWidth="8.83203125" defaultRowHeight="13"/>
  <cols>
    <col min="1" max="1" width="48.5" bestFit="1" customWidth="1"/>
    <col min="4" max="4" width="11" bestFit="1" customWidth="1"/>
    <col min="5" max="5" width="8.5" bestFit="1" customWidth="1"/>
    <col min="6" max="7" width="10.5" bestFit="1" customWidth="1"/>
    <col min="8" max="8" width="9.1640625" style="23" customWidth="1"/>
    <col min="9" max="10" width="10.1640625" bestFit="1" customWidth="1"/>
    <col min="11" max="11" width="11.1640625" bestFit="1" customWidth="1"/>
  </cols>
  <sheetData>
    <row r="3" spans="1:14" ht="14" thickBot="1">
      <c r="B3" s="43" t="s">
        <v>35</v>
      </c>
      <c r="C3" s="43" t="s">
        <v>36</v>
      </c>
      <c r="D3" s="43" t="s">
        <v>37</v>
      </c>
      <c r="E3" s="43" t="s">
        <v>38</v>
      </c>
      <c r="F3" s="43" t="s">
        <v>39</v>
      </c>
      <c r="G3" s="43" t="s">
        <v>40</v>
      </c>
      <c r="H3" s="43" t="s">
        <v>41</v>
      </c>
      <c r="I3" s="43" t="s">
        <v>42</v>
      </c>
      <c r="J3" s="43" t="s">
        <v>43</v>
      </c>
      <c r="K3" s="43" t="s">
        <v>44</v>
      </c>
      <c r="L3" s="43" t="s">
        <v>45</v>
      </c>
      <c r="M3" s="43" t="s">
        <v>46</v>
      </c>
      <c r="N3" s="43" t="s">
        <v>10</v>
      </c>
    </row>
    <row r="4" spans="1:14" ht="17" thickBot="1">
      <c r="A4" s="31" t="s">
        <v>34</v>
      </c>
      <c r="B4" s="24"/>
      <c r="C4" s="24"/>
      <c r="D4" s="22"/>
      <c r="E4" s="22"/>
      <c r="F4" s="25"/>
      <c r="G4" s="25"/>
      <c r="H4" s="22"/>
      <c r="I4" s="22"/>
      <c r="J4" s="22"/>
      <c r="K4" s="22"/>
      <c r="L4" s="24"/>
      <c r="M4" s="24"/>
      <c r="N4" s="26"/>
    </row>
    <row r="5" spans="1:14" ht="14" thickBot="1">
      <c r="A5" s="38" t="s">
        <v>48</v>
      </c>
      <c r="B5" s="39"/>
      <c r="C5" s="39"/>
      <c r="D5" s="39"/>
      <c r="E5" s="39"/>
      <c r="F5" s="39"/>
      <c r="G5" s="39"/>
      <c r="H5" s="39"/>
      <c r="I5" s="39"/>
      <c r="J5" s="39"/>
      <c r="K5" s="39"/>
      <c r="L5" s="39"/>
      <c r="M5" s="39"/>
      <c r="N5" s="40"/>
    </row>
    <row r="6" spans="1:14">
      <c r="A6" s="32" t="s">
        <v>28</v>
      </c>
      <c r="B6" s="1092">
        <v>0</v>
      </c>
      <c r="C6" s="1092">
        <v>0</v>
      </c>
      <c r="D6" s="1092">
        <v>0</v>
      </c>
      <c r="E6" s="1092">
        <v>2</v>
      </c>
      <c r="F6" s="1092">
        <v>0</v>
      </c>
      <c r="G6" s="1092">
        <v>0</v>
      </c>
      <c r="H6" s="1092">
        <v>0</v>
      </c>
      <c r="I6" s="1092">
        <v>1</v>
      </c>
      <c r="J6" s="1092">
        <v>2</v>
      </c>
      <c r="K6" s="1092">
        <v>0</v>
      </c>
      <c r="L6" s="1092">
        <v>0</v>
      </c>
      <c r="M6" s="1092">
        <v>0</v>
      </c>
      <c r="N6" s="27">
        <f t="shared" ref="N6:N26" si="0">SUM(B6:M6)</f>
        <v>5</v>
      </c>
    </row>
    <row r="7" spans="1:14">
      <c r="A7" s="32" t="s">
        <v>29</v>
      </c>
      <c r="B7" s="1092">
        <v>0</v>
      </c>
      <c r="C7" s="1092">
        <v>0</v>
      </c>
      <c r="D7" s="1092">
        <v>0</v>
      </c>
      <c r="E7" s="1092">
        <v>0</v>
      </c>
      <c r="F7" s="1092">
        <v>0</v>
      </c>
      <c r="G7" s="1092">
        <v>0</v>
      </c>
      <c r="H7" s="1092">
        <v>0</v>
      </c>
      <c r="I7" s="1092">
        <v>0</v>
      </c>
      <c r="J7" s="1092">
        <v>0</v>
      </c>
      <c r="K7" s="1092">
        <v>3</v>
      </c>
      <c r="L7" s="1092">
        <v>0</v>
      </c>
      <c r="M7" s="1092">
        <v>1</v>
      </c>
      <c r="N7" s="27">
        <f t="shared" si="0"/>
        <v>4</v>
      </c>
    </row>
    <row r="8" spans="1:14">
      <c r="A8" s="32" t="s">
        <v>33</v>
      </c>
      <c r="B8" s="1092">
        <v>4</v>
      </c>
      <c r="C8" s="1092">
        <v>0</v>
      </c>
      <c r="D8" s="1092">
        <v>16</v>
      </c>
      <c r="E8" s="1092">
        <v>18</v>
      </c>
      <c r="F8" s="1092">
        <v>18</v>
      </c>
      <c r="G8" s="1092">
        <v>8</v>
      </c>
      <c r="H8" s="1092">
        <v>13</v>
      </c>
      <c r="I8" s="1092">
        <v>10</v>
      </c>
      <c r="J8" s="1092">
        <v>12</v>
      </c>
      <c r="K8" s="1092">
        <v>17</v>
      </c>
      <c r="L8" s="1092">
        <v>11</v>
      </c>
      <c r="M8" s="1092">
        <v>29</v>
      </c>
      <c r="N8" s="27">
        <f t="shared" si="0"/>
        <v>156</v>
      </c>
    </row>
    <row r="9" spans="1:14">
      <c r="A9" s="32" t="s">
        <v>56</v>
      </c>
      <c r="B9" s="1092">
        <v>0</v>
      </c>
      <c r="C9" s="1092">
        <v>0</v>
      </c>
      <c r="D9" s="1092">
        <v>0</v>
      </c>
      <c r="E9" s="1092">
        <v>0</v>
      </c>
      <c r="F9" s="1092">
        <v>0</v>
      </c>
      <c r="G9" s="1092">
        <v>0</v>
      </c>
      <c r="H9" s="1092">
        <v>0</v>
      </c>
      <c r="I9" s="1092">
        <v>0</v>
      </c>
      <c r="J9" s="1092">
        <v>0</v>
      </c>
      <c r="K9" s="1092">
        <v>0</v>
      </c>
      <c r="L9" s="1092">
        <v>0</v>
      </c>
      <c r="M9" s="1092">
        <v>21</v>
      </c>
      <c r="N9" s="27">
        <f t="shared" si="0"/>
        <v>21</v>
      </c>
    </row>
    <row r="10" spans="1:14">
      <c r="A10" s="32" t="s">
        <v>52</v>
      </c>
      <c r="B10" s="1092">
        <v>0</v>
      </c>
      <c r="C10" s="1092">
        <v>0</v>
      </c>
      <c r="D10" s="1092">
        <v>0</v>
      </c>
      <c r="E10" s="1092">
        <v>0</v>
      </c>
      <c r="F10" s="1092">
        <v>0</v>
      </c>
      <c r="G10" s="1092">
        <v>0</v>
      </c>
      <c r="H10" s="1092">
        <v>0</v>
      </c>
      <c r="I10" s="1092">
        <v>0</v>
      </c>
      <c r="J10" s="1092">
        <v>0</v>
      </c>
      <c r="K10" s="1092">
        <v>0</v>
      </c>
      <c r="L10" s="1092">
        <v>0</v>
      </c>
      <c r="M10" s="1092">
        <v>1</v>
      </c>
      <c r="N10" s="27">
        <f>SUM(B10:M10)</f>
        <v>1</v>
      </c>
    </row>
    <row r="11" spans="1:14">
      <c r="A11" s="33" t="s">
        <v>92</v>
      </c>
      <c r="B11" s="1092">
        <v>0</v>
      </c>
      <c r="C11" s="1092">
        <v>0</v>
      </c>
      <c r="D11" s="1092">
        <v>0</v>
      </c>
      <c r="E11" s="1092">
        <v>0</v>
      </c>
      <c r="F11" s="1092">
        <v>0</v>
      </c>
      <c r="G11" s="1092">
        <v>0</v>
      </c>
      <c r="H11" s="1092">
        <v>0</v>
      </c>
      <c r="I11" s="1092">
        <v>0</v>
      </c>
      <c r="J11" s="1092">
        <v>0</v>
      </c>
      <c r="K11" s="1092">
        <v>0</v>
      </c>
      <c r="L11" s="1092">
        <v>0</v>
      </c>
      <c r="M11" s="1092">
        <v>1</v>
      </c>
      <c r="N11" s="27">
        <f>SUM(B11:M11)</f>
        <v>1</v>
      </c>
    </row>
    <row r="12" spans="1:14" ht="14" thickBot="1">
      <c r="A12" s="33" t="s">
        <v>88</v>
      </c>
      <c r="B12" s="1092">
        <v>0</v>
      </c>
      <c r="C12" s="1092">
        <v>0</v>
      </c>
      <c r="D12" s="1092">
        <v>0</v>
      </c>
      <c r="E12" s="1092">
        <v>0</v>
      </c>
      <c r="F12" s="1092">
        <v>0</v>
      </c>
      <c r="G12" s="1092">
        <v>0</v>
      </c>
      <c r="H12" s="1092">
        <v>0</v>
      </c>
      <c r="I12" s="1092">
        <v>0</v>
      </c>
      <c r="J12" s="1092">
        <v>0</v>
      </c>
      <c r="K12" s="1092">
        <v>0</v>
      </c>
      <c r="L12" s="1092">
        <v>1</v>
      </c>
      <c r="M12" s="1092">
        <v>1</v>
      </c>
      <c r="N12" s="27">
        <f>SUM(B12:M12)</f>
        <v>2</v>
      </c>
    </row>
    <row r="13" spans="1:14" ht="14" thickBot="1">
      <c r="A13" s="53" t="s">
        <v>60</v>
      </c>
      <c r="B13" s="55">
        <f>SUM(B6:B12)</f>
        <v>4</v>
      </c>
      <c r="C13" s="55">
        <f>SUM(C6:C12)</f>
        <v>0</v>
      </c>
      <c r="D13" s="55">
        <f t="shared" ref="D13:M13" si="1">SUM(D6:D12)</f>
        <v>16</v>
      </c>
      <c r="E13" s="55">
        <f t="shared" si="1"/>
        <v>20</v>
      </c>
      <c r="F13" s="55">
        <f t="shared" si="1"/>
        <v>18</v>
      </c>
      <c r="G13" s="55">
        <f t="shared" si="1"/>
        <v>8</v>
      </c>
      <c r="H13" s="55">
        <f t="shared" si="1"/>
        <v>13</v>
      </c>
      <c r="I13" s="55">
        <f t="shared" si="1"/>
        <v>11</v>
      </c>
      <c r="J13" s="55">
        <f t="shared" si="1"/>
        <v>14</v>
      </c>
      <c r="K13" s="55">
        <f t="shared" si="1"/>
        <v>20</v>
      </c>
      <c r="L13" s="55">
        <f>SUM(L6:L12)</f>
        <v>12</v>
      </c>
      <c r="M13" s="55">
        <f t="shared" si="1"/>
        <v>54</v>
      </c>
      <c r="N13" s="54">
        <f>SUM(N6:N12)</f>
        <v>190</v>
      </c>
    </row>
    <row r="14" spans="1:14" ht="14" thickBot="1">
      <c r="A14" s="38" t="s">
        <v>49</v>
      </c>
      <c r="B14" s="39"/>
      <c r="C14" s="39"/>
      <c r="D14" s="39"/>
      <c r="E14" s="39"/>
      <c r="F14" s="39"/>
      <c r="G14" s="39"/>
      <c r="H14" s="39"/>
      <c r="I14" s="39"/>
      <c r="J14" s="39"/>
      <c r="K14" s="39"/>
      <c r="L14" s="39"/>
      <c r="M14" s="39"/>
      <c r="N14" s="40"/>
    </row>
    <row r="15" spans="1:14" ht="14" thickBot="1">
      <c r="A15" s="33" t="s">
        <v>49</v>
      </c>
      <c r="B15" s="1092">
        <v>0</v>
      </c>
      <c r="C15" s="1092">
        <v>0</v>
      </c>
      <c r="D15" s="1092">
        <v>50</v>
      </c>
      <c r="E15" s="1092">
        <v>236</v>
      </c>
      <c r="F15" s="1092">
        <v>0</v>
      </c>
      <c r="G15" s="1092">
        <v>0</v>
      </c>
      <c r="H15" s="1092">
        <v>0</v>
      </c>
      <c r="I15" s="1092">
        <v>20</v>
      </c>
      <c r="J15" s="1092">
        <v>444</v>
      </c>
      <c r="K15" s="1092">
        <v>0</v>
      </c>
      <c r="L15" s="1092">
        <v>0</v>
      </c>
      <c r="M15" s="1092">
        <v>30</v>
      </c>
      <c r="N15" s="27">
        <f>SUM(B15:M15)</f>
        <v>780</v>
      </c>
    </row>
    <row r="16" spans="1:14" ht="14" thickBot="1">
      <c r="A16" s="53" t="s">
        <v>60</v>
      </c>
      <c r="B16" s="55">
        <f>SUM(B15)</f>
        <v>0</v>
      </c>
      <c r="C16" s="55">
        <f t="shared" ref="C16:N16" si="2">SUM(C15)</f>
        <v>0</v>
      </c>
      <c r="D16" s="55">
        <f t="shared" si="2"/>
        <v>50</v>
      </c>
      <c r="E16" s="55">
        <f t="shared" si="2"/>
        <v>236</v>
      </c>
      <c r="F16" s="55">
        <f t="shared" si="2"/>
        <v>0</v>
      </c>
      <c r="G16" s="55">
        <f t="shared" si="2"/>
        <v>0</v>
      </c>
      <c r="H16" s="55">
        <f t="shared" si="2"/>
        <v>0</v>
      </c>
      <c r="I16" s="55">
        <f t="shared" si="2"/>
        <v>20</v>
      </c>
      <c r="J16" s="55">
        <f t="shared" si="2"/>
        <v>444</v>
      </c>
      <c r="K16" s="55">
        <f t="shared" si="2"/>
        <v>0</v>
      </c>
      <c r="L16" s="55">
        <f t="shared" si="2"/>
        <v>0</v>
      </c>
      <c r="M16" s="55">
        <f t="shared" si="2"/>
        <v>30</v>
      </c>
      <c r="N16" s="54">
        <f t="shared" si="2"/>
        <v>780</v>
      </c>
    </row>
    <row r="17" spans="1:14" ht="14" thickBot="1">
      <c r="A17" s="38" t="s">
        <v>50</v>
      </c>
      <c r="B17" s="39"/>
      <c r="C17" s="39"/>
      <c r="D17" s="39"/>
      <c r="E17" s="39"/>
      <c r="F17" s="39"/>
      <c r="G17" s="39"/>
      <c r="H17" s="39"/>
      <c r="I17" s="39"/>
      <c r="J17" s="39"/>
      <c r="K17" s="39"/>
      <c r="L17" s="39"/>
      <c r="M17" s="39"/>
      <c r="N17" s="40"/>
    </row>
    <row r="18" spans="1:14">
      <c r="A18" s="34" t="s">
        <v>26</v>
      </c>
      <c r="B18" s="1092">
        <v>0</v>
      </c>
      <c r="C18" s="1092">
        <v>0</v>
      </c>
      <c r="D18" s="1092">
        <v>0</v>
      </c>
      <c r="E18" s="1092">
        <v>0</v>
      </c>
      <c r="F18" s="1092">
        <v>0</v>
      </c>
      <c r="G18" s="1092">
        <v>0</v>
      </c>
      <c r="H18" s="1092">
        <v>0</v>
      </c>
      <c r="I18" s="1092">
        <v>0</v>
      </c>
      <c r="J18" s="1092">
        <v>0</v>
      </c>
      <c r="K18" s="1092">
        <v>0</v>
      </c>
      <c r="L18" s="1092">
        <v>0</v>
      </c>
      <c r="M18" s="1092">
        <v>0</v>
      </c>
      <c r="N18" s="27">
        <f t="shared" si="0"/>
        <v>0</v>
      </c>
    </row>
    <row r="19" spans="1:14">
      <c r="A19" s="34" t="s">
        <v>25</v>
      </c>
      <c r="B19" s="1092">
        <v>0</v>
      </c>
      <c r="C19" s="1092">
        <v>0</v>
      </c>
      <c r="D19" s="1092">
        <v>0</v>
      </c>
      <c r="E19" s="1092">
        <v>0</v>
      </c>
      <c r="F19" s="1092">
        <v>0</v>
      </c>
      <c r="G19" s="1092">
        <v>0</v>
      </c>
      <c r="H19" s="1092">
        <v>0</v>
      </c>
      <c r="I19" s="1092">
        <v>0</v>
      </c>
      <c r="J19" s="1092">
        <v>0</v>
      </c>
      <c r="K19" s="1092">
        <v>0</v>
      </c>
      <c r="L19" s="1092">
        <v>0</v>
      </c>
      <c r="M19" s="1092">
        <v>0</v>
      </c>
      <c r="N19" s="27">
        <f t="shared" si="0"/>
        <v>0</v>
      </c>
    </row>
    <row r="20" spans="1:14">
      <c r="A20" s="32" t="s">
        <v>29</v>
      </c>
      <c r="B20" s="1092">
        <v>0</v>
      </c>
      <c r="C20" s="1092">
        <v>0</v>
      </c>
      <c r="D20" s="1092">
        <v>0</v>
      </c>
      <c r="E20" s="1092">
        <v>0</v>
      </c>
      <c r="F20" s="1092">
        <v>0</v>
      </c>
      <c r="G20" s="1092">
        <v>0</v>
      </c>
      <c r="H20" s="1092">
        <v>0</v>
      </c>
      <c r="I20" s="1092">
        <v>0</v>
      </c>
      <c r="J20" s="1092">
        <v>0</v>
      </c>
      <c r="K20" s="1092">
        <v>0</v>
      </c>
      <c r="L20" s="1092">
        <v>0</v>
      </c>
      <c r="M20" s="1092">
        <v>0</v>
      </c>
      <c r="N20" s="27">
        <f t="shared" si="0"/>
        <v>0</v>
      </c>
    </row>
    <row r="21" spans="1:14">
      <c r="A21" s="32" t="s">
        <v>51</v>
      </c>
      <c r="B21" s="1092">
        <v>0</v>
      </c>
      <c r="C21" s="1092">
        <v>0</v>
      </c>
      <c r="D21" s="1092">
        <v>0</v>
      </c>
      <c r="E21" s="1092">
        <v>0</v>
      </c>
      <c r="F21" s="1092">
        <v>0</v>
      </c>
      <c r="G21" s="1092">
        <v>0</v>
      </c>
      <c r="H21" s="1092">
        <v>0</v>
      </c>
      <c r="I21" s="1092">
        <v>4</v>
      </c>
      <c r="J21" s="1092">
        <v>0</v>
      </c>
      <c r="K21" s="1092">
        <v>0</v>
      </c>
      <c r="L21" s="1092">
        <v>6</v>
      </c>
      <c r="M21" s="1092">
        <v>0</v>
      </c>
      <c r="N21" s="27">
        <f t="shared" si="0"/>
        <v>10</v>
      </c>
    </row>
    <row r="22" spans="1:14">
      <c r="A22" s="34" t="s">
        <v>20</v>
      </c>
      <c r="B22" s="1092">
        <v>0</v>
      </c>
      <c r="C22" s="1092">
        <v>0</v>
      </c>
      <c r="D22" s="1092">
        <v>0</v>
      </c>
      <c r="E22" s="1092">
        <v>0</v>
      </c>
      <c r="F22" s="1092">
        <v>0</v>
      </c>
      <c r="G22" s="1092">
        <v>0</v>
      </c>
      <c r="H22" s="1092">
        <v>1</v>
      </c>
      <c r="I22" s="1092">
        <v>0</v>
      </c>
      <c r="J22" s="1092">
        <v>0</v>
      </c>
      <c r="K22" s="1092">
        <v>0</v>
      </c>
      <c r="L22" s="1092">
        <v>0</v>
      </c>
      <c r="M22" s="1092">
        <v>0</v>
      </c>
      <c r="N22" s="27">
        <f t="shared" si="0"/>
        <v>1</v>
      </c>
    </row>
    <row r="23" spans="1:14">
      <c r="A23" s="34" t="s">
        <v>204</v>
      </c>
      <c r="B23" s="1092">
        <v>0</v>
      </c>
      <c r="C23" s="1092">
        <v>0</v>
      </c>
      <c r="D23" s="1092">
        <v>0</v>
      </c>
      <c r="E23" s="1092">
        <v>8</v>
      </c>
      <c r="F23" s="1092">
        <v>0</v>
      </c>
      <c r="G23" s="1092">
        <v>0</v>
      </c>
      <c r="H23" s="1092">
        <v>0</v>
      </c>
      <c r="I23" s="1092">
        <v>0</v>
      </c>
      <c r="J23" s="1092">
        <v>4</v>
      </c>
      <c r="K23" s="1092">
        <v>0</v>
      </c>
      <c r="L23" s="1092">
        <v>0</v>
      </c>
      <c r="M23" s="1092">
        <v>0</v>
      </c>
      <c r="N23" s="27">
        <f t="shared" si="0"/>
        <v>12</v>
      </c>
    </row>
    <row r="24" spans="1:14">
      <c r="A24" s="35" t="s">
        <v>47</v>
      </c>
      <c r="B24" s="1092">
        <v>0</v>
      </c>
      <c r="C24" s="1092">
        <v>0</v>
      </c>
      <c r="D24" s="1092">
        <v>0</v>
      </c>
      <c r="E24" s="1092">
        <v>0</v>
      </c>
      <c r="F24" s="1092">
        <v>0</v>
      </c>
      <c r="G24" s="1092">
        <v>0</v>
      </c>
      <c r="H24" s="1092">
        <v>0</v>
      </c>
      <c r="I24" s="1092">
        <v>0</v>
      </c>
      <c r="J24" s="1092">
        <v>0</v>
      </c>
      <c r="K24" s="1092">
        <v>0</v>
      </c>
      <c r="L24" s="1092">
        <v>0</v>
      </c>
      <c r="M24" s="1092">
        <v>0</v>
      </c>
      <c r="N24" s="27">
        <f t="shared" si="0"/>
        <v>0</v>
      </c>
    </row>
    <row r="25" spans="1:14">
      <c r="A25" s="33" t="s">
        <v>52</v>
      </c>
      <c r="B25" s="1092">
        <v>0</v>
      </c>
      <c r="C25" s="1092">
        <v>0</v>
      </c>
      <c r="D25" s="1092">
        <v>0</v>
      </c>
      <c r="E25" s="1092">
        <v>0</v>
      </c>
      <c r="F25" s="1092">
        <v>0</v>
      </c>
      <c r="G25" s="1092">
        <v>0</v>
      </c>
      <c r="H25" s="1092">
        <v>0</v>
      </c>
      <c r="I25" s="1092">
        <v>3</v>
      </c>
      <c r="J25" s="1092">
        <v>0</v>
      </c>
      <c r="K25" s="1092">
        <v>0</v>
      </c>
      <c r="L25" s="1092">
        <v>0</v>
      </c>
      <c r="M25" s="1092">
        <v>0</v>
      </c>
      <c r="N25" s="27">
        <f t="shared" si="0"/>
        <v>3</v>
      </c>
    </row>
    <row r="26" spans="1:14">
      <c r="A26" s="33" t="s">
        <v>53</v>
      </c>
      <c r="B26" s="1092">
        <v>0</v>
      </c>
      <c r="C26" s="1092">
        <v>0</v>
      </c>
      <c r="D26" s="1092">
        <v>0</v>
      </c>
      <c r="E26" s="1092">
        <v>0</v>
      </c>
      <c r="F26" s="1092">
        <v>0</v>
      </c>
      <c r="G26" s="1092">
        <v>0</v>
      </c>
      <c r="H26" s="1092">
        <v>0</v>
      </c>
      <c r="I26" s="1092">
        <v>0</v>
      </c>
      <c r="J26" s="1092">
        <v>0</v>
      </c>
      <c r="K26" s="1092">
        <v>0</v>
      </c>
      <c r="L26" s="1092">
        <v>0</v>
      </c>
      <c r="M26" s="1092">
        <v>0</v>
      </c>
      <c r="N26" s="27">
        <f t="shared" si="0"/>
        <v>0</v>
      </c>
    </row>
    <row r="27" spans="1:14" ht="14" thickBot="1">
      <c r="A27" s="32" t="s">
        <v>56</v>
      </c>
      <c r="B27" s="1092">
        <v>0</v>
      </c>
      <c r="C27" s="1092">
        <v>0</v>
      </c>
      <c r="D27" s="1092">
        <v>0</v>
      </c>
      <c r="E27" s="1092">
        <v>0</v>
      </c>
      <c r="F27" s="1092">
        <v>0</v>
      </c>
      <c r="G27" s="1092">
        <v>0</v>
      </c>
      <c r="H27" s="1092">
        <v>0</v>
      </c>
      <c r="I27" s="1092">
        <v>0</v>
      </c>
      <c r="J27" s="1092">
        <v>0</v>
      </c>
      <c r="K27" s="1092">
        <v>0</v>
      </c>
      <c r="L27" s="1092">
        <v>0</v>
      </c>
      <c r="M27" s="1092">
        <v>0</v>
      </c>
      <c r="N27" s="27">
        <f>SUM(B27:M27)</f>
        <v>0</v>
      </c>
    </row>
    <row r="28" spans="1:14" ht="14" thickBot="1">
      <c r="A28" s="53" t="s">
        <v>60</v>
      </c>
      <c r="B28" s="55">
        <f>SUM(B18:B27)</f>
        <v>0</v>
      </c>
      <c r="C28" s="55">
        <f t="shared" ref="C28:N28" si="3">SUM(C18:C27)</f>
        <v>0</v>
      </c>
      <c r="D28" s="55">
        <f t="shared" si="3"/>
        <v>0</v>
      </c>
      <c r="E28" s="55">
        <f t="shared" si="3"/>
        <v>8</v>
      </c>
      <c r="F28" s="55">
        <f t="shared" si="3"/>
        <v>0</v>
      </c>
      <c r="G28" s="55">
        <f t="shared" si="3"/>
        <v>0</v>
      </c>
      <c r="H28" s="55">
        <f t="shared" si="3"/>
        <v>1</v>
      </c>
      <c r="I28" s="55">
        <f t="shared" si="3"/>
        <v>7</v>
      </c>
      <c r="J28" s="55">
        <f t="shared" si="3"/>
        <v>4</v>
      </c>
      <c r="K28" s="55">
        <f t="shared" si="3"/>
        <v>0</v>
      </c>
      <c r="L28" s="55">
        <f t="shared" si="3"/>
        <v>6</v>
      </c>
      <c r="M28" s="55">
        <f t="shared" si="3"/>
        <v>0</v>
      </c>
      <c r="N28" s="54">
        <f t="shared" si="3"/>
        <v>26</v>
      </c>
    </row>
    <row r="29" spans="1:14" ht="14" thickBot="1">
      <c r="A29" s="38" t="s">
        <v>54</v>
      </c>
      <c r="B29" s="41"/>
      <c r="C29" s="41"/>
      <c r="D29" s="41"/>
      <c r="E29" s="41"/>
      <c r="F29" s="41"/>
      <c r="G29" s="41"/>
      <c r="H29" s="41"/>
      <c r="I29" s="41"/>
      <c r="J29" s="41"/>
      <c r="K29" s="41"/>
      <c r="L29" s="41"/>
      <c r="M29" s="41"/>
      <c r="N29" s="42"/>
    </row>
    <row r="30" spans="1:14">
      <c r="A30" s="36" t="s">
        <v>29</v>
      </c>
      <c r="B30" s="1099">
        <v>0</v>
      </c>
      <c r="C30" s="1100">
        <v>0</v>
      </c>
      <c r="D30" s="1100">
        <v>0</v>
      </c>
      <c r="E30" s="1100">
        <v>0</v>
      </c>
      <c r="F30" s="1100">
        <v>0</v>
      </c>
      <c r="G30" s="1100">
        <v>0</v>
      </c>
      <c r="H30" s="1100">
        <v>0</v>
      </c>
      <c r="I30" s="1100">
        <v>0</v>
      </c>
      <c r="J30" s="1100">
        <v>0</v>
      </c>
      <c r="K30" s="1100">
        <v>0</v>
      </c>
      <c r="L30" s="1100">
        <v>0</v>
      </c>
      <c r="M30" s="1108">
        <v>0</v>
      </c>
      <c r="N30" s="28">
        <f>SUM(B30:M30)</f>
        <v>0</v>
      </c>
    </row>
    <row r="31" spans="1:14">
      <c r="A31" s="34" t="s">
        <v>51</v>
      </c>
      <c r="B31" s="1102">
        <v>0</v>
      </c>
      <c r="C31" s="1092">
        <v>0</v>
      </c>
      <c r="D31" s="1092">
        <v>0</v>
      </c>
      <c r="E31" s="1092">
        <v>0</v>
      </c>
      <c r="F31" s="1092">
        <v>0</v>
      </c>
      <c r="G31" s="1092">
        <v>0</v>
      </c>
      <c r="H31" s="1092">
        <v>0</v>
      </c>
      <c r="I31" s="1092">
        <v>0</v>
      </c>
      <c r="J31" s="1092">
        <v>0</v>
      </c>
      <c r="K31" s="1092">
        <v>0</v>
      </c>
      <c r="L31" s="1092">
        <v>0</v>
      </c>
      <c r="M31" s="1103">
        <v>0</v>
      </c>
      <c r="N31" s="29">
        <f>SUM(B31:M31)</f>
        <v>0</v>
      </c>
    </row>
    <row r="32" spans="1:14">
      <c r="A32" s="34" t="s">
        <v>15</v>
      </c>
      <c r="B32" s="1102">
        <v>0</v>
      </c>
      <c r="C32" s="1092">
        <v>0</v>
      </c>
      <c r="D32" s="1092">
        <v>0</v>
      </c>
      <c r="E32" s="1092">
        <v>0</v>
      </c>
      <c r="F32" s="1092">
        <v>0</v>
      </c>
      <c r="G32" s="1092">
        <v>0</v>
      </c>
      <c r="H32" s="1092">
        <v>0</v>
      </c>
      <c r="I32" s="1092">
        <v>0</v>
      </c>
      <c r="J32" s="1092">
        <v>0</v>
      </c>
      <c r="K32" s="1092">
        <v>0</v>
      </c>
      <c r="L32" s="1092">
        <v>0</v>
      </c>
      <c r="M32" s="1103">
        <v>0</v>
      </c>
      <c r="N32" s="29">
        <f>SUM(B32:M32)</f>
        <v>0</v>
      </c>
    </row>
    <row r="33" spans="1:14">
      <c r="A33" s="34" t="s">
        <v>30</v>
      </c>
      <c r="B33" s="1102">
        <v>0</v>
      </c>
      <c r="C33" s="1092">
        <v>0</v>
      </c>
      <c r="D33" s="1092">
        <v>0</v>
      </c>
      <c r="E33" s="1092">
        <v>0</v>
      </c>
      <c r="F33" s="1092">
        <v>0</v>
      </c>
      <c r="G33" s="1092">
        <v>0</v>
      </c>
      <c r="H33" s="1092">
        <v>0</v>
      </c>
      <c r="I33" s="1092">
        <v>0</v>
      </c>
      <c r="J33" s="1092">
        <v>0</v>
      </c>
      <c r="K33" s="1092">
        <v>0</v>
      </c>
      <c r="L33" s="1092">
        <v>0</v>
      </c>
      <c r="M33" s="1103">
        <v>0</v>
      </c>
      <c r="N33" s="29">
        <f>SUM(B33:M33)</f>
        <v>0</v>
      </c>
    </row>
    <row r="34" spans="1:14" ht="14" thickBot="1">
      <c r="A34" s="37" t="s">
        <v>55</v>
      </c>
      <c r="B34" s="1105">
        <v>0</v>
      </c>
      <c r="C34" s="1106">
        <v>0</v>
      </c>
      <c r="D34" s="1106">
        <v>0</v>
      </c>
      <c r="E34" s="1106">
        <v>0</v>
      </c>
      <c r="F34" s="1106">
        <v>0</v>
      </c>
      <c r="G34" s="1106">
        <v>0</v>
      </c>
      <c r="H34" s="1106">
        <v>0</v>
      </c>
      <c r="I34" s="1106">
        <v>0</v>
      </c>
      <c r="J34" s="1106">
        <v>0</v>
      </c>
      <c r="K34" s="1106">
        <v>0</v>
      </c>
      <c r="L34" s="1106">
        <v>0</v>
      </c>
      <c r="M34" s="1109">
        <v>0</v>
      </c>
      <c r="N34" s="30">
        <f>SUM(B34:M34)</f>
        <v>0</v>
      </c>
    </row>
    <row r="35" spans="1:14" ht="14" thickBot="1">
      <c r="A35" s="53" t="s">
        <v>60</v>
      </c>
      <c r="B35" s="55">
        <f>SUM(B30:B34)</f>
        <v>0</v>
      </c>
      <c r="C35" s="55">
        <f t="shared" ref="C35:N35" si="4">SUM(C30:C34)</f>
        <v>0</v>
      </c>
      <c r="D35" s="55">
        <f t="shared" si="4"/>
        <v>0</v>
      </c>
      <c r="E35" s="55">
        <f t="shared" si="4"/>
        <v>0</v>
      </c>
      <c r="F35" s="55">
        <f t="shared" si="4"/>
        <v>0</v>
      </c>
      <c r="G35" s="55">
        <f t="shared" si="4"/>
        <v>0</v>
      </c>
      <c r="H35" s="55">
        <f t="shared" si="4"/>
        <v>0</v>
      </c>
      <c r="I35" s="55">
        <f t="shared" si="4"/>
        <v>0</v>
      </c>
      <c r="J35" s="55">
        <f t="shared" si="4"/>
        <v>0</v>
      </c>
      <c r="K35" s="55">
        <f t="shared" si="4"/>
        <v>0</v>
      </c>
      <c r="L35" s="55">
        <f t="shared" si="4"/>
        <v>0</v>
      </c>
      <c r="M35" s="55">
        <f t="shared" si="4"/>
        <v>0</v>
      </c>
      <c r="N35" s="302">
        <f t="shared" si="4"/>
        <v>0</v>
      </c>
    </row>
    <row r="38" spans="1:14" ht="14" thickBot="1">
      <c r="B38" s="43" t="s">
        <v>35</v>
      </c>
      <c r="C38" s="43" t="s">
        <v>36</v>
      </c>
      <c r="D38" s="43" t="s">
        <v>37</v>
      </c>
      <c r="E38" s="43" t="s">
        <v>38</v>
      </c>
      <c r="F38" s="43" t="s">
        <v>39</v>
      </c>
      <c r="G38" s="43" t="s">
        <v>40</v>
      </c>
      <c r="H38" s="43" t="s">
        <v>41</v>
      </c>
      <c r="I38" s="43" t="s">
        <v>42</v>
      </c>
      <c r="J38" s="43" t="s">
        <v>43</v>
      </c>
      <c r="K38" s="43" t="s">
        <v>44</v>
      </c>
      <c r="L38" s="43" t="s">
        <v>45</v>
      </c>
      <c r="M38" s="43" t="s">
        <v>46</v>
      </c>
      <c r="N38" s="43" t="s">
        <v>10</v>
      </c>
    </row>
    <row r="39" spans="1:14" ht="17" thickBot="1">
      <c r="A39" s="31" t="s">
        <v>99</v>
      </c>
      <c r="B39" s="24"/>
      <c r="C39" s="24"/>
      <c r="D39" s="22"/>
      <c r="E39" s="22"/>
      <c r="F39" s="25"/>
      <c r="G39" s="25"/>
      <c r="H39" s="22"/>
      <c r="I39" s="22"/>
      <c r="J39" s="22"/>
      <c r="K39" s="22"/>
      <c r="L39" s="24"/>
      <c r="M39" s="24"/>
      <c r="N39" s="26"/>
    </row>
    <row r="40" spans="1:14" ht="14" thickBot="1">
      <c r="A40" s="38" t="s">
        <v>48</v>
      </c>
      <c r="B40" s="39"/>
      <c r="C40" s="39"/>
      <c r="D40" s="39"/>
      <c r="E40" s="39"/>
      <c r="F40" s="39"/>
      <c r="G40" s="39"/>
      <c r="H40" s="39"/>
      <c r="I40" s="39"/>
      <c r="J40" s="39"/>
      <c r="K40" s="39"/>
      <c r="L40" s="39"/>
      <c r="M40" s="39"/>
      <c r="N40" s="40"/>
    </row>
    <row r="41" spans="1:14">
      <c r="A41" s="32" t="s">
        <v>28</v>
      </c>
      <c r="B41" s="1099">
        <v>0</v>
      </c>
      <c r="C41" s="1100">
        <v>0</v>
      </c>
      <c r="D41" s="1100">
        <v>0</v>
      </c>
      <c r="E41" s="1100">
        <v>0</v>
      </c>
      <c r="F41" s="1100">
        <v>0</v>
      </c>
      <c r="G41" s="1100">
        <v>0</v>
      </c>
      <c r="H41" s="1100">
        <v>0</v>
      </c>
      <c r="I41" s="1100">
        <v>0</v>
      </c>
      <c r="J41" s="1100">
        <v>0</v>
      </c>
      <c r="K41" s="1100">
        <v>0</v>
      </c>
      <c r="L41" s="1100">
        <v>0</v>
      </c>
      <c r="M41" s="1108">
        <v>0</v>
      </c>
      <c r="N41" s="27">
        <f>SUM(B41:M41)</f>
        <v>0</v>
      </c>
    </row>
    <row r="42" spans="1:14">
      <c r="A42" s="32" t="s">
        <v>29</v>
      </c>
      <c r="B42" s="1102">
        <v>0</v>
      </c>
      <c r="C42" s="1092">
        <v>1</v>
      </c>
      <c r="D42" s="1092">
        <v>7</v>
      </c>
      <c r="E42" s="1092">
        <v>10</v>
      </c>
      <c r="F42" s="1092">
        <v>0</v>
      </c>
      <c r="G42" s="1092">
        <v>224</v>
      </c>
      <c r="H42" s="1092">
        <v>96</v>
      </c>
      <c r="I42" s="1092">
        <v>203</v>
      </c>
      <c r="J42" s="1092">
        <v>232</v>
      </c>
      <c r="K42" s="1092">
        <v>1</v>
      </c>
      <c r="L42" s="1092">
        <v>28</v>
      </c>
      <c r="M42" s="1103">
        <v>241</v>
      </c>
      <c r="N42" s="27">
        <f>SUM(B42:M42)</f>
        <v>1043</v>
      </c>
    </row>
    <row r="43" spans="1:14">
      <c r="A43" s="32" t="s">
        <v>33</v>
      </c>
      <c r="B43" s="1102">
        <v>0</v>
      </c>
      <c r="C43" s="1092">
        <v>0</v>
      </c>
      <c r="D43" s="1092">
        <v>8</v>
      </c>
      <c r="E43" s="1092">
        <v>26</v>
      </c>
      <c r="F43" s="1092">
        <v>12</v>
      </c>
      <c r="G43" s="1092">
        <v>28</v>
      </c>
      <c r="H43" s="1092">
        <v>7</v>
      </c>
      <c r="I43" s="1092">
        <v>10</v>
      </c>
      <c r="J43" s="1092">
        <v>31</v>
      </c>
      <c r="K43" s="1092">
        <v>17</v>
      </c>
      <c r="L43" s="1092">
        <v>36</v>
      </c>
      <c r="M43" s="1103">
        <v>27</v>
      </c>
      <c r="N43" s="27">
        <f>SUM(B43:M43)</f>
        <v>202</v>
      </c>
    </row>
    <row r="44" spans="1:14">
      <c r="A44" s="32" t="s">
        <v>56</v>
      </c>
      <c r="B44" s="1102">
        <v>0</v>
      </c>
      <c r="C44" s="1092">
        <v>0</v>
      </c>
      <c r="D44" s="1092">
        <v>36</v>
      </c>
      <c r="E44" s="1092">
        <v>26</v>
      </c>
      <c r="F44" s="1092">
        <v>0</v>
      </c>
      <c r="G44" s="1092">
        <v>0</v>
      </c>
      <c r="H44" s="1092">
        <v>0</v>
      </c>
      <c r="I44" s="1092">
        <v>0</v>
      </c>
      <c r="J44" s="1092">
        <v>0</v>
      </c>
      <c r="K44" s="1092">
        <v>0</v>
      </c>
      <c r="L44" s="1092">
        <v>0</v>
      </c>
      <c r="M44" s="1103">
        <v>0</v>
      </c>
      <c r="N44" s="27">
        <f>SUM(B44:M44)</f>
        <v>62</v>
      </c>
    </row>
    <row r="45" spans="1:14">
      <c r="A45" s="32" t="s">
        <v>52</v>
      </c>
      <c r="B45" s="1102">
        <v>0</v>
      </c>
      <c r="C45" s="1092">
        <v>0</v>
      </c>
      <c r="D45" s="1092">
        <v>0</v>
      </c>
      <c r="E45" s="1092">
        <v>0</v>
      </c>
      <c r="F45" s="1092">
        <v>0</v>
      </c>
      <c r="G45" s="1092">
        <v>0</v>
      </c>
      <c r="H45" s="1092">
        <v>0</v>
      </c>
      <c r="I45" s="1092">
        <v>0</v>
      </c>
      <c r="J45" s="1092">
        <v>0</v>
      </c>
      <c r="K45" s="1092">
        <v>0</v>
      </c>
      <c r="L45" s="1092">
        <v>0</v>
      </c>
      <c r="M45" s="1103">
        <v>0</v>
      </c>
      <c r="N45" s="27">
        <f>SUM(B45:M45)</f>
        <v>0</v>
      </c>
    </row>
    <row r="46" spans="1:14">
      <c r="A46" s="33" t="s">
        <v>110</v>
      </c>
      <c r="B46" s="1102">
        <v>0</v>
      </c>
      <c r="C46" s="1092">
        <v>0</v>
      </c>
      <c r="D46" s="1092">
        <v>0</v>
      </c>
      <c r="E46" s="1092">
        <v>0</v>
      </c>
      <c r="F46" s="1092">
        <v>0</v>
      </c>
      <c r="G46" s="1092">
        <v>0</v>
      </c>
      <c r="H46" s="1092">
        <v>0</v>
      </c>
      <c r="I46" s="1092">
        <v>0</v>
      </c>
      <c r="J46" s="1092">
        <v>0</v>
      </c>
      <c r="K46" s="1092">
        <v>0</v>
      </c>
      <c r="L46" s="1092">
        <v>0</v>
      </c>
      <c r="M46" s="1103">
        <v>0</v>
      </c>
      <c r="N46" s="27">
        <v>3</v>
      </c>
    </row>
    <row r="47" spans="1:14" ht="14" thickBot="1">
      <c r="A47" s="33" t="s">
        <v>111</v>
      </c>
      <c r="B47" s="1105">
        <v>0</v>
      </c>
      <c r="C47" s="1106">
        <v>0</v>
      </c>
      <c r="D47" s="1106">
        <v>0</v>
      </c>
      <c r="E47" s="1106">
        <v>0</v>
      </c>
      <c r="F47" s="1106">
        <v>0</v>
      </c>
      <c r="G47" s="1106">
        <v>0</v>
      </c>
      <c r="H47" s="1106">
        <v>0</v>
      </c>
      <c r="I47" s="1106">
        <v>0</v>
      </c>
      <c r="J47" s="1106">
        <v>0</v>
      </c>
      <c r="K47" s="1106">
        <v>0</v>
      </c>
      <c r="L47" s="1106">
        <v>0</v>
      </c>
      <c r="M47" s="1109">
        <v>0</v>
      </c>
      <c r="N47" s="27">
        <v>8</v>
      </c>
    </row>
    <row r="48" spans="1:14" ht="14" thickBot="1">
      <c r="A48" s="53" t="s">
        <v>60</v>
      </c>
      <c r="B48" s="55">
        <f>SUM(B41:B47)</f>
        <v>0</v>
      </c>
      <c r="C48" s="55">
        <f>SUM(C41:C47)</f>
        <v>1</v>
      </c>
      <c r="D48" s="55">
        <f t="shared" ref="D48:N48" si="5">SUM(D41:D47)</f>
        <v>51</v>
      </c>
      <c r="E48" s="55">
        <f t="shared" si="5"/>
        <v>62</v>
      </c>
      <c r="F48" s="55">
        <f t="shared" si="5"/>
        <v>12</v>
      </c>
      <c r="G48" s="55">
        <f t="shared" si="5"/>
        <v>252</v>
      </c>
      <c r="H48" s="55">
        <f t="shared" si="5"/>
        <v>103</v>
      </c>
      <c r="I48" s="55">
        <f t="shared" si="5"/>
        <v>213</v>
      </c>
      <c r="J48" s="55">
        <f t="shared" si="5"/>
        <v>263</v>
      </c>
      <c r="K48" s="55">
        <f t="shared" si="5"/>
        <v>18</v>
      </c>
      <c r="L48" s="55">
        <f t="shared" si="5"/>
        <v>64</v>
      </c>
      <c r="M48" s="55">
        <f t="shared" si="5"/>
        <v>268</v>
      </c>
      <c r="N48" s="54">
        <f t="shared" si="5"/>
        <v>1318</v>
      </c>
    </row>
    <row r="49" spans="1:14" ht="14" thickBot="1">
      <c r="A49" s="38" t="s">
        <v>49</v>
      </c>
      <c r="B49" s="39"/>
      <c r="C49" s="39"/>
      <c r="D49" s="39"/>
      <c r="E49" s="39"/>
      <c r="F49" s="39"/>
      <c r="G49" s="39"/>
      <c r="H49" s="39"/>
      <c r="I49" s="39"/>
      <c r="J49" s="39"/>
      <c r="K49" s="39"/>
      <c r="L49" s="39"/>
      <c r="M49" s="39"/>
      <c r="N49" s="40"/>
    </row>
    <row r="50" spans="1:14" ht="14" thickBot="1">
      <c r="A50" s="33" t="s">
        <v>49</v>
      </c>
      <c r="B50" s="1111">
        <v>0</v>
      </c>
      <c r="C50" s="1110">
        <v>109</v>
      </c>
      <c r="D50" s="1110">
        <v>33</v>
      </c>
      <c r="E50" s="1110">
        <v>25</v>
      </c>
      <c r="F50" s="1110">
        <v>19</v>
      </c>
      <c r="G50" s="1110">
        <v>43</v>
      </c>
      <c r="H50" s="1110">
        <v>0</v>
      </c>
      <c r="I50" s="1110">
        <v>0</v>
      </c>
      <c r="J50" s="1110">
        <v>0</v>
      </c>
      <c r="K50" s="1110">
        <v>0</v>
      </c>
      <c r="L50" s="1110">
        <v>0</v>
      </c>
      <c r="M50" s="1112">
        <v>0</v>
      </c>
      <c r="N50" s="27">
        <f>SUM(B50:M50)</f>
        <v>229</v>
      </c>
    </row>
    <row r="51" spans="1:14" ht="14" thickBot="1">
      <c r="A51" s="53" t="s">
        <v>60</v>
      </c>
      <c r="B51" s="55">
        <f>SUM(B50)</f>
        <v>0</v>
      </c>
      <c r="C51" s="55">
        <f t="shared" ref="C51:N51" si="6">SUM(C50)</f>
        <v>109</v>
      </c>
      <c r="D51" s="55">
        <f t="shared" si="6"/>
        <v>33</v>
      </c>
      <c r="E51" s="55">
        <f t="shared" si="6"/>
        <v>25</v>
      </c>
      <c r="F51" s="55">
        <f t="shared" si="6"/>
        <v>19</v>
      </c>
      <c r="G51" s="55">
        <f t="shared" si="6"/>
        <v>43</v>
      </c>
      <c r="H51" s="55">
        <f t="shared" si="6"/>
        <v>0</v>
      </c>
      <c r="I51" s="55">
        <f t="shared" si="6"/>
        <v>0</v>
      </c>
      <c r="J51" s="55">
        <f t="shared" si="6"/>
        <v>0</v>
      </c>
      <c r="K51" s="55">
        <f t="shared" si="6"/>
        <v>0</v>
      </c>
      <c r="L51" s="55">
        <f t="shared" si="6"/>
        <v>0</v>
      </c>
      <c r="M51" s="55">
        <f t="shared" si="6"/>
        <v>0</v>
      </c>
      <c r="N51" s="54">
        <f t="shared" si="6"/>
        <v>229</v>
      </c>
    </row>
    <row r="52" spans="1:14" ht="14" thickBot="1">
      <c r="A52" s="38" t="s">
        <v>50</v>
      </c>
      <c r="B52" s="39"/>
      <c r="C52" s="39"/>
      <c r="D52" s="39"/>
      <c r="E52" s="39"/>
      <c r="F52" s="39"/>
      <c r="G52" s="39"/>
      <c r="H52" s="39"/>
      <c r="I52" s="39"/>
      <c r="J52" s="39"/>
      <c r="K52" s="39"/>
      <c r="L52" s="39"/>
      <c r="M52" s="39"/>
      <c r="N52" s="40"/>
    </row>
    <row r="53" spans="1:14">
      <c r="A53" s="34" t="s">
        <v>26</v>
      </c>
      <c r="B53" s="1099">
        <v>0</v>
      </c>
      <c r="C53" s="1100">
        <v>0</v>
      </c>
      <c r="D53" s="1100">
        <v>0</v>
      </c>
      <c r="E53" s="1100">
        <v>0</v>
      </c>
      <c r="F53" s="1100">
        <v>0</v>
      </c>
      <c r="G53" s="1100">
        <v>0</v>
      </c>
      <c r="H53" s="1100">
        <v>0</v>
      </c>
      <c r="I53" s="1100">
        <v>0</v>
      </c>
      <c r="J53" s="1100">
        <v>0</v>
      </c>
      <c r="K53" s="1100">
        <v>0</v>
      </c>
      <c r="L53" s="1100">
        <v>0</v>
      </c>
      <c r="M53" s="1108">
        <v>0</v>
      </c>
      <c r="N53" s="27">
        <f t="shared" ref="N53:N61" si="7">SUM(B53:M53)</f>
        <v>0</v>
      </c>
    </row>
    <row r="54" spans="1:14">
      <c r="A54" s="34" t="s">
        <v>25</v>
      </c>
      <c r="B54" s="1102">
        <v>0</v>
      </c>
      <c r="C54" s="1092">
        <v>0</v>
      </c>
      <c r="D54" s="1092">
        <v>0</v>
      </c>
      <c r="E54" s="1092">
        <v>0</v>
      </c>
      <c r="F54" s="1092">
        <v>0</v>
      </c>
      <c r="G54" s="1092">
        <v>0</v>
      </c>
      <c r="H54" s="1092">
        <v>0</v>
      </c>
      <c r="I54" s="1092">
        <v>0</v>
      </c>
      <c r="J54" s="1092">
        <v>0</v>
      </c>
      <c r="K54" s="1092">
        <v>0</v>
      </c>
      <c r="L54" s="1092">
        <v>0</v>
      </c>
      <c r="M54" s="1103">
        <v>0</v>
      </c>
      <c r="N54" s="27">
        <f t="shared" si="7"/>
        <v>0</v>
      </c>
    </row>
    <row r="55" spans="1:14">
      <c r="A55" s="32" t="s">
        <v>29</v>
      </c>
      <c r="B55" s="1102">
        <v>0</v>
      </c>
      <c r="C55" s="1092">
        <v>0</v>
      </c>
      <c r="D55" s="1092">
        <v>25</v>
      </c>
      <c r="E55" s="1092">
        <v>0</v>
      </c>
      <c r="F55" s="1092">
        <v>0</v>
      </c>
      <c r="G55" s="1092">
        <v>0</v>
      </c>
      <c r="H55" s="1092">
        <v>0</v>
      </c>
      <c r="I55" s="1092">
        <v>0</v>
      </c>
      <c r="J55" s="1092">
        <v>0</v>
      </c>
      <c r="K55" s="1092">
        <v>56</v>
      </c>
      <c r="L55" s="1092">
        <v>0</v>
      </c>
      <c r="M55" s="1103">
        <v>0</v>
      </c>
      <c r="N55" s="27">
        <f t="shared" si="7"/>
        <v>81</v>
      </c>
    </row>
    <row r="56" spans="1:14">
      <c r="A56" s="32" t="s">
        <v>51</v>
      </c>
      <c r="B56" s="1102">
        <v>16</v>
      </c>
      <c r="C56" s="1092">
        <v>37</v>
      </c>
      <c r="D56" s="1092">
        <v>2</v>
      </c>
      <c r="E56" s="1092">
        <v>2</v>
      </c>
      <c r="F56" s="1092">
        <v>0</v>
      </c>
      <c r="G56" s="1092">
        <v>0</v>
      </c>
      <c r="H56" s="1092">
        <v>0</v>
      </c>
      <c r="I56" s="1092">
        <v>0</v>
      </c>
      <c r="J56" s="1092">
        <v>0</v>
      </c>
      <c r="K56" s="1092">
        <v>1</v>
      </c>
      <c r="L56" s="1092">
        <v>0</v>
      </c>
      <c r="M56" s="1103">
        <v>0</v>
      </c>
      <c r="N56" s="27">
        <f t="shared" si="7"/>
        <v>58</v>
      </c>
    </row>
    <row r="57" spans="1:14">
      <c r="A57" s="34" t="s">
        <v>20</v>
      </c>
      <c r="B57" s="1102">
        <v>0</v>
      </c>
      <c r="C57" s="1092">
        <v>0</v>
      </c>
      <c r="D57" s="1092">
        <v>0</v>
      </c>
      <c r="E57" s="1092">
        <v>0</v>
      </c>
      <c r="F57" s="1092">
        <v>0</v>
      </c>
      <c r="G57" s="1092">
        <v>0</v>
      </c>
      <c r="H57" s="1092">
        <v>0</v>
      </c>
      <c r="I57" s="1092">
        <v>0</v>
      </c>
      <c r="J57" s="1092">
        <v>0</v>
      </c>
      <c r="K57" s="1092">
        <v>0</v>
      </c>
      <c r="L57" s="1092">
        <v>0</v>
      </c>
      <c r="M57" s="1103">
        <v>0</v>
      </c>
      <c r="N57" s="27">
        <f t="shared" si="7"/>
        <v>0</v>
      </c>
    </row>
    <row r="58" spans="1:14">
      <c r="A58" s="34" t="s">
        <v>13</v>
      </c>
      <c r="B58" s="1102">
        <v>0</v>
      </c>
      <c r="C58" s="1092">
        <v>6</v>
      </c>
      <c r="D58" s="1092">
        <v>0</v>
      </c>
      <c r="E58" s="1092">
        <v>0</v>
      </c>
      <c r="F58" s="1092">
        <v>0</v>
      </c>
      <c r="G58" s="1092">
        <v>0</v>
      </c>
      <c r="H58" s="1092">
        <v>0</v>
      </c>
      <c r="I58" s="1092">
        <v>0</v>
      </c>
      <c r="J58" s="1092">
        <v>0</v>
      </c>
      <c r="K58" s="1092">
        <v>0</v>
      </c>
      <c r="L58" s="1092">
        <v>0</v>
      </c>
      <c r="M58" s="1103">
        <v>0</v>
      </c>
      <c r="N58" s="27">
        <f t="shared" si="7"/>
        <v>6</v>
      </c>
    </row>
    <row r="59" spans="1:14">
      <c r="A59" s="35" t="s">
        <v>47</v>
      </c>
      <c r="B59" s="1102">
        <v>0</v>
      </c>
      <c r="C59" s="1092">
        <v>0</v>
      </c>
      <c r="D59" s="1092">
        <v>1</v>
      </c>
      <c r="E59" s="1092">
        <v>0</v>
      </c>
      <c r="F59" s="1092">
        <v>0</v>
      </c>
      <c r="G59" s="1092">
        <v>0</v>
      </c>
      <c r="H59" s="1092">
        <v>0</v>
      </c>
      <c r="I59" s="1092">
        <v>0</v>
      </c>
      <c r="J59" s="1092">
        <v>0</v>
      </c>
      <c r="K59" s="1092">
        <v>0</v>
      </c>
      <c r="L59" s="1092">
        <v>0</v>
      </c>
      <c r="M59" s="1103">
        <v>0</v>
      </c>
      <c r="N59" s="27">
        <f t="shared" si="7"/>
        <v>1</v>
      </c>
    </row>
    <row r="60" spans="1:14">
      <c r="A60" s="33" t="s">
        <v>52</v>
      </c>
      <c r="B60" s="1102">
        <v>0</v>
      </c>
      <c r="C60" s="1092">
        <v>0</v>
      </c>
      <c r="D60" s="1092">
        <v>0</v>
      </c>
      <c r="E60" s="1092">
        <v>0</v>
      </c>
      <c r="F60" s="1092">
        <v>0</v>
      </c>
      <c r="G60" s="1092">
        <v>0</v>
      </c>
      <c r="H60" s="1092">
        <v>0</v>
      </c>
      <c r="I60" s="1092">
        <v>0</v>
      </c>
      <c r="J60" s="1092">
        <v>0</v>
      </c>
      <c r="K60" s="1092">
        <v>0</v>
      </c>
      <c r="L60" s="1092">
        <v>0</v>
      </c>
      <c r="M60" s="1103">
        <v>0</v>
      </c>
      <c r="N60" s="27">
        <f t="shared" si="7"/>
        <v>0</v>
      </c>
    </row>
    <row r="61" spans="1:14">
      <c r="A61" s="33" t="s">
        <v>53</v>
      </c>
      <c r="B61" s="1102">
        <v>0</v>
      </c>
      <c r="C61" s="1092">
        <v>0</v>
      </c>
      <c r="D61" s="1092">
        <v>0</v>
      </c>
      <c r="E61" s="1092">
        <v>0</v>
      </c>
      <c r="F61" s="1092">
        <v>0</v>
      </c>
      <c r="G61" s="1092">
        <v>0</v>
      </c>
      <c r="H61" s="1092">
        <v>0</v>
      </c>
      <c r="I61" s="1092">
        <v>0</v>
      </c>
      <c r="J61" s="1092">
        <v>0</v>
      </c>
      <c r="K61" s="1092">
        <v>0</v>
      </c>
      <c r="L61" s="1092">
        <v>0</v>
      </c>
      <c r="M61" s="1103">
        <v>0</v>
      </c>
      <c r="N61" s="27">
        <f t="shared" si="7"/>
        <v>0</v>
      </c>
    </row>
    <row r="62" spans="1:14">
      <c r="A62" s="32" t="s">
        <v>56</v>
      </c>
      <c r="B62" s="1102">
        <v>0</v>
      </c>
      <c r="C62" s="1092">
        <v>0</v>
      </c>
      <c r="D62" s="1092">
        <v>0</v>
      </c>
      <c r="E62" s="1092">
        <v>0</v>
      </c>
      <c r="F62" s="1092">
        <v>0</v>
      </c>
      <c r="G62" s="1092">
        <v>0</v>
      </c>
      <c r="H62" s="1092">
        <v>0</v>
      </c>
      <c r="I62" s="1092"/>
      <c r="J62" s="1092">
        <v>0</v>
      </c>
      <c r="K62" s="1092">
        <v>0</v>
      </c>
      <c r="L62" s="1092">
        <v>0</v>
      </c>
      <c r="M62" s="1103">
        <v>0</v>
      </c>
      <c r="N62" s="27">
        <f>SUM(B62:M62)</f>
        <v>0</v>
      </c>
    </row>
    <row r="63" spans="1:14">
      <c r="A63" s="78" t="s">
        <v>122</v>
      </c>
      <c r="B63" s="1102">
        <v>0</v>
      </c>
      <c r="C63" s="1092">
        <v>0</v>
      </c>
      <c r="D63" s="1092">
        <v>0</v>
      </c>
      <c r="E63" s="1092">
        <v>0</v>
      </c>
      <c r="F63" s="1092">
        <v>0</v>
      </c>
      <c r="G63" s="1092">
        <v>0</v>
      </c>
      <c r="H63" s="1092">
        <v>0</v>
      </c>
      <c r="I63" s="1092">
        <v>120</v>
      </c>
      <c r="J63" s="1092">
        <v>0</v>
      </c>
      <c r="K63" s="1092">
        <v>0</v>
      </c>
      <c r="L63" s="1092">
        <v>0</v>
      </c>
      <c r="M63" s="1103">
        <v>0</v>
      </c>
      <c r="N63" s="27">
        <f>SUM(B63:M63)</f>
        <v>120</v>
      </c>
    </row>
    <row r="64" spans="1:14" ht="14" thickBot="1">
      <c r="A64" s="32" t="s">
        <v>102</v>
      </c>
      <c r="B64" s="1105">
        <v>0</v>
      </c>
      <c r="C64" s="1106">
        <v>0</v>
      </c>
      <c r="D64" s="1106">
        <v>0</v>
      </c>
      <c r="E64" s="1106">
        <v>0</v>
      </c>
      <c r="F64" s="1106">
        <v>0</v>
      </c>
      <c r="G64" s="1106">
        <v>0</v>
      </c>
      <c r="H64" s="1106">
        <v>0</v>
      </c>
      <c r="I64" s="1106">
        <v>0</v>
      </c>
      <c r="J64" s="1106">
        <v>0</v>
      </c>
      <c r="K64" s="1106">
        <v>0</v>
      </c>
      <c r="L64" s="1106">
        <v>0</v>
      </c>
      <c r="M64" s="1109">
        <v>0</v>
      </c>
      <c r="N64" s="27">
        <f>SUM(B64:M64)</f>
        <v>0</v>
      </c>
    </row>
    <row r="65" spans="1:14" ht="14" thickBot="1">
      <c r="A65" s="53" t="s">
        <v>60</v>
      </c>
      <c r="B65" s="55">
        <f>SUM(B53:B64)</f>
        <v>16</v>
      </c>
      <c r="C65" s="55">
        <f t="shared" ref="C65:N65" si="8">SUM(C53:C64)</f>
        <v>43</v>
      </c>
      <c r="D65" s="55">
        <f t="shared" si="8"/>
        <v>28</v>
      </c>
      <c r="E65" s="55">
        <f t="shared" si="8"/>
        <v>2</v>
      </c>
      <c r="F65" s="55">
        <f t="shared" si="8"/>
        <v>0</v>
      </c>
      <c r="G65" s="55">
        <f t="shared" si="8"/>
        <v>0</v>
      </c>
      <c r="H65" s="55">
        <f t="shared" si="8"/>
        <v>0</v>
      </c>
      <c r="I65" s="55">
        <f t="shared" si="8"/>
        <v>120</v>
      </c>
      <c r="J65" s="55">
        <f t="shared" si="8"/>
        <v>0</v>
      </c>
      <c r="K65" s="55">
        <f t="shared" si="8"/>
        <v>57</v>
      </c>
      <c r="L65" s="55">
        <f t="shared" si="8"/>
        <v>0</v>
      </c>
      <c r="M65" s="55">
        <f t="shared" si="8"/>
        <v>0</v>
      </c>
      <c r="N65" s="54">
        <f t="shared" si="8"/>
        <v>266</v>
      </c>
    </row>
    <row r="66" spans="1:14" ht="14" thickBot="1">
      <c r="A66" s="38" t="s">
        <v>54</v>
      </c>
      <c r="B66" s="41"/>
      <c r="C66" s="41"/>
      <c r="D66" s="41"/>
      <c r="E66" s="41"/>
      <c r="F66" s="41"/>
      <c r="G66" s="41"/>
      <c r="H66" s="41"/>
      <c r="I66" s="41"/>
      <c r="J66" s="41"/>
      <c r="K66" s="41"/>
      <c r="L66" s="41"/>
      <c r="M66" s="41"/>
      <c r="N66" s="42"/>
    </row>
    <row r="67" spans="1:14">
      <c r="A67" s="36" t="s">
        <v>29</v>
      </c>
      <c r="B67" s="1099">
        <v>0</v>
      </c>
      <c r="C67" s="1100">
        <v>0</v>
      </c>
      <c r="D67" s="1100">
        <v>0</v>
      </c>
      <c r="E67" s="1100">
        <v>0</v>
      </c>
      <c r="F67" s="1100">
        <v>0</v>
      </c>
      <c r="G67" s="1100">
        <v>0</v>
      </c>
      <c r="H67" s="1100">
        <v>0</v>
      </c>
      <c r="I67" s="1100">
        <v>0</v>
      </c>
      <c r="J67" s="1100">
        <v>0</v>
      </c>
      <c r="K67" s="1100">
        <v>0</v>
      </c>
      <c r="L67" s="1100">
        <v>0</v>
      </c>
      <c r="M67" s="1108">
        <v>0</v>
      </c>
      <c r="N67" s="28">
        <f t="shared" ref="N67:N72" si="9">SUM(B67:M67)</f>
        <v>0</v>
      </c>
    </row>
    <row r="68" spans="1:14">
      <c r="A68" s="34" t="s">
        <v>51</v>
      </c>
      <c r="B68" s="1102">
        <v>0</v>
      </c>
      <c r="C68" s="1092">
        <v>0</v>
      </c>
      <c r="D68" s="1092">
        <v>0</v>
      </c>
      <c r="E68" s="1092">
        <v>0</v>
      </c>
      <c r="F68" s="1092">
        <v>0</v>
      </c>
      <c r="G68" s="1092">
        <v>0</v>
      </c>
      <c r="H68" s="1092">
        <v>0</v>
      </c>
      <c r="I68" s="1092">
        <v>0</v>
      </c>
      <c r="J68" s="1092">
        <v>0</v>
      </c>
      <c r="K68" s="1092">
        <v>0</v>
      </c>
      <c r="L68" s="1092">
        <v>0</v>
      </c>
      <c r="M68" s="1103">
        <v>0</v>
      </c>
      <c r="N68" s="29">
        <f t="shared" si="9"/>
        <v>0</v>
      </c>
    </row>
    <row r="69" spans="1:14">
      <c r="A69" s="34" t="s">
        <v>15</v>
      </c>
      <c r="B69" s="1102">
        <v>0</v>
      </c>
      <c r="C69" s="1092">
        <v>0</v>
      </c>
      <c r="D69" s="1092">
        <v>0</v>
      </c>
      <c r="E69" s="1092">
        <v>0</v>
      </c>
      <c r="F69" s="1092">
        <v>0</v>
      </c>
      <c r="G69" s="1092">
        <v>0</v>
      </c>
      <c r="H69" s="1092">
        <v>0</v>
      </c>
      <c r="I69" s="1092">
        <v>0</v>
      </c>
      <c r="J69" s="1092">
        <v>0</v>
      </c>
      <c r="K69" s="1092">
        <v>0</v>
      </c>
      <c r="L69" s="1092">
        <v>0</v>
      </c>
      <c r="M69" s="1103">
        <v>0</v>
      </c>
      <c r="N69" s="29">
        <f t="shared" si="9"/>
        <v>0</v>
      </c>
    </row>
    <row r="70" spans="1:14">
      <c r="A70" s="34" t="s">
        <v>30</v>
      </c>
      <c r="B70" s="1102">
        <v>0</v>
      </c>
      <c r="C70" s="1092">
        <v>0</v>
      </c>
      <c r="D70" s="1092">
        <v>0</v>
      </c>
      <c r="E70" s="1092">
        <v>0</v>
      </c>
      <c r="F70" s="1092">
        <v>0</v>
      </c>
      <c r="G70" s="1092">
        <v>0</v>
      </c>
      <c r="H70" s="1092">
        <v>0</v>
      </c>
      <c r="I70" s="1092">
        <v>0</v>
      </c>
      <c r="J70" s="1092">
        <v>0</v>
      </c>
      <c r="K70" s="1092">
        <v>0</v>
      </c>
      <c r="L70" s="1092">
        <v>0</v>
      </c>
      <c r="M70" s="1103">
        <v>0</v>
      </c>
      <c r="N70" s="29">
        <f t="shared" si="9"/>
        <v>0</v>
      </c>
    </row>
    <row r="71" spans="1:14">
      <c r="A71" s="34" t="s">
        <v>55</v>
      </c>
      <c r="B71" s="1102">
        <v>0</v>
      </c>
      <c r="C71" s="1092">
        <v>9</v>
      </c>
      <c r="D71" s="1092">
        <v>0</v>
      </c>
      <c r="E71" s="1092">
        <v>0</v>
      </c>
      <c r="F71" s="1092">
        <v>0</v>
      </c>
      <c r="G71" s="1092">
        <v>0</v>
      </c>
      <c r="H71" s="1092">
        <v>0</v>
      </c>
      <c r="I71" s="1092">
        <v>0</v>
      </c>
      <c r="J71" s="1092">
        <v>0</v>
      </c>
      <c r="K71" s="1092">
        <v>0</v>
      </c>
      <c r="L71" s="1092">
        <v>0</v>
      </c>
      <c r="M71" s="1103">
        <v>0</v>
      </c>
      <c r="N71" s="29">
        <f t="shared" si="9"/>
        <v>9</v>
      </c>
    </row>
    <row r="72" spans="1:14" s="3" customFormat="1" ht="14" thickBot="1">
      <c r="A72" s="33" t="s">
        <v>53</v>
      </c>
      <c r="B72" s="1105">
        <v>0</v>
      </c>
      <c r="C72" s="1106">
        <v>0</v>
      </c>
      <c r="D72" s="1106">
        <v>0</v>
      </c>
      <c r="E72" s="1106">
        <v>0</v>
      </c>
      <c r="F72" s="1106">
        <v>0</v>
      </c>
      <c r="G72" s="1106">
        <v>0</v>
      </c>
      <c r="H72" s="1106">
        <v>0</v>
      </c>
      <c r="I72" s="1106">
        <v>0</v>
      </c>
      <c r="J72" s="1106">
        <v>0</v>
      </c>
      <c r="K72" s="1106">
        <v>0</v>
      </c>
      <c r="L72" s="1106">
        <v>0</v>
      </c>
      <c r="M72" s="1109">
        <v>0</v>
      </c>
      <c r="N72" s="27">
        <f t="shared" si="9"/>
        <v>0</v>
      </c>
    </row>
    <row r="73" spans="1:14" ht="14" thickBot="1">
      <c r="A73" s="53" t="s">
        <v>60</v>
      </c>
      <c r="B73" s="55">
        <f>SUM(B67:B72)</f>
        <v>0</v>
      </c>
      <c r="C73" s="55">
        <f t="shared" ref="C73:N73" si="10">SUM(C67:C72)</f>
        <v>9</v>
      </c>
      <c r="D73" s="55">
        <f t="shared" si="10"/>
        <v>0</v>
      </c>
      <c r="E73" s="55">
        <f t="shared" si="10"/>
        <v>0</v>
      </c>
      <c r="F73" s="55">
        <f t="shared" si="10"/>
        <v>0</v>
      </c>
      <c r="G73" s="55">
        <f t="shared" si="10"/>
        <v>0</v>
      </c>
      <c r="H73" s="55">
        <f t="shared" si="10"/>
        <v>0</v>
      </c>
      <c r="I73" s="55">
        <f t="shared" si="10"/>
        <v>0</v>
      </c>
      <c r="J73" s="55">
        <f t="shared" si="10"/>
        <v>0</v>
      </c>
      <c r="K73" s="55">
        <f t="shared" si="10"/>
        <v>0</v>
      </c>
      <c r="L73" s="55">
        <f t="shared" si="10"/>
        <v>0</v>
      </c>
      <c r="M73" s="55">
        <f t="shared" si="10"/>
        <v>0</v>
      </c>
      <c r="N73" s="55">
        <f t="shared" si="10"/>
        <v>9</v>
      </c>
    </row>
    <row r="76" spans="1:14" ht="14" thickBot="1">
      <c r="B76" s="43" t="s">
        <v>35</v>
      </c>
      <c r="C76" s="43" t="s">
        <v>36</v>
      </c>
      <c r="D76" s="43" t="s">
        <v>37</v>
      </c>
      <c r="E76" s="43" t="s">
        <v>38</v>
      </c>
      <c r="F76" s="43" t="s">
        <v>39</v>
      </c>
      <c r="G76" s="43" t="s">
        <v>40</v>
      </c>
      <c r="H76" s="43" t="s">
        <v>41</v>
      </c>
      <c r="I76" s="43" t="s">
        <v>42</v>
      </c>
      <c r="J76" s="43" t="s">
        <v>43</v>
      </c>
      <c r="K76" s="43" t="s">
        <v>44</v>
      </c>
      <c r="L76" s="43" t="s">
        <v>45</v>
      </c>
      <c r="M76" s="43" t="s">
        <v>46</v>
      </c>
      <c r="N76" s="43" t="s">
        <v>10</v>
      </c>
    </row>
    <row r="77" spans="1:14" ht="17" thickBot="1">
      <c r="A77" s="31" t="s">
        <v>143</v>
      </c>
      <c r="B77" s="24"/>
      <c r="C77" s="24"/>
      <c r="D77" s="22"/>
      <c r="E77" s="22"/>
      <c r="F77" s="25"/>
      <c r="G77" s="25"/>
      <c r="H77" s="22"/>
      <c r="I77" s="22"/>
      <c r="J77" s="22"/>
      <c r="K77" s="22"/>
      <c r="L77" s="24"/>
      <c r="M77" s="24"/>
      <c r="N77" s="26"/>
    </row>
    <row r="78" spans="1:14" ht="14" thickBot="1">
      <c r="A78" s="38" t="s">
        <v>48</v>
      </c>
      <c r="B78" s="39"/>
      <c r="C78" s="39"/>
      <c r="D78" s="39"/>
      <c r="E78" s="39"/>
      <c r="F78" s="39"/>
      <c r="G78" s="39"/>
      <c r="H78" s="39"/>
      <c r="I78" s="39"/>
      <c r="J78" s="39"/>
      <c r="K78" s="39"/>
      <c r="L78" s="39"/>
      <c r="M78" s="39"/>
      <c r="N78" s="40"/>
    </row>
    <row r="79" spans="1:14">
      <c r="A79" s="32" t="s">
        <v>28</v>
      </c>
      <c r="B79" s="1092">
        <v>0</v>
      </c>
      <c r="C79" s="1092">
        <v>0</v>
      </c>
      <c r="D79" s="1092">
        <v>0</v>
      </c>
      <c r="E79" s="1092">
        <v>0</v>
      </c>
      <c r="F79" s="1092">
        <v>0</v>
      </c>
      <c r="G79" s="1092">
        <v>0</v>
      </c>
      <c r="H79" s="1092">
        <v>0</v>
      </c>
      <c r="I79" s="1092">
        <v>0</v>
      </c>
      <c r="J79" s="1092">
        <v>0</v>
      </c>
      <c r="K79" s="1092">
        <v>0</v>
      </c>
      <c r="L79" s="1092">
        <v>0</v>
      </c>
      <c r="M79" s="1092">
        <v>0</v>
      </c>
      <c r="N79" s="27">
        <f>SUM(B79:M79)</f>
        <v>0</v>
      </c>
    </row>
    <row r="80" spans="1:14">
      <c r="A80" s="32" t="s">
        <v>29</v>
      </c>
      <c r="B80" s="1092">
        <v>23</v>
      </c>
      <c r="C80" s="1092">
        <v>0</v>
      </c>
      <c r="D80" s="1092">
        <v>2</v>
      </c>
      <c r="E80" s="1092">
        <v>0</v>
      </c>
      <c r="F80" s="1092">
        <v>0</v>
      </c>
      <c r="G80" s="1092">
        <v>3</v>
      </c>
      <c r="H80" s="1092">
        <v>1</v>
      </c>
      <c r="I80" s="1092">
        <v>3</v>
      </c>
      <c r="J80" s="1092">
        <v>7</v>
      </c>
      <c r="K80" s="1092">
        <v>0</v>
      </c>
      <c r="L80" s="1092">
        <v>2</v>
      </c>
      <c r="M80" s="1092">
        <v>1</v>
      </c>
      <c r="N80" s="27">
        <f t="shared" ref="N80:N86" si="11">SUM(B80:M80)</f>
        <v>42</v>
      </c>
    </row>
    <row r="81" spans="1:14">
      <c r="A81" s="32" t="s">
        <v>33</v>
      </c>
      <c r="B81" s="1092">
        <v>20</v>
      </c>
      <c r="C81" s="1092">
        <v>0</v>
      </c>
      <c r="D81" s="1092">
        <v>4</v>
      </c>
      <c r="E81" s="1092">
        <v>2</v>
      </c>
      <c r="F81" s="1092">
        <v>0</v>
      </c>
      <c r="G81" s="1092">
        <v>7</v>
      </c>
      <c r="H81" s="1092">
        <v>7</v>
      </c>
      <c r="I81" s="1092">
        <v>10</v>
      </c>
      <c r="J81" s="1092">
        <v>8</v>
      </c>
      <c r="K81" s="1092">
        <v>5</v>
      </c>
      <c r="L81" s="1092">
        <v>14</v>
      </c>
      <c r="M81" s="1092">
        <v>7</v>
      </c>
      <c r="N81" s="27">
        <f t="shared" si="11"/>
        <v>84</v>
      </c>
    </row>
    <row r="82" spans="1:14">
      <c r="A82" s="32" t="s">
        <v>56</v>
      </c>
      <c r="B82" s="1092">
        <v>0</v>
      </c>
      <c r="C82" s="1092">
        <v>0</v>
      </c>
      <c r="D82" s="1092">
        <v>0</v>
      </c>
      <c r="E82" s="1092">
        <v>0</v>
      </c>
      <c r="F82" s="1092">
        <v>0</v>
      </c>
      <c r="G82" s="1092">
        <v>0</v>
      </c>
      <c r="H82" s="1092">
        <v>0</v>
      </c>
      <c r="I82" s="1092">
        <v>0</v>
      </c>
      <c r="J82" s="1092">
        <v>0</v>
      </c>
      <c r="K82" s="1092">
        <v>0</v>
      </c>
      <c r="L82" s="1092">
        <v>0</v>
      </c>
      <c r="M82" s="1092">
        <v>0</v>
      </c>
      <c r="N82" s="27">
        <f t="shared" si="11"/>
        <v>0</v>
      </c>
    </row>
    <row r="83" spans="1:14">
      <c r="A83" s="32" t="s">
        <v>52</v>
      </c>
      <c r="B83" s="1092">
        <v>0</v>
      </c>
      <c r="C83" s="1092">
        <v>0</v>
      </c>
      <c r="D83" s="1092">
        <v>0</v>
      </c>
      <c r="E83" s="1092">
        <v>0</v>
      </c>
      <c r="F83" s="1092">
        <v>0</v>
      </c>
      <c r="G83" s="1092">
        <v>0</v>
      </c>
      <c r="H83" s="1092">
        <v>0</v>
      </c>
      <c r="I83" s="1092">
        <v>1</v>
      </c>
      <c r="J83" s="1092">
        <v>0</v>
      </c>
      <c r="K83" s="1092">
        <v>0</v>
      </c>
      <c r="L83" s="1092">
        <v>0</v>
      </c>
      <c r="M83" s="1092">
        <v>0</v>
      </c>
      <c r="N83" s="27">
        <f t="shared" si="11"/>
        <v>1</v>
      </c>
    </row>
    <row r="84" spans="1:14">
      <c r="A84" s="76" t="s">
        <v>148</v>
      </c>
      <c r="B84" s="1092">
        <v>0</v>
      </c>
      <c r="C84" s="1092">
        <v>0</v>
      </c>
      <c r="D84" s="1092">
        <v>0</v>
      </c>
      <c r="E84" s="1092">
        <v>0</v>
      </c>
      <c r="F84" s="1092">
        <v>0</v>
      </c>
      <c r="G84" s="1092">
        <v>0</v>
      </c>
      <c r="H84" s="1092">
        <v>0</v>
      </c>
      <c r="I84" s="1092">
        <v>0</v>
      </c>
      <c r="J84" s="1092">
        <v>0</v>
      </c>
      <c r="K84" s="1092">
        <v>0</v>
      </c>
      <c r="L84" s="1092">
        <v>0</v>
      </c>
      <c r="M84" s="1092">
        <v>0</v>
      </c>
      <c r="N84" s="27">
        <f t="shared" si="11"/>
        <v>0</v>
      </c>
    </row>
    <row r="85" spans="1:14" ht="14" thickBot="1">
      <c r="A85" s="76" t="s">
        <v>153</v>
      </c>
      <c r="B85" s="1092">
        <v>0</v>
      </c>
      <c r="C85" s="1092">
        <v>0</v>
      </c>
      <c r="D85" s="1092">
        <v>0</v>
      </c>
      <c r="E85" s="1092">
        <v>0</v>
      </c>
      <c r="F85" s="1092">
        <v>0</v>
      </c>
      <c r="G85" s="1092">
        <v>1</v>
      </c>
      <c r="H85" s="1092">
        <v>0</v>
      </c>
      <c r="I85" s="1092">
        <v>0</v>
      </c>
      <c r="J85" s="1092">
        <v>0</v>
      </c>
      <c r="K85" s="1092">
        <v>0</v>
      </c>
      <c r="L85" s="1092">
        <v>1</v>
      </c>
      <c r="M85" s="1092">
        <v>0</v>
      </c>
      <c r="N85" s="27">
        <f t="shared" si="11"/>
        <v>2</v>
      </c>
    </row>
    <row r="86" spans="1:14" ht="14" thickBot="1">
      <c r="A86" s="53" t="s">
        <v>60</v>
      </c>
      <c r="B86" s="55">
        <f>SUM(B79:B85)</f>
        <v>43</v>
      </c>
      <c r="C86" s="55">
        <f>SUM(C79:C85)</f>
        <v>0</v>
      </c>
      <c r="D86" s="55">
        <f t="shared" ref="D86:M86" si="12">SUM(D79:D85)</f>
        <v>6</v>
      </c>
      <c r="E86" s="55">
        <f t="shared" si="12"/>
        <v>2</v>
      </c>
      <c r="F86" s="55">
        <f t="shared" si="12"/>
        <v>0</v>
      </c>
      <c r="G86" s="55">
        <f t="shared" si="12"/>
        <v>11</v>
      </c>
      <c r="H86" s="55">
        <f t="shared" si="12"/>
        <v>8</v>
      </c>
      <c r="I86" s="55">
        <f t="shared" si="12"/>
        <v>14</v>
      </c>
      <c r="J86" s="55">
        <f t="shared" si="12"/>
        <v>15</v>
      </c>
      <c r="K86" s="55">
        <f t="shared" si="12"/>
        <v>5</v>
      </c>
      <c r="L86" s="55">
        <f t="shared" si="12"/>
        <v>17</v>
      </c>
      <c r="M86" s="55">
        <f t="shared" si="12"/>
        <v>8</v>
      </c>
      <c r="N86" s="27">
        <f t="shared" si="11"/>
        <v>129</v>
      </c>
    </row>
    <row r="87" spans="1:14" ht="14" thickBot="1">
      <c r="A87" s="38" t="s">
        <v>49</v>
      </c>
      <c r="B87" s="39"/>
      <c r="C87" s="39"/>
      <c r="D87" s="39"/>
      <c r="E87" s="39"/>
      <c r="F87" s="39"/>
      <c r="G87" s="39"/>
      <c r="H87" s="39"/>
      <c r="I87" s="39"/>
      <c r="J87" s="39"/>
      <c r="K87" s="39"/>
      <c r="L87" s="39"/>
      <c r="M87" s="39"/>
      <c r="N87" s="40"/>
    </row>
    <row r="88" spans="1:14" ht="14" thickBot="1">
      <c r="A88" s="33" t="s">
        <v>49</v>
      </c>
      <c r="B88" s="1092">
        <v>0</v>
      </c>
      <c r="C88" s="1092">
        <v>0</v>
      </c>
      <c r="D88" s="1092">
        <v>0</v>
      </c>
      <c r="E88" s="1092">
        <v>0</v>
      </c>
      <c r="F88" s="1092">
        <v>0</v>
      </c>
      <c r="G88" s="1092">
        <v>0</v>
      </c>
      <c r="H88" s="1092">
        <v>0</v>
      </c>
      <c r="I88" s="1092">
        <v>0</v>
      </c>
      <c r="J88" s="1092">
        <v>0</v>
      </c>
      <c r="K88" s="1092">
        <v>11</v>
      </c>
      <c r="L88" s="1092">
        <v>0</v>
      </c>
      <c r="M88" s="1092">
        <v>0</v>
      </c>
      <c r="N88" s="27">
        <f>SUM(B88:M88)</f>
        <v>11</v>
      </c>
    </row>
    <row r="89" spans="1:14" ht="14" thickBot="1">
      <c r="A89" s="53" t="s">
        <v>60</v>
      </c>
      <c r="B89" s="55">
        <f>SUM(B88)</f>
        <v>0</v>
      </c>
      <c r="C89" s="55">
        <f t="shared" ref="C89:N89" si="13">SUM(C88)</f>
        <v>0</v>
      </c>
      <c r="D89" s="55">
        <f t="shared" si="13"/>
        <v>0</v>
      </c>
      <c r="E89" s="55">
        <f t="shared" si="13"/>
        <v>0</v>
      </c>
      <c r="F89" s="55">
        <f t="shared" si="13"/>
        <v>0</v>
      </c>
      <c r="G89" s="55">
        <f t="shared" si="13"/>
        <v>0</v>
      </c>
      <c r="H89" s="55">
        <f t="shared" si="13"/>
        <v>0</v>
      </c>
      <c r="I89" s="55">
        <f t="shared" si="13"/>
        <v>0</v>
      </c>
      <c r="J89" s="55">
        <f t="shared" si="13"/>
        <v>0</v>
      </c>
      <c r="K89" s="55">
        <f t="shared" si="13"/>
        <v>11</v>
      </c>
      <c r="L89" s="55">
        <f t="shared" si="13"/>
        <v>0</v>
      </c>
      <c r="M89" s="55">
        <f t="shared" si="13"/>
        <v>0</v>
      </c>
      <c r="N89" s="54">
        <f t="shared" si="13"/>
        <v>11</v>
      </c>
    </row>
    <row r="90" spans="1:14" ht="14" thickBot="1">
      <c r="A90" s="38" t="s">
        <v>50</v>
      </c>
      <c r="B90" s="39"/>
      <c r="C90" s="39"/>
      <c r="D90" s="39"/>
      <c r="E90" s="39"/>
      <c r="F90" s="39"/>
      <c r="G90" s="39"/>
      <c r="H90" s="39"/>
      <c r="I90" s="39"/>
      <c r="J90" s="39"/>
      <c r="K90" s="39"/>
      <c r="L90" s="39"/>
      <c r="M90" s="39"/>
      <c r="N90" s="40"/>
    </row>
    <row r="91" spans="1:14">
      <c r="A91" s="34" t="s">
        <v>26</v>
      </c>
      <c r="B91" s="1092">
        <v>0</v>
      </c>
      <c r="C91" s="1092">
        <v>0</v>
      </c>
      <c r="D91" s="1092">
        <v>0</v>
      </c>
      <c r="E91" s="1092">
        <v>0</v>
      </c>
      <c r="F91" s="1092">
        <v>0</v>
      </c>
      <c r="G91" s="1092">
        <v>0</v>
      </c>
      <c r="H91" s="1092">
        <v>0</v>
      </c>
      <c r="I91" s="1092">
        <v>0</v>
      </c>
      <c r="J91" s="1092">
        <v>0</v>
      </c>
      <c r="K91" s="1092">
        <v>0</v>
      </c>
      <c r="L91" s="1092">
        <v>0</v>
      </c>
      <c r="M91" s="1092">
        <v>0</v>
      </c>
      <c r="N91" s="27">
        <f t="shared" ref="N91:N99" si="14">SUM(B91:M91)</f>
        <v>0</v>
      </c>
    </row>
    <row r="92" spans="1:14">
      <c r="A92" s="34" t="s">
        <v>25</v>
      </c>
      <c r="B92" s="1092">
        <v>0</v>
      </c>
      <c r="C92" s="1092">
        <v>0</v>
      </c>
      <c r="D92" s="1092">
        <v>0</v>
      </c>
      <c r="E92" s="1092">
        <v>0</v>
      </c>
      <c r="F92" s="1092">
        <v>0</v>
      </c>
      <c r="G92" s="1092">
        <v>0</v>
      </c>
      <c r="H92" s="1092">
        <v>0</v>
      </c>
      <c r="I92" s="1092">
        <v>0</v>
      </c>
      <c r="J92" s="1092">
        <v>0</v>
      </c>
      <c r="K92" s="1092">
        <v>0</v>
      </c>
      <c r="L92" s="1092">
        <v>0</v>
      </c>
      <c r="M92" s="1092">
        <v>0</v>
      </c>
      <c r="N92" s="27">
        <f t="shared" si="14"/>
        <v>0</v>
      </c>
    </row>
    <row r="93" spans="1:14">
      <c r="A93" s="32" t="s">
        <v>29</v>
      </c>
      <c r="B93" s="1092">
        <v>0</v>
      </c>
      <c r="C93" s="1092">
        <v>0</v>
      </c>
      <c r="D93" s="1092">
        <v>0</v>
      </c>
      <c r="E93" s="1092">
        <v>0</v>
      </c>
      <c r="F93" s="1092">
        <v>0</v>
      </c>
      <c r="G93" s="1092">
        <v>0</v>
      </c>
      <c r="H93" s="1092">
        <v>0</v>
      </c>
      <c r="I93" s="1092">
        <v>0</v>
      </c>
      <c r="J93" s="1092">
        <v>0</v>
      </c>
      <c r="K93" s="1092">
        <v>0</v>
      </c>
      <c r="L93" s="1092">
        <v>0</v>
      </c>
      <c r="M93" s="1092">
        <v>0</v>
      </c>
      <c r="N93" s="27">
        <f t="shared" si="14"/>
        <v>0</v>
      </c>
    </row>
    <row r="94" spans="1:14">
      <c r="A94" s="32" t="s">
        <v>51</v>
      </c>
      <c r="B94" s="1092">
        <v>0</v>
      </c>
      <c r="C94" s="1092">
        <v>6</v>
      </c>
      <c r="D94" s="1092">
        <v>19</v>
      </c>
      <c r="E94" s="1092">
        <v>2</v>
      </c>
      <c r="F94" s="1092">
        <v>0</v>
      </c>
      <c r="G94" s="1092">
        <v>0</v>
      </c>
      <c r="H94" s="1092">
        <v>0</v>
      </c>
      <c r="I94" s="1092">
        <v>0</v>
      </c>
      <c r="J94" s="1092">
        <v>0</v>
      </c>
      <c r="K94" s="1092">
        <v>0</v>
      </c>
      <c r="L94" s="1092">
        <v>0</v>
      </c>
      <c r="M94" s="1092">
        <v>13</v>
      </c>
      <c r="N94" s="27">
        <f t="shared" si="14"/>
        <v>40</v>
      </c>
    </row>
    <row r="95" spans="1:14">
      <c r="A95" s="34" t="s">
        <v>20</v>
      </c>
      <c r="B95" s="1092">
        <v>0</v>
      </c>
      <c r="C95" s="1092">
        <v>0</v>
      </c>
      <c r="D95" s="1092">
        <v>0</v>
      </c>
      <c r="E95" s="1092">
        <v>0</v>
      </c>
      <c r="F95" s="1092">
        <v>0</v>
      </c>
      <c r="G95" s="1092">
        <v>0</v>
      </c>
      <c r="H95" s="1092">
        <v>0</v>
      </c>
      <c r="I95" s="1092">
        <v>0</v>
      </c>
      <c r="J95" s="1092">
        <v>0</v>
      </c>
      <c r="K95" s="1092">
        <v>0</v>
      </c>
      <c r="L95" s="1092">
        <v>0</v>
      </c>
      <c r="M95" s="1092">
        <v>0</v>
      </c>
      <c r="N95" s="27">
        <f t="shared" si="14"/>
        <v>0</v>
      </c>
    </row>
    <row r="96" spans="1:14">
      <c r="A96" s="34" t="s">
        <v>13</v>
      </c>
      <c r="B96" s="1092">
        <v>0</v>
      </c>
      <c r="C96" s="1092">
        <v>0</v>
      </c>
      <c r="D96" s="1092">
        <v>1</v>
      </c>
      <c r="E96" s="1092">
        <v>0</v>
      </c>
      <c r="F96" s="1092">
        <v>0</v>
      </c>
      <c r="G96" s="1092">
        <v>0</v>
      </c>
      <c r="H96" s="1092">
        <v>0</v>
      </c>
      <c r="I96" s="1092">
        <v>0</v>
      </c>
      <c r="J96" s="1092">
        <v>0</v>
      </c>
      <c r="K96" s="1092">
        <v>0</v>
      </c>
      <c r="L96" s="1092">
        <v>0</v>
      </c>
      <c r="M96" s="1092">
        <v>0</v>
      </c>
      <c r="N96" s="27">
        <f t="shared" si="14"/>
        <v>1</v>
      </c>
    </row>
    <row r="97" spans="1:14">
      <c r="A97" s="35" t="s">
        <v>47</v>
      </c>
      <c r="B97" s="1092">
        <v>0</v>
      </c>
      <c r="C97" s="1092">
        <v>0</v>
      </c>
      <c r="D97" s="1092">
        <v>0</v>
      </c>
      <c r="E97" s="1092">
        <v>0</v>
      </c>
      <c r="F97" s="1092">
        <v>0</v>
      </c>
      <c r="G97" s="1092">
        <v>0</v>
      </c>
      <c r="H97" s="1092">
        <v>0</v>
      </c>
      <c r="I97" s="1092">
        <v>0</v>
      </c>
      <c r="J97" s="1092">
        <v>0</v>
      </c>
      <c r="K97" s="1092">
        <v>0</v>
      </c>
      <c r="L97" s="1092">
        <v>0</v>
      </c>
      <c r="M97" s="1092">
        <v>0</v>
      </c>
      <c r="N97" s="27">
        <f t="shared" si="14"/>
        <v>0</v>
      </c>
    </row>
    <row r="98" spans="1:14">
      <c r="A98" s="76" t="s">
        <v>30</v>
      </c>
      <c r="B98" s="1092">
        <v>0</v>
      </c>
      <c r="C98" s="1092">
        <v>0</v>
      </c>
      <c r="D98" s="1092">
        <v>0</v>
      </c>
      <c r="E98" s="1092">
        <v>0</v>
      </c>
      <c r="F98" s="1092">
        <v>0</v>
      </c>
      <c r="G98" s="1092">
        <v>0</v>
      </c>
      <c r="H98" s="1092">
        <v>0</v>
      </c>
      <c r="I98" s="1092">
        <v>0</v>
      </c>
      <c r="J98" s="1092">
        <v>0</v>
      </c>
      <c r="K98" s="1092">
        <v>0</v>
      </c>
      <c r="L98" s="1092">
        <v>0</v>
      </c>
      <c r="M98" s="1092">
        <v>0</v>
      </c>
      <c r="N98" s="27">
        <f t="shared" si="14"/>
        <v>0</v>
      </c>
    </row>
    <row r="99" spans="1:14">
      <c r="A99" s="76" t="s">
        <v>150</v>
      </c>
      <c r="B99" s="1092">
        <v>0</v>
      </c>
      <c r="C99" s="1092">
        <v>0</v>
      </c>
      <c r="D99" s="1092">
        <v>0</v>
      </c>
      <c r="E99" s="1092">
        <v>0</v>
      </c>
      <c r="F99" s="1092">
        <v>0</v>
      </c>
      <c r="G99" s="1092">
        <v>0</v>
      </c>
      <c r="H99" s="1092">
        <v>0</v>
      </c>
      <c r="I99" s="1092">
        <v>0</v>
      </c>
      <c r="J99" s="1092">
        <v>0</v>
      </c>
      <c r="K99" s="1092">
        <v>0</v>
      </c>
      <c r="L99" s="1092">
        <v>0</v>
      </c>
      <c r="M99" s="1092">
        <v>0</v>
      </c>
      <c r="N99" s="27">
        <f t="shared" si="14"/>
        <v>0</v>
      </c>
    </row>
    <row r="100" spans="1:14">
      <c r="A100" s="32" t="s">
        <v>56</v>
      </c>
      <c r="B100" s="1092">
        <v>0</v>
      </c>
      <c r="C100" s="1092">
        <v>0</v>
      </c>
      <c r="D100" s="1092">
        <v>0</v>
      </c>
      <c r="E100" s="1092">
        <v>0</v>
      </c>
      <c r="F100" s="1092">
        <v>0</v>
      </c>
      <c r="G100" s="1092">
        <v>0</v>
      </c>
      <c r="H100" s="1092">
        <v>0</v>
      </c>
      <c r="I100" s="1092">
        <v>0</v>
      </c>
      <c r="J100" s="1092">
        <v>0</v>
      </c>
      <c r="K100" s="1092">
        <v>0</v>
      </c>
      <c r="L100" s="1092">
        <v>0</v>
      </c>
      <c r="M100" s="1092">
        <v>0</v>
      </c>
      <c r="N100" s="27">
        <f>SUM(B100:M100)</f>
        <v>0</v>
      </c>
    </row>
    <row r="101" spans="1:14">
      <c r="A101" s="78" t="s">
        <v>122</v>
      </c>
      <c r="B101" s="1092">
        <v>0</v>
      </c>
      <c r="C101" s="1092">
        <v>0</v>
      </c>
      <c r="D101" s="1092">
        <v>0</v>
      </c>
      <c r="E101" s="1092">
        <v>0</v>
      </c>
      <c r="F101" s="1092">
        <v>0</v>
      </c>
      <c r="G101" s="1092">
        <v>0</v>
      </c>
      <c r="H101" s="1092">
        <v>0</v>
      </c>
      <c r="I101" s="1092">
        <v>0</v>
      </c>
      <c r="J101" s="1092">
        <v>0</v>
      </c>
      <c r="K101" s="1092">
        <v>0</v>
      </c>
      <c r="L101" s="1092">
        <v>0</v>
      </c>
      <c r="M101" s="1092">
        <v>0</v>
      </c>
      <c r="N101" s="27">
        <f>SUM(B101:M101)</f>
        <v>0</v>
      </c>
    </row>
    <row r="102" spans="1:14" ht="14" thickBot="1">
      <c r="A102" s="32" t="s">
        <v>102</v>
      </c>
      <c r="B102" s="1092">
        <v>0</v>
      </c>
      <c r="C102" s="1092">
        <v>0</v>
      </c>
      <c r="D102" s="1092">
        <v>0</v>
      </c>
      <c r="E102" s="1092">
        <v>0</v>
      </c>
      <c r="F102" s="1092">
        <v>0</v>
      </c>
      <c r="G102" s="1092">
        <v>0</v>
      </c>
      <c r="H102" s="1092">
        <v>0</v>
      </c>
      <c r="I102" s="1092">
        <v>1</v>
      </c>
      <c r="J102" s="1092">
        <v>0</v>
      </c>
      <c r="K102" s="1092">
        <v>0</v>
      </c>
      <c r="L102" s="1092">
        <v>0</v>
      </c>
      <c r="M102" s="1092">
        <v>0</v>
      </c>
      <c r="N102" s="27">
        <f>SUM(B102:M102)</f>
        <v>1</v>
      </c>
    </row>
    <row r="103" spans="1:14" ht="14" thickBot="1">
      <c r="A103" s="53" t="s">
        <v>60</v>
      </c>
      <c r="B103" s="55">
        <f>SUM(B91:B102)</f>
        <v>0</v>
      </c>
      <c r="C103" s="55">
        <f t="shared" ref="C103:N103" si="15">SUM(C91:C102)</f>
        <v>6</v>
      </c>
      <c r="D103" s="55">
        <f t="shared" si="15"/>
        <v>20</v>
      </c>
      <c r="E103" s="55">
        <f t="shared" si="15"/>
        <v>2</v>
      </c>
      <c r="F103" s="55">
        <f t="shared" si="15"/>
        <v>0</v>
      </c>
      <c r="G103" s="55">
        <f t="shared" si="15"/>
        <v>0</v>
      </c>
      <c r="H103" s="55">
        <f t="shared" si="15"/>
        <v>0</v>
      </c>
      <c r="I103" s="55">
        <f t="shared" si="15"/>
        <v>1</v>
      </c>
      <c r="J103" s="55">
        <f t="shared" si="15"/>
        <v>0</v>
      </c>
      <c r="K103" s="55">
        <f t="shared" si="15"/>
        <v>0</v>
      </c>
      <c r="L103" s="55">
        <f t="shared" si="15"/>
        <v>0</v>
      </c>
      <c r="M103" s="55">
        <f t="shared" si="15"/>
        <v>13</v>
      </c>
      <c r="N103" s="54">
        <f t="shared" si="15"/>
        <v>42</v>
      </c>
    </row>
    <row r="104" spans="1:14" ht="14" thickBot="1">
      <c r="A104" s="38" t="s">
        <v>54</v>
      </c>
      <c r="B104" s="41"/>
      <c r="C104" s="41"/>
      <c r="D104" s="41"/>
      <c r="E104" s="41"/>
      <c r="F104" s="41"/>
      <c r="G104" s="41"/>
      <c r="H104" s="41"/>
      <c r="I104" s="41"/>
      <c r="J104" s="41"/>
      <c r="K104" s="41"/>
      <c r="L104" s="41"/>
      <c r="M104" s="41"/>
      <c r="N104" s="42"/>
    </row>
    <row r="105" spans="1:14">
      <c r="A105" s="36" t="s">
        <v>29</v>
      </c>
      <c r="B105" s="1093">
        <v>0</v>
      </c>
      <c r="C105" s="1093">
        <v>0</v>
      </c>
      <c r="D105" s="1093">
        <v>0</v>
      </c>
      <c r="E105" s="1093">
        <v>0</v>
      </c>
      <c r="F105" s="1093">
        <v>0</v>
      </c>
      <c r="G105" s="1093">
        <v>0</v>
      </c>
      <c r="H105" s="1093">
        <v>0</v>
      </c>
      <c r="I105" s="1093">
        <v>0</v>
      </c>
      <c r="J105" s="1093">
        <v>0</v>
      </c>
      <c r="K105" s="1093">
        <v>0</v>
      </c>
      <c r="L105" s="1093">
        <v>0</v>
      </c>
      <c r="M105" s="1093">
        <v>0</v>
      </c>
      <c r="N105" s="28">
        <f t="shared" ref="N105:N110" si="16">SUM(B105:M105)</f>
        <v>0</v>
      </c>
    </row>
    <row r="106" spans="1:14">
      <c r="A106" s="34" t="s">
        <v>51</v>
      </c>
      <c r="B106" s="1092">
        <v>0</v>
      </c>
      <c r="C106" s="1092">
        <v>0</v>
      </c>
      <c r="D106" s="1092">
        <v>0</v>
      </c>
      <c r="E106" s="1092">
        <v>0</v>
      </c>
      <c r="F106" s="1092">
        <v>0</v>
      </c>
      <c r="G106" s="1092">
        <v>0</v>
      </c>
      <c r="H106" s="1092">
        <v>0</v>
      </c>
      <c r="I106" s="1092">
        <v>0</v>
      </c>
      <c r="J106" s="1092">
        <v>0</v>
      </c>
      <c r="K106" s="1092">
        <v>0</v>
      </c>
      <c r="L106" s="1092">
        <v>0</v>
      </c>
      <c r="M106" s="1092">
        <v>0</v>
      </c>
      <c r="N106" s="29">
        <f t="shared" si="16"/>
        <v>0</v>
      </c>
    </row>
    <row r="107" spans="1:14">
      <c r="A107" s="34" t="s">
        <v>15</v>
      </c>
      <c r="B107" s="1092">
        <v>0</v>
      </c>
      <c r="C107" s="1092">
        <v>0</v>
      </c>
      <c r="D107" s="1092">
        <v>0</v>
      </c>
      <c r="E107" s="1092">
        <v>0</v>
      </c>
      <c r="F107" s="1092">
        <v>0</v>
      </c>
      <c r="G107" s="1092">
        <v>0</v>
      </c>
      <c r="H107" s="1092">
        <v>0</v>
      </c>
      <c r="I107" s="1092">
        <v>0</v>
      </c>
      <c r="J107" s="1092">
        <v>0</v>
      </c>
      <c r="K107" s="1092">
        <v>0</v>
      </c>
      <c r="L107" s="1094">
        <v>0</v>
      </c>
      <c r="M107" s="1092">
        <v>0</v>
      </c>
      <c r="N107" s="29">
        <f t="shared" si="16"/>
        <v>0</v>
      </c>
    </row>
    <row r="108" spans="1:14">
      <c r="A108" s="34" t="s">
        <v>30</v>
      </c>
      <c r="B108" s="1092">
        <v>0</v>
      </c>
      <c r="C108" s="1092">
        <v>0</v>
      </c>
      <c r="D108" s="1092">
        <v>0</v>
      </c>
      <c r="E108" s="1092">
        <v>0</v>
      </c>
      <c r="F108" s="1092">
        <v>0</v>
      </c>
      <c r="G108" s="1092">
        <v>0</v>
      </c>
      <c r="H108" s="1092">
        <v>0</v>
      </c>
      <c r="I108" s="1092">
        <v>0</v>
      </c>
      <c r="J108" s="1092">
        <v>0</v>
      </c>
      <c r="K108" s="1092">
        <v>0</v>
      </c>
      <c r="L108" s="1092">
        <v>0</v>
      </c>
      <c r="M108" s="1092">
        <v>0</v>
      </c>
      <c r="N108" s="29">
        <f t="shared" si="16"/>
        <v>0</v>
      </c>
    </row>
    <row r="109" spans="1:14">
      <c r="A109" s="32" t="s">
        <v>55</v>
      </c>
      <c r="B109" s="1094">
        <v>0</v>
      </c>
      <c r="C109" s="1094">
        <v>0</v>
      </c>
      <c r="D109" s="1095">
        <v>0</v>
      </c>
      <c r="E109" s="1094">
        <v>0</v>
      </c>
      <c r="F109" s="1094">
        <v>0</v>
      </c>
      <c r="G109" s="1094">
        <v>0</v>
      </c>
      <c r="H109" s="1094">
        <v>0</v>
      </c>
      <c r="I109" s="1094">
        <v>0</v>
      </c>
      <c r="J109" s="1094">
        <v>0</v>
      </c>
      <c r="K109" s="1094">
        <v>0</v>
      </c>
      <c r="L109" s="1094">
        <v>0</v>
      </c>
      <c r="M109" s="1094">
        <v>0</v>
      </c>
      <c r="N109" s="29">
        <f t="shared" si="16"/>
        <v>0</v>
      </c>
    </row>
    <row r="110" spans="1:14" ht="14" thickBot="1">
      <c r="A110" s="104" t="s">
        <v>150</v>
      </c>
      <c r="B110" s="1096">
        <v>0</v>
      </c>
      <c r="C110" s="1097">
        <v>0</v>
      </c>
      <c r="D110" s="1097">
        <v>0</v>
      </c>
      <c r="E110" s="1097">
        <v>0</v>
      </c>
      <c r="F110" s="1097">
        <v>0</v>
      </c>
      <c r="G110" s="1097">
        <v>0</v>
      </c>
      <c r="H110" s="1097">
        <v>0</v>
      </c>
      <c r="I110" s="1097">
        <v>0</v>
      </c>
      <c r="J110" s="1097">
        <v>0</v>
      </c>
      <c r="K110" s="1097">
        <v>0</v>
      </c>
      <c r="L110" s="1097">
        <v>0</v>
      </c>
      <c r="M110" s="1098">
        <v>0</v>
      </c>
      <c r="N110" s="29">
        <f t="shared" si="16"/>
        <v>0</v>
      </c>
    </row>
    <row r="111" spans="1:14" ht="14" thickBot="1">
      <c r="A111" s="53" t="s">
        <v>60</v>
      </c>
      <c r="B111" s="55">
        <f>SUM(B105:B110)</f>
        <v>0</v>
      </c>
      <c r="C111" s="55">
        <f>SUM(C105:C110)</f>
        <v>0</v>
      </c>
      <c r="D111" s="55">
        <f>SUM(D105:D110)</f>
        <v>0</v>
      </c>
      <c r="E111" s="55">
        <f t="shared" ref="E111:M111" si="17">SUM(E105:E110)</f>
        <v>0</v>
      </c>
      <c r="F111" s="55">
        <f t="shared" si="17"/>
        <v>0</v>
      </c>
      <c r="G111" s="55">
        <f t="shared" si="17"/>
        <v>0</v>
      </c>
      <c r="H111" s="55">
        <f t="shared" si="17"/>
        <v>0</v>
      </c>
      <c r="I111" s="55">
        <f t="shared" si="17"/>
        <v>0</v>
      </c>
      <c r="J111" s="55">
        <f t="shared" si="17"/>
        <v>0</v>
      </c>
      <c r="K111" s="55">
        <f t="shared" si="17"/>
        <v>0</v>
      </c>
      <c r="L111" s="55">
        <f t="shared" si="17"/>
        <v>0</v>
      </c>
      <c r="M111" s="55">
        <f t="shared" si="17"/>
        <v>0</v>
      </c>
      <c r="N111" s="54">
        <f>SUM(N105:N110)</f>
        <v>0</v>
      </c>
    </row>
    <row r="114" spans="1:14" ht="14" thickBot="1">
      <c r="B114" s="43" t="s">
        <v>35</v>
      </c>
      <c r="C114" s="43" t="s">
        <v>36</v>
      </c>
      <c r="D114" s="43" t="s">
        <v>37</v>
      </c>
      <c r="E114" s="43" t="s">
        <v>38</v>
      </c>
      <c r="F114" s="43" t="s">
        <v>39</v>
      </c>
      <c r="G114" s="43" t="s">
        <v>40</v>
      </c>
      <c r="H114" s="43" t="s">
        <v>41</v>
      </c>
      <c r="I114" s="43" t="s">
        <v>42</v>
      </c>
      <c r="J114" s="43" t="s">
        <v>43</v>
      </c>
      <c r="K114" s="43" t="s">
        <v>44</v>
      </c>
      <c r="L114" s="43" t="s">
        <v>45</v>
      </c>
      <c r="M114" s="43" t="s">
        <v>46</v>
      </c>
      <c r="N114" s="43" t="s">
        <v>10</v>
      </c>
    </row>
    <row r="115" spans="1:14" ht="17" thickBot="1">
      <c r="A115" s="31" t="s">
        <v>162</v>
      </c>
      <c r="B115" s="24"/>
      <c r="C115" s="24"/>
      <c r="D115" s="22"/>
      <c r="E115" s="22"/>
      <c r="F115" s="25"/>
      <c r="G115" s="25"/>
      <c r="H115" s="22"/>
      <c r="I115" s="22"/>
      <c r="J115" s="22"/>
      <c r="K115" s="22"/>
      <c r="L115" s="24"/>
      <c r="M115" s="24"/>
      <c r="N115" s="26"/>
    </row>
    <row r="116" spans="1:14" ht="14" thickBot="1">
      <c r="A116" s="38" t="s">
        <v>48</v>
      </c>
      <c r="B116" s="39"/>
      <c r="C116" s="39"/>
      <c r="D116" s="39"/>
      <c r="E116" s="39"/>
      <c r="F116" s="39"/>
      <c r="G116" s="39"/>
      <c r="H116" s="39"/>
      <c r="I116" s="39"/>
      <c r="J116" s="39"/>
      <c r="K116" s="39"/>
      <c r="L116" s="39"/>
      <c r="M116" s="39"/>
      <c r="N116" s="40"/>
    </row>
    <row r="117" spans="1:14">
      <c r="A117" s="32" t="s">
        <v>29</v>
      </c>
      <c r="B117" s="1092">
        <v>2</v>
      </c>
      <c r="C117" s="1092">
        <v>5</v>
      </c>
      <c r="D117" s="1092">
        <v>0</v>
      </c>
      <c r="E117" s="1092">
        <v>0</v>
      </c>
      <c r="F117" s="1092">
        <v>0</v>
      </c>
      <c r="G117" s="1092">
        <v>0</v>
      </c>
      <c r="H117" s="1092">
        <v>0</v>
      </c>
      <c r="I117" s="1092">
        <v>0</v>
      </c>
      <c r="J117" s="1092">
        <v>0</v>
      </c>
      <c r="K117" s="1092">
        <v>0</v>
      </c>
      <c r="L117" s="1092">
        <v>0</v>
      </c>
      <c r="M117" s="1092">
        <v>0</v>
      </c>
      <c r="N117" s="27">
        <f t="shared" ref="N117:N123" si="18">SUM(B117:M117)</f>
        <v>7</v>
      </c>
    </row>
    <row r="118" spans="1:14">
      <c r="A118" s="32" t="s">
        <v>33</v>
      </c>
      <c r="B118" s="1092">
        <v>10</v>
      </c>
      <c r="C118" s="1092">
        <v>19</v>
      </c>
      <c r="D118" s="1092">
        <v>31</v>
      </c>
      <c r="E118" s="1092">
        <v>34</v>
      </c>
      <c r="F118" s="1092">
        <v>37</v>
      </c>
      <c r="G118" s="1092">
        <v>8</v>
      </c>
      <c r="H118" s="1092">
        <v>25</v>
      </c>
      <c r="I118" s="1092">
        <v>0</v>
      </c>
      <c r="J118" s="1092">
        <v>50</v>
      </c>
      <c r="K118" s="1092">
        <v>13</v>
      </c>
      <c r="L118" s="1092">
        <v>48</v>
      </c>
      <c r="M118" s="1092">
        <v>18</v>
      </c>
      <c r="N118" s="27">
        <f t="shared" si="18"/>
        <v>293</v>
      </c>
    </row>
    <row r="119" spans="1:14">
      <c r="A119" s="32" t="s">
        <v>56</v>
      </c>
      <c r="B119" s="1092">
        <v>0</v>
      </c>
      <c r="C119" s="1092">
        <v>0</v>
      </c>
      <c r="D119" s="1092">
        <v>62</v>
      </c>
      <c r="E119" s="1092">
        <v>0</v>
      </c>
      <c r="F119" s="1092">
        <v>0</v>
      </c>
      <c r="G119" s="1092">
        <v>0</v>
      </c>
      <c r="H119" s="1092">
        <v>25</v>
      </c>
      <c r="I119" s="1092">
        <v>0</v>
      </c>
      <c r="J119" s="1092">
        <v>25</v>
      </c>
      <c r="K119" s="1092">
        <v>0</v>
      </c>
      <c r="L119" s="1092">
        <v>0</v>
      </c>
      <c r="M119" s="1092">
        <v>0</v>
      </c>
      <c r="N119" s="27">
        <f t="shared" si="18"/>
        <v>112</v>
      </c>
    </row>
    <row r="120" spans="1:14">
      <c r="A120" s="78" t="s">
        <v>30</v>
      </c>
      <c r="B120" s="1092">
        <v>0</v>
      </c>
      <c r="C120" s="1092">
        <v>0</v>
      </c>
      <c r="D120" s="1092">
        <v>1</v>
      </c>
      <c r="E120" s="1092">
        <v>0</v>
      </c>
      <c r="F120" s="1092">
        <v>0</v>
      </c>
      <c r="G120" s="1092">
        <v>1</v>
      </c>
      <c r="H120" s="1092">
        <v>0</v>
      </c>
      <c r="I120" s="1092">
        <v>0</v>
      </c>
      <c r="J120" s="1092">
        <v>0</v>
      </c>
      <c r="K120" s="1092">
        <v>0</v>
      </c>
      <c r="L120" s="1092">
        <v>1</v>
      </c>
      <c r="M120" s="1092">
        <v>1</v>
      </c>
      <c r="N120" s="27">
        <f t="shared" si="18"/>
        <v>4</v>
      </c>
    </row>
    <row r="121" spans="1:14">
      <c r="A121" s="76" t="s">
        <v>175</v>
      </c>
      <c r="B121" s="1092">
        <v>0</v>
      </c>
      <c r="C121" s="1092">
        <v>420</v>
      </c>
      <c r="D121" s="1092">
        <v>0</v>
      </c>
      <c r="E121" s="1092">
        <v>0</v>
      </c>
      <c r="F121" s="1092">
        <v>0</v>
      </c>
      <c r="G121" s="1092">
        <v>0</v>
      </c>
      <c r="H121" s="1092">
        <v>0</v>
      </c>
      <c r="I121" s="1092">
        <v>0</v>
      </c>
      <c r="J121" s="1092">
        <v>0</v>
      </c>
      <c r="K121" s="1092">
        <v>0</v>
      </c>
      <c r="L121" s="1092">
        <v>0</v>
      </c>
      <c r="M121" s="1092">
        <v>0</v>
      </c>
      <c r="N121" s="27">
        <f t="shared" si="18"/>
        <v>420</v>
      </c>
    </row>
    <row r="122" spans="1:14">
      <c r="A122" s="76" t="s">
        <v>165</v>
      </c>
      <c r="B122" s="1092">
        <v>0</v>
      </c>
      <c r="C122" s="1092">
        <v>0</v>
      </c>
      <c r="D122" s="1092">
        <v>0</v>
      </c>
      <c r="E122" s="1092">
        <v>0</v>
      </c>
      <c r="F122" s="1092">
        <v>0</v>
      </c>
      <c r="G122" s="1092">
        <v>0</v>
      </c>
      <c r="H122" s="1092">
        <v>0</v>
      </c>
      <c r="I122" s="1092">
        <v>0</v>
      </c>
      <c r="J122" s="1092">
        <v>0</v>
      </c>
      <c r="K122" s="1092">
        <v>0</v>
      </c>
      <c r="L122" s="1092">
        <v>0</v>
      </c>
      <c r="M122" s="1092">
        <v>0</v>
      </c>
      <c r="N122" s="27">
        <f t="shared" si="18"/>
        <v>0</v>
      </c>
    </row>
    <row r="123" spans="1:14" ht="14" thickBot="1">
      <c r="A123" s="76" t="s">
        <v>166</v>
      </c>
      <c r="B123" s="1092">
        <v>0</v>
      </c>
      <c r="C123" s="1092">
        <v>0</v>
      </c>
      <c r="D123" s="1092">
        <v>0</v>
      </c>
      <c r="E123" s="1092">
        <v>0</v>
      </c>
      <c r="F123" s="1092">
        <v>0</v>
      </c>
      <c r="G123" s="1092">
        <v>0</v>
      </c>
      <c r="H123" s="1092">
        <v>0</v>
      </c>
      <c r="I123" s="1092">
        <v>0</v>
      </c>
      <c r="J123" s="1092">
        <v>0</v>
      </c>
      <c r="K123" s="1092">
        <v>5</v>
      </c>
      <c r="L123" s="1092">
        <v>0</v>
      </c>
      <c r="M123" s="1092">
        <v>0</v>
      </c>
      <c r="N123" s="27">
        <f t="shared" si="18"/>
        <v>5</v>
      </c>
    </row>
    <row r="124" spans="1:14" ht="14" thickBot="1">
      <c r="A124" s="53" t="s">
        <v>60</v>
      </c>
      <c r="B124" s="55">
        <f>SUM(B117:B123)</f>
        <v>12</v>
      </c>
      <c r="C124" s="55">
        <f t="shared" ref="C124:M124" si="19">SUM(C117:C123)</f>
        <v>444</v>
      </c>
      <c r="D124" s="55">
        <f t="shared" si="19"/>
        <v>94</v>
      </c>
      <c r="E124" s="55">
        <f t="shared" si="19"/>
        <v>34</v>
      </c>
      <c r="F124" s="55">
        <f t="shared" si="19"/>
        <v>37</v>
      </c>
      <c r="G124" s="55">
        <f t="shared" si="19"/>
        <v>9</v>
      </c>
      <c r="H124" s="55">
        <f t="shared" si="19"/>
        <v>50</v>
      </c>
      <c r="I124" s="55">
        <f t="shared" si="19"/>
        <v>0</v>
      </c>
      <c r="J124" s="55">
        <f t="shared" si="19"/>
        <v>75</v>
      </c>
      <c r="K124" s="55">
        <f t="shared" si="19"/>
        <v>18</v>
      </c>
      <c r="L124" s="55">
        <f t="shared" si="19"/>
        <v>49</v>
      </c>
      <c r="M124" s="55">
        <f t="shared" si="19"/>
        <v>19</v>
      </c>
      <c r="N124" s="54">
        <f>SUM(N117:N123)</f>
        <v>841</v>
      </c>
    </row>
    <row r="125" spans="1:14" ht="14" thickBot="1">
      <c r="A125" s="38" t="s">
        <v>49</v>
      </c>
      <c r="B125" s="39"/>
      <c r="C125" s="39"/>
      <c r="D125" s="39"/>
      <c r="E125" s="39"/>
      <c r="F125" s="39"/>
      <c r="G125" s="39"/>
      <c r="H125" s="39"/>
      <c r="I125" s="39"/>
      <c r="J125" s="39"/>
      <c r="K125" s="39"/>
      <c r="L125" s="39"/>
      <c r="M125" s="39"/>
      <c r="N125" s="40"/>
    </row>
    <row r="126" spans="1:14" ht="14" thickBot="1">
      <c r="A126" s="33" t="s">
        <v>49</v>
      </c>
      <c r="B126" s="1092">
        <v>0</v>
      </c>
      <c r="C126" s="1092">
        <v>0</v>
      </c>
      <c r="D126" s="1092">
        <v>0</v>
      </c>
      <c r="E126" s="1092">
        <v>0</v>
      </c>
      <c r="F126" s="1092">
        <v>3</v>
      </c>
      <c r="G126" s="1092">
        <v>0</v>
      </c>
      <c r="H126" s="1092">
        <v>0</v>
      </c>
      <c r="I126" s="1092">
        <v>0</v>
      </c>
      <c r="J126" s="1092">
        <v>0</v>
      </c>
      <c r="K126" s="1092">
        <v>0</v>
      </c>
      <c r="L126" s="1092">
        <v>0</v>
      </c>
      <c r="M126" s="1092">
        <v>0</v>
      </c>
      <c r="N126" s="27">
        <f>SUM(B126:M126)</f>
        <v>3</v>
      </c>
    </row>
    <row r="127" spans="1:14" ht="14" thickBot="1">
      <c r="A127" s="53" t="s">
        <v>60</v>
      </c>
      <c r="B127" s="55">
        <f>SUM(B126)</f>
        <v>0</v>
      </c>
      <c r="C127" s="55">
        <f t="shared" ref="C127:N127" si="20">SUM(C126)</f>
        <v>0</v>
      </c>
      <c r="D127" s="55">
        <f t="shared" si="20"/>
        <v>0</v>
      </c>
      <c r="E127" s="55">
        <f t="shared" si="20"/>
        <v>0</v>
      </c>
      <c r="F127" s="55">
        <f t="shared" si="20"/>
        <v>3</v>
      </c>
      <c r="G127" s="55">
        <f t="shared" si="20"/>
        <v>0</v>
      </c>
      <c r="H127" s="55">
        <f t="shared" si="20"/>
        <v>0</v>
      </c>
      <c r="I127" s="55">
        <f t="shared" si="20"/>
        <v>0</v>
      </c>
      <c r="J127" s="55">
        <f t="shared" si="20"/>
        <v>0</v>
      </c>
      <c r="K127" s="55">
        <f t="shared" si="20"/>
        <v>0</v>
      </c>
      <c r="L127" s="55">
        <f t="shared" si="20"/>
        <v>0</v>
      </c>
      <c r="M127" s="55">
        <f t="shared" si="20"/>
        <v>0</v>
      </c>
      <c r="N127" s="54">
        <f t="shared" si="20"/>
        <v>3</v>
      </c>
    </row>
    <row r="128" spans="1:14" ht="14" thickBot="1">
      <c r="A128" s="38" t="s">
        <v>50</v>
      </c>
      <c r="B128" s="39"/>
      <c r="C128" s="39"/>
      <c r="D128" s="39"/>
      <c r="E128" s="39"/>
      <c r="F128" s="39"/>
      <c r="G128" s="39"/>
      <c r="H128" s="39"/>
      <c r="I128" s="39"/>
      <c r="J128" s="39"/>
      <c r="K128" s="39"/>
      <c r="L128" s="39"/>
      <c r="M128" s="39"/>
      <c r="N128" s="40"/>
    </row>
    <row r="129" spans="1:14">
      <c r="A129" s="32" t="s">
        <v>29</v>
      </c>
      <c r="B129" s="1092">
        <v>0</v>
      </c>
      <c r="C129" s="1092">
        <v>0</v>
      </c>
      <c r="D129" s="1092">
        <v>0</v>
      </c>
      <c r="E129" s="1092">
        <v>0</v>
      </c>
      <c r="F129" s="1092">
        <v>0</v>
      </c>
      <c r="G129" s="1092">
        <v>0</v>
      </c>
      <c r="H129" s="1092">
        <v>0</v>
      </c>
      <c r="I129" s="1092">
        <v>0</v>
      </c>
      <c r="J129" s="1092">
        <v>0</v>
      </c>
      <c r="K129" s="1092">
        <v>0</v>
      </c>
      <c r="L129" s="1092">
        <v>0</v>
      </c>
      <c r="M129" s="1092">
        <v>0</v>
      </c>
      <c r="N129" s="27">
        <f t="shared" ref="N129:N135" si="21">SUM(B129:M129)</f>
        <v>0</v>
      </c>
    </row>
    <row r="130" spans="1:14">
      <c r="A130" s="32" t="s">
        <v>51</v>
      </c>
      <c r="B130" s="1092">
        <v>0</v>
      </c>
      <c r="C130" s="1092">
        <v>0</v>
      </c>
      <c r="D130" s="1092">
        <v>0</v>
      </c>
      <c r="E130" s="1092">
        <v>0</v>
      </c>
      <c r="F130" s="1092">
        <v>0</v>
      </c>
      <c r="G130" s="1092">
        <v>0</v>
      </c>
      <c r="H130" s="1092">
        <v>0</v>
      </c>
      <c r="I130" s="1092">
        <v>0</v>
      </c>
      <c r="J130" s="1092">
        <v>0</v>
      </c>
      <c r="K130" s="1092">
        <v>0</v>
      </c>
      <c r="L130" s="1092">
        <v>0</v>
      </c>
      <c r="M130" s="1092">
        <v>0</v>
      </c>
      <c r="N130" s="27">
        <f t="shared" si="21"/>
        <v>0</v>
      </c>
    </row>
    <row r="131" spans="1:14">
      <c r="A131" s="34" t="s">
        <v>20</v>
      </c>
      <c r="B131" s="1092">
        <v>0</v>
      </c>
      <c r="C131" s="1092">
        <v>0</v>
      </c>
      <c r="D131" s="1092">
        <v>0</v>
      </c>
      <c r="E131" s="1092">
        <v>0</v>
      </c>
      <c r="F131" s="1092">
        <v>0</v>
      </c>
      <c r="G131" s="1092">
        <v>0</v>
      </c>
      <c r="H131" s="1092">
        <v>0</v>
      </c>
      <c r="I131" s="1092">
        <v>0</v>
      </c>
      <c r="J131" s="1092">
        <v>0</v>
      </c>
      <c r="K131" s="1092">
        <v>0</v>
      </c>
      <c r="L131" s="1092">
        <v>0</v>
      </c>
      <c r="M131" s="1092">
        <v>0</v>
      </c>
      <c r="N131" s="27">
        <f t="shared" si="21"/>
        <v>0</v>
      </c>
    </row>
    <row r="132" spans="1:14">
      <c r="A132" s="34" t="s">
        <v>13</v>
      </c>
      <c r="B132" s="1092">
        <v>0</v>
      </c>
      <c r="C132" s="1092">
        <v>0</v>
      </c>
      <c r="D132" s="1092">
        <v>0</v>
      </c>
      <c r="E132" s="1092">
        <v>0</v>
      </c>
      <c r="F132" s="1092">
        <v>0</v>
      </c>
      <c r="G132" s="1092">
        <v>0</v>
      </c>
      <c r="H132" s="1092">
        <v>0</v>
      </c>
      <c r="I132" s="1092">
        <v>0</v>
      </c>
      <c r="J132" s="1092">
        <v>0</v>
      </c>
      <c r="K132" s="1092">
        <v>0</v>
      </c>
      <c r="L132" s="1092">
        <v>0</v>
      </c>
      <c r="M132" s="1092">
        <v>0</v>
      </c>
      <c r="N132" s="27">
        <f t="shared" si="21"/>
        <v>0</v>
      </c>
    </row>
    <row r="133" spans="1:14">
      <c r="A133" s="35" t="s">
        <v>47</v>
      </c>
      <c r="B133" s="1092">
        <v>0</v>
      </c>
      <c r="C133" s="1092">
        <v>0</v>
      </c>
      <c r="D133" s="1092">
        <v>0</v>
      </c>
      <c r="E133" s="1092">
        <v>0</v>
      </c>
      <c r="F133" s="1092">
        <v>0</v>
      </c>
      <c r="G133" s="1092">
        <v>0</v>
      </c>
      <c r="H133" s="1092">
        <v>0</v>
      </c>
      <c r="I133" s="1092">
        <v>0</v>
      </c>
      <c r="J133" s="1092">
        <v>0</v>
      </c>
      <c r="K133" s="1092">
        <v>0</v>
      </c>
      <c r="L133" s="1092">
        <v>0</v>
      </c>
      <c r="M133" s="1092">
        <v>0</v>
      </c>
      <c r="N133" s="27">
        <f t="shared" si="21"/>
        <v>0</v>
      </c>
    </row>
    <row r="134" spans="1:14">
      <c r="A134" s="76" t="s">
        <v>30</v>
      </c>
      <c r="B134" s="1092">
        <v>0</v>
      </c>
      <c r="C134" s="1092">
        <v>0</v>
      </c>
      <c r="D134" s="1092">
        <v>0</v>
      </c>
      <c r="E134" s="1092">
        <v>0</v>
      </c>
      <c r="F134" s="1092">
        <v>0</v>
      </c>
      <c r="G134" s="1092">
        <v>0</v>
      </c>
      <c r="H134" s="1092">
        <v>0</v>
      </c>
      <c r="I134" s="1092">
        <v>0</v>
      </c>
      <c r="J134" s="1092">
        <v>0</v>
      </c>
      <c r="K134" s="1092">
        <v>0</v>
      </c>
      <c r="L134" s="1092">
        <v>0</v>
      </c>
      <c r="M134" s="1092">
        <v>0</v>
      </c>
      <c r="N134" s="27">
        <f t="shared" si="21"/>
        <v>0</v>
      </c>
    </row>
    <row r="135" spans="1:14">
      <c r="A135" s="76" t="s">
        <v>150</v>
      </c>
      <c r="B135" s="1092">
        <v>0</v>
      </c>
      <c r="C135" s="1092">
        <v>0</v>
      </c>
      <c r="D135" s="1092">
        <v>0</v>
      </c>
      <c r="E135" s="1092">
        <v>0</v>
      </c>
      <c r="F135" s="1092">
        <v>0</v>
      </c>
      <c r="G135" s="1092">
        <v>0</v>
      </c>
      <c r="H135" s="1092">
        <v>0</v>
      </c>
      <c r="I135" s="1092">
        <v>0</v>
      </c>
      <c r="J135" s="1092">
        <v>0</v>
      </c>
      <c r="K135" s="1092">
        <v>0</v>
      </c>
      <c r="L135" s="1092">
        <v>0</v>
      </c>
      <c r="M135" s="1092">
        <v>0</v>
      </c>
      <c r="N135" s="27">
        <f t="shared" si="21"/>
        <v>0</v>
      </c>
    </row>
    <row r="136" spans="1:14">
      <c r="A136" s="32" t="s">
        <v>56</v>
      </c>
      <c r="B136" s="1092">
        <v>0</v>
      </c>
      <c r="C136" s="1092">
        <v>0</v>
      </c>
      <c r="D136" s="1092">
        <v>0</v>
      </c>
      <c r="E136" s="1092">
        <v>0</v>
      </c>
      <c r="F136" s="1092">
        <v>0</v>
      </c>
      <c r="G136" s="1092">
        <v>0</v>
      </c>
      <c r="H136" s="1092">
        <v>0</v>
      </c>
      <c r="I136" s="1092">
        <v>0</v>
      </c>
      <c r="J136" s="1092">
        <v>0</v>
      </c>
      <c r="K136" s="1092">
        <v>0</v>
      </c>
      <c r="L136" s="1092">
        <v>0</v>
      </c>
      <c r="M136" s="1092">
        <v>0</v>
      </c>
      <c r="N136" s="27">
        <f>SUM(B136:M136)</f>
        <v>0</v>
      </c>
    </row>
    <row r="137" spans="1:14">
      <c r="A137" s="78" t="s">
        <v>122</v>
      </c>
      <c r="B137" s="1092">
        <v>0</v>
      </c>
      <c r="C137" s="1092">
        <v>0</v>
      </c>
      <c r="D137" s="1092">
        <v>0</v>
      </c>
      <c r="E137" s="1092">
        <v>0</v>
      </c>
      <c r="F137" s="1092">
        <v>0</v>
      </c>
      <c r="G137" s="1092">
        <v>0</v>
      </c>
      <c r="H137" s="1092">
        <v>0</v>
      </c>
      <c r="I137" s="1092">
        <v>0</v>
      </c>
      <c r="J137" s="1092">
        <v>0</v>
      </c>
      <c r="K137" s="1092">
        <v>0</v>
      </c>
      <c r="L137" s="1092">
        <v>0</v>
      </c>
      <c r="M137" s="1092">
        <v>0</v>
      </c>
      <c r="N137" s="27">
        <f>SUM(B137:M137)</f>
        <v>0</v>
      </c>
    </row>
    <row r="138" spans="1:14">
      <c r="A138" s="32" t="s">
        <v>102</v>
      </c>
      <c r="B138" s="1092">
        <v>0</v>
      </c>
      <c r="C138" s="1092">
        <v>0</v>
      </c>
      <c r="D138" s="1092">
        <v>0</v>
      </c>
      <c r="E138" s="1092">
        <v>0</v>
      </c>
      <c r="F138" s="1092">
        <v>0</v>
      </c>
      <c r="G138" s="1092">
        <v>0</v>
      </c>
      <c r="H138" s="1092">
        <v>0</v>
      </c>
      <c r="I138" s="1092">
        <v>0</v>
      </c>
      <c r="J138" s="1092">
        <v>0</v>
      </c>
      <c r="K138" s="1092">
        <v>0</v>
      </c>
      <c r="L138" s="1092">
        <v>0</v>
      </c>
      <c r="M138" s="1092">
        <v>0</v>
      </c>
      <c r="N138" s="27">
        <f>SUM(B138:M138)</f>
        <v>0</v>
      </c>
    </row>
    <row r="139" spans="1:14" ht="14" thickBot="1">
      <c r="A139" s="78" t="s">
        <v>167</v>
      </c>
      <c r="B139" s="1092">
        <v>0</v>
      </c>
      <c r="C139" s="1092">
        <v>0</v>
      </c>
      <c r="D139" s="1092">
        <v>0</v>
      </c>
      <c r="E139" s="1092">
        <v>0</v>
      </c>
      <c r="F139" s="1092">
        <v>0</v>
      </c>
      <c r="G139" s="1092">
        <v>0</v>
      </c>
      <c r="H139" s="1092">
        <v>0</v>
      </c>
      <c r="I139" s="1092">
        <v>0</v>
      </c>
      <c r="J139" s="1092">
        <v>0</v>
      </c>
      <c r="K139" s="1092">
        <v>0</v>
      </c>
      <c r="L139" s="1092">
        <v>0</v>
      </c>
      <c r="M139" s="1092">
        <v>0</v>
      </c>
      <c r="N139" s="27">
        <f>SUM(B139:M139)</f>
        <v>0</v>
      </c>
    </row>
    <row r="140" spans="1:14" ht="14" thickBot="1">
      <c r="A140" s="53" t="s">
        <v>60</v>
      </c>
      <c r="B140" s="55">
        <f>SUM(B129:B139)</f>
        <v>0</v>
      </c>
      <c r="C140" s="55">
        <f t="shared" ref="C140:N140" si="22">SUM(C129:C139)</f>
        <v>0</v>
      </c>
      <c r="D140" s="55">
        <f t="shared" si="22"/>
        <v>0</v>
      </c>
      <c r="E140" s="55">
        <f t="shared" si="22"/>
        <v>0</v>
      </c>
      <c r="F140" s="55">
        <f t="shared" si="22"/>
        <v>0</v>
      </c>
      <c r="G140" s="55">
        <f t="shared" si="22"/>
        <v>0</v>
      </c>
      <c r="H140" s="55">
        <f t="shared" si="22"/>
        <v>0</v>
      </c>
      <c r="I140" s="55">
        <f t="shared" si="22"/>
        <v>0</v>
      </c>
      <c r="J140" s="55">
        <f t="shared" si="22"/>
        <v>0</v>
      </c>
      <c r="K140" s="55">
        <f t="shared" si="22"/>
        <v>0</v>
      </c>
      <c r="L140" s="55">
        <f t="shared" si="22"/>
        <v>0</v>
      </c>
      <c r="M140" s="55">
        <f t="shared" si="22"/>
        <v>0</v>
      </c>
      <c r="N140" s="54">
        <f t="shared" si="22"/>
        <v>0</v>
      </c>
    </row>
    <row r="143" spans="1:14" ht="14" thickBot="1">
      <c r="B143" s="43" t="s">
        <v>35</v>
      </c>
      <c r="C143" s="43" t="s">
        <v>36</v>
      </c>
      <c r="D143" s="43" t="s">
        <v>37</v>
      </c>
      <c r="E143" s="43" t="s">
        <v>38</v>
      </c>
      <c r="F143" s="43" t="s">
        <v>39</v>
      </c>
      <c r="G143" s="43" t="s">
        <v>40</v>
      </c>
      <c r="H143" s="43" t="s">
        <v>41</v>
      </c>
      <c r="I143" s="43" t="s">
        <v>42</v>
      </c>
      <c r="J143" s="43" t="s">
        <v>43</v>
      </c>
      <c r="K143" s="43" t="s">
        <v>44</v>
      </c>
      <c r="L143" s="43" t="s">
        <v>45</v>
      </c>
      <c r="M143" s="43" t="s">
        <v>46</v>
      </c>
      <c r="N143" s="43" t="s">
        <v>10</v>
      </c>
    </row>
    <row r="144" spans="1:14" ht="17" thickBot="1">
      <c r="A144" s="31" t="s">
        <v>178</v>
      </c>
      <c r="B144" s="24"/>
      <c r="C144" s="24"/>
      <c r="D144" s="22"/>
      <c r="E144" s="22"/>
      <c r="F144" s="25"/>
      <c r="G144" s="25"/>
      <c r="H144" s="22"/>
      <c r="I144" s="22"/>
      <c r="J144" s="22"/>
      <c r="K144" s="22"/>
      <c r="L144" s="24"/>
      <c r="M144" s="24"/>
      <c r="N144" s="26"/>
    </row>
    <row r="145" spans="1:14" ht="14" thickBot="1">
      <c r="A145" s="38" t="s">
        <v>48</v>
      </c>
      <c r="B145" s="39"/>
      <c r="C145" s="39"/>
      <c r="D145" s="39"/>
      <c r="E145" s="39"/>
      <c r="F145" s="39"/>
      <c r="G145" s="39"/>
      <c r="H145" s="39"/>
      <c r="I145" s="39"/>
      <c r="J145" s="39"/>
      <c r="K145" s="39"/>
      <c r="L145" s="39"/>
      <c r="M145" s="39"/>
      <c r="N145" s="40"/>
    </row>
    <row r="146" spans="1:14" hidden="1">
      <c r="A146" s="32" t="s">
        <v>29</v>
      </c>
      <c r="B146" s="44"/>
      <c r="C146" s="44"/>
      <c r="D146" s="44"/>
      <c r="E146" s="44"/>
      <c r="F146" s="44"/>
      <c r="G146" s="44"/>
      <c r="H146" s="44"/>
      <c r="I146" s="44"/>
      <c r="J146" s="44"/>
      <c r="K146" s="44"/>
      <c r="L146" s="44"/>
      <c r="M146" s="44"/>
      <c r="N146" s="27">
        <f t="shared" ref="N146:N152" si="23">SUM(B146:M146)</f>
        <v>0</v>
      </c>
    </row>
    <row r="147" spans="1:14">
      <c r="A147" s="32" t="s">
        <v>33</v>
      </c>
      <c r="B147" s="1092">
        <v>6</v>
      </c>
      <c r="C147" s="1092">
        <v>10</v>
      </c>
      <c r="D147" s="1092">
        <v>4</v>
      </c>
      <c r="E147" s="1092">
        <v>9</v>
      </c>
      <c r="F147" s="1092">
        <v>3</v>
      </c>
      <c r="G147" s="1092">
        <v>22</v>
      </c>
      <c r="H147" s="1092">
        <v>9</v>
      </c>
      <c r="I147" s="1092">
        <v>12</v>
      </c>
      <c r="J147" s="1092">
        <v>22</v>
      </c>
      <c r="K147" s="1092">
        <v>14</v>
      </c>
      <c r="L147" s="1092">
        <v>18</v>
      </c>
      <c r="M147" s="1092">
        <v>20</v>
      </c>
      <c r="N147" s="27">
        <f t="shared" si="23"/>
        <v>149</v>
      </c>
    </row>
    <row r="148" spans="1:14">
      <c r="A148" s="32" t="s">
        <v>56</v>
      </c>
      <c r="B148" s="1092">
        <v>25</v>
      </c>
      <c r="C148" s="1092">
        <v>0</v>
      </c>
      <c r="D148" s="1092">
        <v>0</v>
      </c>
      <c r="E148" s="1092">
        <v>0</v>
      </c>
      <c r="F148" s="1092">
        <v>0</v>
      </c>
      <c r="G148" s="1092">
        <v>0</v>
      </c>
      <c r="H148" s="1092">
        <v>0</v>
      </c>
      <c r="I148" s="1092">
        <v>0</v>
      </c>
      <c r="J148" s="1092">
        <v>0</v>
      </c>
      <c r="K148" s="1092">
        <v>0</v>
      </c>
      <c r="L148" s="1092">
        <v>0</v>
      </c>
      <c r="M148" s="1092">
        <v>40</v>
      </c>
      <c r="N148" s="27">
        <f t="shared" si="23"/>
        <v>65</v>
      </c>
    </row>
    <row r="149" spans="1:14">
      <c r="A149" s="78" t="s">
        <v>30</v>
      </c>
      <c r="B149" s="1092">
        <v>0</v>
      </c>
      <c r="C149" s="1092">
        <v>0</v>
      </c>
      <c r="D149" s="1092">
        <v>0</v>
      </c>
      <c r="E149" s="1092">
        <v>0</v>
      </c>
      <c r="F149" s="1092">
        <v>0</v>
      </c>
      <c r="G149" s="1092">
        <v>1</v>
      </c>
      <c r="H149" s="1092">
        <v>1</v>
      </c>
      <c r="I149" s="1092">
        <v>0</v>
      </c>
      <c r="J149" s="1092">
        <v>0</v>
      </c>
      <c r="K149" s="1092">
        <v>0</v>
      </c>
      <c r="L149" s="1092">
        <v>1</v>
      </c>
      <c r="M149" s="1092">
        <v>0</v>
      </c>
      <c r="N149" s="27">
        <f t="shared" si="23"/>
        <v>3</v>
      </c>
    </row>
    <row r="150" spans="1:14" hidden="1">
      <c r="A150" s="76" t="s">
        <v>182</v>
      </c>
      <c r="B150" s="1092"/>
      <c r="C150" s="1092"/>
      <c r="D150" s="1092"/>
      <c r="E150" s="1092"/>
      <c r="F150" s="1092"/>
      <c r="G150" s="1092"/>
      <c r="H150" s="1092"/>
      <c r="I150" s="1092"/>
      <c r="J150" s="1092"/>
      <c r="K150" s="1092"/>
      <c r="L150" s="1092"/>
      <c r="M150" s="1092"/>
      <c r="N150" s="27">
        <f t="shared" si="23"/>
        <v>0</v>
      </c>
    </row>
    <row r="151" spans="1:14">
      <c r="A151" s="76" t="s">
        <v>165</v>
      </c>
      <c r="B151" s="1092">
        <v>0</v>
      </c>
      <c r="C151" s="1092">
        <v>0</v>
      </c>
      <c r="D151" s="1092">
        <v>0</v>
      </c>
      <c r="E151" s="1092">
        <v>0</v>
      </c>
      <c r="F151" s="1092">
        <v>0</v>
      </c>
      <c r="G151" s="1092">
        <v>0</v>
      </c>
      <c r="H151" s="1092">
        <v>0</v>
      </c>
      <c r="I151" s="1092">
        <v>0</v>
      </c>
      <c r="J151" s="1092">
        <v>0</v>
      </c>
      <c r="K151" s="1092">
        <v>0</v>
      </c>
      <c r="L151" s="1092">
        <v>0</v>
      </c>
      <c r="M151" s="1092">
        <v>0</v>
      </c>
      <c r="N151" s="27">
        <f t="shared" si="23"/>
        <v>0</v>
      </c>
    </row>
    <row r="152" spans="1:14" ht="14" thickBot="1">
      <c r="A152" s="76" t="s">
        <v>166</v>
      </c>
      <c r="B152" s="1092">
        <v>0</v>
      </c>
      <c r="C152" s="1092">
        <v>0</v>
      </c>
      <c r="D152" s="1092">
        <v>0</v>
      </c>
      <c r="E152" s="1092">
        <v>0</v>
      </c>
      <c r="F152" s="1092">
        <v>0</v>
      </c>
      <c r="G152" s="1092">
        <v>0</v>
      </c>
      <c r="H152" s="1092">
        <v>0</v>
      </c>
      <c r="I152" s="1092">
        <v>0</v>
      </c>
      <c r="J152" s="1092">
        <v>0</v>
      </c>
      <c r="K152" s="1092">
        <v>0</v>
      </c>
      <c r="L152" s="1092">
        <v>0</v>
      </c>
      <c r="M152" s="1092">
        <v>0</v>
      </c>
      <c r="N152" s="27">
        <f t="shared" si="23"/>
        <v>0</v>
      </c>
    </row>
    <row r="153" spans="1:14" ht="14" thickBot="1">
      <c r="A153" s="53" t="s">
        <v>60</v>
      </c>
      <c r="B153" s="55">
        <f>SUM(B146:B152)</f>
        <v>31</v>
      </c>
      <c r="C153" s="55">
        <f t="shared" ref="C153:N153" si="24">SUM(C146:C152)</f>
        <v>10</v>
      </c>
      <c r="D153" s="55">
        <f t="shared" si="24"/>
        <v>4</v>
      </c>
      <c r="E153" s="55">
        <f t="shared" si="24"/>
        <v>9</v>
      </c>
      <c r="F153" s="55">
        <f t="shared" si="24"/>
        <v>3</v>
      </c>
      <c r="G153" s="55">
        <f t="shared" si="24"/>
        <v>23</v>
      </c>
      <c r="H153" s="55">
        <f t="shared" si="24"/>
        <v>10</v>
      </c>
      <c r="I153" s="55">
        <f t="shared" si="24"/>
        <v>12</v>
      </c>
      <c r="J153" s="55">
        <f t="shared" si="24"/>
        <v>22</v>
      </c>
      <c r="K153" s="55">
        <f t="shared" si="24"/>
        <v>14</v>
      </c>
      <c r="L153" s="55">
        <f t="shared" si="24"/>
        <v>19</v>
      </c>
      <c r="M153" s="55">
        <f t="shared" si="24"/>
        <v>60</v>
      </c>
      <c r="N153" s="54">
        <f t="shared" si="24"/>
        <v>217</v>
      </c>
    </row>
    <row r="154" spans="1:14" ht="14" thickBot="1">
      <c r="A154" s="38" t="s">
        <v>49</v>
      </c>
      <c r="B154" s="39"/>
      <c r="C154" s="39"/>
      <c r="D154" s="39"/>
      <c r="E154" s="39"/>
      <c r="F154" s="39"/>
      <c r="G154" s="39"/>
      <c r="H154" s="39"/>
      <c r="I154" s="39"/>
      <c r="J154" s="39"/>
      <c r="K154" s="39"/>
      <c r="L154" s="39"/>
      <c r="M154" s="39"/>
      <c r="N154" s="40"/>
    </row>
    <row r="155" spans="1:14">
      <c r="A155" s="76" t="s">
        <v>147</v>
      </c>
      <c r="B155" s="1092">
        <v>0</v>
      </c>
      <c r="C155" s="1092">
        <v>0</v>
      </c>
      <c r="D155" s="1092">
        <v>0</v>
      </c>
      <c r="E155" s="1092">
        <v>0</v>
      </c>
      <c r="F155" s="1092">
        <v>0</v>
      </c>
      <c r="G155" s="1092">
        <v>0</v>
      </c>
      <c r="H155" s="1092">
        <v>0</v>
      </c>
      <c r="I155" s="1092">
        <v>0</v>
      </c>
      <c r="J155" s="1092">
        <v>0</v>
      </c>
      <c r="K155" s="1092">
        <v>0</v>
      </c>
      <c r="L155" s="1092">
        <v>0</v>
      </c>
      <c r="M155" s="1092">
        <v>18</v>
      </c>
      <c r="N155" s="27">
        <v>18</v>
      </c>
    </row>
    <row r="156" spans="1:14" ht="14" thickBot="1">
      <c r="A156" s="76" t="s">
        <v>179</v>
      </c>
      <c r="B156" s="1092">
        <v>0</v>
      </c>
      <c r="C156" s="1092">
        <v>0</v>
      </c>
      <c r="D156" s="1092">
        <v>0</v>
      </c>
      <c r="E156" s="1092">
        <v>0</v>
      </c>
      <c r="F156" s="1092">
        <v>0</v>
      </c>
      <c r="G156" s="1092">
        <v>0</v>
      </c>
      <c r="H156" s="1092">
        <v>0</v>
      </c>
      <c r="I156" s="1092">
        <v>0</v>
      </c>
      <c r="J156" s="1092">
        <v>0</v>
      </c>
      <c r="K156" s="1092">
        <v>0</v>
      </c>
      <c r="L156" s="1092">
        <v>0</v>
      </c>
      <c r="M156" s="1092">
        <v>1130</v>
      </c>
      <c r="N156" s="27">
        <v>1130</v>
      </c>
    </row>
    <row r="157" spans="1:14" ht="14" thickBot="1">
      <c r="A157" s="53" t="s">
        <v>60</v>
      </c>
      <c r="B157" s="55">
        <f>SUM(B155)</f>
        <v>0</v>
      </c>
      <c r="C157" s="55">
        <f t="shared" ref="C157:M157" si="25">SUM(C155)</f>
        <v>0</v>
      </c>
      <c r="D157" s="55">
        <f t="shared" si="25"/>
        <v>0</v>
      </c>
      <c r="E157" s="55">
        <f t="shared" si="25"/>
        <v>0</v>
      </c>
      <c r="F157" s="55">
        <f t="shared" si="25"/>
        <v>0</v>
      </c>
      <c r="G157" s="55">
        <f t="shared" si="25"/>
        <v>0</v>
      </c>
      <c r="H157" s="55">
        <f t="shared" si="25"/>
        <v>0</v>
      </c>
      <c r="I157" s="55">
        <f t="shared" si="25"/>
        <v>0</v>
      </c>
      <c r="J157" s="55">
        <f t="shared" si="25"/>
        <v>0</v>
      </c>
      <c r="K157" s="55">
        <f t="shared" si="25"/>
        <v>0</v>
      </c>
      <c r="L157" s="55">
        <f t="shared" si="25"/>
        <v>0</v>
      </c>
      <c r="M157" s="55">
        <f t="shared" si="25"/>
        <v>18</v>
      </c>
      <c r="N157" s="54">
        <f>SUM(N155:N156)</f>
        <v>1148</v>
      </c>
    </row>
    <row r="158" spans="1:14" ht="14" thickBot="1">
      <c r="A158" s="38" t="s">
        <v>50</v>
      </c>
      <c r="B158" s="39"/>
      <c r="C158" s="39"/>
      <c r="D158" s="39"/>
      <c r="E158" s="39"/>
      <c r="F158" s="39"/>
      <c r="G158" s="39"/>
      <c r="H158" s="39"/>
      <c r="I158" s="39"/>
      <c r="J158" s="39"/>
      <c r="K158" s="39"/>
      <c r="L158" s="39"/>
      <c r="M158" s="39"/>
      <c r="N158" s="40"/>
    </row>
    <row r="159" spans="1:14">
      <c r="A159" s="32" t="s">
        <v>29</v>
      </c>
      <c r="B159" s="1092">
        <v>0</v>
      </c>
      <c r="C159" s="1092">
        <v>0</v>
      </c>
      <c r="D159" s="1092">
        <v>0</v>
      </c>
      <c r="E159" s="1092">
        <v>0</v>
      </c>
      <c r="F159" s="1092">
        <v>0</v>
      </c>
      <c r="G159" s="1092">
        <v>0</v>
      </c>
      <c r="H159" s="1092">
        <v>0</v>
      </c>
      <c r="I159" s="1092">
        <v>0</v>
      </c>
      <c r="J159" s="1092">
        <v>0</v>
      </c>
      <c r="K159" s="1092">
        <v>0</v>
      </c>
      <c r="L159" s="1092">
        <v>0</v>
      </c>
      <c r="M159" s="1092">
        <v>0</v>
      </c>
      <c r="N159" s="27">
        <f t="shared" ref="N159:N165" si="26">SUM(B159:M159)</f>
        <v>0</v>
      </c>
    </row>
    <row r="160" spans="1:14">
      <c r="A160" s="32" t="s">
        <v>51</v>
      </c>
      <c r="B160" s="1092">
        <v>0</v>
      </c>
      <c r="C160" s="1092">
        <v>0</v>
      </c>
      <c r="D160" s="1092">
        <v>0</v>
      </c>
      <c r="E160" s="1092">
        <v>0</v>
      </c>
      <c r="F160" s="1092">
        <v>0</v>
      </c>
      <c r="G160" s="1092">
        <v>0</v>
      </c>
      <c r="H160" s="1092">
        <v>0</v>
      </c>
      <c r="I160" s="1092">
        <v>0</v>
      </c>
      <c r="J160" s="1092">
        <v>0</v>
      </c>
      <c r="K160" s="1092">
        <v>0</v>
      </c>
      <c r="L160" s="1092">
        <v>0</v>
      </c>
      <c r="M160" s="1092">
        <v>0</v>
      </c>
      <c r="N160" s="27">
        <f t="shared" si="26"/>
        <v>0</v>
      </c>
    </row>
    <row r="161" spans="1:14">
      <c r="A161" s="34" t="s">
        <v>20</v>
      </c>
      <c r="B161" s="1092">
        <v>0</v>
      </c>
      <c r="C161" s="1092">
        <v>0</v>
      </c>
      <c r="D161" s="1092">
        <v>0</v>
      </c>
      <c r="E161" s="1092">
        <v>0</v>
      </c>
      <c r="F161" s="1092">
        <v>0</v>
      </c>
      <c r="G161" s="1092">
        <v>0</v>
      </c>
      <c r="H161" s="1092">
        <v>0</v>
      </c>
      <c r="I161" s="1092">
        <v>0</v>
      </c>
      <c r="J161" s="1092">
        <v>0</v>
      </c>
      <c r="K161" s="1092">
        <v>0</v>
      </c>
      <c r="L161" s="1092">
        <v>0</v>
      </c>
      <c r="M161" s="1092">
        <v>0</v>
      </c>
      <c r="N161" s="27">
        <f t="shared" si="26"/>
        <v>0</v>
      </c>
    </row>
    <row r="162" spans="1:14">
      <c r="A162" s="34" t="s">
        <v>13</v>
      </c>
      <c r="B162" s="1092">
        <v>0</v>
      </c>
      <c r="C162" s="1092">
        <v>0</v>
      </c>
      <c r="D162" s="1092">
        <v>0</v>
      </c>
      <c r="E162" s="1092">
        <v>0</v>
      </c>
      <c r="F162" s="1092">
        <v>0</v>
      </c>
      <c r="G162" s="1092">
        <v>0</v>
      </c>
      <c r="H162" s="1092">
        <v>0</v>
      </c>
      <c r="I162" s="1092">
        <v>0</v>
      </c>
      <c r="J162" s="1092">
        <v>0</v>
      </c>
      <c r="K162" s="1092">
        <v>0</v>
      </c>
      <c r="L162" s="1092">
        <v>0</v>
      </c>
      <c r="M162" s="1092">
        <v>0</v>
      </c>
      <c r="N162" s="27">
        <f t="shared" si="26"/>
        <v>0</v>
      </c>
    </row>
    <row r="163" spans="1:14" hidden="1">
      <c r="A163" s="35" t="s">
        <v>47</v>
      </c>
      <c r="B163" s="1092">
        <v>0</v>
      </c>
      <c r="C163" s="1092">
        <v>0</v>
      </c>
      <c r="D163" s="1092">
        <v>0</v>
      </c>
      <c r="E163" s="1092">
        <v>0</v>
      </c>
      <c r="F163" s="1092">
        <v>0</v>
      </c>
      <c r="G163" s="1092">
        <v>0</v>
      </c>
      <c r="H163" s="1092">
        <v>0</v>
      </c>
      <c r="I163" s="1092"/>
      <c r="J163" s="1092"/>
      <c r="K163" s="1092"/>
      <c r="L163" s="1092"/>
      <c r="M163" s="1092"/>
      <c r="N163" s="27">
        <f t="shared" si="26"/>
        <v>0</v>
      </c>
    </row>
    <row r="164" spans="1:14">
      <c r="A164" s="76" t="s">
        <v>30</v>
      </c>
      <c r="B164" s="1092">
        <v>0</v>
      </c>
      <c r="C164" s="1092">
        <v>0</v>
      </c>
      <c r="D164" s="1092">
        <v>0</v>
      </c>
      <c r="E164" s="1092">
        <v>0</v>
      </c>
      <c r="F164" s="1092">
        <v>0</v>
      </c>
      <c r="G164" s="1092">
        <v>0</v>
      </c>
      <c r="H164" s="1092">
        <v>0</v>
      </c>
      <c r="I164" s="1092">
        <v>3</v>
      </c>
      <c r="J164" s="1092">
        <v>0</v>
      </c>
      <c r="K164" s="1092">
        <v>0</v>
      </c>
      <c r="L164" s="1092">
        <v>3</v>
      </c>
      <c r="M164" s="1092">
        <v>0</v>
      </c>
      <c r="N164" s="27">
        <f t="shared" si="26"/>
        <v>6</v>
      </c>
    </row>
    <row r="165" spans="1:14" hidden="1">
      <c r="A165" s="76" t="s">
        <v>150</v>
      </c>
      <c r="B165" s="1092">
        <v>0</v>
      </c>
      <c r="C165" s="1092">
        <v>0</v>
      </c>
      <c r="D165" s="1092">
        <v>0</v>
      </c>
      <c r="E165" s="1092">
        <v>0</v>
      </c>
      <c r="F165" s="1092">
        <v>0</v>
      </c>
      <c r="G165" s="1092">
        <v>0</v>
      </c>
      <c r="H165" s="1092">
        <v>0</v>
      </c>
      <c r="I165" s="1092"/>
      <c r="J165" s="1092"/>
      <c r="K165" s="1092"/>
      <c r="L165" s="1092"/>
      <c r="M165" s="1092"/>
      <c r="N165" s="27">
        <f t="shared" si="26"/>
        <v>0</v>
      </c>
    </row>
    <row r="166" spans="1:14">
      <c r="A166" s="32" t="s">
        <v>56</v>
      </c>
      <c r="B166" s="1092">
        <v>0</v>
      </c>
      <c r="C166" s="1092">
        <v>0</v>
      </c>
      <c r="D166" s="1092">
        <v>0</v>
      </c>
      <c r="E166" s="1092">
        <v>0</v>
      </c>
      <c r="F166" s="1092">
        <v>0</v>
      </c>
      <c r="G166" s="1092">
        <v>0</v>
      </c>
      <c r="H166" s="1092">
        <v>0</v>
      </c>
      <c r="I166" s="1092">
        <v>0</v>
      </c>
      <c r="J166" s="1092">
        <v>0</v>
      </c>
      <c r="K166" s="1092">
        <v>0</v>
      </c>
      <c r="L166" s="1092">
        <v>2000</v>
      </c>
      <c r="M166" s="1092">
        <v>0</v>
      </c>
      <c r="N166" s="27">
        <f t="shared" ref="N166:N171" si="27">SUM(B166:M166)</f>
        <v>2000</v>
      </c>
    </row>
    <row r="167" spans="1:14">
      <c r="A167" s="78" t="s">
        <v>122</v>
      </c>
      <c r="B167" s="1092">
        <v>0</v>
      </c>
      <c r="C167" s="1092">
        <v>0</v>
      </c>
      <c r="D167" s="1092">
        <v>0</v>
      </c>
      <c r="E167" s="1092">
        <v>0</v>
      </c>
      <c r="F167" s="1092">
        <v>0</v>
      </c>
      <c r="G167" s="1092">
        <v>0</v>
      </c>
      <c r="H167" s="1092">
        <v>0</v>
      </c>
      <c r="I167" s="1092">
        <v>0</v>
      </c>
      <c r="J167" s="1092">
        <v>0</v>
      </c>
      <c r="K167" s="1092">
        <v>0</v>
      </c>
      <c r="L167" s="1092">
        <v>0</v>
      </c>
      <c r="M167" s="1092">
        <v>0</v>
      </c>
      <c r="N167" s="27">
        <f t="shared" si="27"/>
        <v>0</v>
      </c>
    </row>
    <row r="168" spans="1:14">
      <c r="A168" s="32" t="s">
        <v>102</v>
      </c>
      <c r="B168" s="1092">
        <v>0</v>
      </c>
      <c r="C168" s="1092">
        <v>0</v>
      </c>
      <c r="D168" s="1092">
        <v>0</v>
      </c>
      <c r="E168" s="1092">
        <v>0</v>
      </c>
      <c r="F168" s="1092">
        <v>0</v>
      </c>
      <c r="G168" s="1092">
        <v>0</v>
      </c>
      <c r="H168" s="1092">
        <v>0</v>
      </c>
      <c r="I168" s="1092">
        <v>0</v>
      </c>
      <c r="J168" s="1092">
        <v>0</v>
      </c>
      <c r="K168" s="1092">
        <v>0</v>
      </c>
      <c r="L168" s="1092">
        <v>0</v>
      </c>
      <c r="M168" s="1092">
        <v>0</v>
      </c>
      <c r="N168" s="27">
        <f t="shared" si="27"/>
        <v>0</v>
      </c>
    </row>
    <row r="169" spans="1:14">
      <c r="A169" s="78" t="s">
        <v>167</v>
      </c>
      <c r="B169" s="1092">
        <v>0</v>
      </c>
      <c r="C169" s="1092">
        <v>0</v>
      </c>
      <c r="D169" s="1092">
        <v>0</v>
      </c>
      <c r="E169" s="1092">
        <v>0</v>
      </c>
      <c r="F169" s="1092">
        <v>0</v>
      </c>
      <c r="G169" s="1092">
        <v>0</v>
      </c>
      <c r="H169" s="1092">
        <v>0</v>
      </c>
      <c r="I169" s="1092">
        <v>0</v>
      </c>
      <c r="J169" s="1092">
        <v>0</v>
      </c>
      <c r="K169" s="1092">
        <v>0</v>
      </c>
      <c r="L169" s="1092">
        <v>0</v>
      </c>
      <c r="M169" s="1092">
        <v>0</v>
      </c>
      <c r="N169" s="27">
        <f t="shared" si="27"/>
        <v>0</v>
      </c>
    </row>
    <row r="170" spans="1:14">
      <c r="A170" s="32" t="s">
        <v>165</v>
      </c>
      <c r="B170" s="1092">
        <v>0</v>
      </c>
      <c r="C170" s="1092">
        <v>0</v>
      </c>
      <c r="D170" s="1092">
        <v>0</v>
      </c>
      <c r="E170" s="1092">
        <v>0</v>
      </c>
      <c r="F170" s="1092">
        <v>0</v>
      </c>
      <c r="G170" s="1092">
        <v>0</v>
      </c>
      <c r="H170" s="1092">
        <v>0</v>
      </c>
      <c r="I170" s="1092">
        <v>0</v>
      </c>
      <c r="J170" s="1092">
        <v>0</v>
      </c>
      <c r="K170" s="1092">
        <v>0</v>
      </c>
      <c r="L170" s="1092">
        <v>0</v>
      </c>
      <c r="M170" s="1092">
        <v>0</v>
      </c>
      <c r="N170" s="27">
        <f t="shared" si="27"/>
        <v>0</v>
      </c>
    </row>
    <row r="171" spans="1:14" ht="14" thickBot="1">
      <c r="A171" s="78" t="s">
        <v>184</v>
      </c>
      <c r="B171" s="1092">
        <v>0</v>
      </c>
      <c r="C171" s="1092">
        <v>0</v>
      </c>
      <c r="D171" s="1092">
        <v>0</v>
      </c>
      <c r="E171" s="1092">
        <v>0</v>
      </c>
      <c r="F171" s="1092">
        <v>0</v>
      </c>
      <c r="G171" s="1092">
        <v>0</v>
      </c>
      <c r="H171" s="1092">
        <v>0</v>
      </c>
      <c r="I171" s="1092">
        <v>0</v>
      </c>
      <c r="J171" s="1092">
        <v>0</v>
      </c>
      <c r="K171" s="1092">
        <v>0</v>
      </c>
      <c r="L171" s="1092">
        <v>0</v>
      </c>
      <c r="M171" s="1092">
        <v>0</v>
      </c>
      <c r="N171" s="27">
        <f t="shared" si="27"/>
        <v>0</v>
      </c>
    </row>
    <row r="172" spans="1:14" ht="14" thickBot="1">
      <c r="A172" s="53" t="s">
        <v>60</v>
      </c>
      <c r="B172" s="55">
        <f>SUM(B159:B171)</f>
        <v>0</v>
      </c>
      <c r="C172" s="55">
        <f t="shared" ref="C172:N172" si="28">SUM(C159:C171)</f>
        <v>0</v>
      </c>
      <c r="D172" s="55">
        <f t="shared" si="28"/>
        <v>0</v>
      </c>
      <c r="E172" s="55">
        <f t="shared" si="28"/>
        <v>0</v>
      </c>
      <c r="F172" s="55">
        <f t="shared" si="28"/>
        <v>0</v>
      </c>
      <c r="G172" s="55">
        <f t="shared" si="28"/>
        <v>0</v>
      </c>
      <c r="H172" s="55">
        <f t="shared" si="28"/>
        <v>0</v>
      </c>
      <c r="I172" s="55">
        <f t="shared" si="28"/>
        <v>3</v>
      </c>
      <c r="J172" s="55">
        <f t="shared" si="28"/>
        <v>0</v>
      </c>
      <c r="K172" s="55">
        <f t="shared" si="28"/>
        <v>0</v>
      </c>
      <c r="L172" s="55">
        <f t="shared" si="28"/>
        <v>2003</v>
      </c>
      <c r="M172" s="55">
        <f t="shared" si="28"/>
        <v>0</v>
      </c>
      <c r="N172" s="54">
        <f t="shared" si="28"/>
        <v>2006</v>
      </c>
    </row>
    <row r="175" spans="1:14" ht="14" thickBot="1">
      <c r="B175" s="43" t="s">
        <v>35</v>
      </c>
      <c r="C175" s="43" t="s">
        <v>36</v>
      </c>
      <c r="D175" s="43" t="s">
        <v>37</v>
      </c>
      <c r="E175" s="43" t="s">
        <v>38</v>
      </c>
      <c r="F175" s="43" t="s">
        <v>39</v>
      </c>
      <c r="G175" s="43" t="s">
        <v>40</v>
      </c>
      <c r="H175" s="43" t="s">
        <v>41</v>
      </c>
      <c r="I175" s="43" t="s">
        <v>42</v>
      </c>
      <c r="J175" s="43" t="s">
        <v>43</v>
      </c>
      <c r="K175" s="43" t="s">
        <v>44</v>
      </c>
      <c r="L175" s="43" t="s">
        <v>45</v>
      </c>
      <c r="M175" s="43" t="s">
        <v>46</v>
      </c>
      <c r="N175" s="43" t="s">
        <v>10</v>
      </c>
    </row>
    <row r="176" spans="1:14" ht="17" thickBot="1">
      <c r="A176" s="31" t="s">
        <v>186</v>
      </c>
      <c r="B176" s="24"/>
      <c r="C176" s="24"/>
      <c r="D176" s="22"/>
      <c r="E176" s="22"/>
      <c r="F176" s="25"/>
      <c r="G176" s="25"/>
      <c r="H176" s="22"/>
      <c r="I176" s="22"/>
      <c r="J176" s="22"/>
      <c r="K176" s="22"/>
      <c r="L176" s="24"/>
      <c r="M176" s="24"/>
      <c r="N176" s="26"/>
    </row>
    <row r="177" spans="1:14" ht="14" thickBot="1">
      <c r="A177" s="38" t="str">
        <f>Ontario!A177</f>
        <v>SoCal Water$mart Residential Rebates</v>
      </c>
      <c r="B177" s="39"/>
      <c r="C177" s="39"/>
      <c r="D177" s="39"/>
      <c r="E177" s="39"/>
      <c r="F177" s="39"/>
      <c r="G177" s="39"/>
      <c r="H177" s="39"/>
      <c r="I177" s="39"/>
      <c r="J177" s="39"/>
      <c r="K177" s="39"/>
      <c r="L177" s="39"/>
      <c r="M177" s="39"/>
      <c r="N177" s="40"/>
    </row>
    <row r="178" spans="1:14">
      <c r="A178" s="32" t="str">
        <f>Ontario!A178</f>
        <v>High Efficiency Toilets (HET)</v>
      </c>
      <c r="B178" s="1092">
        <v>0</v>
      </c>
      <c r="C178" s="1092">
        <v>0</v>
      </c>
      <c r="D178" s="1092">
        <v>0</v>
      </c>
      <c r="E178" s="1092">
        <v>0</v>
      </c>
      <c r="F178" s="1092">
        <v>0</v>
      </c>
      <c r="G178" s="1092">
        <v>0</v>
      </c>
      <c r="H178" s="1092">
        <v>0</v>
      </c>
      <c r="I178" s="1092">
        <v>0</v>
      </c>
      <c r="J178" s="1092">
        <v>0</v>
      </c>
      <c r="K178" s="1092">
        <v>0</v>
      </c>
      <c r="L178" s="1092">
        <v>0</v>
      </c>
      <c r="M178" s="1092">
        <v>0</v>
      </c>
      <c r="N178" s="27">
        <f t="shared" ref="N178:N185" si="29">SUM(B178:M178)</f>
        <v>0</v>
      </c>
    </row>
    <row r="179" spans="1:14">
      <c r="A179" s="32" t="str">
        <f>Ontario!A179</f>
        <v>High Efficiency Clothes Washers (HECW)</v>
      </c>
      <c r="B179" s="1092">
        <v>0</v>
      </c>
      <c r="C179" s="1092">
        <v>25</v>
      </c>
      <c r="D179" s="1092">
        <v>1</v>
      </c>
      <c r="E179" s="1092">
        <v>6</v>
      </c>
      <c r="F179" s="1092">
        <v>10</v>
      </c>
      <c r="G179" s="1092">
        <v>3</v>
      </c>
      <c r="H179" s="1092">
        <v>20</v>
      </c>
      <c r="I179" s="1092">
        <v>13</v>
      </c>
      <c r="J179" s="1092">
        <v>19</v>
      </c>
      <c r="K179" s="1092">
        <v>11</v>
      </c>
      <c r="L179" s="1092">
        <v>9</v>
      </c>
      <c r="M179" s="1092">
        <v>8</v>
      </c>
      <c r="N179" s="27">
        <f t="shared" si="29"/>
        <v>125</v>
      </c>
    </row>
    <row r="180" spans="1:14">
      <c r="A180" s="32" t="str">
        <f>Ontario!A180</f>
        <v>Rotating Nozzles for Pop-up Spray Heads</v>
      </c>
      <c r="B180" s="1092">
        <v>0</v>
      </c>
      <c r="C180" s="1092">
        <v>0</v>
      </c>
      <c r="D180" s="1092">
        <v>0</v>
      </c>
      <c r="E180" s="1092">
        <v>0</v>
      </c>
      <c r="F180" s="1092">
        <v>0</v>
      </c>
      <c r="G180" s="1092">
        <v>0</v>
      </c>
      <c r="H180" s="1092">
        <v>0</v>
      </c>
      <c r="I180" s="1092">
        <v>0</v>
      </c>
      <c r="J180" s="1092">
        <v>0</v>
      </c>
      <c r="K180" s="1092">
        <v>0</v>
      </c>
      <c r="L180" s="1092">
        <v>0</v>
      </c>
      <c r="M180" s="1092">
        <v>0</v>
      </c>
      <c r="N180" s="27">
        <f t="shared" si="29"/>
        <v>0</v>
      </c>
    </row>
    <row r="181" spans="1:14" ht="14" thickBot="1">
      <c r="A181" s="32" t="str">
        <f>Ontario!A181</f>
        <v>Weather Based Irrigation Controllers (WBIC)</v>
      </c>
      <c r="B181" s="1092">
        <v>0</v>
      </c>
      <c r="C181" s="1092">
        <v>0</v>
      </c>
      <c r="D181" s="1092">
        <v>0</v>
      </c>
      <c r="E181" s="1092">
        <v>0</v>
      </c>
      <c r="F181" s="1092">
        <v>0</v>
      </c>
      <c r="G181" s="1092">
        <v>0</v>
      </c>
      <c r="H181" s="1092">
        <v>1</v>
      </c>
      <c r="I181" s="1092">
        <v>0</v>
      </c>
      <c r="J181" s="1092">
        <v>0</v>
      </c>
      <c r="K181" s="1092">
        <v>0</v>
      </c>
      <c r="L181" s="1092">
        <v>0</v>
      </c>
      <c r="M181" s="1092">
        <v>0</v>
      </c>
      <c r="N181" s="27">
        <f t="shared" si="29"/>
        <v>1</v>
      </c>
    </row>
    <row r="182" spans="1:14" hidden="1">
      <c r="A182" s="76" t="s">
        <v>182</v>
      </c>
      <c r="B182" s="44"/>
      <c r="C182" s="44"/>
      <c r="D182" s="44"/>
      <c r="E182" s="44"/>
      <c r="F182" s="44"/>
      <c r="G182" s="44"/>
      <c r="H182" s="44"/>
      <c r="I182" s="44"/>
      <c r="J182" s="44"/>
      <c r="K182" s="44"/>
      <c r="L182" s="44"/>
      <c r="M182" s="44"/>
      <c r="N182" s="27">
        <f t="shared" si="29"/>
        <v>0</v>
      </c>
    </row>
    <row r="183" spans="1:14" ht="14" thickBot="1">
      <c r="A183" s="38" t="str">
        <f>Ontario!A183</f>
        <v>IEUA Locally Implemented Residential Programs</v>
      </c>
      <c r="B183" s="39"/>
      <c r="C183" s="39"/>
      <c r="D183" s="39"/>
      <c r="E183" s="39"/>
      <c r="F183" s="39"/>
      <c r="G183" s="39"/>
      <c r="H183" s="39"/>
      <c r="I183" s="39"/>
      <c r="J183" s="39"/>
      <c r="K183" s="39"/>
      <c r="L183" s="39"/>
      <c r="M183" s="39"/>
      <c r="N183" s="40"/>
    </row>
    <row r="184" spans="1:14">
      <c r="A184" s="32" t="str">
        <f>Ontario!A184</f>
        <v>FreeSprinklerNozzles.com Program</v>
      </c>
      <c r="B184" s="1092">
        <v>0</v>
      </c>
      <c r="C184" s="1092">
        <v>0</v>
      </c>
      <c r="D184" s="1092">
        <v>0</v>
      </c>
      <c r="E184" s="1092">
        <v>0</v>
      </c>
      <c r="F184" s="1092">
        <v>0</v>
      </c>
      <c r="G184" s="1092">
        <v>0</v>
      </c>
      <c r="H184" s="1092">
        <v>0</v>
      </c>
      <c r="I184" s="1092">
        <v>0</v>
      </c>
      <c r="J184" s="1092">
        <v>0</v>
      </c>
      <c r="K184" s="1092">
        <v>0</v>
      </c>
      <c r="L184" s="1092">
        <v>0</v>
      </c>
      <c r="M184" s="1092">
        <v>0</v>
      </c>
      <c r="N184" s="27">
        <f>SUM(B184:M184)</f>
        <v>0</v>
      </c>
    </row>
    <row r="185" spans="1:14">
      <c r="A185" s="32" t="str">
        <f>Ontario!A185</f>
        <v>Residential Landscape Retrofit Program</v>
      </c>
      <c r="B185" s="1092">
        <v>0</v>
      </c>
      <c r="C185" s="1092">
        <v>0</v>
      </c>
      <c r="D185" s="1092">
        <v>0</v>
      </c>
      <c r="E185" s="1092">
        <v>0</v>
      </c>
      <c r="F185" s="1092">
        <v>0</v>
      </c>
      <c r="G185" s="1092">
        <v>0</v>
      </c>
      <c r="H185" s="1092">
        <v>0</v>
      </c>
      <c r="I185" s="1092">
        <v>8</v>
      </c>
      <c r="J185" s="1092">
        <v>3</v>
      </c>
      <c r="K185" s="1092">
        <v>0</v>
      </c>
      <c r="L185" s="1092">
        <v>7</v>
      </c>
      <c r="M185" s="1092">
        <v>2</v>
      </c>
      <c r="N185" s="27">
        <f t="shared" si="29"/>
        <v>20</v>
      </c>
    </row>
    <row r="186" spans="1:14" ht="14" thickBot="1">
      <c r="A186" s="32" t="str">
        <f>Ontario!A186</f>
        <v>Landscape Transformation Program</v>
      </c>
      <c r="B186" s="1092">
        <v>0</v>
      </c>
      <c r="C186" s="1092">
        <v>0</v>
      </c>
      <c r="D186" s="1092">
        <v>0</v>
      </c>
      <c r="E186" s="1092">
        <v>0</v>
      </c>
      <c r="F186" s="1092">
        <v>1</v>
      </c>
      <c r="G186" s="1092">
        <v>0</v>
      </c>
      <c r="H186" s="1092">
        <v>0</v>
      </c>
      <c r="I186" s="1092">
        <v>0</v>
      </c>
      <c r="J186" s="1092">
        <v>0</v>
      </c>
      <c r="K186" s="1092">
        <v>0</v>
      </c>
      <c r="L186" s="1092">
        <v>0</v>
      </c>
      <c r="M186" s="1092">
        <v>1</v>
      </c>
      <c r="N186" s="27">
        <f>SUM(B186:M186)</f>
        <v>2</v>
      </c>
    </row>
    <row r="187" spans="1:14" ht="14" thickBot="1">
      <c r="A187" s="53" t="s">
        <v>60</v>
      </c>
      <c r="B187" s="55">
        <f>SUM(B178:B186)</f>
        <v>0</v>
      </c>
      <c r="C187" s="55">
        <f t="shared" ref="C187:M187" si="30">SUM(C178:C186)</f>
        <v>25</v>
      </c>
      <c r="D187" s="55">
        <f t="shared" si="30"/>
        <v>1</v>
      </c>
      <c r="E187" s="55">
        <f t="shared" si="30"/>
        <v>6</v>
      </c>
      <c r="F187" s="55">
        <f t="shared" si="30"/>
        <v>11</v>
      </c>
      <c r="G187" s="55">
        <f t="shared" si="30"/>
        <v>3</v>
      </c>
      <c r="H187" s="55">
        <f t="shared" si="30"/>
        <v>21</v>
      </c>
      <c r="I187" s="55">
        <f t="shared" si="30"/>
        <v>21</v>
      </c>
      <c r="J187" s="55">
        <f t="shared" si="30"/>
        <v>22</v>
      </c>
      <c r="K187" s="55">
        <f t="shared" si="30"/>
        <v>11</v>
      </c>
      <c r="L187" s="55">
        <f t="shared" si="30"/>
        <v>16</v>
      </c>
      <c r="M187" s="55">
        <f t="shared" si="30"/>
        <v>11</v>
      </c>
      <c r="N187" s="54">
        <f>SUM(N178:N186)</f>
        <v>148</v>
      </c>
    </row>
    <row r="188" spans="1:14" ht="14" thickBot="1">
      <c r="A188" s="38" t="str">
        <f>Ontario!A188</f>
        <v xml:space="preserve">IEUA High Efficiency Toilet (HET) Installation Prog. </v>
      </c>
      <c r="B188" s="39"/>
      <c r="C188" s="39"/>
      <c r="D188" s="39"/>
      <c r="E188" s="39"/>
      <c r="F188" s="39"/>
      <c r="G188" s="39"/>
      <c r="H188" s="39"/>
      <c r="I188" s="39"/>
      <c r="J188" s="39"/>
      <c r="K188" s="39"/>
      <c r="L188" s="39"/>
      <c r="M188" s="39"/>
      <c r="N188" s="40"/>
    </row>
    <row r="189" spans="1:14">
      <c r="A189" s="32" t="str">
        <f>Ontario!A189</f>
        <v>IEUA Multi-Family Direct Install Prog. (HET/ULFT)</v>
      </c>
      <c r="B189" s="1092">
        <v>0</v>
      </c>
      <c r="C189" s="1092">
        <v>0</v>
      </c>
      <c r="D189" s="1092">
        <v>0</v>
      </c>
      <c r="E189" s="1092">
        <v>0</v>
      </c>
      <c r="F189" s="1092">
        <v>4</v>
      </c>
      <c r="G189" s="1092">
        <v>11</v>
      </c>
      <c r="H189" s="1092">
        <v>42</v>
      </c>
      <c r="I189" s="1092">
        <v>0</v>
      </c>
      <c r="J189" s="1092">
        <v>0</v>
      </c>
      <c r="K189" s="1092">
        <v>0</v>
      </c>
      <c r="L189" s="1092">
        <v>0</v>
      </c>
      <c r="M189" s="1092">
        <v>0</v>
      </c>
      <c r="N189" s="27">
        <f>SUM(B189:M189)</f>
        <v>57</v>
      </c>
    </row>
    <row r="190" spans="1:14" ht="14" thickBot="1">
      <c r="A190" s="32" t="str">
        <f>Ontario!A190</f>
        <v>IEUA Single-Family Direct Install Prog. (HET/ULFT)</v>
      </c>
      <c r="B190" s="1092">
        <v>19</v>
      </c>
      <c r="C190" s="1092">
        <v>0</v>
      </c>
      <c r="D190" s="1092">
        <v>1</v>
      </c>
      <c r="E190" s="1092">
        <v>0</v>
      </c>
      <c r="F190" s="1092">
        <v>0</v>
      </c>
      <c r="G190" s="1092">
        <v>9</v>
      </c>
      <c r="H190" s="1092">
        <v>5</v>
      </c>
      <c r="I190" s="1092">
        <v>3</v>
      </c>
      <c r="J190" s="1092">
        <v>8</v>
      </c>
      <c r="K190" s="1092">
        <v>9</v>
      </c>
      <c r="L190" s="1092">
        <v>0</v>
      </c>
      <c r="M190" s="1092">
        <v>0</v>
      </c>
      <c r="N190" s="27">
        <f>SUM(B190:M190)</f>
        <v>54</v>
      </c>
    </row>
    <row r="191" spans="1:14" ht="14" thickBot="1">
      <c r="A191" s="53" t="s">
        <v>60</v>
      </c>
      <c r="B191" s="55">
        <f>SUM(B189:B190)</f>
        <v>19</v>
      </c>
      <c r="C191" s="55">
        <f t="shared" ref="C191:M191" si="31">SUM(C189:C190)</f>
        <v>0</v>
      </c>
      <c r="D191" s="55">
        <f t="shared" si="31"/>
        <v>1</v>
      </c>
      <c r="E191" s="55">
        <f t="shared" si="31"/>
        <v>0</v>
      </c>
      <c r="F191" s="55">
        <f t="shared" si="31"/>
        <v>4</v>
      </c>
      <c r="G191" s="55">
        <f t="shared" si="31"/>
        <v>20</v>
      </c>
      <c r="H191" s="55">
        <f t="shared" si="31"/>
        <v>47</v>
      </c>
      <c r="I191" s="55">
        <f t="shared" si="31"/>
        <v>3</v>
      </c>
      <c r="J191" s="55">
        <f t="shared" si="31"/>
        <v>8</v>
      </c>
      <c r="K191" s="55">
        <f t="shared" si="31"/>
        <v>9</v>
      </c>
      <c r="L191" s="55">
        <f t="shared" si="31"/>
        <v>0</v>
      </c>
      <c r="M191" s="55">
        <f t="shared" si="31"/>
        <v>0</v>
      </c>
      <c r="N191" s="54">
        <f>SUM(N189:N190)</f>
        <v>111</v>
      </c>
    </row>
    <row r="192" spans="1:14" ht="14" thickBot="1">
      <c r="A192" s="38" t="str">
        <f>Ontario!A192</f>
        <v>SoCal Water$mart Commercial Rebates</v>
      </c>
      <c r="B192" s="39"/>
      <c r="C192" s="39"/>
      <c r="D192" s="39"/>
      <c r="E192" s="39"/>
      <c r="F192" s="39"/>
      <c r="G192" s="39"/>
      <c r="H192" s="39"/>
      <c r="I192" s="39"/>
      <c r="J192" s="39"/>
      <c r="K192" s="39"/>
      <c r="L192" s="39"/>
      <c r="M192" s="39"/>
      <c r="N192" s="40"/>
    </row>
    <row r="193" spans="1:14">
      <c r="A193" s="32" t="str">
        <f>Ontario!A193</f>
        <v>High Efficiency Toilets (HET)</v>
      </c>
      <c r="B193" s="1092">
        <v>0</v>
      </c>
      <c r="C193" s="1092">
        <v>0</v>
      </c>
      <c r="D193" s="1092">
        <v>0</v>
      </c>
      <c r="E193" s="1092">
        <v>0</v>
      </c>
      <c r="F193" s="1092">
        <v>0</v>
      </c>
      <c r="G193" s="1092">
        <v>0</v>
      </c>
      <c r="H193" s="1092">
        <v>0</v>
      </c>
      <c r="I193" s="1092">
        <v>0</v>
      </c>
      <c r="J193" s="1092">
        <v>0</v>
      </c>
      <c r="K193" s="1092">
        <v>0</v>
      </c>
      <c r="L193" s="1092">
        <v>0</v>
      </c>
      <c r="M193" s="1092">
        <v>0</v>
      </c>
      <c r="N193" s="27">
        <f t="shared" ref="N193:N208" si="32">SUM(B193:M193)</f>
        <v>0</v>
      </c>
    </row>
    <row r="194" spans="1:14">
      <c r="A194" s="32" t="str">
        <f>Ontario!A194</f>
        <v>Waterless Urinals</v>
      </c>
      <c r="B194" s="1092">
        <v>0</v>
      </c>
      <c r="C194" s="1092">
        <v>0</v>
      </c>
      <c r="D194" s="1092">
        <v>0</v>
      </c>
      <c r="E194" s="1092">
        <v>0</v>
      </c>
      <c r="F194" s="1092">
        <v>0</v>
      </c>
      <c r="G194" s="1092">
        <v>0</v>
      </c>
      <c r="H194" s="1092">
        <v>0</v>
      </c>
      <c r="I194" s="1092">
        <v>0</v>
      </c>
      <c r="J194" s="1092">
        <v>0</v>
      </c>
      <c r="K194" s="1092">
        <v>0</v>
      </c>
      <c r="L194" s="1092">
        <v>0</v>
      </c>
      <c r="M194" s="1092">
        <v>0</v>
      </c>
      <c r="N194" s="27">
        <f t="shared" si="32"/>
        <v>0</v>
      </c>
    </row>
    <row r="195" spans="1:14">
      <c r="A195" s="32" t="s">
        <v>204</v>
      </c>
      <c r="B195" s="1092">
        <v>0</v>
      </c>
      <c r="C195" s="1092">
        <v>0</v>
      </c>
      <c r="D195" s="1092">
        <v>0</v>
      </c>
      <c r="E195" s="1092">
        <v>0</v>
      </c>
      <c r="F195" s="1092">
        <v>0</v>
      </c>
      <c r="G195" s="1092">
        <v>0</v>
      </c>
      <c r="H195" s="1092">
        <v>0</v>
      </c>
      <c r="I195" s="1092">
        <v>0</v>
      </c>
      <c r="J195" s="1092">
        <v>0</v>
      </c>
      <c r="K195" s="1092">
        <v>0</v>
      </c>
      <c r="L195" s="1092">
        <v>0</v>
      </c>
      <c r="M195" s="1092">
        <v>0</v>
      </c>
      <c r="N195" s="27">
        <f t="shared" si="32"/>
        <v>0</v>
      </c>
    </row>
    <row r="196" spans="1:14">
      <c r="A196" s="32" t="str">
        <f>Ontario!A196</f>
        <v>High Efficiency Clothes Washers</v>
      </c>
      <c r="B196" s="1092">
        <v>0</v>
      </c>
      <c r="C196" s="1092">
        <v>0</v>
      </c>
      <c r="D196" s="1092">
        <v>0</v>
      </c>
      <c r="E196" s="1092">
        <v>0</v>
      </c>
      <c r="F196" s="1092">
        <v>0</v>
      </c>
      <c r="G196" s="1092">
        <v>0</v>
      </c>
      <c r="H196" s="1092">
        <v>0</v>
      </c>
      <c r="I196" s="1092">
        <v>0</v>
      </c>
      <c r="J196" s="1092">
        <v>0</v>
      </c>
      <c r="K196" s="1092">
        <v>0</v>
      </c>
      <c r="L196" s="1092">
        <v>0</v>
      </c>
      <c r="M196" s="1092">
        <v>0</v>
      </c>
      <c r="N196" s="27">
        <f t="shared" si="32"/>
        <v>0</v>
      </c>
    </row>
    <row r="197" spans="1:14" hidden="1">
      <c r="A197" s="35" t="s">
        <v>47</v>
      </c>
      <c r="B197" s="1092">
        <v>0</v>
      </c>
      <c r="C197" s="1092">
        <v>0</v>
      </c>
      <c r="D197" s="1092">
        <v>0</v>
      </c>
      <c r="E197" s="1092"/>
      <c r="F197" s="1092">
        <v>0</v>
      </c>
      <c r="G197" s="1092">
        <v>0</v>
      </c>
      <c r="H197" s="1092"/>
      <c r="I197" s="1092">
        <v>0</v>
      </c>
      <c r="J197" s="1092">
        <v>0</v>
      </c>
      <c r="K197" s="1092"/>
      <c r="L197" s="1092"/>
      <c r="M197" s="1092"/>
      <c r="N197" s="27">
        <f t="shared" si="32"/>
        <v>0</v>
      </c>
    </row>
    <row r="198" spans="1:14">
      <c r="A198" s="32" t="str">
        <f>Ontario!A198</f>
        <v>Weather Based Irrigation Controllers (WBIC)</v>
      </c>
      <c r="B198" s="1092">
        <v>0</v>
      </c>
      <c r="C198" s="1092">
        <v>0</v>
      </c>
      <c r="D198" s="1092">
        <v>0</v>
      </c>
      <c r="E198" s="1092">
        <v>3</v>
      </c>
      <c r="F198" s="1092">
        <v>0</v>
      </c>
      <c r="G198" s="1092">
        <v>0</v>
      </c>
      <c r="H198" s="1092">
        <v>1</v>
      </c>
      <c r="I198" s="1092">
        <v>0</v>
      </c>
      <c r="J198" s="1092">
        <v>0</v>
      </c>
      <c r="K198" s="1092">
        <v>0</v>
      </c>
      <c r="L198" s="1092">
        <v>0</v>
      </c>
      <c r="M198" s="1092">
        <v>0</v>
      </c>
      <c r="N198" s="27">
        <f t="shared" si="32"/>
        <v>4</v>
      </c>
    </row>
    <row r="199" spans="1:14" hidden="1">
      <c r="A199" s="76" t="s">
        <v>150</v>
      </c>
      <c r="B199" s="1092">
        <v>0</v>
      </c>
      <c r="C199" s="1092">
        <v>0</v>
      </c>
      <c r="D199" s="1092">
        <v>0</v>
      </c>
      <c r="E199" s="1092"/>
      <c r="F199" s="1092">
        <v>0</v>
      </c>
      <c r="G199" s="1092">
        <v>0</v>
      </c>
      <c r="H199" s="1092"/>
      <c r="I199" s="1092">
        <v>0</v>
      </c>
      <c r="J199" s="1092">
        <v>0</v>
      </c>
      <c r="K199" s="1092"/>
      <c r="L199" s="1092"/>
      <c r="M199" s="1092"/>
      <c r="N199" s="27">
        <f t="shared" si="32"/>
        <v>0</v>
      </c>
    </row>
    <row r="200" spans="1:14">
      <c r="A200" s="32" t="str">
        <f>Ontario!A200</f>
        <v>Rotating Nozzles for Pop-up Spray Heads</v>
      </c>
      <c r="B200" s="1092">
        <v>0</v>
      </c>
      <c r="C200" s="1092">
        <v>0</v>
      </c>
      <c r="D200" s="1092">
        <v>0</v>
      </c>
      <c r="E200" s="1092">
        <v>0</v>
      </c>
      <c r="F200" s="1092">
        <v>0</v>
      </c>
      <c r="G200" s="1092">
        <v>0</v>
      </c>
      <c r="H200" s="1092">
        <v>0</v>
      </c>
      <c r="I200" s="1092">
        <v>0</v>
      </c>
      <c r="J200" s="1092">
        <v>0</v>
      </c>
      <c r="K200" s="1092">
        <v>0</v>
      </c>
      <c r="L200" s="1092">
        <v>0</v>
      </c>
      <c r="M200" s="1092">
        <v>0</v>
      </c>
      <c r="N200" s="27">
        <f t="shared" si="32"/>
        <v>0</v>
      </c>
    </row>
    <row r="201" spans="1:14">
      <c r="A201" s="32" t="str">
        <f>Ontario!A201</f>
        <v>Large Rotary Nozzles</v>
      </c>
      <c r="B201" s="1092">
        <v>0</v>
      </c>
      <c r="C201" s="1092">
        <v>0</v>
      </c>
      <c r="D201" s="1092">
        <v>0</v>
      </c>
      <c r="E201" s="1092">
        <v>0</v>
      </c>
      <c r="F201" s="1092">
        <v>0</v>
      </c>
      <c r="G201" s="1092">
        <v>0</v>
      </c>
      <c r="H201" s="1092">
        <v>0</v>
      </c>
      <c r="I201" s="1092">
        <v>0</v>
      </c>
      <c r="J201" s="1092">
        <v>0</v>
      </c>
      <c r="K201" s="1092">
        <v>0</v>
      </c>
      <c r="L201" s="1092">
        <v>0</v>
      </c>
      <c r="M201" s="1092">
        <v>0</v>
      </c>
      <c r="N201" s="27">
        <f t="shared" si="32"/>
        <v>0</v>
      </c>
    </row>
    <row r="202" spans="1:14" hidden="1">
      <c r="A202" s="32" t="s">
        <v>102</v>
      </c>
      <c r="B202" s="1092">
        <v>0</v>
      </c>
      <c r="C202" s="1092">
        <v>0</v>
      </c>
      <c r="D202" s="1092">
        <v>0</v>
      </c>
      <c r="E202" s="1092">
        <v>0</v>
      </c>
      <c r="F202" s="1092">
        <v>0</v>
      </c>
      <c r="G202" s="1092">
        <v>0</v>
      </c>
      <c r="H202" s="1092">
        <v>0</v>
      </c>
      <c r="I202" s="1092">
        <v>0</v>
      </c>
      <c r="J202" s="1092">
        <v>0</v>
      </c>
      <c r="K202" s="1092">
        <v>0</v>
      </c>
      <c r="L202" s="1092">
        <v>0</v>
      </c>
      <c r="M202" s="1092">
        <v>0</v>
      </c>
      <c r="N202" s="27">
        <f t="shared" si="32"/>
        <v>0</v>
      </c>
    </row>
    <row r="203" spans="1:14">
      <c r="A203" s="32" t="str">
        <f>Ontario!A203</f>
        <v xml:space="preserve">Central Computerized Irrigation Controller </v>
      </c>
      <c r="B203" s="1092">
        <v>0</v>
      </c>
      <c r="C203" s="1092">
        <v>0</v>
      </c>
      <c r="D203" s="1092">
        <v>0</v>
      </c>
      <c r="E203" s="1092">
        <v>0</v>
      </c>
      <c r="F203" s="1092">
        <v>0</v>
      </c>
      <c r="G203" s="1092">
        <v>0</v>
      </c>
      <c r="H203" s="1092">
        <v>0</v>
      </c>
      <c r="I203" s="1092">
        <v>0</v>
      </c>
      <c r="J203" s="1092">
        <v>0</v>
      </c>
      <c r="K203" s="1092">
        <v>0</v>
      </c>
      <c r="L203" s="1092">
        <v>0</v>
      </c>
      <c r="M203" s="1092">
        <v>0</v>
      </c>
      <c r="N203" s="27">
        <f>SUM(B203:M203)</f>
        <v>0</v>
      </c>
    </row>
    <row r="204" spans="1:14">
      <c r="A204" s="32" t="str">
        <f>Ontario!A204</f>
        <v>Laminar Flow Restrictor</v>
      </c>
      <c r="B204" s="1092">
        <v>0</v>
      </c>
      <c r="C204" s="1092">
        <v>0</v>
      </c>
      <c r="D204" s="1092">
        <v>0</v>
      </c>
      <c r="E204" s="1092">
        <v>0</v>
      </c>
      <c r="F204" s="1092">
        <v>0</v>
      </c>
      <c r="G204" s="1092">
        <v>0</v>
      </c>
      <c r="H204" s="1092">
        <v>0</v>
      </c>
      <c r="I204" s="1092">
        <v>0</v>
      </c>
      <c r="J204" s="1092">
        <v>0</v>
      </c>
      <c r="K204" s="1092">
        <v>1</v>
      </c>
      <c r="L204" s="1092">
        <v>0</v>
      </c>
      <c r="M204" s="1092">
        <v>0</v>
      </c>
      <c r="N204" s="27">
        <f>SUM(B204:M204)</f>
        <v>1</v>
      </c>
    </row>
    <row r="205" spans="1:14" ht="14" thickBot="1">
      <c r="A205" s="32" t="str">
        <f>Ontario!A205</f>
        <v>Air-Cooled Ice Machine</v>
      </c>
      <c r="B205" s="1092">
        <v>0</v>
      </c>
      <c r="C205" s="1092">
        <v>0</v>
      </c>
      <c r="D205" s="1092">
        <v>0</v>
      </c>
      <c r="E205" s="1092">
        <v>0</v>
      </c>
      <c r="F205" s="1092">
        <v>0</v>
      </c>
      <c r="G205" s="1092">
        <v>0</v>
      </c>
      <c r="H205" s="1092">
        <v>0</v>
      </c>
      <c r="I205" s="1092">
        <v>0</v>
      </c>
      <c r="J205" s="1092">
        <v>0</v>
      </c>
      <c r="K205" s="1092">
        <v>0</v>
      </c>
      <c r="L205" s="1092">
        <v>0</v>
      </c>
      <c r="M205" s="1092">
        <v>0</v>
      </c>
      <c r="N205" s="27">
        <f>SUM(B205:M205)</f>
        <v>0</v>
      </c>
    </row>
    <row r="206" spans="1:14" ht="14" thickBot="1">
      <c r="A206" s="38" t="str">
        <f>Ontario!A206</f>
        <v>IEUA Locally Implemented Commercial Programs</v>
      </c>
      <c r="B206" s="39"/>
      <c r="C206" s="39"/>
      <c r="D206" s="39"/>
      <c r="E206" s="39"/>
      <c r="F206" s="39"/>
      <c r="G206" s="39"/>
      <c r="H206" s="39"/>
      <c r="I206" s="39"/>
      <c r="J206" s="39"/>
      <c r="K206" s="39"/>
      <c r="L206" s="39"/>
      <c r="M206" s="39"/>
      <c r="N206" s="40"/>
    </row>
    <row r="207" spans="1:14">
      <c r="A207" s="32" t="str">
        <f>Ontario!A207</f>
        <v>Fontana Unified School Retrofit Program</v>
      </c>
      <c r="B207" s="1092">
        <v>0</v>
      </c>
      <c r="C207" s="1092">
        <v>0</v>
      </c>
      <c r="D207" s="1092">
        <v>0</v>
      </c>
      <c r="E207" s="1092">
        <v>0</v>
      </c>
      <c r="F207" s="1092">
        <v>0</v>
      </c>
      <c r="G207" s="1092">
        <v>0</v>
      </c>
      <c r="H207" s="1092">
        <v>0</v>
      </c>
      <c r="I207" s="1092">
        <v>0</v>
      </c>
      <c r="J207" s="1092">
        <v>0</v>
      </c>
      <c r="K207" s="1092">
        <v>0</v>
      </c>
      <c r="L207" s="1092">
        <v>0</v>
      </c>
      <c r="M207" s="1092">
        <v>0</v>
      </c>
      <c r="N207" s="27">
        <f t="shared" si="32"/>
        <v>0</v>
      </c>
    </row>
    <row r="208" spans="1:14" ht="14" thickBot="1">
      <c r="A208" s="32" t="str">
        <f>Ontario!A208</f>
        <v>FreeSprinklerNozzles.com Program</v>
      </c>
      <c r="B208" s="1092">
        <v>0</v>
      </c>
      <c r="C208" s="1092">
        <v>0</v>
      </c>
      <c r="D208" s="1092">
        <v>0</v>
      </c>
      <c r="E208" s="1092">
        <v>0</v>
      </c>
      <c r="F208" s="1092">
        <v>0</v>
      </c>
      <c r="G208" s="1092">
        <v>0</v>
      </c>
      <c r="H208" s="1092">
        <v>0</v>
      </c>
      <c r="I208" s="1092">
        <v>0</v>
      </c>
      <c r="J208" s="1092">
        <v>0</v>
      </c>
      <c r="K208" s="1092">
        <v>0</v>
      </c>
      <c r="L208" s="1092">
        <v>0</v>
      </c>
      <c r="M208" s="1092">
        <v>0</v>
      </c>
      <c r="N208" s="27">
        <f t="shared" si="32"/>
        <v>0</v>
      </c>
    </row>
    <row r="209" spans="1:14" ht="14" thickBot="1">
      <c r="A209" s="53" t="s">
        <v>60</v>
      </c>
      <c r="B209" s="55">
        <f>SUM(B193:B208)</f>
        <v>0</v>
      </c>
      <c r="C209" s="55">
        <f>SUM(C193:C208)</f>
        <v>0</v>
      </c>
      <c r="D209" s="55">
        <f t="shared" ref="D209:N209" si="33">SUM(D193:D208)</f>
        <v>0</v>
      </c>
      <c r="E209" s="55">
        <f t="shared" si="33"/>
        <v>3</v>
      </c>
      <c r="F209" s="55">
        <f t="shared" si="33"/>
        <v>0</v>
      </c>
      <c r="G209" s="55">
        <f t="shared" si="33"/>
        <v>0</v>
      </c>
      <c r="H209" s="55">
        <f t="shared" si="33"/>
        <v>1</v>
      </c>
      <c r="I209" s="55">
        <f t="shared" si="33"/>
        <v>0</v>
      </c>
      <c r="J209" s="55">
        <f t="shared" si="33"/>
        <v>0</v>
      </c>
      <c r="K209" s="55">
        <f t="shared" si="33"/>
        <v>1</v>
      </c>
      <c r="L209" s="55">
        <f t="shared" si="33"/>
        <v>0</v>
      </c>
      <c r="M209" s="55">
        <f t="shared" si="33"/>
        <v>0</v>
      </c>
      <c r="N209" s="54">
        <f t="shared" si="33"/>
        <v>5</v>
      </c>
    </row>
    <row r="212" spans="1:14" ht="14" thickBot="1">
      <c r="B212" s="43" t="s">
        <v>35</v>
      </c>
      <c r="C212" s="43" t="s">
        <v>36</v>
      </c>
      <c r="D212" s="43" t="s">
        <v>37</v>
      </c>
      <c r="E212" s="43" t="s">
        <v>38</v>
      </c>
      <c r="F212" s="43" t="s">
        <v>39</v>
      </c>
      <c r="G212" s="43" t="s">
        <v>40</v>
      </c>
      <c r="H212" s="43" t="s">
        <v>41</v>
      </c>
      <c r="I212" s="43" t="s">
        <v>42</v>
      </c>
      <c r="J212" s="43" t="s">
        <v>43</v>
      </c>
      <c r="K212" s="43" t="s">
        <v>44</v>
      </c>
      <c r="L212" s="43" t="s">
        <v>45</v>
      </c>
      <c r="M212" s="43" t="s">
        <v>46</v>
      </c>
      <c r="N212" s="43" t="s">
        <v>10</v>
      </c>
    </row>
    <row r="213" spans="1:14" ht="17" thickBot="1">
      <c r="A213" s="31" t="s">
        <v>210</v>
      </c>
      <c r="B213" s="24"/>
      <c r="C213" s="24"/>
      <c r="D213" s="22"/>
      <c r="E213" s="22"/>
      <c r="F213" s="25"/>
      <c r="G213" s="25"/>
      <c r="H213" s="22"/>
      <c r="I213" s="22"/>
      <c r="J213" s="22"/>
      <c r="K213" s="22"/>
      <c r="L213" s="24"/>
      <c r="M213" s="24"/>
      <c r="N213" s="26"/>
    </row>
    <row r="214" spans="1:14" ht="14" thickBot="1">
      <c r="A214" s="38" t="str">
        <f>Ontario!A214</f>
        <v>SoCal Water$mart Residential Rebates</v>
      </c>
      <c r="B214" s="39"/>
      <c r="C214" s="39"/>
      <c r="D214" s="39"/>
      <c r="E214" s="39"/>
      <c r="F214" s="39"/>
      <c r="G214" s="39"/>
      <c r="H214" s="39"/>
      <c r="I214" s="39"/>
      <c r="J214" s="39"/>
      <c r="K214" s="39"/>
      <c r="L214" s="39"/>
      <c r="M214" s="39"/>
      <c r="N214" s="40"/>
    </row>
    <row r="215" spans="1:14">
      <c r="A215" s="32" t="str">
        <f>Ontario!A215</f>
        <v>High Efficiency Toilets (HET)</v>
      </c>
      <c r="B215" s="1092">
        <v>17</v>
      </c>
      <c r="C215" s="1092">
        <v>1</v>
      </c>
      <c r="D215" s="1092">
        <v>5</v>
      </c>
      <c r="E215" s="1092">
        <v>2</v>
      </c>
      <c r="F215" s="1092">
        <v>2</v>
      </c>
      <c r="G215" s="1092">
        <v>5</v>
      </c>
      <c r="H215" s="1092">
        <v>2</v>
      </c>
      <c r="I215" s="1092">
        <v>1</v>
      </c>
      <c r="J215" s="1092">
        <v>0</v>
      </c>
      <c r="K215" s="1092">
        <v>16</v>
      </c>
      <c r="L215" s="1092">
        <v>8</v>
      </c>
      <c r="M215" s="1092">
        <v>10</v>
      </c>
      <c r="N215" s="27">
        <f>SUM(B215:M215)</f>
        <v>69</v>
      </c>
    </row>
    <row r="216" spans="1:14">
      <c r="A216" s="32" t="str">
        <f>Ontario!A216</f>
        <v>High Efficiency Clothes Washers (HECW)</v>
      </c>
      <c r="B216" s="1092">
        <v>32</v>
      </c>
      <c r="C216" s="1092">
        <v>7</v>
      </c>
      <c r="D216" s="1092">
        <v>17</v>
      </c>
      <c r="E216" s="1092">
        <v>12</v>
      </c>
      <c r="F216" s="1092">
        <v>3</v>
      </c>
      <c r="G216" s="1092">
        <v>7</v>
      </c>
      <c r="H216" s="1092">
        <v>25</v>
      </c>
      <c r="I216" s="1092">
        <v>5</v>
      </c>
      <c r="J216" s="1092">
        <v>6</v>
      </c>
      <c r="K216" s="1092">
        <v>17</v>
      </c>
      <c r="L216" s="1092">
        <v>25</v>
      </c>
      <c r="M216" s="1092">
        <v>18</v>
      </c>
      <c r="N216" s="27">
        <f>SUM(B216:M216)</f>
        <v>174</v>
      </c>
    </row>
    <row r="217" spans="1:14">
      <c r="A217" s="32" t="str">
        <f>Ontario!A217</f>
        <v>Rotating Nozzles for Pop-up Spray Heads</v>
      </c>
      <c r="B217" s="1092">
        <v>0</v>
      </c>
      <c r="C217" s="1092">
        <v>0</v>
      </c>
      <c r="D217" s="1092">
        <v>1</v>
      </c>
      <c r="E217" s="1092">
        <v>0</v>
      </c>
      <c r="F217" s="1092">
        <v>0</v>
      </c>
      <c r="G217" s="1092">
        <v>0</v>
      </c>
      <c r="H217" s="1092">
        <v>0</v>
      </c>
      <c r="I217" s="1092">
        <v>0</v>
      </c>
      <c r="J217" s="1092">
        <v>0</v>
      </c>
      <c r="K217" s="1092">
        <v>0</v>
      </c>
      <c r="L217" s="1092">
        <v>0</v>
      </c>
      <c r="M217" s="1092">
        <v>0</v>
      </c>
      <c r="N217" s="27">
        <f>SUM(B217:M217)</f>
        <v>1</v>
      </c>
    </row>
    <row r="218" spans="1:14">
      <c r="A218" s="32" t="str">
        <f>Ontario!A218</f>
        <v>Weather Based Irrigation Controllers (WBIC)</v>
      </c>
      <c r="B218" s="1092">
        <v>0</v>
      </c>
      <c r="C218" s="1092">
        <v>0</v>
      </c>
      <c r="D218" s="1092">
        <v>1</v>
      </c>
      <c r="E218" s="1092">
        <v>0</v>
      </c>
      <c r="F218" s="1092">
        <v>0</v>
      </c>
      <c r="G218" s="1092">
        <v>0</v>
      </c>
      <c r="H218" s="1092">
        <v>0</v>
      </c>
      <c r="I218" s="1092">
        <v>1</v>
      </c>
      <c r="J218" s="1092">
        <v>0</v>
      </c>
      <c r="K218" s="1092">
        <v>1</v>
      </c>
      <c r="L218" s="1092">
        <v>0</v>
      </c>
      <c r="M218" s="1092">
        <v>2</v>
      </c>
      <c r="N218" s="27">
        <f>SUM(B218:M218)</f>
        <v>5</v>
      </c>
    </row>
    <row r="219" spans="1:14" ht="14" hidden="1" thickBot="1">
      <c r="A219" s="76" t="s">
        <v>182</v>
      </c>
      <c r="B219" s="1092"/>
      <c r="C219" s="1092"/>
      <c r="D219" s="1092"/>
      <c r="E219" s="1092"/>
      <c r="F219" s="1092"/>
      <c r="G219" s="1092"/>
      <c r="H219" s="1092"/>
      <c r="I219" s="1092"/>
      <c r="J219" s="1092"/>
      <c r="K219" s="1092"/>
      <c r="L219" s="1092"/>
      <c r="M219" s="1092"/>
      <c r="N219" s="27">
        <f>SUM(B219:M219)</f>
        <v>0</v>
      </c>
    </row>
    <row r="220" spans="1:14" ht="14" thickBot="1">
      <c r="A220" s="76" t="s">
        <v>212</v>
      </c>
      <c r="B220" s="1092">
        <v>0</v>
      </c>
      <c r="C220" s="1092">
        <v>0</v>
      </c>
      <c r="D220" s="1092">
        <v>0</v>
      </c>
      <c r="E220" s="1092">
        <v>0</v>
      </c>
      <c r="F220" s="1092">
        <v>0</v>
      </c>
      <c r="G220" s="1092">
        <v>0</v>
      </c>
      <c r="H220" s="1092">
        <v>0</v>
      </c>
      <c r="I220" s="1092">
        <v>0</v>
      </c>
      <c r="J220" s="1092">
        <v>0</v>
      </c>
      <c r="K220" s="1092">
        <v>0</v>
      </c>
      <c r="L220" s="1092">
        <v>0</v>
      </c>
      <c r="M220" s="1092">
        <v>0</v>
      </c>
      <c r="N220" s="27">
        <f>M220+L220+K220+J220+I220+H220+G220+F220+E220+D220+C220+B220</f>
        <v>0</v>
      </c>
    </row>
    <row r="221" spans="1:14" ht="14" thickBot="1">
      <c r="A221" s="38" t="str">
        <f>Ontario!A221</f>
        <v>IEUA Locally Implemented Residential Programs</v>
      </c>
      <c r="B221" s="39"/>
      <c r="C221" s="39"/>
      <c r="D221" s="39"/>
      <c r="E221" s="39"/>
      <c r="F221" s="39"/>
      <c r="G221" s="39"/>
      <c r="H221" s="39"/>
      <c r="I221" s="39"/>
      <c r="J221" s="39"/>
      <c r="K221" s="39"/>
      <c r="L221" s="39"/>
      <c r="M221" s="39"/>
      <c r="N221" s="40"/>
    </row>
    <row r="222" spans="1:14">
      <c r="A222" s="32" t="str">
        <f>Ontario!A222</f>
        <v>FreeSprinklerNozzles.com Program</v>
      </c>
      <c r="B222" s="1092">
        <v>0</v>
      </c>
      <c r="C222" s="1092">
        <v>0</v>
      </c>
      <c r="D222" s="1092">
        <v>0</v>
      </c>
      <c r="E222" s="1092">
        <v>0</v>
      </c>
      <c r="F222" s="1092">
        <v>0</v>
      </c>
      <c r="G222" s="1092">
        <v>0</v>
      </c>
      <c r="H222" s="1092">
        <v>0</v>
      </c>
      <c r="I222" s="1092">
        <v>0</v>
      </c>
      <c r="J222" s="1092">
        <v>0</v>
      </c>
      <c r="K222" s="1092">
        <v>0</v>
      </c>
      <c r="L222" s="1092">
        <v>0</v>
      </c>
      <c r="M222" s="1092">
        <v>0</v>
      </c>
      <c r="N222" s="27">
        <f>SUM(B222:M222)</f>
        <v>0</v>
      </c>
    </row>
    <row r="223" spans="1:14">
      <c r="A223" s="32" t="str">
        <f>Ontario!A223</f>
        <v>Residential Landscape Retrofit Program</v>
      </c>
      <c r="B223" s="1092">
        <v>0</v>
      </c>
      <c r="C223" s="1092">
        <v>0</v>
      </c>
      <c r="D223" s="1092">
        <v>0</v>
      </c>
      <c r="E223" s="1092">
        <v>0</v>
      </c>
      <c r="F223" s="1092">
        <v>0</v>
      </c>
      <c r="G223" s="1092">
        <v>0</v>
      </c>
      <c r="H223" s="1092">
        <v>0</v>
      </c>
      <c r="I223" s="1092">
        <v>2</v>
      </c>
      <c r="J223" s="1092">
        <v>2</v>
      </c>
      <c r="K223" s="1092">
        <v>8</v>
      </c>
      <c r="L223" s="1092">
        <v>9</v>
      </c>
      <c r="M223" s="1092">
        <v>2</v>
      </c>
      <c r="N223" s="27">
        <f>SUM(B223:M223)</f>
        <v>23</v>
      </c>
    </row>
    <row r="224" spans="1:14" ht="14" thickBot="1">
      <c r="A224" s="32" t="str">
        <f>Ontario!A224</f>
        <v>Landscape Transformation Program</v>
      </c>
      <c r="B224" s="1092">
        <v>0</v>
      </c>
      <c r="C224" s="1092">
        <v>0</v>
      </c>
      <c r="D224" s="1092">
        <v>0</v>
      </c>
      <c r="E224" s="1092">
        <v>0</v>
      </c>
      <c r="F224" s="1092">
        <v>0</v>
      </c>
      <c r="G224" s="1092">
        <v>0</v>
      </c>
      <c r="H224" s="1092">
        <v>3</v>
      </c>
      <c r="I224" s="1092">
        <v>2</v>
      </c>
      <c r="J224" s="1092">
        <v>1</v>
      </c>
      <c r="K224" s="1092">
        <v>1</v>
      </c>
      <c r="L224" s="1092">
        <v>3</v>
      </c>
      <c r="M224" s="1092">
        <v>1</v>
      </c>
      <c r="N224" s="27">
        <f>SUM(B224:M224)</f>
        <v>11</v>
      </c>
    </row>
    <row r="225" spans="1:14" ht="14" thickBot="1">
      <c r="A225" s="53" t="s">
        <v>60</v>
      </c>
      <c r="B225" s="55">
        <f>SUM(B215:B224)</f>
        <v>49</v>
      </c>
      <c r="C225" s="55">
        <f t="shared" ref="C225:M225" si="34">SUM(C215:C224)</f>
        <v>8</v>
      </c>
      <c r="D225" s="55">
        <f t="shared" si="34"/>
        <v>24</v>
      </c>
      <c r="E225" s="55">
        <f t="shared" si="34"/>
        <v>14</v>
      </c>
      <c r="F225" s="55">
        <f t="shared" si="34"/>
        <v>5</v>
      </c>
      <c r="G225" s="55">
        <f t="shared" si="34"/>
        <v>12</v>
      </c>
      <c r="H225" s="55">
        <f t="shared" si="34"/>
        <v>30</v>
      </c>
      <c r="I225" s="55">
        <f t="shared" si="34"/>
        <v>11</v>
      </c>
      <c r="J225" s="55">
        <f t="shared" si="34"/>
        <v>9</v>
      </c>
      <c r="K225" s="55">
        <f t="shared" si="34"/>
        <v>43</v>
      </c>
      <c r="L225" s="55">
        <f t="shared" si="34"/>
        <v>45</v>
      </c>
      <c r="M225" s="55">
        <f t="shared" si="34"/>
        <v>33</v>
      </c>
      <c r="N225" s="54">
        <f>SUM(N215:N224)</f>
        <v>283</v>
      </c>
    </row>
    <row r="226" spans="1:14" ht="14" hidden="1" thickBot="1">
      <c r="A226" s="38" t="str">
        <f>Ontario!A226</f>
        <v xml:space="preserve">IEUA High Efficiency Toilet (HET) Installation Prog. </v>
      </c>
      <c r="B226" s="39"/>
      <c r="C226" s="39"/>
      <c r="D226" s="39"/>
      <c r="E226" s="39"/>
      <c r="F226" s="39"/>
      <c r="G226" s="39"/>
      <c r="H226" s="39"/>
      <c r="I226" s="39"/>
      <c r="J226" s="39"/>
      <c r="K226" s="39"/>
      <c r="L226" s="39"/>
      <c r="M226" s="39"/>
      <c r="N226" s="40"/>
    </row>
    <row r="227" spans="1:14" hidden="1">
      <c r="A227" s="32" t="str">
        <f>Ontario!A227</f>
        <v>IEUA Multi-Family Direct Install Prog. (HET/ULFT)</v>
      </c>
      <c r="B227" s="168"/>
      <c r="C227" s="168"/>
      <c r="D227" s="168"/>
      <c r="E227" s="168"/>
      <c r="F227" s="168"/>
      <c r="G227" s="168"/>
      <c r="H227" s="168"/>
      <c r="I227" s="168"/>
      <c r="J227" s="168"/>
      <c r="K227" s="168"/>
      <c r="L227" s="168"/>
      <c r="M227" s="168"/>
      <c r="N227" s="27">
        <f>SUM(B227:M227)</f>
        <v>0</v>
      </c>
    </row>
    <row r="228" spans="1:14" ht="14" hidden="1" thickBot="1">
      <c r="A228" s="32" t="str">
        <f>Ontario!A228</f>
        <v>IEUA Single-Family Direct Install Prog. (HET/ULFT)</v>
      </c>
      <c r="B228" s="168"/>
      <c r="C228" s="168"/>
      <c r="D228" s="168"/>
      <c r="E228" s="168"/>
      <c r="F228" s="168"/>
      <c r="G228" s="168"/>
      <c r="H228" s="168"/>
      <c r="I228" s="168"/>
      <c r="J228" s="168"/>
      <c r="K228" s="168"/>
      <c r="L228" s="168"/>
      <c r="M228" s="168"/>
      <c r="N228" s="27">
        <f>SUM(B228:M228)</f>
        <v>0</v>
      </c>
    </row>
    <row r="229" spans="1:14" ht="14" hidden="1" thickBot="1">
      <c r="A229" s="53" t="s">
        <v>60</v>
      </c>
      <c r="B229" s="55">
        <f>SUM(B227:B228)</f>
        <v>0</v>
      </c>
      <c r="C229" s="55">
        <f t="shared" ref="C229:M229" si="35">SUM(C227:C228)</f>
        <v>0</v>
      </c>
      <c r="D229" s="55">
        <f t="shared" si="35"/>
        <v>0</v>
      </c>
      <c r="E229" s="55">
        <f t="shared" si="35"/>
        <v>0</v>
      </c>
      <c r="F229" s="55">
        <f t="shared" si="35"/>
        <v>0</v>
      </c>
      <c r="G229" s="55">
        <f t="shared" si="35"/>
        <v>0</v>
      </c>
      <c r="H229" s="55">
        <f t="shared" si="35"/>
        <v>0</v>
      </c>
      <c r="I229" s="55">
        <f t="shared" si="35"/>
        <v>0</v>
      </c>
      <c r="J229" s="55">
        <f t="shared" si="35"/>
        <v>0</v>
      </c>
      <c r="K229" s="55">
        <f t="shared" si="35"/>
        <v>0</v>
      </c>
      <c r="L229" s="55">
        <f t="shared" si="35"/>
        <v>0</v>
      </c>
      <c r="M229" s="55">
        <f t="shared" si="35"/>
        <v>0</v>
      </c>
      <c r="N229" s="54">
        <f>SUM(N227:N228)</f>
        <v>0</v>
      </c>
    </row>
    <row r="230" spans="1:14" ht="14" thickBot="1">
      <c r="A230" s="38" t="str">
        <f>Ontario!A230</f>
        <v>SoCal Water$mart Commercial Rebates</v>
      </c>
      <c r="B230" s="39"/>
      <c r="C230" s="39"/>
      <c r="D230" s="39"/>
      <c r="E230" s="39"/>
      <c r="F230" s="39"/>
      <c r="G230" s="39"/>
      <c r="H230" s="39"/>
      <c r="I230" s="39"/>
      <c r="J230" s="39"/>
      <c r="K230" s="39"/>
      <c r="L230" s="39"/>
      <c r="M230" s="39"/>
      <c r="N230" s="40"/>
    </row>
    <row r="231" spans="1:14">
      <c r="A231" s="32" t="str">
        <f>Ontario!A231</f>
        <v>High Efficiency Toilets (HET)</v>
      </c>
      <c r="B231" s="1092">
        <v>0</v>
      </c>
      <c r="C231" s="1092">
        <v>0</v>
      </c>
      <c r="D231" s="1092">
        <v>0</v>
      </c>
      <c r="E231" s="1092">
        <v>3</v>
      </c>
      <c r="F231" s="1092">
        <v>0</v>
      </c>
      <c r="G231" s="1092">
        <v>19</v>
      </c>
      <c r="H231" s="1092">
        <v>0</v>
      </c>
      <c r="I231" s="1092">
        <v>0</v>
      </c>
      <c r="J231" s="1092">
        <v>0</v>
      </c>
      <c r="K231" s="1092">
        <v>0</v>
      </c>
      <c r="L231" s="1092">
        <v>0</v>
      </c>
      <c r="M231" s="1092">
        <v>0</v>
      </c>
      <c r="N231" s="27">
        <f t="shared" ref="N231:N240" si="36">SUM(B231:M231)</f>
        <v>22</v>
      </c>
    </row>
    <row r="232" spans="1:14">
      <c r="A232" s="32" t="str">
        <f>Ontario!A232</f>
        <v>Waterless Urinals</v>
      </c>
      <c r="B232" s="1092">
        <v>0</v>
      </c>
      <c r="C232" s="1092">
        <v>0</v>
      </c>
      <c r="D232" s="1092">
        <v>0</v>
      </c>
      <c r="E232" s="1092">
        <v>0</v>
      </c>
      <c r="F232" s="1092">
        <v>0</v>
      </c>
      <c r="G232" s="1092">
        <v>0</v>
      </c>
      <c r="H232" s="1092">
        <v>0</v>
      </c>
      <c r="I232" s="1092">
        <v>0</v>
      </c>
      <c r="J232" s="1092">
        <v>0</v>
      </c>
      <c r="K232" s="1092">
        <v>0</v>
      </c>
      <c r="L232" s="1092">
        <v>0</v>
      </c>
      <c r="M232" s="1092">
        <v>0</v>
      </c>
      <c r="N232" s="27">
        <f t="shared" si="36"/>
        <v>0</v>
      </c>
    </row>
    <row r="233" spans="1:14">
      <c r="A233" s="32" t="s">
        <v>204</v>
      </c>
      <c r="B233" s="1092">
        <v>0</v>
      </c>
      <c r="C233" s="1092">
        <v>0</v>
      </c>
      <c r="D233" s="1092">
        <v>0</v>
      </c>
      <c r="E233" s="1092">
        <v>0</v>
      </c>
      <c r="F233" s="1092">
        <v>0</v>
      </c>
      <c r="G233" s="1092">
        <v>0</v>
      </c>
      <c r="H233" s="1092">
        <v>0</v>
      </c>
      <c r="I233" s="1092">
        <v>0</v>
      </c>
      <c r="J233" s="1092">
        <v>0</v>
      </c>
      <c r="K233" s="1092">
        <v>0</v>
      </c>
      <c r="L233" s="1092">
        <v>0</v>
      </c>
      <c r="M233" s="1092">
        <v>0</v>
      </c>
      <c r="N233" s="27">
        <f t="shared" si="36"/>
        <v>0</v>
      </c>
    </row>
    <row r="234" spans="1:14" hidden="1">
      <c r="A234" s="32" t="str">
        <f>Ontario!A234</f>
        <v>High Efficiency Clothes Washers</v>
      </c>
      <c r="B234" s="1092"/>
      <c r="C234" s="1092"/>
      <c r="D234" s="1092"/>
      <c r="E234" s="1092"/>
      <c r="F234" s="1092"/>
      <c r="G234" s="1092"/>
      <c r="H234" s="1092"/>
      <c r="I234" s="1092"/>
      <c r="J234" s="1092"/>
      <c r="K234" s="1092"/>
      <c r="L234" s="1092"/>
      <c r="M234" s="1092"/>
      <c r="N234" s="27">
        <f t="shared" si="36"/>
        <v>0</v>
      </c>
    </row>
    <row r="235" spans="1:14" hidden="1">
      <c r="A235" s="35" t="s">
        <v>47</v>
      </c>
      <c r="B235" s="1092"/>
      <c r="C235" s="1092"/>
      <c r="D235" s="1092"/>
      <c r="E235" s="1092"/>
      <c r="F235" s="1092"/>
      <c r="G235" s="1092"/>
      <c r="H235" s="1092"/>
      <c r="I235" s="1092"/>
      <c r="J235" s="1092"/>
      <c r="K235" s="1092"/>
      <c r="L235" s="1092"/>
      <c r="M235" s="1092"/>
      <c r="N235" s="27">
        <f t="shared" si="36"/>
        <v>0</v>
      </c>
    </row>
    <row r="236" spans="1:14">
      <c r="A236" s="32" t="str">
        <f>Ontario!A236</f>
        <v>Weather Based Irrigation Controllers (WBIC)</v>
      </c>
      <c r="B236" s="1092">
        <v>0</v>
      </c>
      <c r="C236" s="1092">
        <v>0</v>
      </c>
      <c r="D236" s="1092">
        <v>0</v>
      </c>
      <c r="E236" s="1092">
        <v>0</v>
      </c>
      <c r="F236" s="1092">
        <v>0</v>
      </c>
      <c r="G236" s="1092">
        <v>0</v>
      </c>
      <c r="H236" s="1092">
        <v>0</v>
      </c>
      <c r="I236" s="1092">
        <v>0</v>
      </c>
      <c r="J236" s="1092">
        <v>0</v>
      </c>
      <c r="K236" s="1092">
        <v>0</v>
      </c>
      <c r="L236" s="1092">
        <v>0</v>
      </c>
      <c r="M236" s="1092">
        <v>0</v>
      </c>
      <c r="N236" s="27">
        <f t="shared" si="36"/>
        <v>0</v>
      </c>
    </row>
    <row r="237" spans="1:14" hidden="1">
      <c r="A237" s="76" t="s">
        <v>150</v>
      </c>
      <c r="B237" s="1092"/>
      <c r="C237" s="1092"/>
      <c r="D237" s="1092"/>
      <c r="E237" s="1092"/>
      <c r="F237" s="1092"/>
      <c r="G237" s="1092"/>
      <c r="H237" s="1092"/>
      <c r="I237" s="1092"/>
      <c r="J237" s="1092"/>
      <c r="K237" s="1092"/>
      <c r="L237" s="1092"/>
      <c r="M237" s="1092"/>
      <c r="N237" s="27">
        <f t="shared" si="36"/>
        <v>0</v>
      </c>
    </row>
    <row r="238" spans="1:14">
      <c r="A238" s="32" t="str">
        <f>Ontario!A238</f>
        <v>Rotating Nozzles for Pop-up Spray Heads</v>
      </c>
      <c r="B238" s="1092">
        <v>0</v>
      </c>
      <c r="C238" s="1092">
        <v>0</v>
      </c>
      <c r="D238" s="1092">
        <v>0</v>
      </c>
      <c r="E238" s="1092">
        <v>0</v>
      </c>
      <c r="F238" s="1092">
        <v>0</v>
      </c>
      <c r="G238" s="1092">
        <v>0</v>
      </c>
      <c r="H238" s="1092">
        <v>0</v>
      </c>
      <c r="I238" s="1092">
        <v>0</v>
      </c>
      <c r="J238" s="1092">
        <v>0</v>
      </c>
      <c r="K238" s="1092">
        <v>0</v>
      </c>
      <c r="L238" s="1092">
        <v>0</v>
      </c>
      <c r="M238" s="1092">
        <v>0</v>
      </c>
      <c r="N238" s="27">
        <f t="shared" si="36"/>
        <v>0</v>
      </c>
    </row>
    <row r="239" spans="1:14">
      <c r="A239" s="32" t="str">
        <f>Ontario!A239</f>
        <v>Large Rotary Nozzles</v>
      </c>
      <c r="B239" s="1092">
        <v>0</v>
      </c>
      <c r="C239" s="1092">
        <v>0</v>
      </c>
      <c r="D239" s="1092">
        <v>0</v>
      </c>
      <c r="E239" s="1092">
        <v>0</v>
      </c>
      <c r="F239" s="1092">
        <v>0</v>
      </c>
      <c r="G239" s="1092">
        <v>0</v>
      </c>
      <c r="H239" s="1092">
        <v>0</v>
      </c>
      <c r="I239" s="1092">
        <v>0</v>
      </c>
      <c r="J239" s="1092">
        <v>0</v>
      </c>
      <c r="K239" s="1092">
        <v>0</v>
      </c>
      <c r="L239" s="1092">
        <v>0</v>
      </c>
      <c r="M239" s="1092">
        <v>0</v>
      </c>
      <c r="N239" s="27">
        <f t="shared" si="36"/>
        <v>0</v>
      </c>
    </row>
    <row r="240" spans="1:14" hidden="1">
      <c r="A240" s="32" t="s">
        <v>102</v>
      </c>
      <c r="B240" s="1092"/>
      <c r="C240" s="1092"/>
      <c r="D240" s="1092"/>
      <c r="E240" s="1092"/>
      <c r="F240" s="1092"/>
      <c r="G240" s="1092"/>
      <c r="H240" s="1092"/>
      <c r="I240" s="1092"/>
      <c r="J240" s="1092"/>
      <c r="K240" s="1092"/>
      <c r="L240" s="1092"/>
      <c r="M240" s="1092"/>
      <c r="N240" s="27">
        <f t="shared" si="36"/>
        <v>0</v>
      </c>
    </row>
    <row r="241" spans="1:14">
      <c r="A241" s="32" t="str">
        <f>Ontario!A241</f>
        <v xml:space="preserve">Central Computerized Irrigation Controller </v>
      </c>
      <c r="B241" s="1092">
        <v>0</v>
      </c>
      <c r="C241" s="1092">
        <v>0</v>
      </c>
      <c r="D241" s="1092">
        <v>0</v>
      </c>
      <c r="E241" s="1092">
        <v>0</v>
      </c>
      <c r="F241" s="1092">
        <v>0</v>
      </c>
      <c r="G241" s="1092">
        <v>0</v>
      </c>
      <c r="H241" s="1092">
        <v>0</v>
      </c>
      <c r="I241" s="1092">
        <v>0</v>
      </c>
      <c r="J241" s="1092">
        <v>0</v>
      </c>
      <c r="K241" s="1092">
        <v>0</v>
      </c>
      <c r="L241" s="1092">
        <v>0</v>
      </c>
      <c r="M241" s="1092">
        <v>0</v>
      </c>
      <c r="N241" s="27">
        <f>SUM(B241:M241)</f>
        <v>0</v>
      </c>
    </row>
    <row r="242" spans="1:14">
      <c r="A242" s="32" t="str">
        <f>Ontario!A242</f>
        <v>Laminar Flow Restrictor</v>
      </c>
      <c r="B242" s="1092">
        <v>65</v>
      </c>
      <c r="C242" s="1092">
        <v>0</v>
      </c>
      <c r="D242" s="1092">
        <v>0</v>
      </c>
      <c r="E242" s="1092">
        <v>0</v>
      </c>
      <c r="F242" s="1092">
        <v>0</v>
      </c>
      <c r="G242" s="1092">
        <v>0</v>
      </c>
      <c r="H242" s="1092">
        <v>0</v>
      </c>
      <c r="I242" s="1092">
        <v>1106</v>
      </c>
      <c r="J242" s="1092">
        <v>0</v>
      </c>
      <c r="K242" s="1092">
        <v>0</v>
      </c>
      <c r="L242" s="1092">
        <v>0</v>
      </c>
      <c r="M242" s="1092">
        <v>0</v>
      </c>
      <c r="N242" s="27">
        <f>SUM(B242:M242)</f>
        <v>1171</v>
      </c>
    </row>
    <row r="243" spans="1:14">
      <c r="A243" s="32" t="str">
        <f>Ontario!A243</f>
        <v>Air-Cooled Ice Machine</v>
      </c>
      <c r="B243" s="1092">
        <v>0</v>
      </c>
      <c r="C243" s="1092">
        <v>0</v>
      </c>
      <c r="D243" s="1092">
        <v>0</v>
      </c>
      <c r="E243" s="1092">
        <v>0</v>
      </c>
      <c r="F243" s="1092">
        <v>0</v>
      </c>
      <c r="G243" s="1092">
        <v>0</v>
      </c>
      <c r="H243" s="1092">
        <v>0</v>
      </c>
      <c r="I243" s="1092">
        <v>0</v>
      </c>
      <c r="J243" s="1092">
        <v>0</v>
      </c>
      <c r="K243" s="1092">
        <v>0</v>
      </c>
      <c r="L243" s="1092">
        <v>0</v>
      </c>
      <c r="M243" s="1092">
        <v>0</v>
      </c>
      <c r="N243" s="27">
        <f>SUM(B243:M243)</f>
        <v>0</v>
      </c>
    </row>
    <row r="244" spans="1:14" ht="14" thickBot="1">
      <c r="A244" s="32" t="s">
        <v>213</v>
      </c>
      <c r="B244" s="1092">
        <v>0</v>
      </c>
      <c r="C244" s="1092">
        <v>0</v>
      </c>
      <c r="D244" s="1092">
        <v>0</v>
      </c>
      <c r="E244" s="1092">
        <v>0</v>
      </c>
      <c r="F244" s="1092">
        <v>0</v>
      </c>
      <c r="G244" s="1092">
        <v>0</v>
      </c>
      <c r="H244" s="1092">
        <v>0</v>
      </c>
      <c r="I244" s="1092">
        <v>0</v>
      </c>
      <c r="J244" s="1092">
        <v>0</v>
      </c>
      <c r="K244" s="1092">
        <v>0</v>
      </c>
      <c r="L244" s="1092">
        <v>0</v>
      </c>
      <c r="M244" s="1092">
        <v>0</v>
      </c>
      <c r="N244" s="27">
        <f>SUM(B244:M244)</f>
        <v>0</v>
      </c>
    </row>
    <row r="245" spans="1:14" ht="14" thickBot="1">
      <c r="A245" s="38" t="str">
        <f>Ontario!A245</f>
        <v>IEUA Locally Implemented Commercial Programs</v>
      </c>
      <c r="B245" s="39"/>
      <c r="C245" s="39"/>
      <c r="D245" s="39"/>
      <c r="E245" s="39"/>
      <c r="F245" s="39"/>
      <c r="G245" s="39"/>
      <c r="H245" s="39"/>
      <c r="I245" s="39"/>
      <c r="J245" s="39"/>
      <c r="K245" s="39"/>
      <c r="L245" s="39"/>
      <c r="M245" s="39"/>
      <c r="N245" s="40"/>
    </row>
    <row r="246" spans="1:14" hidden="1">
      <c r="A246" s="32" t="str">
        <f>Ontario!A246</f>
        <v>Fontana Unified School Retrofit Program</v>
      </c>
      <c r="B246" s="168"/>
      <c r="C246" s="168"/>
      <c r="D246" s="168"/>
      <c r="E246" s="168"/>
      <c r="F246" s="168"/>
      <c r="G246" s="168"/>
      <c r="H246" s="168"/>
      <c r="I246" s="168"/>
      <c r="J246" s="168"/>
      <c r="K246" s="168"/>
      <c r="L246" s="168"/>
      <c r="M246" s="168"/>
      <c r="N246" s="27">
        <f>SUM(B246:M246)</f>
        <v>0</v>
      </c>
    </row>
    <row r="247" spans="1:14" ht="14" thickBot="1">
      <c r="A247" s="32" t="str">
        <f>Ontario!A247</f>
        <v>FreeSprinklerNozzles.com Program</v>
      </c>
      <c r="B247" s="1092">
        <v>0</v>
      </c>
      <c r="C247" s="1092">
        <v>0</v>
      </c>
      <c r="D247" s="1092">
        <v>0</v>
      </c>
      <c r="E247" s="1092">
        <v>0</v>
      </c>
      <c r="F247" s="1092">
        <v>0</v>
      </c>
      <c r="G247" s="1092">
        <v>0</v>
      </c>
      <c r="H247" s="1092">
        <v>0</v>
      </c>
      <c r="I247" s="1092">
        <v>0</v>
      </c>
      <c r="J247" s="1092">
        <v>0</v>
      </c>
      <c r="K247" s="1092">
        <v>0</v>
      </c>
      <c r="L247" s="1092">
        <v>0</v>
      </c>
      <c r="M247" s="1092">
        <v>0</v>
      </c>
      <c r="N247" s="27">
        <f>SUM(B247:M247)</f>
        <v>0</v>
      </c>
    </row>
    <row r="248" spans="1:14" ht="14" thickBot="1">
      <c r="A248" s="53" t="s">
        <v>60</v>
      </c>
      <c r="B248" s="55">
        <f>SUM(B231:B247)</f>
        <v>65</v>
      </c>
      <c r="C248" s="55">
        <f>SUM(C231:C247)</f>
        <v>0</v>
      </c>
      <c r="D248" s="55">
        <f t="shared" ref="D248:M248" si="37">SUM(D231:D247)</f>
        <v>0</v>
      </c>
      <c r="E248" s="55">
        <f t="shared" si="37"/>
        <v>3</v>
      </c>
      <c r="F248" s="55">
        <f t="shared" si="37"/>
        <v>0</v>
      </c>
      <c r="G248" s="55">
        <f t="shared" si="37"/>
        <v>19</v>
      </c>
      <c r="H248" s="55">
        <f t="shared" si="37"/>
        <v>0</v>
      </c>
      <c r="I248" s="55">
        <f t="shared" si="37"/>
        <v>1106</v>
      </c>
      <c r="J248" s="55">
        <f>SUM(J231:J247)</f>
        <v>0</v>
      </c>
      <c r="K248" s="55">
        <f t="shared" si="37"/>
        <v>0</v>
      </c>
      <c r="L248" s="55">
        <f t="shared" si="37"/>
        <v>0</v>
      </c>
      <c r="M248" s="55">
        <f t="shared" si="37"/>
        <v>0</v>
      </c>
      <c r="N248" s="54">
        <f>SUM(N231:N247)</f>
        <v>1193</v>
      </c>
    </row>
    <row r="250" spans="1:14" ht="14" thickBot="1">
      <c r="B250" s="43" t="s">
        <v>35</v>
      </c>
      <c r="C250" s="43" t="s">
        <v>36</v>
      </c>
      <c r="D250" s="43" t="s">
        <v>37</v>
      </c>
      <c r="E250" s="43" t="s">
        <v>38</v>
      </c>
      <c r="F250" s="43" t="s">
        <v>39</v>
      </c>
      <c r="G250" s="43" t="s">
        <v>40</v>
      </c>
      <c r="H250" s="43" t="s">
        <v>41</v>
      </c>
      <c r="I250" s="43" t="s">
        <v>42</v>
      </c>
      <c r="J250" s="43" t="s">
        <v>43</v>
      </c>
      <c r="K250" s="43" t="s">
        <v>44</v>
      </c>
      <c r="L250" s="43" t="s">
        <v>45</v>
      </c>
      <c r="M250" s="43" t="s">
        <v>46</v>
      </c>
      <c r="N250" s="43" t="s">
        <v>10</v>
      </c>
    </row>
    <row r="251" spans="1:14" ht="17" thickBot="1">
      <c r="A251" s="31" t="s">
        <v>234</v>
      </c>
      <c r="B251" s="24"/>
      <c r="C251" s="24"/>
      <c r="D251" s="22"/>
      <c r="E251" s="22"/>
      <c r="F251" s="25"/>
      <c r="G251" s="25"/>
      <c r="H251" s="22"/>
      <c r="I251" s="22"/>
      <c r="J251" s="22"/>
      <c r="K251" s="22"/>
      <c r="L251" s="24"/>
      <c r="M251" s="24"/>
      <c r="N251" s="26"/>
    </row>
    <row r="252" spans="1:14" ht="14" thickBot="1">
      <c r="A252" s="38" t="s">
        <v>189</v>
      </c>
      <c r="B252" s="39"/>
      <c r="C252" s="39"/>
      <c r="D252" s="39"/>
      <c r="E252" s="39"/>
      <c r="F252" s="39"/>
      <c r="G252" s="39"/>
      <c r="H252" s="39"/>
      <c r="I252" s="39"/>
      <c r="J252" s="39"/>
      <c r="K252" s="39"/>
      <c r="L252" s="39"/>
      <c r="M252" s="39"/>
      <c r="N252" s="40"/>
    </row>
    <row r="253" spans="1:14">
      <c r="A253" s="32" t="s">
        <v>29</v>
      </c>
      <c r="B253" s="1092">
        <v>4</v>
      </c>
      <c r="C253" s="1092">
        <v>9</v>
      </c>
      <c r="D253" s="1092">
        <v>77</v>
      </c>
      <c r="E253" s="1092">
        <v>28</v>
      </c>
      <c r="F253" s="1092">
        <v>12</v>
      </c>
      <c r="G253" s="1092">
        <v>9</v>
      </c>
      <c r="H253" s="1092">
        <v>14</v>
      </c>
      <c r="I253" s="1092">
        <v>13</v>
      </c>
      <c r="J253" s="1092">
        <v>21</v>
      </c>
      <c r="K253" s="1092">
        <v>29</v>
      </c>
      <c r="L253" s="1092">
        <v>24</v>
      </c>
      <c r="M253" s="1092">
        <v>14</v>
      </c>
      <c r="N253" s="27">
        <f t="shared" ref="N253:N258" si="38">SUM(B253:M253)</f>
        <v>254</v>
      </c>
    </row>
    <row r="254" spans="1:14">
      <c r="A254" s="32" t="s">
        <v>33</v>
      </c>
      <c r="B254" s="1092">
        <v>22</v>
      </c>
      <c r="C254" s="1092">
        <v>19</v>
      </c>
      <c r="D254" s="1092">
        <v>13</v>
      </c>
      <c r="E254" s="1092">
        <v>22</v>
      </c>
      <c r="F254" s="1092">
        <v>10</v>
      </c>
      <c r="G254" s="1092">
        <v>9</v>
      </c>
      <c r="H254" s="1092">
        <v>5</v>
      </c>
      <c r="I254" s="1092">
        <v>17</v>
      </c>
      <c r="J254" s="1092">
        <v>26</v>
      </c>
      <c r="K254" s="1092">
        <v>10</v>
      </c>
      <c r="L254" s="1092">
        <v>12</v>
      </c>
      <c r="M254" s="1092">
        <v>5</v>
      </c>
      <c r="N254" s="27">
        <f t="shared" si="38"/>
        <v>170</v>
      </c>
    </row>
    <row r="255" spans="1:14">
      <c r="A255" s="32" t="s">
        <v>56</v>
      </c>
      <c r="B255" s="1092">
        <v>31</v>
      </c>
      <c r="C255" s="1092">
        <v>50</v>
      </c>
      <c r="D255" s="1092">
        <v>15</v>
      </c>
      <c r="E255" s="1092">
        <v>0</v>
      </c>
      <c r="F255" s="1092">
        <v>0</v>
      </c>
      <c r="G255" s="1092">
        <v>0</v>
      </c>
      <c r="H255" s="1092">
        <v>15</v>
      </c>
      <c r="I255" s="1092">
        <v>0</v>
      </c>
      <c r="J255" s="1092">
        <v>0</v>
      </c>
      <c r="K255" s="1092">
        <v>0</v>
      </c>
      <c r="L255" s="1092">
        <v>0</v>
      </c>
      <c r="M255" s="1092">
        <v>30</v>
      </c>
      <c r="N255" s="27">
        <f t="shared" si="38"/>
        <v>141</v>
      </c>
    </row>
    <row r="256" spans="1:14">
      <c r="A256" s="78" t="s">
        <v>30</v>
      </c>
      <c r="B256" s="1092">
        <v>0</v>
      </c>
      <c r="C256" s="1092">
        <v>0</v>
      </c>
      <c r="D256" s="1092">
        <v>2</v>
      </c>
      <c r="E256" s="1092">
        <v>0</v>
      </c>
      <c r="F256" s="1092">
        <v>0</v>
      </c>
      <c r="G256" s="1092">
        <v>0</v>
      </c>
      <c r="H256" s="1092">
        <v>1</v>
      </c>
      <c r="I256" s="1092">
        <v>0</v>
      </c>
      <c r="J256" s="1092">
        <v>0</v>
      </c>
      <c r="K256" s="1092">
        <v>1</v>
      </c>
      <c r="L256" s="1092">
        <v>0</v>
      </c>
      <c r="M256" s="1092">
        <v>0</v>
      </c>
      <c r="N256" s="27">
        <f t="shared" si="38"/>
        <v>4</v>
      </c>
    </row>
    <row r="257" spans="1:15">
      <c r="A257" s="76" t="s">
        <v>213</v>
      </c>
      <c r="B257" s="1092">
        <v>0</v>
      </c>
      <c r="C257" s="1092">
        <v>0</v>
      </c>
      <c r="D257" s="1092">
        <v>0</v>
      </c>
      <c r="E257" s="1092">
        <v>0</v>
      </c>
      <c r="F257" s="1092">
        <v>0</v>
      </c>
      <c r="G257" s="1092">
        <v>0</v>
      </c>
      <c r="H257" s="1092">
        <v>0</v>
      </c>
      <c r="I257" s="1092">
        <v>0</v>
      </c>
      <c r="J257" s="1092">
        <v>0</v>
      </c>
      <c r="K257" s="1092">
        <v>0</v>
      </c>
      <c r="L257" s="1092">
        <v>0</v>
      </c>
      <c r="M257" s="1092">
        <v>0</v>
      </c>
      <c r="N257" s="27">
        <f t="shared" si="38"/>
        <v>0</v>
      </c>
    </row>
    <row r="258" spans="1:15" ht="14" thickBot="1">
      <c r="A258" s="76" t="s">
        <v>212</v>
      </c>
      <c r="B258" s="1092">
        <v>0</v>
      </c>
      <c r="C258" s="1092">
        <v>0</v>
      </c>
      <c r="D258" s="1092">
        <v>4</v>
      </c>
      <c r="E258" s="1092">
        <v>0</v>
      </c>
      <c r="F258" s="1092">
        <v>0</v>
      </c>
      <c r="G258" s="1092">
        <v>0</v>
      </c>
      <c r="H258" s="1092">
        <v>1</v>
      </c>
      <c r="I258" s="1092">
        <v>0</v>
      </c>
      <c r="J258" s="1092">
        <v>0</v>
      </c>
      <c r="K258" s="1092">
        <v>0</v>
      </c>
      <c r="L258" s="1092">
        <v>4</v>
      </c>
      <c r="M258" s="1092">
        <v>1</v>
      </c>
      <c r="N258" s="27">
        <f t="shared" si="38"/>
        <v>10</v>
      </c>
    </row>
    <row r="259" spans="1:15" ht="14" thickBot="1">
      <c r="A259" s="38" t="s">
        <v>190</v>
      </c>
      <c r="B259" s="39"/>
      <c r="C259" s="39"/>
      <c r="D259" s="39"/>
      <c r="E259" s="39"/>
      <c r="F259" s="39"/>
      <c r="G259" s="39"/>
      <c r="H259" s="39"/>
      <c r="I259" s="39"/>
      <c r="J259" s="39"/>
      <c r="K259" s="39"/>
      <c r="L259" s="39"/>
      <c r="M259" s="39"/>
      <c r="N259" s="40"/>
    </row>
    <row r="260" spans="1:15">
      <c r="A260" s="76" t="s">
        <v>165</v>
      </c>
      <c r="B260" s="1092">
        <v>0</v>
      </c>
      <c r="C260" s="1092">
        <v>0</v>
      </c>
      <c r="D260" s="1092">
        <v>0</v>
      </c>
      <c r="E260" s="1092">
        <v>0</v>
      </c>
      <c r="F260" s="1092">
        <v>0</v>
      </c>
      <c r="G260" s="1092">
        <v>0</v>
      </c>
      <c r="H260" s="1092">
        <v>0</v>
      </c>
      <c r="I260" s="1092">
        <v>0</v>
      </c>
      <c r="J260" s="1092">
        <v>0</v>
      </c>
      <c r="K260" s="1092">
        <v>0</v>
      </c>
      <c r="L260" s="1092">
        <v>0</v>
      </c>
      <c r="M260" s="1092">
        <v>0</v>
      </c>
      <c r="N260" s="27">
        <f>SUM(B260:M260)</f>
        <v>0</v>
      </c>
    </row>
    <row r="261" spans="1:15">
      <c r="A261" s="76" t="s">
        <v>166</v>
      </c>
      <c r="B261" s="1092">
        <v>5</v>
      </c>
      <c r="C261" s="1092">
        <v>0</v>
      </c>
      <c r="D261" s="1092">
        <v>0</v>
      </c>
      <c r="E261" s="1092">
        <v>3</v>
      </c>
      <c r="F261" s="1092">
        <v>5</v>
      </c>
      <c r="G261" s="1092">
        <v>0</v>
      </c>
      <c r="H261" s="1092">
        <v>0</v>
      </c>
      <c r="I261" s="1092">
        <v>0</v>
      </c>
      <c r="J261" s="1092">
        <v>4</v>
      </c>
      <c r="K261" s="1092">
        <v>3</v>
      </c>
      <c r="L261" s="1092">
        <v>0</v>
      </c>
      <c r="M261" s="1092">
        <v>7</v>
      </c>
      <c r="N261" s="27">
        <f>SUM(B261:M261)</f>
        <v>27</v>
      </c>
    </row>
    <row r="262" spans="1:15">
      <c r="A262" s="76" t="s">
        <v>193</v>
      </c>
      <c r="B262" s="1092">
        <v>3</v>
      </c>
      <c r="C262" s="1092">
        <v>0</v>
      </c>
      <c r="D262" s="1092">
        <v>0</v>
      </c>
      <c r="E262" s="1092">
        <v>1</v>
      </c>
      <c r="F262" s="1092">
        <v>0</v>
      </c>
      <c r="G262" s="1092">
        <v>1</v>
      </c>
      <c r="H262" s="1092">
        <v>0</v>
      </c>
      <c r="I262" s="1092">
        <v>3</v>
      </c>
      <c r="J262" s="1092">
        <v>1</v>
      </c>
      <c r="K262" s="1092">
        <v>2</v>
      </c>
      <c r="L262" s="1092">
        <v>0</v>
      </c>
      <c r="M262" s="1092">
        <v>0</v>
      </c>
      <c r="N262" s="27">
        <f>SUM(B262:M262)</f>
        <v>11</v>
      </c>
    </row>
    <row r="263" spans="1:15" ht="14" thickBot="1">
      <c r="A263" s="76" t="s">
        <v>266</v>
      </c>
      <c r="B263" s="1092">
        <v>0</v>
      </c>
      <c r="C263" s="1092">
        <v>0</v>
      </c>
      <c r="D263" s="1092">
        <v>0</v>
      </c>
      <c r="E263" s="1092">
        <v>0</v>
      </c>
      <c r="F263" s="1092">
        <v>0</v>
      </c>
      <c r="G263" s="1092">
        <v>0</v>
      </c>
      <c r="H263" s="1092">
        <v>0</v>
      </c>
      <c r="I263" s="1092">
        <v>0</v>
      </c>
      <c r="J263" s="1092">
        <v>0</v>
      </c>
      <c r="K263" s="1092">
        <v>0</v>
      </c>
      <c r="L263" s="1092">
        <v>0</v>
      </c>
      <c r="M263" s="1092">
        <v>0</v>
      </c>
      <c r="N263" s="27">
        <f>SUM(B263:M263)</f>
        <v>0</v>
      </c>
    </row>
    <row r="264" spans="1:15" ht="14" thickBot="1">
      <c r="A264" s="53" t="s">
        <v>60</v>
      </c>
      <c r="B264" s="55">
        <f t="shared" ref="B264:N264" si="39">SUM(B253:B263)</f>
        <v>65</v>
      </c>
      <c r="C264" s="55">
        <f t="shared" si="39"/>
        <v>78</v>
      </c>
      <c r="D264" s="55">
        <f t="shared" si="39"/>
        <v>111</v>
      </c>
      <c r="E264" s="55">
        <f t="shared" si="39"/>
        <v>54</v>
      </c>
      <c r="F264" s="55">
        <f t="shared" si="39"/>
        <v>27</v>
      </c>
      <c r="G264" s="55">
        <f t="shared" si="39"/>
        <v>19</v>
      </c>
      <c r="H264" s="55">
        <f t="shared" si="39"/>
        <v>36</v>
      </c>
      <c r="I264" s="55">
        <f t="shared" si="39"/>
        <v>33</v>
      </c>
      <c r="J264" s="55">
        <f t="shared" si="39"/>
        <v>52</v>
      </c>
      <c r="K264" s="55">
        <f t="shared" si="39"/>
        <v>45</v>
      </c>
      <c r="L264" s="55">
        <f t="shared" si="39"/>
        <v>40</v>
      </c>
      <c r="M264" s="55">
        <f t="shared" si="39"/>
        <v>57</v>
      </c>
      <c r="N264" s="54">
        <f t="shared" si="39"/>
        <v>617</v>
      </c>
      <c r="O264" s="424"/>
    </row>
    <row r="265" spans="1:15" ht="14" hidden="1" thickBot="1">
      <c r="A265" s="38" t="s">
        <v>191</v>
      </c>
      <c r="B265" s="39"/>
      <c r="C265" s="39"/>
      <c r="D265" s="39"/>
      <c r="E265" s="39"/>
      <c r="F265" s="39"/>
      <c r="G265" s="39"/>
      <c r="H265" s="39"/>
      <c r="I265" s="39"/>
      <c r="J265" s="39"/>
      <c r="K265" s="39"/>
      <c r="L265" s="39"/>
      <c r="M265" s="39"/>
      <c r="N265" s="40"/>
    </row>
    <row r="266" spans="1:15" ht="14" hidden="1" thickBot="1">
      <c r="A266" s="76" t="s">
        <v>147</v>
      </c>
      <c r="B266" s="168"/>
      <c r="C266" s="168"/>
      <c r="D266" s="168"/>
      <c r="E266" s="168"/>
      <c r="F266" s="168"/>
      <c r="G266" s="168"/>
      <c r="H266" s="168"/>
      <c r="I266" s="168"/>
      <c r="J266" s="168"/>
      <c r="K266" s="168"/>
      <c r="L266" s="168"/>
      <c r="M266" s="168"/>
      <c r="N266" s="27"/>
    </row>
    <row r="267" spans="1:15" ht="14" hidden="1" thickBot="1">
      <c r="A267" s="76" t="s">
        <v>179</v>
      </c>
      <c r="B267" s="168"/>
      <c r="C267" s="168"/>
      <c r="D267" s="168"/>
      <c r="E267" s="168"/>
      <c r="F267" s="168"/>
      <c r="G267" s="168"/>
      <c r="H267" s="168"/>
      <c r="I267" s="168"/>
      <c r="J267" s="168"/>
      <c r="K267" s="168"/>
      <c r="L267" s="168"/>
      <c r="M267" s="168"/>
      <c r="N267" s="27"/>
    </row>
    <row r="268" spans="1:15" ht="14" hidden="1" thickBot="1">
      <c r="A268" s="53" t="s">
        <v>60</v>
      </c>
      <c r="B268" s="55"/>
      <c r="C268" s="55"/>
      <c r="D268" s="55"/>
      <c r="E268" s="55"/>
      <c r="F268" s="55"/>
      <c r="G268" s="55"/>
      <c r="H268" s="55"/>
      <c r="I268" s="55"/>
      <c r="J268" s="55"/>
      <c r="K268" s="55"/>
      <c r="L268" s="55"/>
      <c r="M268" s="55"/>
      <c r="N268" s="54"/>
    </row>
    <row r="269" spans="1:15" ht="14" thickBot="1">
      <c r="A269" s="38" t="s">
        <v>194</v>
      </c>
      <c r="B269" s="39"/>
      <c r="C269" s="39"/>
      <c r="D269" s="39"/>
      <c r="E269" s="39"/>
      <c r="F269" s="39"/>
      <c r="G269" s="39"/>
      <c r="H269" s="39"/>
      <c r="I269" s="39"/>
      <c r="J269" s="39"/>
      <c r="K269" s="39"/>
      <c r="L269" s="39"/>
      <c r="M269" s="39"/>
      <c r="N269" s="40"/>
    </row>
    <row r="270" spans="1:15">
      <c r="A270" s="32" t="s">
        <v>29</v>
      </c>
      <c r="B270" s="1092">
        <v>0</v>
      </c>
      <c r="C270" s="1092">
        <v>0</v>
      </c>
      <c r="D270" s="1092">
        <v>67</v>
      </c>
      <c r="E270" s="1092">
        <v>0</v>
      </c>
      <c r="F270" s="1092">
        <v>782</v>
      </c>
      <c r="G270" s="1092">
        <v>313</v>
      </c>
      <c r="H270" s="1092">
        <v>0</v>
      </c>
      <c r="I270" s="1092">
        <v>0</v>
      </c>
      <c r="J270" s="1092">
        <v>0</v>
      </c>
      <c r="K270" s="1092">
        <v>0</v>
      </c>
      <c r="L270" s="1092">
        <v>0</v>
      </c>
      <c r="M270" s="1092">
        <v>0</v>
      </c>
      <c r="N270" s="27">
        <f>SUM(B270:M270)</f>
        <v>1162</v>
      </c>
    </row>
    <row r="271" spans="1:15">
      <c r="A271" s="32" t="s">
        <v>51</v>
      </c>
      <c r="B271" s="1092">
        <v>0</v>
      </c>
      <c r="C271" s="1092">
        <v>0</v>
      </c>
      <c r="D271" s="1092">
        <v>0</v>
      </c>
      <c r="E271" s="1092">
        <v>0</v>
      </c>
      <c r="F271" s="1092">
        <v>0</v>
      </c>
      <c r="G271" s="1092">
        <v>0</v>
      </c>
      <c r="H271" s="1092">
        <v>0</v>
      </c>
      <c r="I271" s="1092">
        <v>0</v>
      </c>
      <c r="J271" s="1092">
        <v>0</v>
      </c>
      <c r="K271" s="1092">
        <v>0</v>
      </c>
      <c r="L271" s="1092">
        <v>0</v>
      </c>
      <c r="M271" s="1092">
        <v>0</v>
      </c>
      <c r="N271" s="27">
        <f t="shared" ref="N271:N283" si="40">SUM(B271:M271)</f>
        <v>0</v>
      </c>
    </row>
    <row r="272" spans="1:15">
      <c r="A272" s="34" t="s">
        <v>204</v>
      </c>
      <c r="B272" s="1092">
        <v>0</v>
      </c>
      <c r="C272" s="1092">
        <v>0</v>
      </c>
      <c r="D272" s="1092">
        <v>0</v>
      </c>
      <c r="E272" s="1092">
        <v>0</v>
      </c>
      <c r="F272" s="1092">
        <v>0</v>
      </c>
      <c r="G272" s="1092">
        <v>0</v>
      </c>
      <c r="H272" s="1092">
        <v>0</v>
      </c>
      <c r="I272" s="1092">
        <v>0</v>
      </c>
      <c r="J272" s="1092">
        <v>0</v>
      </c>
      <c r="K272" s="1092">
        <v>0</v>
      </c>
      <c r="L272" s="1092">
        <v>0</v>
      </c>
      <c r="M272" s="1092">
        <v>0</v>
      </c>
      <c r="N272" s="27">
        <f t="shared" si="40"/>
        <v>0</v>
      </c>
    </row>
    <row r="273" spans="1:15" hidden="1">
      <c r="A273" s="34" t="s">
        <v>13</v>
      </c>
      <c r="B273" s="1092"/>
      <c r="C273" s="1092"/>
      <c r="D273" s="1092"/>
      <c r="E273" s="1092"/>
      <c r="F273" s="1092"/>
      <c r="G273" s="1092"/>
      <c r="H273" s="1092"/>
      <c r="I273" s="1092"/>
      <c r="J273" s="1092"/>
      <c r="K273" s="1092"/>
      <c r="L273" s="1092"/>
      <c r="M273" s="1092"/>
      <c r="N273" s="27">
        <f t="shared" si="40"/>
        <v>0</v>
      </c>
    </row>
    <row r="274" spans="1:15" hidden="1">
      <c r="A274" s="35" t="s">
        <v>47</v>
      </c>
      <c r="B274" s="1092"/>
      <c r="C274" s="1092"/>
      <c r="D274" s="1092"/>
      <c r="E274" s="1092"/>
      <c r="F274" s="1092"/>
      <c r="G274" s="1092"/>
      <c r="H274" s="1092"/>
      <c r="I274" s="1092"/>
      <c r="J274" s="1092"/>
      <c r="K274" s="1092"/>
      <c r="L274" s="1092"/>
      <c r="M274" s="1092"/>
      <c r="N274" s="27">
        <f t="shared" si="40"/>
        <v>0</v>
      </c>
    </row>
    <row r="275" spans="1:15">
      <c r="A275" s="76" t="s">
        <v>30</v>
      </c>
      <c r="B275" s="1092">
        <v>0</v>
      </c>
      <c r="C275" s="1092">
        <v>2</v>
      </c>
      <c r="D275" s="1092">
        <v>0</v>
      </c>
      <c r="E275" s="1092">
        <v>0</v>
      </c>
      <c r="F275" s="1092">
        <v>0</v>
      </c>
      <c r="G275" s="1092">
        <v>0</v>
      </c>
      <c r="H275" s="1092">
        <v>0</v>
      </c>
      <c r="I275" s="1092">
        <v>0</v>
      </c>
      <c r="J275" s="1092">
        <v>0</v>
      </c>
      <c r="K275" s="1092">
        <v>0</v>
      </c>
      <c r="L275" s="1092">
        <v>0</v>
      </c>
      <c r="M275" s="1092">
        <v>0</v>
      </c>
      <c r="N275" s="27">
        <f t="shared" si="40"/>
        <v>2</v>
      </c>
    </row>
    <row r="276" spans="1:15" hidden="1">
      <c r="A276" s="76" t="s">
        <v>150</v>
      </c>
      <c r="B276" s="1092"/>
      <c r="C276" s="1092"/>
      <c r="D276" s="1092"/>
      <c r="E276" s="1092"/>
      <c r="F276" s="1092"/>
      <c r="G276" s="1092"/>
      <c r="H276" s="1092"/>
      <c r="I276" s="1092"/>
      <c r="J276" s="1092"/>
      <c r="K276" s="1092"/>
      <c r="L276" s="1092"/>
      <c r="M276" s="1092"/>
      <c r="N276" s="27">
        <f t="shared" si="40"/>
        <v>0</v>
      </c>
    </row>
    <row r="277" spans="1:15">
      <c r="A277" s="32" t="s">
        <v>56</v>
      </c>
      <c r="B277" s="1092">
        <v>0</v>
      </c>
      <c r="C277" s="1092">
        <v>0</v>
      </c>
      <c r="D277" s="1092">
        <v>0</v>
      </c>
      <c r="E277" s="1092">
        <v>0</v>
      </c>
      <c r="F277" s="1092">
        <v>0</v>
      </c>
      <c r="G277" s="1092">
        <v>0</v>
      </c>
      <c r="H277" s="1092">
        <v>4020</v>
      </c>
      <c r="I277" s="1092">
        <v>0</v>
      </c>
      <c r="J277" s="1092">
        <v>525</v>
      </c>
      <c r="K277" s="1092">
        <v>0</v>
      </c>
      <c r="L277" s="1092">
        <v>0</v>
      </c>
      <c r="M277" s="1092">
        <v>0</v>
      </c>
      <c r="N277" s="27">
        <f t="shared" si="40"/>
        <v>4545</v>
      </c>
    </row>
    <row r="278" spans="1:15">
      <c r="A278" s="78" t="s">
        <v>122</v>
      </c>
      <c r="B278" s="1092">
        <v>0</v>
      </c>
      <c r="C278" s="1092">
        <v>0</v>
      </c>
      <c r="D278" s="1092">
        <v>0</v>
      </c>
      <c r="E278" s="1092">
        <v>0</v>
      </c>
      <c r="F278" s="1092">
        <v>0</v>
      </c>
      <c r="G278" s="1092">
        <v>0</v>
      </c>
      <c r="H278" s="1092">
        <v>0</v>
      </c>
      <c r="I278" s="1092">
        <v>0</v>
      </c>
      <c r="J278" s="1092">
        <v>0</v>
      </c>
      <c r="K278" s="1092">
        <v>0</v>
      </c>
      <c r="L278" s="1092">
        <v>0</v>
      </c>
      <c r="M278" s="1092">
        <v>0</v>
      </c>
      <c r="N278" s="27">
        <f t="shared" si="40"/>
        <v>0</v>
      </c>
    </row>
    <row r="279" spans="1:15" hidden="1">
      <c r="A279" s="32" t="s">
        <v>102</v>
      </c>
      <c r="B279" s="1092"/>
      <c r="C279" s="1092"/>
      <c r="D279" s="1092"/>
      <c r="E279" s="1092"/>
      <c r="F279" s="1092"/>
      <c r="G279" s="1092"/>
      <c r="H279" s="1092"/>
      <c r="I279" s="1092"/>
      <c r="J279" s="1092"/>
      <c r="K279" s="1092"/>
      <c r="L279" s="1092"/>
      <c r="M279" s="1092"/>
      <c r="N279" s="27">
        <f t="shared" si="40"/>
        <v>0</v>
      </c>
    </row>
    <row r="280" spans="1:15">
      <c r="A280" s="78" t="s">
        <v>184</v>
      </c>
      <c r="B280" s="1092">
        <v>0</v>
      </c>
      <c r="C280" s="1092">
        <v>0</v>
      </c>
      <c r="D280" s="1092">
        <v>0</v>
      </c>
      <c r="E280" s="1092">
        <v>0</v>
      </c>
      <c r="F280" s="1092">
        <v>0</v>
      </c>
      <c r="G280" s="1092">
        <v>0</v>
      </c>
      <c r="H280" s="1092">
        <v>0</v>
      </c>
      <c r="I280" s="1092">
        <v>0</v>
      </c>
      <c r="J280" s="1092">
        <v>0</v>
      </c>
      <c r="K280" s="1092">
        <v>0</v>
      </c>
      <c r="L280" s="1092">
        <v>0</v>
      </c>
      <c r="M280" s="1092">
        <v>0</v>
      </c>
      <c r="N280" s="27">
        <f t="shared" si="40"/>
        <v>0</v>
      </c>
    </row>
    <row r="281" spans="1:15">
      <c r="A281" s="78" t="s">
        <v>187</v>
      </c>
      <c r="B281" s="1092">
        <v>0</v>
      </c>
      <c r="C281" s="1092">
        <v>0</v>
      </c>
      <c r="D281" s="1092">
        <v>0</v>
      </c>
      <c r="E281" s="1092">
        <v>0</v>
      </c>
      <c r="F281" s="1092">
        <v>0</v>
      </c>
      <c r="G281" s="1092">
        <v>0</v>
      </c>
      <c r="H281" s="1092">
        <v>0</v>
      </c>
      <c r="I281" s="1092">
        <v>0</v>
      </c>
      <c r="J281" s="1092">
        <v>0</v>
      </c>
      <c r="K281" s="1092">
        <v>0</v>
      </c>
      <c r="L281" s="1092">
        <v>0</v>
      </c>
      <c r="M281" s="1092">
        <v>0</v>
      </c>
      <c r="N281" s="27">
        <f t="shared" si="40"/>
        <v>0</v>
      </c>
    </row>
    <row r="282" spans="1:15">
      <c r="A282" s="78" t="s">
        <v>188</v>
      </c>
      <c r="B282" s="1092">
        <v>0</v>
      </c>
      <c r="C282" s="1092">
        <v>0</v>
      </c>
      <c r="D282" s="1092">
        <v>0</v>
      </c>
      <c r="E282" s="1092">
        <v>0</v>
      </c>
      <c r="F282" s="1092">
        <v>0</v>
      </c>
      <c r="G282" s="1092">
        <v>0</v>
      </c>
      <c r="H282" s="1092">
        <v>0</v>
      </c>
      <c r="I282" s="1092">
        <v>0</v>
      </c>
      <c r="J282" s="1092">
        <v>0</v>
      </c>
      <c r="K282" s="1092">
        <v>0</v>
      </c>
      <c r="L282" s="1092">
        <v>0</v>
      </c>
      <c r="M282" s="1092">
        <v>0</v>
      </c>
      <c r="N282" s="27">
        <f t="shared" si="40"/>
        <v>0</v>
      </c>
    </row>
    <row r="283" spans="1:15" ht="14" thickBot="1">
      <c r="A283" s="78" t="s">
        <v>213</v>
      </c>
      <c r="B283" s="1092">
        <v>1</v>
      </c>
      <c r="C283" s="1092">
        <v>0</v>
      </c>
      <c r="D283" s="1092">
        <v>0</v>
      </c>
      <c r="E283" s="1092">
        <v>0</v>
      </c>
      <c r="F283" s="1092">
        <v>0</v>
      </c>
      <c r="G283" s="1092">
        <v>0</v>
      </c>
      <c r="H283" s="1092">
        <v>0</v>
      </c>
      <c r="I283" s="1092">
        <v>0</v>
      </c>
      <c r="J283" s="1092">
        <v>0</v>
      </c>
      <c r="K283" s="1092">
        <v>0</v>
      </c>
      <c r="L283" s="1092">
        <v>0</v>
      </c>
      <c r="M283" s="1092">
        <v>0</v>
      </c>
      <c r="N283" s="27">
        <f t="shared" si="40"/>
        <v>1</v>
      </c>
    </row>
    <row r="284" spans="1:15" ht="14" thickBot="1">
      <c r="A284" s="38" t="s">
        <v>192</v>
      </c>
      <c r="B284" s="39"/>
      <c r="C284" s="39"/>
      <c r="D284" s="39"/>
      <c r="E284" s="39"/>
      <c r="F284" s="39"/>
      <c r="G284" s="39"/>
      <c r="H284" s="39"/>
      <c r="I284" s="39"/>
      <c r="J284" s="39"/>
      <c r="K284" s="39"/>
      <c r="L284" s="39"/>
      <c r="M284" s="39"/>
      <c r="N284" s="40"/>
    </row>
    <row r="285" spans="1:15" hidden="1">
      <c r="A285" s="78" t="s">
        <v>167</v>
      </c>
      <c r="B285" s="168"/>
      <c r="C285" s="168"/>
      <c r="D285" s="168"/>
      <c r="E285" s="168"/>
      <c r="F285" s="168"/>
      <c r="G285" s="168"/>
      <c r="H285" s="168"/>
      <c r="I285" s="168"/>
      <c r="J285" s="168"/>
      <c r="K285" s="168"/>
      <c r="L285" s="168"/>
      <c r="M285" s="168"/>
      <c r="N285" s="27"/>
    </row>
    <row r="286" spans="1:15" ht="14" thickBot="1">
      <c r="A286" s="32" t="s">
        <v>165</v>
      </c>
      <c r="B286" s="168">
        <v>0</v>
      </c>
      <c r="C286" s="168">
        <v>0</v>
      </c>
      <c r="D286" s="168">
        <v>0</v>
      </c>
      <c r="E286" s="168">
        <v>0</v>
      </c>
      <c r="F286" s="168">
        <v>0</v>
      </c>
      <c r="G286" s="168">
        <v>0</v>
      </c>
      <c r="H286" s="168">
        <v>0</v>
      </c>
      <c r="I286" s="168">
        <v>0</v>
      </c>
      <c r="J286" s="168">
        <v>0</v>
      </c>
      <c r="K286" s="168">
        <v>0</v>
      </c>
      <c r="L286" s="168">
        <v>0</v>
      </c>
      <c r="M286" s="168">
        <v>0</v>
      </c>
      <c r="N286" s="27">
        <f>SUM(B286:M286)</f>
        <v>0</v>
      </c>
    </row>
    <row r="287" spans="1:15" ht="14" thickBot="1">
      <c r="A287" s="53" t="s">
        <v>60</v>
      </c>
      <c r="B287" s="55">
        <f t="shared" ref="B287:M287" si="41">SUM(B270:B286)</f>
        <v>1</v>
      </c>
      <c r="C287" s="55">
        <f t="shared" si="41"/>
        <v>2</v>
      </c>
      <c r="D287" s="55">
        <f t="shared" si="41"/>
        <v>67</v>
      </c>
      <c r="E287" s="55">
        <f t="shared" si="41"/>
        <v>0</v>
      </c>
      <c r="F287" s="55">
        <f t="shared" si="41"/>
        <v>782</v>
      </c>
      <c r="G287" s="55">
        <f t="shared" si="41"/>
        <v>313</v>
      </c>
      <c r="H287" s="55">
        <f t="shared" si="41"/>
        <v>4020</v>
      </c>
      <c r="I287" s="55">
        <f t="shared" si="41"/>
        <v>0</v>
      </c>
      <c r="J287" s="55">
        <f t="shared" si="41"/>
        <v>525</v>
      </c>
      <c r="K287" s="55">
        <f t="shared" si="41"/>
        <v>0</v>
      </c>
      <c r="L287" s="55">
        <f t="shared" si="41"/>
        <v>0</v>
      </c>
      <c r="M287" s="55">
        <f t="shared" si="41"/>
        <v>0</v>
      </c>
      <c r="N287" s="54">
        <f>SUM(B287:M287)</f>
        <v>5710</v>
      </c>
      <c r="O287" s="45"/>
    </row>
    <row r="289" spans="1:14" ht="14" thickBot="1">
      <c r="B289" s="43" t="s">
        <v>35</v>
      </c>
      <c r="C289" s="43" t="s">
        <v>36</v>
      </c>
      <c r="D289" s="43" t="s">
        <v>37</v>
      </c>
      <c r="E289" s="43" t="s">
        <v>38</v>
      </c>
      <c r="F289" s="43" t="s">
        <v>39</v>
      </c>
      <c r="G289" s="43" t="s">
        <v>40</v>
      </c>
      <c r="H289" s="43" t="s">
        <v>41</v>
      </c>
      <c r="I289" s="43" t="s">
        <v>42</v>
      </c>
      <c r="J289" s="43" t="s">
        <v>43</v>
      </c>
      <c r="K289" s="43" t="s">
        <v>44</v>
      </c>
      <c r="L289" s="43" t="s">
        <v>45</v>
      </c>
      <c r="M289" s="43" t="s">
        <v>46</v>
      </c>
      <c r="N289" s="43" t="s">
        <v>10</v>
      </c>
    </row>
    <row r="290" spans="1:14" ht="17" thickBot="1">
      <c r="A290" s="31" t="s">
        <v>263</v>
      </c>
      <c r="B290" s="24"/>
      <c r="C290" s="24"/>
      <c r="D290" s="22"/>
      <c r="E290" s="22"/>
      <c r="F290" s="25"/>
      <c r="G290" s="25"/>
      <c r="H290" s="22"/>
      <c r="I290" s="22"/>
      <c r="J290" s="22"/>
      <c r="K290" s="22"/>
      <c r="L290" s="24"/>
      <c r="M290" s="24"/>
      <c r="N290" s="26"/>
    </row>
    <row r="291" spans="1:14" ht="14" thickBot="1">
      <c r="A291" s="38" t="s">
        <v>189</v>
      </c>
      <c r="B291" s="39"/>
      <c r="C291" s="39"/>
      <c r="D291" s="39"/>
      <c r="E291" s="39"/>
      <c r="F291" s="39"/>
      <c r="G291" s="39"/>
      <c r="H291" s="39"/>
      <c r="I291" s="39"/>
      <c r="J291" s="39"/>
      <c r="K291" s="39"/>
      <c r="L291" s="39"/>
      <c r="M291" s="39"/>
      <c r="N291" s="40"/>
    </row>
    <row r="292" spans="1:14">
      <c r="A292" s="32" t="s">
        <v>29</v>
      </c>
      <c r="B292" s="1092">
        <v>46</v>
      </c>
      <c r="C292" s="1092">
        <v>32</v>
      </c>
      <c r="D292" s="1092">
        <v>32</v>
      </c>
      <c r="E292" s="1092">
        <v>183</v>
      </c>
      <c r="F292" s="1092">
        <v>34</v>
      </c>
      <c r="G292" s="1092">
        <v>9</v>
      </c>
      <c r="H292" s="1092">
        <v>25</v>
      </c>
      <c r="I292" s="1092">
        <v>0</v>
      </c>
      <c r="J292" s="1092">
        <v>14</v>
      </c>
      <c r="K292" s="1092">
        <v>3</v>
      </c>
      <c r="L292" s="1092">
        <v>4</v>
      </c>
      <c r="M292" s="1092">
        <v>6</v>
      </c>
      <c r="N292" s="27">
        <f>SUM(B292:M292)</f>
        <v>388</v>
      </c>
    </row>
    <row r="293" spans="1:14">
      <c r="A293" s="32" t="s">
        <v>33</v>
      </c>
      <c r="B293" s="1092">
        <v>6</v>
      </c>
      <c r="C293" s="1092">
        <v>9</v>
      </c>
      <c r="D293" s="1092">
        <v>18</v>
      </c>
      <c r="E293" s="1092">
        <v>18</v>
      </c>
      <c r="F293" s="1092">
        <v>1</v>
      </c>
      <c r="G293" s="1092">
        <v>3</v>
      </c>
      <c r="H293" s="1092">
        <v>2</v>
      </c>
      <c r="I293" s="1092">
        <v>4</v>
      </c>
      <c r="J293" s="1092">
        <v>14</v>
      </c>
      <c r="K293" s="1092">
        <v>0</v>
      </c>
      <c r="L293" s="1092">
        <v>12</v>
      </c>
      <c r="M293" s="1092">
        <v>130</v>
      </c>
      <c r="N293" s="27">
        <f t="shared" ref="N293:N302" si="42">SUM(B293:M293)</f>
        <v>217</v>
      </c>
    </row>
    <row r="294" spans="1:14">
      <c r="A294" s="32" t="s">
        <v>56</v>
      </c>
      <c r="B294" s="1092">
        <v>0</v>
      </c>
      <c r="C294" s="1092">
        <v>0</v>
      </c>
      <c r="D294" s="1092">
        <v>0</v>
      </c>
      <c r="E294" s="1092">
        <v>1617</v>
      </c>
      <c r="F294" s="1092">
        <v>297</v>
      </c>
      <c r="G294" s="1092">
        <v>494</v>
      </c>
      <c r="H294" s="1092">
        <v>0</v>
      </c>
      <c r="I294" s="1092">
        <v>0</v>
      </c>
      <c r="J294" s="1092">
        <v>1543</v>
      </c>
      <c r="K294" s="1092">
        <v>105</v>
      </c>
      <c r="L294" s="1092">
        <v>242</v>
      </c>
      <c r="M294" s="1092">
        <v>0</v>
      </c>
      <c r="N294" s="27">
        <f t="shared" si="42"/>
        <v>4298</v>
      </c>
    </row>
    <row r="295" spans="1:14">
      <c r="A295" s="78" t="s">
        <v>30</v>
      </c>
      <c r="B295" s="1092">
        <v>0</v>
      </c>
      <c r="C295" s="1092">
        <v>1</v>
      </c>
      <c r="D295" s="1092">
        <v>1</v>
      </c>
      <c r="E295" s="1092">
        <v>23</v>
      </c>
      <c r="F295" s="1092">
        <v>7</v>
      </c>
      <c r="G295" s="1092">
        <v>7</v>
      </c>
      <c r="H295" s="1092">
        <v>1</v>
      </c>
      <c r="I295" s="1092">
        <v>0</v>
      </c>
      <c r="J295" s="1092">
        <v>34</v>
      </c>
      <c r="K295" s="1092">
        <v>6</v>
      </c>
      <c r="L295" s="1092">
        <v>10</v>
      </c>
      <c r="M295" s="1092">
        <v>3</v>
      </c>
      <c r="N295" s="27">
        <f t="shared" si="42"/>
        <v>93</v>
      </c>
    </row>
    <row r="296" spans="1:14">
      <c r="A296" s="76" t="s">
        <v>213</v>
      </c>
      <c r="B296" s="1092">
        <v>0</v>
      </c>
      <c r="C296" s="1092">
        <v>0</v>
      </c>
      <c r="D296" s="1092">
        <v>5</v>
      </c>
      <c r="E296" s="1092">
        <v>1</v>
      </c>
      <c r="F296" s="1092">
        <v>1</v>
      </c>
      <c r="G296" s="1092">
        <v>7</v>
      </c>
      <c r="H296" s="1092">
        <v>15</v>
      </c>
      <c r="I296" s="1092">
        <v>8</v>
      </c>
      <c r="J296" s="1092">
        <v>12</v>
      </c>
      <c r="K296" s="1092">
        <v>1</v>
      </c>
      <c r="L296" s="1092">
        <v>0</v>
      </c>
      <c r="M296" s="1092">
        <v>0</v>
      </c>
      <c r="N296" s="27">
        <f t="shared" si="42"/>
        <v>50</v>
      </c>
    </row>
    <row r="297" spans="1:14">
      <c r="A297" s="76" t="s">
        <v>212</v>
      </c>
      <c r="B297" s="1092">
        <v>1</v>
      </c>
      <c r="C297" s="1092">
        <v>8</v>
      </c>
      <c r="D297" s="1092">
        <v>14</v>
      </c>
      <c r="E297" s="1092">
        <v>7</v>
      </c>
      <c r="F297" s="1092">
        <v>0</v>
      </c>
      <c r="G297" s="1092">
        <v>0</v>
      </c>
      <c r="H297" s="1092">
        <v>5</v>
      </c>
      <c r="I297" s="1092">
        <v>2</v>
      </c>
      <c r="J297" s="1092">
        <v>3</v>
      </c>
      <c r="K297" s="1092">
        <v>0</v>
      </c>
      <c r="L297" s="1092">
        <v>4</v>
      </c>
      <c r="M297" s="1092">
        <v>7</v>
      </c>
      <c r="N297" s="27">
        <f t="shared" si="42"/>
        <v>51</v>
      </c>
    </row>
    <row r="298" spans="1:14" ht="14" thickBot="1">
      <c r="A298" s="76" t="s">
        <v>267</v>
      </c>
      <c r="B298" s="1092">
        <v>0</v>
      </c>
      <c r="C298" s="1092">
        <v>0</v>
      </c>
      <c r="D298" s="1092">
        <v>0</v>
      </c>
      <c r="E298" s="1092">
        <v>0</v>
      </c>
      <c r="F298" s="1092">
        <v>0</v>
      </c>
      <c r="G298" s="1092">
        <v>0</v>
      </c>
      <c r="H298" s="1092">
        <v>0</v>
      </c>
      <c r="I298" s="1092">
        <v>0</v>
      </c>
      <c r="J298" s="1092">
        <v>0</v>
      </c>
      <c r="K298" s="1092">
        <v>0</v>
      </c>
      <c r="L298" s="1092">
        <v>0</v>
      </c>
      <c r="M298" s="1092">
        <v>0</v>
      </c>
      <c r="N298" s="27">
        <f t="shared" si="42"/>
        <v>0</v>
      </c>
    </row>
    <row r="299" spans="1:14" ht="14" thickBot="1">
      <c r="A299" s="38" t="s">
        <v>190</v>
      </c>
      <c r="B299" s="281"/>
      <c r="C299" s="39"/>
      <c r="D299" s="39"/>
      <c r="E299" s="39"/>
      <c r="F299" s="39"/>
      <c r="G299" s="39"/>
      <c r="H299" s="39"/>
      <c r="I299" s="39"/>
      <c r="J299" s="39"/>
      <c r="K299" s="39"/>
      <c r="L299" s="39"/>
      <c r="M299" s="39"/>
      <c r="N299" s="280"/>
    </row>
    <row r="300" spans="1:14">
      <c r="A300" s="76" t="s">
        <v>165</v>
      </c>
      <c r="B300" s="1092">
        <v>0</v>
      </c>
      <c r="C300" s="1092">
        <v>0</v>
      </c>
      <c r="D300" s="1092">
        <v>0</v>
      </c>
      <c r="E300" s="1092">
        <v>0</v>
      </c>
      <c r="F300" s="1092">
        <v>0</v>
      </c>
      <c r="G300" s="1092">
        <v>0</v>
      </c>
      <c r="H300" s="1092">
        <v>0</v>
      </c>
      <c r="I300" s="1092">
        <v>0</v>
      </c>
      <c r="J300" s="1092">
        <v>0</v>
      </c>
      <c r="K300" s="1092">
        <v>0</v>
      </c>
      <c r="L300" s="1092">
        <v>0</v>
      </c>
      <c r="M300" s="1092">
        <v>0</v>
      </c>
      <c r="N300" s="27">
        <f t="shared" si="42"/>
        <v>0</v>
      </c>
    </row>
    <row r="301" spans="1:14">
      <c r="A301" s="76" t="s">
        <v>166</v>
      </c>
      <c r="B301" s="1092">
        <v>9</v>
      </c>
      <c r="C301" s="1092">
        <v>3</v>
      </c>
      <c r="D301" s="1092">
        <v>11</v>
      </c>
      <c r="E301" s="1092">
        <v>9</v>
      </c>
      <c r="F301" s="1092">
        <v>3</v>
      </c>
      <c r="G301" s="1092">
        <v>0</v>
      </c>
      <c r="H301" s="1092">
        <v>0</v>
      </c>
      <c r="I301" s="1092">
        <v>4</v>
      </c>
      <c r="J301" s="1092">
        <v>0</v>
      </c>
      <c r="K301" s="1092">
        <v>8</v>
      </c>
      <c r="L301" s="1092">
        <v>6</v>
      </c>
      <c r="M301" s="1092">
        <v>1</v>
      </c>
      <c r="N301" s="27">
        <f t="shared" si="42"/>
        <v>54</v>
      </c>
    </row>
    <row r="302" spans="1:14">
      <c r="A302" s="76" t="s">
        <v>193</v>
      </c>
      <c r="B302" s="1092">
        <v>1</v>
      </c>
      <c r="C302" s="1092">
        <v>1</v>
      </c>
      <c r="D302" s="1092">
        <v>0</v>
      </c>
      <c r="E302" s="1092">
        <v>0</v>
      </c>
      <c r="F302" s="1092">
        <v>0</v>
      </c>
      <c r="G302" s="1092">
        <v>0</v>
      </c>
      <c r="H302" s="1092">
        <v>0</v>
      </c>
      <c r="I302" s="1092">
        <v>0</v>
      </c>
      <c r="J302" s="1092">
        <v>0</v>
      </c>
      <c r="K302" s="1092">
        <v>0</v>
      </c>
      <c r="L302" s="1092">
        <v>0</v>
      </c>
      <c r="M302" s="1092">
        <v>0</v>
      </c>
      <c r="N302" s="27">
        <f t="shared" si="42"/>
        <v>2</v>
      </c>
    </row>
    <row r="303" spans="1:14" ht="14" thickBot="1">
      <c r="A303" s="76" t="s">
        <v>266</v>
      </c>
      <c r="B303" s="1092">
        <v>0</v>
      </c>
      <c r="C303" s="1092">
        <v>0</v>
      </c>
      <c r="D303" s="1092">
        <v>0</v>
      </c>
      <c r="E303" s="1092">
        <v>0</v>
      </c>
      <c r="F303" s="1092">
        <v>0</v>
      </c>
      <c r="G303" s="1092">
        <v>0</v>
      </c>
      <c r="H303" s="1092">
        <v>0</v>
      </c>
      <c r="I303" s="1092">
        <v>0</v>
      </c>
      <c r="J303" s="1092">
        <v>0</v>
      </c>
      <c r="K303" s="1092">
        <v>0</v>
      </c>
      <c r="L303" s="1092">
        <v>0</v>
      </c>
      <c r="M303" s="1092">
        <v>0</v>
      </c>
      <c r="N303" s="27">
        <f>SUM(B303:M303)</f>
        <v>0</v>
      </c>
    </row>
    <row r="304" spans="1:14" ht="14" thickBot="1">
      <c r="A304" s="53" t="s">
        <v>60</v>
      </c>
      <c r="B304" s="55">
        <f>SUM(B292:B303)</f>
        <v>63</v>
      </c>
      <c r="C304" s="55">
        <f t="shared" ref="C304:K304" si="43">SUM(C292:C303)</f>
        <v>54</v>
      </c>
      <c r="D304" s="55">
        <f t="shared" si="43"/>
        <v>81</v>
      </c>
      <c r="E304" s="55">
        <f t="shared" si="43"/>
        <v>1858</v>
      </c>
      <c r="F304" s="55">
        <f t="shared" si="43"/>
        <v>343</v>
      </c>
      <c r="G304" s="55">
        <f t="shared" si="43"/>
        <v>520</v>
      </c>
      <c r="H304" s="55">
        <f t="shared" si="43"/>
        <v>48</v>
      </c>
      <c r="I304" s="55">
        <f t="shared" si="43"/>
        <v>18</v>
      </c>
      <c r="J304" s="55">
        <f t="shared" si="43"/>
        <v>1620</v>
      </c>
      <c r="K304" s="55">
        <f t="shared" si="43"/>
        <v>123</v>
      </c>
      <c r="L304" s="55">
        <f>SUM(L292:L303)</f>
        <v>278</v>
      </c>
      <c r="M304" s="55">
        <f>SUM(M292:M303)</f>
        <v>147</v>
      </c>
      <c r="N304" s="54">
        <f>SUM(N292:N303)</f>
        <v>5153</v>
      </c>
    </row>
    <row r="305" spans="1:14" ht="14" thickBot="1">
      <c r="A305" s="53"/>
      <c r="B305" s="55"/>
      <c r="C305" s="55"/>
      <c r="D305" s="55"/>
      <c r="E305" s="55"/>
      <c r="F305" s="55"/>
      <c r="G305" s="55"/>
      <c r="H305" s="55"/>
      <c r="I305" s="55"/>
      <c r="J305" s="55"/>
      <c r="K305" s="55"/>
      <c r="L305" s="55"/>
      <c r="M305" s="55"/>
      <c r="N305" s="54"/>
    </row>
    <row r="306" spans="1:14" ht="14" thickBot="1">
      <c r="A306" s="38" t="s">
        <v>194</v>
      </c>
      <c r="B306" s="39"/>
      <c r="C306" s="39"/>
      <c r="D306" s="39"/>
      <c r="E306" s="39"/>
      <c r="F306" s="39"/>
      <c r="G306" s="39"/>
      <c r="H306" s="39"/>
      <c r="I306" s="39"/>
      <c r="J306" s="39"/>
      <c r="K306" s="39"/>
      <c r="L306" s="39"/>
      <c r="M306" s="39"/>
      <c r="N306" s="40"/>
    </row>
    <row r="307" spans="1:14">
      <c r="A307" s="32" t="s">
        <v>29</v>
      </c>
      <c r="B307" s="1092">
        <v>0</v>
      </c>
      <c r="C307" s="1092">
        <v>0</v>
      </c>
      <c r="D307" s="1092">
        <v>92</v>
      </c>
      <c r="E307" s="1092">
        <v>34</v>
      </c>
      <c r="F307" s="1092">
        <v>103</v>
      </c>
      <c r="G307" s="1092">
        <v>267</v>
      </c>
      <c r="H307" s="1092">
        <v>18</v>
      </c>
      <c r="I307" s="1092">
        <v>106</v>
      </c>
      <c r="J307" s="1092">
        <v>192</v>
      </c>
      <c r="K307" s="1092">
        <v>0</v>
      </c>
      <c r="L307" s="1092">
        <v>0</v>
      </c>
      <c r="M307" s="1092">
        <v>92</v>
      </c>
      <c r="N307" s="27">
        <f>SUM(B307:M307)</f>
        <v>904</v>
      </c>
    </row>
    <row r="308" spans="1:14">
      <c r="A308" s="78" t="s">
        <v>264</v>
      </c>
      <c r="B308" s="1092">
        <v>0</v>
      </c>
      <c r="C308" s="1092">
        <v>0</v>
      </c>
      <c r="D308" s="1092">
        <v>0</v>
      </c>
      <c r="E308" s="1092">
        <v>0</v>
      </c>
      <c r="F308" s="1092">
        <v>0</v>
      </c>
      <c r="G308" s="1092">
        <v>0</v>
      </c>
      <c r="H308" s="1092">
        <v>0</v>
      </c>
      <c r="I308" s="1092">
        <v>0</v>
      </c>
      <c r="J308" s="1092">
        <v>0</v>
      </c>
      <c r="K308" s="1092">
        <v>0</v>
      </c>
      <c r="L308" s="1092">
        <v>0</v>
      </c>
      <c r="M308" s="1092">
        <v>0</v>
      </c>
      <c r="N308" s="27">
        <f t="shared" ref="N308:N315" si="44">SUM(B308:M308)</f>
        <v>0</v>
      </c>
    </row>
    <row r="309" spans="1:14">
      <c r="A309" s="34" t="s">
        <v>204</v>
      </c>
      <c r="B309" s="1092">
        <v>0</v>
      </c>
      <c r="C309" s="1092">
        <v>0</v>
      </c>
      <c r="D309" s="1092">
        <v>0</v>
      </c>
      <c r="E309" s="1092">
        <v>0</v>
      </c>
      <c r="F309" s="1092">
        <v>0</v>
      </c>
      <c r="G309" s="1092">
        <v>0</v>
      </c>
      <c r="H309" s="1092">
        <v>0</v>
      </c>
      <c r="I309" s="1092">
        <v>0</v>
      </c>
      <c r="J309" s="1092">
        <v>0</v>
      </c>
      <c r="K309" s="1092">
        <v>0</v>
      </c>
      <c r="L309" s="1092">
        <v>0</v>
      </c>
      <c r="M309" s="1092">
        <v>0</v>
      </c>
      <c r="N309" s="27">
        <f t="shared" si="44"/>
        <v>0</v>
      </c>
    </row>
    <row r="310" spans="1:14">
      <c r="A310" s="76" t="s">
        <v>30</v>
      </c>
      <c r="B310" s="1092">
        <v>0</v>
      </c>
      <c r="C310" s="1092">
        <v>0</v>
      </c>
      <c r="D310" s="1092">
        <v>0</v>
      </c>
      <c r="E310" s="1092">
        <v>0</v>
      </c>
      <c r="F310" s="1092">
        <v>0</v>
      </c>
      <c r="G310" s="1092">
        <v>1</v>
      </c>
      <c r="H310" s="1092">
        <v>16</v>
      </c>
      <c r="I310" s="1092">
        <v>0</v>
      </c>
      <c r="J310" s="1092">
        <v>0</v>
      </c>
      <c r="K310" s="1092">
        <v>0</v>
      </c>
      <c r="L310" s="1092">
        <v>0</v>
      </c>
      <c r="M310" s="1092">
        <v>8</v>
      </c>
      <c r="N310" s="27">
        <f t="shared" si="44"/>
        <v>25</v>
      </c>
    </row>
    <row r="311" spans="1:14">
      <c r="A311" s="32" t="s">
        <v>56</v>
      </c>
      <c r="B311" s="1092">
        <v>0</v>
      </c>
      <c r="C311" s="1092">
        <v>0</v>
      </c>
      <c r="D311" s="1092">
        <v>0</v>
      </c>
      <c r="E311" s="1092">
        <v>0</v>
      </c>
      <c r="F311" s="1092">
        <v>0</v>
      </c>
      <c r="G311" s="1092">
        <v>0</v>
      </c>
      <c r="H311" s="1092">
        <v>0</v>
      </c>
      <c r="I311" s="1092">
        <v>0</v>
      </c>
      <c r="J311" s="1092">
        <v>0</v>
      </c>
      <c r="K311" s="1092">
        <v>0</v>
      </c>
      <c r="L311" s="1092">
        <v>0</v>
      </c>
      <c r="M311" s="1092">
        <v>0</v>
      </c>
      <c r="N311" s="27">
        <f t="shared" si="44"/>
        <v>0</v>
      </c>
    </row>
    <row r="312" spans="1:14">
      <c r="A312" s="78" t="s">
        <v>122</v>
      </c>
      <c r="B312" s="1092">
        <v>0</v>
      </c>
      <c r="C312" s="1092">
        <v>0</v>
      </c>
      <c r="D312" s="1092">
        <v>0</v>
      </c>
      <c r="E312" s="1092">
        <v>0</v>
      </c>
      <c r="F312" s="1092">
        <v>0</v>
      </c>
      <c r="G312" s="1092">
        <v>0</v>
      </c>
      <c r="H312" s="1092">
        <v>0</v>
      </c>
      <c r="I312" s="1092">
        <v>0</v>
      </c>
      <c r="J312" s="1092">
        <v>0</v>
      </c>
      <c r="K312" s="1092">
        <v>0</v>
      </c>
      <c r="L312" s="1092">
        <v>0</v>
      </c>
      <c r="M312" s="1092">
        <v>0</v>
      </c>
      <c r="N312" s="27">
        <f t="shared" si="44"/>
        <v>0</v>
      </c>
    </row>
    <row r="313" spans="1:14">
      <c r="A313" s="78" t="s">
        <v>184</v>
      </c>
      <c r="B313" s="1092">
        <v>0</v>
      </c>
      <c r="C313" s="1092">
        <v>0</v>
      </c>
      <c r="D313" s="1092">
        <v>0</v>
      </c>
      <c r="E313" s="1092">
        <v>0</v>
      </c>
      <c r="F313" s="1092">
        <v>0</v>
      </c>
      <c r="G313" s="1092">
        <v>0</v>
      </c>
      <c r="H313" s="1092">
        <v>0</v>
      </c>
      <c r="I313" s="1092">
        <v>0</v>
      </c>
      <c r="J313" s="1092">
        <v>0</v>
      </c>
      <c r="K313" s="1092">
        <v>0</v>
      </c>
      <c r="L313" s="1092">
        <v>0</v>
      </c>
      <c r="M313" s="1092">
        <v>0</v>
      </c>
      <c r="N313" s="27">
        <f t="shared" si="44"/>
        <v>0</v>
      </c>
    </row>
    <row r="314" spans="1:14">
      <c r="A314" s="78" t="s">
        <v>187</v>
      </c>
      <c r="B314" s="1092">
        <v>0</v>
      </c>
      <c r="C314" s="1092">
        <v>0</v>
      </c>
      <c r="D314" s="1092">
        <v>0</v>
      </c>
      <c r="E314" s="1092">
        <v>0</v>
      </c>
      <c r="F314" s="1092">
        <v>0</v>
      </c>
      <c r="G314" s="1092">
        <v>0</v>
      </c>
      <c r="H314" s="1092">
        <v>0</v>
      </c>
      <c r="I314" s="1092">
        <v>0</v>
      </c>
      <c r="J314" s="1092">
        <v>0</v>
      </c>
      <c r="K314" s="1092">
        <v>0</v>
      </c>
      <c r="L314" s="1092">
        <v>0</v>
      </c>
      <c r="M314" s="1092">
        <v>0</v>
      </c>
      <c r="N314" s="27">
        <f t="shared" si="44"/>
        <v>0</v>
      </c>
    </row>
    <row r="315" spans="1:14">
      <c r="A315" s="78" t="s">
        <v>188</v>
      </c>
      <c r="B315" s="1092">
        <v>0</v>
      </c>
      <c r="C315" s="1092">
        <v>0</v>
      </c>
      <c r="D315" s="1092">
        <v>0</v>
      </c>
      <c r="E315" s="1092">
        <v>0</v>
      </c>
      <c r="F315" s="1092">
        <v>0</v>
      </c>
      <c r="G315" s="1092">
        <v>0</v>
      </c>
      <c r="H315" s="1092">
        <v>0</v>
      </c>
      <c r="I315" s="1092">
        <v>0</v>
      </c>
      <c r="J315" s="1092">
        <v>3</v>
      </c>
      <c r="K315" s="1092">
        <v>0</v>
      </c>
      <c r="L315" s="1092">
        <v>0</v>
      </c>
      <c r="M315" s="1092">
        <v>0</v>
      </c>
      <c r="N315" s="27">
        <f t="shared" si="44"/>
        <v>3</v>
      </c>
    </row>
    <row r="316" spans="1:14">
      <c r="A316" s="78" t="s">
        <v>213</v>
      </c>
      <c r="B316" s="1092">
        <v>0</v>
      </c>
      <c r="C316" s="1092">
        <v>0</v>
      </c>
      <c r="D316" s="1092">
        <v>0</v>
      </c>
      <c r="E316" s="1092">
        <v>0</v>
      </c>
      <c r="F316" s="1092">
        <v>0</v>
      </c>
      <c r="G316" s="1092">
        <v>0</v>
      </c>
      <c r="H316" s="1092">
        <v>1</v>
      </c>
      <c r="I316" s="1092">
        <v>1</v>
      </c>
      <c r="J316" s="1092">
        <v>19</v>
      </c>
      <c r="K316" s="1092">
        <v>1</v>
      </c>
      <c r="L316" s="1092">
        <v>0</v>
      </c>
      <c r="M316" s="1092">
        <v>0</v>
      </c>
      <c r="N316" s="27">
        <f>SUM(B316:M316)</f>
        <v>22</v>
      </c>
    </row>
    <row r="317" spans="1:14">
      <c r="A317" s="76" t="s">
        <v>267</v>
      </c>
      <c r="B317" s="1092">
        <v>0</v>
      </c>
      <c r="C317" s="1092">
        <v>0</v>
      </c>
      <c r="D317" s="1092">
        <v>0</v>
      </c>
      <c r="E317" s="1092">
        <v>0</v>
      </c>
      <c r="F317" s="1092">
        <v>0</v>
      </c>
      <c r="G317" s="1092">
        <v>0</v>
      </c>
      <c r="H317" s="1092">
        <v>0</v>
      </c>
      <c r="I317" s="1092">
        <v>0</v>
      </c>
      <c r="J317" s="1092">
        <v>0</v>
      </c>
      <c r="K317" s="1092">
        <v>0</v>
      </c>
      <c r="L317" s="1092">
        <v>0</v>
      </c>
      <c r="M317" s="1092">
        <v>0</v>
      </c>
      <c r="N317" s="27">
        <f>SUM(B317:M317)</f>
        <v>0</v>
      </c>
    </row>
    <row r="318" spans="1:14" ht="14" thickBot="1">
      <c r="A318" s="78" t="s">
        <v>268</v>
      </c>
      <c r="B318" s="1092">
        <v>0</v>
      </c>
      <c r="C318" s="1092">
        <v>0</v>
      </c>
      <c r="D318" s="1092">
        <v>0</v>
      </c>
      <c r="E318" s="1092">
        <v>0</v>
      </c>
      <c r="F318" s="1092">
        <v>0</v>
      </c>
      <c r="G318" s="1092">
        <v>0</v>
      </c>
      <c r="H318" s="1092">
        <v>0</v>
      </c>
      <c r="I318" s="1092">
        <v>0</v>
      </c>
      <c r="J318" s="1092">
        <v>0</v>
      </c>
      <c r="K318" s="1092">
        <v>0</v>
      </c>
      <c r="L318" s="1092">
        <v>0</v>
      </c>
      <c r="M318" s="1092">
        <v>0</v>
      </c>
      <c r="N318" s="27">
        <f>SUM(B318:M318)</f>
        <v>0</v>
      </c>
    </row>
    <row r="319" spans="1:14" ht="14" thickBot="1">
      <c r="A319" s="38" t="s">
        <v>192</v>
      </c>
      <c r="B319" s="39"/>
      <c r="C319" s="39"/>
      <c r="D319" s="39"/>
      <c r="E319" s="39"/>
      <c r="F319" s="39"/>
      <c r="G319" s="39"/>
      <c r="H319" s="39"/>
      <c r="I319" s="39"/>
      <c r="J319" s="39"/>
      <c r="K319" s="39"/>
      <c r="L319" s="39"/>
      <c r="M319" s="39"/>
      <c r="N319" s="40"/>
    </row>
    <row r="320" spans="1:14" ht="14" thickBot="1">
      <c r="A320" s="32" t="s">
        <v>165</v>
      </c>
      <c r="B320" s="1092">
        <v>0</v>
      </c>
      <c r="C320" s="1092">
        <v>0</v>
      </c>
      <c r="D320" s="1092">
        <v>0</v>
      </c>
      <c r="E320" s="1092">
        <v>0</v>
      </c>
      <c r="F320" s="1092">
        <v>0</v>
      </c>
      <c r="G320" s="1092">
        <v>0</v>
      </c>
      <c r="H320" s="1092">
        <v>0</v>
      </c>
      <c r="I320" s="1092">
        <v>0</v>
      </c>
      <c r="J320" s="1092">
        <v>0</v>
      </c>
      <c r="K320" s="1092">
        <v>0</v>
      </c>
      <c r="L320" s="1092">
        <v>0</v>
      </c>
      <c r="M320" s="1092">
        <v>0</v>
      </c>
      <c r="N320" s="27">
        <f>SUM(B320:M320)</f>
        <v>0</v>
      </c>
    </row>
    <row r="321" spans="1:14" ht="14" thickBot="1">
      <c r="A321" s="53" t="s">
        <v>60</v>
      </c>
      <c r="B321" s="55">
        <f t="shared" ref="B321:L321" si="45">SUM(B307:B320)</f>
        <v>0</v>
      </c>
      <c r="C321" s="55">
        <f t="shared" si="45"/>
        <v>0</v>
      </c>
      <c r="D321" s="55">
        <f t="shared" si="45"/>
        <v>92</v>
      </c>
      <c r="E321" s="55">
        <f t="shared" si="45"/>
        <v>34</v>
      </c>
      <c r="F321" s="55">
        <f t="shared" si="45"/>
        <v>103</v>
      </c>
      <c r="G321" s="55">
        <f t="shared" si="45"/>
        <v>268</v>
      </c>
      <c r="H321" s="55">
        <f t="shared" si="45"/>
        <v>35</v>
      </c>
      <c r="I321" s="55">
        <f t="shared" si="45"/>
        <v>107</v>
      </c>
      <c r="J321" s="55">
        <f t="shared" si="45"/>
        <v>214</v>
      </c>
      <c r="K321" s="55">
        <f t="shared" si="45"/>
        <v>1</v>
      </c>
      <c r="L321" s="55">
        <f t="shared" si="45"/>
        <v>0</v>
      </c>
      <c r="M321" s="55">
        <f>SUM(M307:M320)</f>
        <v>100</v>
      </c>
      <c r="N321" s="54">
        <f>SUM(N307:N320)</f>
        <v>954</v>
      </c>
    </row>
    <row r="323" spans="1:14" ht="14" thickBot="1">
      <c r="B323" s="43" t="s">
        <v>35</v>
      </c>
      <c r="C323" s="43" t="s">
        <v>36</v>
      </c>
      <c r="D323" s="43" t="s">
        <v>37</v>
      </c>
      <c r="E323" s="43" t="s">
        <v>38</v>
      </c>
      <c r="F323" s="43" t="s">
        <v>39</v>
      </c>
      <c r="G323" s="43" t="s">
        <v>40</v>
      </c>
      <c r="H323" s="43" t="s">
        <v>41</v>
      </c>
      <c r="I323" s="43" t="s">
        <v>42</v>
      </c>
      <c r="J323" s="43" t="s">
        <v>43</v>
      </c>
      <c r="K323" s="43" t="s">
        <v>44</v>
      </c>
      <c r="L323" s="43" t="s">
        <v>45</v>
      </c>
      <c r="M323" s="43" t="s">
        <v>46</v>
      </c>
      <c r="N323" s="43" t="s">
        <v>10</v>
      </c>
    </row>
    <row r="324" spans="1:14" ht="17" thickBot="1">
      <c r="A324" s="31" t="s">
        <v>317</v>
      </c>
      <c r="B324" s="24"/>
      <c r="C324" s="24"/>
      <c r="D324" s="22"/>
      <c r="E324" s="22"/>
      <c r="F324" s="25"/>
      <c r="G324" s="25"/>
      <c r="H324" s="22"/>
      <c r="I324" s="22"/>
      <c r="J324" s="22"/>
      <c r="K324" s="22"/>
      <c r="L324" s="24"/>
      <c r="M324" s="24"/>
      <c r="N324" s="26"/>
    </row>
    <row r="325" spans="1:14" ht="14" thickBot="1">
      <c r="A325" s="38" t="s">
        <v>189</v>
      </c>
      <c r="B325" s="39"/>
      <c r="C325" s="39"/>
      <c r="D325" s="39"/>
      <c r="E325" s="39"/>
      <c r="F325" s="39"/>
      <c r="G325" s="39"/>
      <c r="H325" s="39"/>
      <c r="I325" s="39"/>
      <c r="J325" s="39"/>
      <c r="K325" s="39"/>
      <c r="L325" s="39"/>
      <c r="M325" s="39"/>
      <c r="N325" s="40"/>
    </row>
    <row r="326" spans="1:14">
      <c r="A326" s="32" t="s">
        <v>29</v>
      </c>
      <c r="B326" s="1092">
        <v>3</v>
      </c>
      <c r="C326" s="1092">
        <v>0</v>
      </c>
      <c r="D326" s="1092">
        <v>97</v>
      </c>
      <c r="E326" s="1092">
        <v>278</v>
      </c>
      <c r="F326" s="1092">
        <v>1755</v>
      </c>
      <c r="G326" s="1092">
        <v>3</v>
      </c>
      <c r="H326" s="1092">
        <v>263</v>
      </c>
      <c r="I326" s="1092">
        <v>2</v>
      </c>
      <c r="J326" s="1092">
        <v>5</v>
      </c>
      <c r="K326" s="1092">
        <v>0</v>
      </c>
      <c r="L326" s="1092">
        <v>7</v>
      </c>
      <c r="M326" s="1092">
        <v>3</v>
      </c>
      <c r="N326" s="27">
        <f>SUM(B326:M326)</f>
        <v>2416</v>
      </c>
    </row>
    <row r="327" spans="1:14">
      <c r="A327" s="32" t="s">
        <v>33</v>
      </c>
      <c r="B327" s="1092">
        <v>6</v>
      </c>
      <c r="C327" s="1092">
        <v>1</v>
      </c>
      <c r="D327" s="1092">
        <v>7</v>
      </c>
      <c r="E327" s="1092">
        <v>18</v>
      </c>
      <c r="F327" s="1092">
        <v>4</v>
      </c>
      <c r="G327" s="1092">
        <v>1</v>
      </c>
      <c r="H327" s="1092">
        <v>5</v>
      </c>
      <c r="I327" s="1092">
        <v>19</v>
      </c>
      <c r="J327" s="1092">
        <v>7</v>
      </c>
      <c r="K327" s="1092">
        <v>2</v>
      </c>
      <c r="L327" s="1092">
        <v>7</v>
      </c>
      <c r="M327" s="1092">
        <v>9</v>
      </c>
      <c r="N327" s="27">
        <f t="shared" ref="N327:N333" si="46">SUM(B327:M327)</f>
        <v>86</v>
      </c>
    </row>
    <row r="328" spans="1:14">
      <c r="A328" s="32" t="s">
        <v>56</v>
      </c>
      <c r="B328" s="1092">
        <v>506</v>
      </c>
      <c r="C328" s="1092">
        <v>35</v>
      </c>
      <c r="D328" s="1092">
        <v>1269</v>
      </c>
      <c r="E328" s="1092">
        <v>300</v>
      </c>
      <c r="F328" s="1092">
        <v>0</v>
      </c>
      <c r="G328" s="1092">
        <v>45</v>
      </c>
      <c r="H328" s="1092">
        <v>1310</v>
      </c>
      <c r="I328" s="1092">
        <v>300</v>
      </c>
      <c r="J328" s="1092">
        <v>0</v>
      </c>
      <c r="K328" s="1092">
        <v>164</v>
      </c>
      <c r="L328" s="1092">
        <v>0</v>
      </c>
      <c r="M328" s="1092">
        <v>230</v>
      </c>
      <c r="N328" s="27">
        <f t="shared" si="46"/>
        <v>4159</v>
      </c>
    </row>
    <row r="329" spans="1:14">
      <c r="A329" s="78" t="s">
        <v>30</v>
      </c>
      <c r="B329" s="1092">
        <v>12</v>
      </c>
      <c r="C329" s="1092">
        <v>4</v>
      </c>
      <c r="D329" s="1092">
        <v>13</v>
      </c>
      <c r="E329" s="1092">
        <v>1</v>
      </c>
      <c r="F329" s="1092">
        <v>2</v>
      </c>
      <c r="G329" s="1092">
        <v>1</v>
      </c>
      <c r="H329" s="1092">
        <v>11</v>
      </c>
      <c r="I329" s="1092">
        <v>4</v>
      </c>
      <c r="J329" s="1092">
        <v>0</v>
      </c>
      <c r="K329" s="1092">
        <v>5</v>
      </c>
      <c r="L329" s="1092">
        <v>6</v>
      </c>
      <c r="M329" s="1092">
        <v>7</v>
      </c>
      <c r="N329" s="27">
        <f t="shared" si="46"/>
        <v>66</v>
      </c>
    </row>
    <row r="330" spans="1:14">
      <c r="A330" s="76" t="s">
        <v>213</v>
      </c>
      <c r="B330" s="1092">
        <v>0</v>
      </c>
      <c r="C330" s="1092">
        <v>1</v>
      </c>
      <c r="D330" s="1092">
        <v>2</v>
      </c>
      <c r="E330" s="1092">
        <v>2</v>
      </c>
      <c r="F330" s="1092">
        <v>1</v>
      </c>
      <c r="G330" s="1092">
        <v>3</v>
      </c>
      <c r="H330" s="1092">
        <v>4</v>
      </c>
      <c r="I330" s="1092">
        <v>4</v>
      </c>
      <c r="J330" s="1092">
        <v>3</v>
      </c>
      <c r="K330" s="1092">
        <v>1</v>
      </c>
      <c r="L330" s="1092">
        <v>1</v>
      </c>
      <c r="M330" s="1092">
        <v>0</v>
      </c>
      <c r="N330" s="27">
        <f t="shared" si="46"/>
        <v>22</v>
      </c>
    </row>
    <row r="331" spans="1:14">
      <c r="A331" s="76" t="s">
        <v>212</v>
      </c>
      <c r="B331" s="1092">
        <v>4</v>
      </c>
      <c r="C331" s="1092">
        <v>0</v>
      </c>
      <c r="D331" s="1092">
        <v>0</v>
      </c>
      <c r="E331" s="1092">
        <v>2</v>
      </c>
      <c r="F331" s="1092">
        <v>8</v>
      </c>
      <c r="G331" s="1092">
        <v>0</v>
      </c>
      <c r="H331" s="1092">
        <v>0</v>
      </c>
      <c r="I331" s="1092">
        <v>0</v>
      </c>
      <c r="J331" s="1092">
        <v>0</v>
      </c>
      <c r="K331" s="1092">
        <v>0</v>
      </c>
      <c r="L331" s="1092">
        <v>0</v>
      </c>
      <c r="M331" s="1092">
        <v>2</v>
      </c>
      <c r="N331" s="27">
        <f t="shared" si="46"/>
        <v>16</v>
      </c>
    </row>
    <row r="332" spans="1:14">
      <c r="A332" s="76" t="s">
        <v>331</v>
      </c>
      <c r="B332" s="1092">
        <v>0</v>
      </c>
      <c r="C332" s="1092">
        <v>0</v>
      </c>
      <c r="D332" s="1092">
        <v>0</v>
      </c>
      <c r="E332" s="1092">
        <v>0</v>
      </c>
      <c r="F332" s="1092">
        <v>0</v>
      </c>
      <c r="G332" s="1092">
        <v>0</v>
      </c>
      <c r="H332" s="1092">
        <v>0</v>
      </c>
      <c r="I332" s="1092">
        <v>0</v>
      </c>
      <c r="J332" s="1092">
        <v>0</v>
      </c>
      <c r="K332" s="1092">
        <v>0</v>
      </c>
      <c r="L332" s="1092">
        <v>0</v>
      </c>
      <c r="M332" s="1092">
        <v>0</v>
      </c>
      <c r="N332" s="27">
        <f t="shared" si="46"/>
        <v>0</v>
      </c>
    </row>
    <row r="333" spans="1:14" ht="14" thickBot="1">
      <c r="A333" s="76" t="s">
        <v>267</v>
      </c>
      <c r="B333" s="1092">
        <v>0</v>
      </c>
      <c r="C333" s="1092">
        <v>0</v>
      </c>
      <c r="D333" s="1092">
        <v>0</v>
      </c>
      <c r="E333" s="1092">
        <v>0</v>
      </c>
      <c r="F333" s="1092">
        <v>0</v>
      </c>
      <c r="G333" s="1092">
        <v>0</v>
      </c>
      <c r="H333" s="1092">
        <v>0</v>
      </c>
      <c r="I333" s="1092">
        <v>0</v>
      </c>
      <c r="J333" s="1092">
        <v>0</v>
      </c>
      <c r="K333" s="1092">
        <v>0</v>
      </c>
      <c r="L333" s="1092">
        <v>0</v>
      </c>
      <c r="M333" s="1092">
        <v>0</v>
      </c>
      <c r="N333" s="27">
        <f t="shared" si="46"/>
        <v>0</v>
      </c>
    </row>
    <row r="334" spans="1:14" ht="14" thickBot="1">
      <c r="A334" s="38" t="s">
        <v>190</v>
      </c>
      <c r="B334" s="281"/>
      <c r="C334" s="39"/>
      <c r="D334" s="39"/>
      <c r="E334" s="39"/>
      <c r="F334" s="39"/>
      <c r="G334" s="39"/>
      <c r="H334" s="39"/>
      <c r="I334" s="39"/>
      <c r="J334" s="39"/>
      <c r="K334" s="39"/>
      <c r="L334" s="39"/>
      <c r="M334" s="39"/>
      <c r="N334" s="280"/>
    </row>
    <row r="335" spans="1:14">
      <c r="A335" s="76" t="s">
        <v>165</v>
      </c>
      <c r="B335" s="1092">
        <v>0</v>
      </c>
      <c r="C335" s="1092">
        <v>0</v>
      </c>
      <c r="D335" s="1092">
        <v>0</v>
      </c>
      <c r="E335" s="1092">
        <v>0</v>
      </c>
      <c r="F335" s="1092">
        <v>0</v>
      </c>
      <c r="G335" s="1092">
        <v>0</v>
      </c>
      <c r="H335" s="1092">
        <v>0</v>
      </c>
      <c r="I335" s="1092">
        <v>0</v>
      </c>
      <c r="J335" s="1092">
        <v>0</v>
      </c>
      <c r="K335" s="1092">
        <v>0</v>
      </c>
      <c r="L335" s="1092">
        <v>0</v>
      </c>
      <c r="M335" s="1092">
        <v>0</v>
      </c>
      <c r="N335" s="27">
        <f t="shared" ref="N335:N337" si="47">SUM(B335:M335)</f>
        <v>0</v>
      </c>
    </row>
    <row r="336" spans="1:14">
      <c r="A336" s="76" t="s">
        <v>166</v>
      </c>
      <c r="B336" s="1092">
        <v>2</v>
      </c>
      <c r="C336" s="1092">
        <v>8</v>
      </c>
      <c r="D336" s="1092">
        <v>1</v>
      </c>
      <c r="E336" s="1092">
        <v>0</v>
      </c>
      <c r="F336" s="1092">
        <v>0</v>
      </c>
      <c r="G336" s="1092">
        <v>2</v>
      </c>
      <c r="H336" s="1092">
        <v>2</v>
      </c>
      <c r="I336" s="1092">
        <v>2</v>
      </c>
      <c r="J336" s="1092">
        <v>0</v>
      </c>
      <c r="K336" s="1092">
        <v>0</v>
      </c>
      <c r="L336" s="1092">
        <v>0</v>
      </c>
      <c r="M336" s="1092">
        <v>0</v>
      </c>
      <c r="N336" s="27">
        <f t="shared" si="47"/>
        <v>17</v>
      </c>
    </row>
    <row r="337" spans="1:14">
      <c r="A337" s="76" t="s">
        <v>336</v>
      </c>
      <c r="B337" s="1092">
        <v>0</v>
      </c>
      <c r="C337" s="1092">
        <v>0</v>
      </c>
      <c r="D337" s="1092">
        <v>1</v>
      </c>
      <c r="E337" s="1092">
        <v>1</v>
      </c>
      <c r="F337" s="1092">
        <v>1</v>
      </c>
      <c r="G337" s="1092">
        <v>0</v>
      </c>
      <c r="H337" s="1092">
        <v>1</v>
      </c>
      <c r="I337" s="1092">
        <v>0</v>
      </c>
      <c r="J337" s="1092">
        <v>5</v>
      </c>
      <c r="K337" s="1092">
        <v>0</v>
      </c>
      <c r="L337" s="1092">
        <v>0</v>
      </c>
      <c r="M337" s="1092">
        <v>0</v>
      </c>
      <c r="N337" s="27">
        <f t="shared" si="47"/>
        <v>9</v>
      </c>
    </row>
    <row r="338" spans="1:14" ht="14" thickBot="1">
      <c r="A338" s="76" t="s">
        <v>266</v>
      </c>
      <c r="B338" s="1092">
        <v>0</v>
      </c>
      <c r="C338" s="1092">
        <v>0</v>
      </c>
      <c r="D338" s="1092">
        <v>2</v>
      </c>
      <c r="E338" s="1092">
        <v>0</v>
      </c>
      <c r="F338" s="1092">
        <v>0</v>
      </c>
      <c r="G338" s="1092">
        <v>1</v>
      </c>
      <c r="H338" s="1092">
        <v>0</v>
      </c>
      <c r="I338" s="1092">
        <v>4</v>
      </c>
      <c r="J338" s="1092">
        <v>8</v>
      </c>
      <c r="K338" s="1092">
        <v>3</v>
      </c>
      <c r="L338" s="1092">
        <v>10</v>
      </c>
      <c r="M338" s="1092">
        <v>8</v>
      </c>
      <c r="N338" s="27">
        <f>SUM(B338:M338)</f>
        <v>36</v>
      </c>
    </row>
    <row r="339" spans="1:14" ht="14" thickBot="1">
      <c r="A339" s="53" t="s">
        <v>60</v>
      </c>
      <c r="B339" s="55">
        <f t="shared" ref="B339:N339" si="48">SUM(B326:B338)</f>
        <v>533</v>
      </c>
      <c r="C339" s="55">
        <f t="shared" si="48"/>
        <v>49</v>
      </c>
      <c r="D339" s="55">
        <f t="shared" si="48"/>
        <v>1392</v>
      </c>
      <c r="E339" s="55">
        <f t="shared" si="48"/>
        <v>602</v>
      </c>
      <c r="F339" s="55">
        <f t="shared" si="48"/>
        <v>1771</v>
      </c>
      <c r="G339" s="55">
        <f t="shared" si="48"/>
        <v>56</v>
      </c>
      <c r="H339" s="55">
        <f t="shared" si="48"/>
        <v>1596</v>
      </c>
      <c r="I339" s="55">
        <f t="shared" si="48"/>
        <v>335</v>
      </c>
      <c r="J339" s="55">
        <f t="shared" si="48"/>
        <v>28</v>
      </c>
      <c r="K339" s="55">
        <f t="shared" si="48"/>
        <v>175</v>
      </c>
      <c r="L339" s="55">
        <f t="shared" si="48"/>
        <v>31</v>
      </c>
      <c r="M339" s="55">
        <f t="shared" si="48"/>
        <v>259</v>
      </c>
      <c r="N339" s="54">
        <f t="shared" si="48"/>
        <v>6827</v>
      </c>
    </row>
    <row r="340" spans="1:14" ht="14" thickBot="1">
      <c r="A340" s="53"/>
      <c r="B340" s="55"/>
      <c r="C340" s="55"/>
      <c r="D340" s="55"/>
      <c r="E340" s="55"/>
      <c r="F340" s="55"/>
      <c r="G340" s="55"/>
      <c r="H340" s="55"/>
      <c r="I340" s="55"/>
      <c r="J340" s="55"/>
      <c r="K340" s="55"/>
      <c r="L340" s="55"/>
      <c r="M340" s="55"/>
      <c r="N340" s="54"/>
    </row>
    <row r="341" spans="1:14" ht="14" thickBot="1">
      <c r="A341" s="38" t="s">
        <v>194</v>
      </c>
      <c r="B341" s="39"/>
      <c r="C341" s="39"/>
      <c r="D341" s="39"/>
      <c r="E341" s="39"/>
      <c r="F341" s="39"/>
      <c r="G341" s="39"/>
      <c r="H341" s="39"/>
      <c r="I341" s="39"/>
      <c r="J341" s="39"/>
      <c r="K341" s="39"/>
      <c r="L341" s="39"/>
      <c r="M341" s="39"/>
      <c r="N341" s="40"/>
    </row>
    <row r="342" spans="1:14">
      <c r="A342" s="32" t="s">
        <v>29</v>
      </c>
      <c r="B342" s="1092">
        <v>0</v>
      </c>
      <c r="C342" s="1092">
        <v>0</v>
      </c>
      <c r="D342" s="1092">
        <v>0</v>
      </c>
      <c r="E342" s="1092">
        <v>0</v>
      </c>
      <c r="F342" s="1092">
        <v>0</v>
      </c>
      <c r="G342" s="1092">
        <v>0</v>
      </c>
      <c r="H342" s="1092">
        <v>0</v>
      </c>
      <c r="I342" s="1092">
        <v>50</v>
      </c>
      <c r="J342" s="1092">
        <v>0</v>
      </c>
      <c r="K342" s="1092">
        <v>0</v>
      </c>
      <c r="L342" s="1092">
        <v>1</v>
      </c>
      <c r="M342" s="1092">
        <v>0</v>
      </c>
      <c r="N342" s="27">
        <f>SUM(B342:M342)</f>
        <v>51</v>
      </c>
    </row>
    <row r="343" spans="1:14">
      <c r="A343" s="78" t="s">
        <v>264</v>
      </c>
      <c r="B343" s="1092">
        <v>0</v>
      </c>
      <c r="C343" s="1092">
        <v>0</v>
      </c>
      <c r="D343" s="1092">
        <v>0</v>
      </c>
      <c r="E343" s="1092">
        <v>0</v>
      </c>
      <c r="F343" s="1092">
        <v>0</v>
      </c>
      <c r="G343" s="1092">
        <v>0</v>
      </c>
      <c r="H343" s="1092">
        <v>0</v>
      </c>
      <c r="I343" s="1092">
        <v>0</v>
      </c>
      <c r="J343" s="1092">
        <v>0</v>
      </c>
      <c r="K343" s="1092">
        <v>0</v>
      </c>
      <c r="L343" s="1092">
        <v>0</v>
      </c>
      <c r="M343" s="1092">
        <v>0</v>
      </c>
      <c r="N343" s="27">
        <f t="shared" ref="N343:N350" si="49">SUM(B343:M343)</f>
        <v>0</v>
      </c>
    </row>
    <row r="344" spans="1:14">
      <c r="A344" s="34" t="s">
        <v>204</v>
      </c>
      <c r="B344" s="1092">
        <v>0</v>
      </c>
      <c r="C344" s="1092">
        <v>0</v>
      </c>
      <c r="D344" s="1092">
        <v>0</v>
      </c>
      <c r="E344" s="1092">
        <v>0</v>
      </c>
      <c r="F344" s="1092">
        <v>0</v>
      </c>
      <c r="G344" s="1092">
        <v>0</v>
      </c>
      <c r="H344" s="1092">
        <v>0</v>
      </c>
      <c r="I344" s="1092">
        <v>0</v>
      </c>
      <c r="J344" s="1092">
        <v>0</v>
      </c>
      <c r="K344" s="1092">
        <v>0</v>
      </c>
      <c r="L344" s="1092">
        <v>2</v>
      </c>
      <c r="M344" s="1092">
        <v>0</v>
      </c>
      <c r="N344" s="27">
        <f t="shared" si="49"/>
        <v>2</v>
      </c>
    </row>
    <row r="345" spans="1:14">
      <c r="A345" s="76" t="s">
        <v>30</v>
      </c>
      <c r="B345" s="1092">
        <v>1</v>
      </c>
      <c r="C345" s="1092">
        <v>0</v>
      </c>
      <c r="D345" s="1092">
        <v>0</v>
      </c>
      <c r="E345" s="1092">
        <v>0</v>
      </c>
      <c r="F345" s="1092">
        <v>0</v>
      </c>
      <c r="G345" s="1092">
        <v>0</v>
      </c>
      <c r="H345" s="1092">
        <v>9</v>
      </c>
      <c r="I345" s="1092">
        <v>6</v>
      </c>
      <c r="J345" s="1092">
        <v>1</v>
      </c>
      <c r="K345" s="1092">
        <v>0</v>
      </c>
      <c r="L345" s="1092">
        <v>8</v>
      </c>
      <c r="M345" s="1092">
        <v>0</v>
      </c>
      <c r="N345" s="27">
        <f t="shared" si="49"/>
        <v>25</v>
      </c>
    </row>
    <row r="346" spans="1:14">
      <c r="A346" s="32" t="s">
        <v>56</v>
      </c>
      <c r="B346" s="1092">
        <v>0</v>
      </c>
      <c r="C346" s="1092">
        <v>0</v>
      </c>
      <c r="D346" s="1092">
        <v>0</v>
      </c>
      <c r="E346" s="1092">
        <v>0</v>
      </c>
      <c r="F346" s="1092">
        <v>0</v>
      </c>
      <c r="G346" s="1092">
        <v>0</v>
      </c>
      <c r="H346" s="1092">
        <v>0</v>
      </c>
      <c r="I346" s="1092">
        <v>0</v>
      </c>
      <c r="J346" s="1092">
        <v>0</v>
      </c>
      <c r="K346" s="1092">
        <v>0</v>
      </c>
      <c r="L346" s="1092">
        <v>0</v>
      </c>
      <c r="M346" s="1092">
        <v>0</v>
      </c>
      <c r="N346" s="27">
        <f t="shared" si="49"/>
        <v>0</v>
      </c>
    </row>
    <row r="347" spans="1:14">
      <c r="A347" s="78" t="s">
        <v>122</v>
      </c>
      <c r="B347" s="1092">
        <v>0</v>
      </c>
      <c r="C347" s="1092">
        <v>0</v>
      </c>
      <c r="D347" s="1092">
        <v>0</v>
      </c>
      <c r="E347" s="1092">
        <v>0</v>
      </c>
      <c r="F347" s="1092">
        <v>0</v>
      </c>
      <c r="G347" s="1092">
        <v>0</v>
      </c>
      <c r="H347" s="1092">
        <v>0</v>
      </c>
      <c r="I347" s="1092">
        <v>0</v>
      </c>
      <c r="J347" s="1092">
        <v>0</v>
      </c>
      <c r="K347" s="1092">
        <v>0</v>
      </c>
      <c r="L347" s="1092">
        <v>0</v>
      </c>
      <c r="M347" s="1092">
        <v>0</v>
      </c>
      <c r="N347" s="27">
        <f t="shared" si="49"/>
        <v>0</v>
      </c>
    </row>
    <row r="348" spans="1:14">
      <c r="A348" s="78" t="s">
        <v>184</v>
      </c>
      <c r="B348" s="1092">
        <v>0</v>
      </c>
      <c r="C348" s="1092">
        <v>0</v>
      </c>
      <c r="D348" s="1092">
        <v>0</v>
      </c>
      <c r="E348" s="1092">
        <v>0</v>
      </c>
      <c r="F348" s="1092">
        <v>0</v>
      </c>
      <c r="G348" s="1092">
        <v>0</v>
      </c>
      <c r="H348" s="1092">
        <v>0</v>
      </c>
      <c r="I348" s="1092">
        <v>0</v>
      </c>
      <c r="J348" s="1092">
        <v>0</v>
      </c>
      <c r="K348" s="1092">
        <v>0</v>
      </c>
      <c r="L348" s="1092">
        <v>0</v>
      </c>
      <c r="M348" s="1092">
        <v>0</v>
      </c>
      <c r="N348" s="27">
        <f t="shared" si="49"/>
        <v>0</v>
      </c>
    </row>
    <row r="349" spans="1:14">
      <c r="A349" s="78" t="s">
        <v>187</v>
      </c>
      <c r="B349" s="1092">
        <v>0</v>
      </c>
      <c r="C349" s="1092">
        <v>0</v>
      </c>
      <c r="D349" s="1092">
        <v>0</v>
      </c>
      <c r="E349" s="1092">
        <v>0</v>
      </c>
      <c r="F349" s="1092">
        <v>0</v>
      </c>
      <c r="G349" s="1092">
        <v>0</v>
      </c>
      <c r="H349" s="1092">
        <v>0</v>
      </c>
      <c r="I349" s="1092">
        <v>0</v>
      </c>
      <c r="J349" s="1092">
        <v>0</v>
      </c>
      <c r="K349" s="1092">
        <v>0</v>
      </c>
      <c r="L349" s="1092">
        <v>0</v>
      </c>
      <c r="M349" s="1092">
        <v>0</v>
      </c>
      <c r="N349" s="27">
        <f t="shared" si="49"/>
        <v>0</v>
      </c>
    </row>
    <row r="350" spans="1:14">
      <c r="A350" s="78" t="s">
        <v>188</v>
      </c>
      <c r="B350" s="1092">
        <v>0</v>
      </c>
      <c r="C350" s="1092">
        <v>0</v>
      </c>
      <c r="D350" s="1092">
        <v>0</v>
      </c>
      <c r="E350" s="1092">
        <v>0</v>
      </c>
      <c r="F350" s="1092">
        <v>0</v>
      </c>
      <c r="G350" s="1092">
        <v>0</v>
      </c>
      <c r="H350" s="1092">
        <v>0</v>
      </c>
      <c r="I350" s="1092">
        <v>0</v>
      </c>
      <c r="J350" s="1092">
        <v>0</v>
      </c>
      <c r="K350" s="1092">
        <v>0</v>
      </c>
      <c r="L350" s="1092">
        <v>1</v>
      </c>
      <c r="M350" s="1092">
        <v>0</v>
      </c>
      <c r="N350" s="27">
        <f t="shared" si="49"/>
        <v>1</v>
      </c>
    </row>
    <row r="351" spans="1:14">
      <c r="A351" s="78" t="s">
        <v>213</v>
      </c>
      <c r="B351" s="1092">
        <v>0</v>
      </c>
      <c r="C351" s="1092">
        <v>0</v>
      </c>
      <c r="D351" s="1092">
        <v>0</v>
      </c>
      <c r="E351" s="1092">
        <v>0</v>
      </c>
      <c r="F351" s="1092">
        <v>0</v>
      </c>
      <c r="G351" s="1092">
        <v>0</v>
      </c>
      <c r="H351" s="1092">
        <v>0</v>
      </c>
      <c r="I351" s="1092">
        <v>0</v>
      </c>
      <c r="J351" s="1092">
        <v>0</v>
      </c>
      <c r="K351" s="1092">
        <v>2</v>
      </c>
      <c r="L351" s="1092">
        <v>0</v>
      </c>
      <c r="M351" s="1092">
        <v>0</v>
      </c>
      <c r="N351" s="27">
        <f>SUM(B351:M351)</f>
        <v>2</v>
      </c>
    </row>
    <row r="352" spans="1:14">
      <c r="A352" s="76" t="s">
        <v>267</v>
      </c>
      <c r="B352" s="1092">
        <v>0</v>
      </c>
      <c r="C352" s="1092">
        <v>0</v>
      </c>
      <c r="D352" s="1092">
        <v>0</v>
      </c>
      <c r="E352" s="1092">
        <v>0</v>
      </c>
      <c r="F352" s="1092">
        <v>0</v>
      </c>
      <c r="G352" s="1092">
        <v>0</v>
      </c>
      <c r="H352" s="1092">
        <v>0</v>
      </c>
      <c r="I352" s="1092">
        <v>0</v>
      </c>
      <c r="J352" s="1092">
        <v>0</v>
      </c>
      <c r="K352" s="1092">
        <v>0</v>
      </c>
      <c r="L352" s="1092">
        <v>0</v>
      </c>
      <c r="M352" s="1092">
        <v>0</v>
      </c>
      <c r="N352" s="27">
        <f>SUM(B352:M352)</f>
        <v>0</v>
      </c>
    </row>
    <row r="353" spans="1:14" ht="14" thickBot="1">
      <c r="A353" s="78" t="s">
        <v>268</v>
      </c>
      <c r="B353" s="1092">
        <v>0</v>
      </c>
      <c r="C353" s="1092">
        <v>0</v>
      </c>
      <c r="D353" s="1092">
        <v>0</v>
      </c>
      <c r="E353" s="1092">
        <v>0</v>
      </c>
      <c r="F353" s="1092">
        <v>0</v>
      </c>
      <c r="G353" s="1092">
        <v>0</v>
      </c>
      <c r="H353" s="1092">
        <v>0</v>
      </c>
      <c r="I353" s="1092">
        <v>0</v>
      </c>
      <c r="J353" s="1092">
        <v>0</v>
      </c>
      <c r="K353" s="1092">
        <v>0</v>
      </c>
      <c r="L353" s="1092">
        <v>0</v>
      </c>
      <c r="M353" s="1092">
        <v>0</v>
      </c>
      <c r="N353" s="27">
        <f>SUM(B353:M353)</f>
        <v>0</v>
      </c>
    </row>
    <row r="354" spans="1:14" ht="14" thickBot="1">
      <c r="A354" s="38" t="s">
        <v>192</v>
      </c>
      <c r="B354" s="39"/>
      <c r="C354" s="39"/>
      <c r="D354" s="39"/>
      <c r="E354" s="39"/>
      <c r="F354" s="39"/>
      <c r="G354" s="39"/>
      <c r="H354" s="39"/>
      <c r="I354" s="39"/>
      <c r="J354" s="39"/>
      <c r="K354" s="39"/>
      <c r="L354" s="39"/>
      <c r="M354" s="39"/>
      <c r="N354" s="40"/>
    </row>
    <row r="355" spans="1:14" ht="14" thickBot="1">
      <c r="A355" s="32" t="s">
        <v>165</v>
      </c>
      <c r="B355" s="1092">
        <v>0</v>
      </c>
      <c r="C355" s="1092">
        <v>0</v>
      </c>
      <c r="D355" s="1092">
        <v>0</v>
      </c>
      <c r="E355" s="1092">
        <v>0</v>
      </c>
      <c r="F355" s="1092">
        <v>0</v>
      </c>
      <c r="G355" s="1092">
        <v>0</v>
      </c>
      <c r="H355" s="1092">
        <v>0</v>
      </c>
      <c r="I355" s="1092">
        <v>0</v>
      </c>
      <c r="J355" s="1092">
        <v>0</v>
      </c>
      <c r="K355" s="1092">
        <v>0</v>
      </c>
      <c r="L355" s="1092">
        <v>0</v>
      </c>
      <c r="M355" s="1092">
        <v>0</v>
      </c>
      <c r="N355" s="27">
        <f>SUM(B355:M355)</f>
        <v>0</v>
      </c>
    </row>
    <row r="356" spans="1:14" ht="14" thickBot="1">
      <c r="A356" s="53" t="s">
        <v>60</v>
      </c>
      <c r="B356" s="55">
        <f t="shared" ref="B356:L356" si="50">SUM(B342:B355)</f>
        <v>1</v>
      </c>
      <c r="C356" s="55">
        <f t="shared" si="50"/>
        <v>0</v>
      </c>
      <c r="D356" s="55">
        <f t="shared" si="50"/>
        <v>0</v>
      </c>
      <c r="E356" s="55">
        <f t="shared" si="50"/>
        <v>0</v>
      </c>
      <c r="F356" s="55">
        <f t="shared" si="50"/>
        <v>0</v>
      </c>
      <c r="G356" s="55">
        <f t="shared" si="50"/>
        <v>0</v>
      </c>
      <c r="H356" s="55">
        <f t="shared" si="50"/>
        <v>9</v>
      </c>
      <c r="I356" s="55">
        <f t="shared" si="50"/>
        <v>56</v>
      </c>
      <c r="J356" s="55">
        <f t="shared" si="50"/>
        <v>1</v>
      </c>
      <c r="K356" s="55">
        <f t="shared" si="50"/>
        <v>2</v>
      </c>
      <c r="L356" s="55">
        <f t="shared" si="50"/>
        <v>12</v>
      </c>
      <c r="M356" s="55">
        <f>SUM(M342:M355)</f>
        <v>0</v>
      </c>
      <c r="N356" s="54">
        <f>SUM(N342:N355)</f>
        <v>81</v>
      </c>
    </row>
    <row r="358" spans="1:14" ht="14" thickBot="1">
      <c r="B358" s="43" t="s">
        <v>35</v>
      </c>
      <c r="C358" s="43" t="s">
        <v>36</v>
      </c>
      <c r="D358" s="43" t="s">
        <v>37</v>
      </c>
      <c r="E358" s="43" t="s">
        <v>38</v>
      </c>
      <c r="F358" s="43" t="s">
        <v>39</v>
      </c>
      <c r="G358" s="43" t="s">
        <v>40</v>
      </c>
      <c r="H358" s="43" t="s">
        <v>41</v>
      </c>
      <c r="I358" s="43" t="s">
        <v>42</v>
      </c>
      <c r="J358" s="43" t="s">
        <v>43</v>
      </c>
      <c r="K358" s="43" t="s">
        <v>44</v>
      </c>
      <c r="L358" s="43" t="s">
        <v>45</v>
      </c>
      <c r="M358" s="43" t="s">
        <v>46</v>
      </c>
      <c r="N358" s="43" t="s">
        <v>10</v>
      </c>
    </row>
    <row r="359" spans="1:14" ht="17" thickBot="1">
      <c r="A359" s="31" t="s">
        <v>350</v>
      </c>
      <c r="B359" s="24"/>
      <c r="C359" s="24"/>
      <c r="D359" s="22"/>
      <c r="E359" s="22"/>
      <c r="F359" s="25"/>
      <c r="G359" s="25"/>
      <c r="H359" s="22"/>
      <c r="I359" s="22"/>
      <c r="J359" s="22"/>
      <c r="K359" s="22"/>
      <c r="L359" s="24"/>
      <c r="M359" s="24"/>
      <c r="N359" s="26"/>
    </row>
    <row r="360" spans="1:14" ht="14" thickBot="1">
      <c r="A360" s="38" t="s">
        <v>189</v>
      </c>
      <c r="B360" s="39"/>
      <c r="C360" s="39"/>
      <c r="D360" s="39"/>
      <c r="E360" s="39"/>
      <c r="F360" s="39"/>
      <c r="G360" s="39"/>
      <c r="H360" s="39"/>
      <c r="I360" s="39"/>
      <c r="J360" s="39"/>
      <c r="K360" s="39"/>
      <c r="L360" s="39"/>
      <c r="M360" s="39"/>
      <c r="N360" s="40"/>
    </row>
    <row r="361" spans="1:14">
      <c r="A361" s="32" t="s">
        <v>29</v>
      </c>
      <c r="B361" s="1092">
        <v>0</v>
      </c>
      <c r="C361" s="1092">
        <v>0</v>
      </c>
      <c r="D361" s="1092">
        <v>0</v>
      </c>
      <c r="E361" s="1092">
        <v>0</v>
      </c>
      <c r="F361" s="1092">
        <v>6</v>
      </c>
      <c r="G361" s="1092">
        <v>5</v>
      </c>
      <c r="H361" s="1092">
        <v>55</v>
      </c>
      <c r="I361" s="1092">
        <v>347</v>
      </c>
      <c r="J361" s="1092">
        <v>24</v>
      </c>
      <c r="K361" s="1092">
        <v>0</v>
      </c>
      <c r="L361" s="1092">
        <v>1</v>
      </c>
      <c r="M361" s="1092">
        <v>2</v>
      </c>
      <c r="N361" s="27">
        <f t="shared" ref="N361:N368" si="51">SUM(B361:M361)</f>
        <v>440</v>
      </c>
    </row>
    <row r="362" spans="1:14">
      <c r="A362" s="32" t="s">
        <v>33</v>
      </c>
      <c r="B362" s="1092">
        <v>13</v>
      </c>
      <c r="C362" s="1092">
        <v>38</v>
      </c>
      <c r="D362" s="1092">
        <v>9</v>
      </c>
      <c r="E362" s="1092">
        <v>5</v>
      </c>
      <c r="F362" s="1092">
        <v>78</v>
      </c>
      <c r="G362" s="1092">
        <v>7</v>
      </c>
      <c r="H362" s="1092">
        <v>4</v>
      </c>
      <c r="I362" s="1092">
        <v>10</v>
      </c>
      <c r="J362" s="1092">
        <v>158</v>
      </c>
      <c r="K362" s="1092">
        <v>1</v>
      </c>
      <c r="L362" s="1092">
        <v>0</v>
      </c>
      <c r="M362" s="1092">
        <v>84</v>
      </c>
      <c r="N362" s="27">
        <f t="shared" si="51"/>
        <v>407</v>
      </c>
    </row>
    <row r="363" spans="1:14">
      <c r="A363" s="32" t="s">
        <v>56</v>
      </c>
      <c r="B363" s="1092">
        <v>430</v>
      </c>
      <c r="C363" s="1092">
        <v>0</v>
      </c>
      <c r="D363" s="1092">
        <v>1088</v>
      </c>
      <c r="E363" s="1092">
        <v>1286</v>
      </c>
      <c r="F363" s="1092">
        <v>3894</v>
      </c>
      <c r="G363" s="1092">
        <v>1434</v>
      </c>
      <c r="H363" s="1092">
        <v>935</v>
      </c>
      <c r="I363" s="1092">
        <v>3014</v>
      </c>
      <c r="J363" s="1092">
        <v>903</v>
      </c>
      <c r="K363" s="1092">
        <v>0</v>
      </c>
      <c r="L363" s="1092">
        <v>30</v>
      </c>
      <c r="M363" s="1092">
        <v>104</v>
      </c>
      <c r="N363" s="27">
        <f t="shared" si="51"/>
        <v>13118</v>
      </c>
    </row>
    <row r="364" spans="1:14">
      <c r="A364" s="78" t="s">
        <v>30</v>
      </c>
      <c r="B364" s="1092">
        <v>15</v>
      </c>
      <c r="C364" s="1092">
        <v>0</v>
      </c>
      <c r="D364" s="1092">
        <v>5</v>
      </c>
      <c r="E364" s="1092">
        <v>0</v>
      </c>
      <c r="F364" s="1092">
        <v>41</v>
      </c>
      <c r="G364" s="1092">
        <v>0</v>
      </c>
      <c r="H364" s="1092">
        <v>13</v>
      </c>
      <c r="I364" s="1092">
        <v>0</v>
      </c>
      <c r="J364" s="1092">
        <v>13</v>
      </c>
      <c r="K364" s="1092">
        <v>1</v>
      </c>
      <c r="L364" s="1092">
        <v>0</v>
      </c>
      <c r="M364" s="1092">
        <v>24</v>
      </c>
      <c r="N364" s="27">
        <f t="shared" si="51"/>
        <v>112</v>
      </c>
    </row>
    <row r="365" spans="1:14">
      <c r="A365" s="76" t="s">
        <v>213</v>
      </c>
      <c r="B365" s="1092">
        <v>0</v>
      </c>
      <c r="C365" s="1092">
        <v>0</v>
      </c>
      <c r="D365" s="1092">
        <v>0</v>
      </c>
      <c r="E365" s="1092">
        <v>0</v>
      </c>
      <c r="F365" s="1092">
        <v>0</v>
      </c>
      <c r="G365" s="1092">
        <v>0</v>
      </c>
      <c r="H365" s="1092">
        <v>0</v>
      </c>
      <c r="I365" s="1092">
        <v>0</v>
      </c>
      <c r="J365" s="1092">
        <v>0</v>
      </c>
      <c r="K365" s="1092">
        <v>0</v>
      </c>
      <c r="L365" s="1092">
        <v>0</v>
      </c>
      <c r="M365" s="1092">
        <v>0</v>
      </c>
      <c r="N365" s="27">
        <f t="shared" si="51"/>
        <v>0</v>
      </c>
    </row>
    <row r="366" spans="1:14">
      <c r="A366" s="76" t="s">
        <v>212</v>
      </c>
      <c r="B366" s="1092">
        <v>0</v>
      </c>
      <c r="C366" s="1092">
        <v>0</v>
      </c>
      <c r="D366" s="1092">
        <v>0</v>
      </c>
      <c r="E366" s="1092">
        <v>0</v>
      </c>
      <c r="F366" s="1092">
        <v>0</v>
      </c>
      <c r="G366" s="1092">
        <v>0</v>
      </c>
      <c r="H366" s="1092">
        <v>0</v>
      </c>
      <c r="I366" s="1092">
        <v>0</v>
      </c>
      <c r="J366" s="1092">
        <v>0</v>
      </c>
      <c r="K366" s="1092">
        <v>0</v>
      </c>
      <c r="L366" s="1092">
        <v>0</v>
      </c>
      <c r="M366" s="1092">
        <v>0</v>
      </c>
      <c r="N366" s="27">
        <f t="shared" si="51"/>
        <v>0</v>
      </c>
    </row>
    <row r="367" spans="1:14">
      <c r="A367" s="76" t="s">
        <v>331</v>
      </c>
      <c r="B367" s="1092">
        <v>0</v>
      </c>
      <c r="C367" s="1092">
        <v>0</v>
      </c>
      <c r="D367" s="1092">
        <v>0</v>
      </c>
      <c r="E367" s="1092">
        <v>0</v>
      </c>
      <c r="F367" s="1092">
        <v>20</v>
      </c>
      <c r="G367" s="1092">
        <v>0</v>
      </c>
      <c r="H367" s="1092">
        <v>0</v>
      </c>
      <c r="I367" s="1092">
        <v>2</v>
      </c>
      <c r="J367" s="1092">
        <v>6</v>
      </c>
      <c r="K367" s="1092">
        <v>1</v>
      </c>
      <c r="L367" s="1092">
        <v>0</v>
      </c>
      <c r="M367" s="1092">
        <v>2</v>
      </c>
      <c r="N367" s="27">
        <f t="shared" si="51"/>
        <v>31</v>
      </c>
    </row>
    <row r="368" spans="1:14" ht="14" thickBot="1">
      <c r="A368" s="76" t="s">
        <v>267</v>
      </c>
      <c r="B368" s="1092">
        <v>0</v>
      </c>
      <c r="C368" s="1092">
        <v>0</v>
      </c>
      <c r="D368" s="1092">
        <v>0</v>
      </c>
      <c r="E368" s="1092">
        <v>0</v>
      </c>
      <c r="F368" s="1092">
        <v>0</v>
      </c>
      <c r="G368" s="1092">
        <v>0</v>
      </c>
      <c r="H368" s="1092">
        <v>0</v>
      </c>
      <c r="I368" s="1092">
        <v>0</v>
      </c>
      <c r="J368" s="1092">
        <v>0</v>
      </c>
      <c r="K368" s="1092">
        <v>0</v>
      </c>
      <c r="L368" s="1092">
        <v>0</v>
      </c>
      <c r="M368" s="1092">
        <v>0</v>
      </c>
      <c r="N368" s="27">
        <f t="shared" si="51"/>
        <v>0</v>
      </c>
    </row>
    <row r="369" spans="1:14" ht="14" thickBot="1">
      <c r="A369" s="38" t="s">
        <v>190</v>
      </c>
      <c r="B369" s="39"/>
      <c r="C369" s="39"/>
      <c r="D369" s="39"/>
      <c r="E369" s="39"/>
      <c r="F369" s="39"/>
      <c r="G369" s="39"/>
      <c r="H369" s="39"/>
      <c r="I369" s="39"/>
      <c r="J369" s="39"/>
      <c r="K369" s="39"/>
      <c r="L369" s="39"/>
      <c r="M369" s="39"/>
      <c r="N369" s="280"/>
    </row>
    <row r="370" spans="1:14">
      <c r="A370" s="76" t="s">
        <v>165</v>
      </c>
      <c r="B370" s="1092">
        <v>0</v>
      </c>
      <c r="C370" s="1092">
        <v>0</v>
      </c>
      <c r="D370" s="1092">
        <v>0</v>
      </c>
      <c r="E370" s="1092">
        <v>0</v>
      </c>
      <c r="F370" s="1092">
        <v>0</v>
      </c>
      <c r="G370" s="1092">
        <v>0</v>
      </c>
      <c r="H370" s="1092">
        <v>0</v>
      </c>
      <c r="I370" s="1092">
        <v>0</v>
      </c>
      <c r="J370" s="1092">
        <v>0</v>
      </c>
      <c r="K370" s="1092">
        <v>0</v>
      </c>
      <c r="L370" s="1092">
        <v>0</v>
      </c>
      <c r="M370" s="1092">
        <v>0</v>
      </c>
      <c r="N370" s="27">
        <f>SUM(B370:M370)</f>
        <v>0</v>
      </c>
    </row>
    <row r="371" spans="1:14">
      <c r="A371" s="76" t="s">
        <v>166</v>
      </c>
      <c r="B371" s="1092">
        <v>0</v>
      </c>
      <c r="C371" s="1092">
        <v>0</v>
      </c>
      <c r="D371" s="1092">
        <v>0</v>
      </c>
      <c r="E371" s="1092">
        <v>0</v>
      </c>
      <c r="F371" s="1092">
        <v>0</v>
      </c>
      <c r="G371" s="1092">
        <v>0</v>
      </c>
      <c r="H371" s="1092">
        <v>0</v>
      </c>
      <c r="I371" s="1092">
        <v>0</v>
      </c>
      <c r="J371" s="1092">
        <v>0</v>
      </c>
      <c r="K371" s="1092">
        <v>0</v>
      </c>
      <c r="L371" s="1092">
        <v>0</v>
      </c>
      <c r="M371" s="1092">
        <v>0</v>
      </c>
      <c r="N371" s="27">
        <f>SUM(B371:M371)</f>
        <v>0</v>
      </c>
    </row>
    <row r="372" spans="1:14">
      <c r="A372" s="76" t="s">
        <v>336</v>
      </c>
      <c r="B372" s="1092">
        <v>0</v>
      </c>
      <c r="C372" s="1092">
        <v>0</v>
      </c>
      <c r="D372" s="1092">
        <v>0</v>
      </c>
      <c r="E372" s="1092">
        <v>0</v>
      </c>
      <c r="F372" s="1092">
        <v>0</v>
      </c>
      <c r="G372" s="1092">
        <v>0</v>
      </c>
      <c r="H372" s="1092">
        <v>0</v>
      </c>
      <c r="I372" s="1092">
        <v>0</v>
      </c>
      <c r="J372" s="1092">
        <v>0</v>
      </c>
      <c r="K372" s="1092">
        <v>0</v>
      </c>
      <c r="L372" s="1092">
        <v>0</v>
      </c>
      <c r="M372" s="1092">
        <v>0</v>
      </c>
      <c r="N372" s="27">
        <f>SUM(B372:M372)</f>
        <v>0</v>
      </c>
    </row>
    <row r="373" spans="1:14" ht="14" thickBot="1">
      <c r="A373" s="76" t="s">
        <v>266</v>
      </c>
      <c r="B373" s="1092">
        <v>10</v>
      </c>
      <c r="C373" s="1092">
        <v>14</v>
      </c>
      <c r="D373" s="1092">
        <v>16</v>
      </c>
      <c r="E373" s="1092">
        <v>13</v>
      </c>
      <c r="F373" s="1092">
        <v>11</v>
      </c>
      <c r="G373" s="1092">
        <v>9</v>
      </c>
      <c r="H373" s="1092">
        <v>18</v>
      </c>
      <c r="I373" s="1092">
        <v>11</v>
      </c>
      <c r="J373" s="1092">
        <v>13</v>
      </c>
      <c r="K373" s="1092">
        <v>8</v>
      </c>
      <c r="L373" s="1092">
        <v>17</v>
      </c>
      <c r="M373" s="1092">
        <v>9</v>
      </c>
      <c r="N373" s="27">
        <f>SUM(B373:M373)</f>
        <v>149</v>
      </c>
    </row>
    <row r="374" spans="1:14" ht="14" thickBot="1">
      <c r="A374" s="53" t="s">
        <v>60</v>
      </c>
      <c r="B374" s="55">
        <f t="shared" ref="B374:M374" si="52">SUM(B361:B373)</f>
        <v>468</v>
      </c>
      <c r="C374" s="55">
        <f t="shared" si="52"/>
        <v>52</v>
      </c>
      <c r="D374" s="55">
        <f t="shared" si="52"/>
        <v>1118</v>
      </c>
      <c r="E374" s="55">
        <f t="shared" si="52"/>
        <v>1304</v>
      </c>
      <c r="F374" s="55">
        <f t="shared" si="52"/>
        <v>4050</v>
      </c>
      <c r="G374" s="55">
        <f t="shared" si="52"/>
        <v>1455</v>
      </c>
      <c r="H374" s="55">
        <f t="shared" si="52"/>
        <v>1025</v>
      </c>
      <c r="I374" s="55">
        <f t="shared" si="52"/>
        <v>3384</v>
      </c>
      <c r="J374" s="55">
        <f t="shared" si="52"/>
        <v>1117</v>
      </c>
      <c r="K374" s="55">
        <f t="shared" si="52"/>
        <v>11</v>
      </c>
      <c r="L374" s="55">
        <f t="shared" si="52"/>
        <v>48</v>
      </c>
      <c r="M374" s="55">
        <f t="shared" si="52"/>
        <v>225</v>
      </c>
      <c r="N374" s="54"/>
    </row>
    <row r="375" spans="1:14" ht="14" thickBot="1">
      <c r="A375" s="38" t="s">
        <v>194</v>
      </c>
      <c r="B375" s="39"/>
      <c r="C375" s="39"/>
      <c r="D375" s="39"/>
      <c r="E375" s="39"/>
      <c r="F375" s="39"/>
      <c r="G375" s="39"/>
      <c r="H375" s="39"/>
      <c r="I375" s="39"/>
      <c r="J375" s="39"/>
      <c r="K375" s="39"/>
      <c r="L375" s="39"/>
      <c r="M375" s="39"/>
      <c r="N375" s="40"/>
    </row>
    <row r="376" spans="1:14">
      <c r="A376" s="32" t="s">
        <v>29</v>
      </c>
      <c r="B376" s="1092">
        <v>66</v>
      </c>
      <c r="C376" s="1092">
        <v>2</v>
      </c>
      <c r="D376" s="1092">
        <v>0</v>
      </c>
      <c r="E376" s="1092">
        <v>0</v>
      </c>
      <c r="F376" s="1092">
        <v>0</v>
      </c>
      <c r="G376" s="1092">
        <v>0</v>
      </c>
      <c r="H376" s="1092">
        <v>22</v>
      </c>
      <c r="I376" s="1092">
        <v>0</v>
      </c>
      <c r="J376" s="1092">
        <v>0</v>
      </c>
      <c r="K376" s="1092">
        <v>0</v>
      </c>
      <c r="L376" s="1092">
        <v>0</v>
      </c>
      <c r="M376" s="1092">
        <v>0</v>
      </c>
      <c r="N376" s="27">
        <f t="shared" ref="N376:N387" si="53">SUM(B376:M376)</f>
        <v>90</v>
      </c>
    </row>
    <row r="377" spans="1:14">
      <c r="A377" s="78" t="s">
        <v>264</v>
      </c>
      <c r="B377" s="1092">
        <v>0</v>
      </c>
      <c r="C377" s="1092">
        <v>0</v>
      </c>
      <c r="D377" s="1092">
        <v>0</v>
      </c>
      <c r="E377" s="1092">
        <v>0</v>
      </c>
      <c r="F377" s="1092">
        <v>0</v>
      </c>
      <c r="G377" s="1092">
        <v>0</v>
      </c>
      <c r="H377" s="1092">
        <v>0</v>
      </c>
      <c r="I377" s="1092">
        <v>0</v>
      </c>
      <c r="J377" s="1092">
        <v>0</v>
      </c>
      <c r="K377" s="1092">
        <v>0</v>
      </c>
      <c r="L377" s="1092">
        <v>0</v>
      </c>
      <c r="M377" s="1092">
        <v>0</v>
      </c>
      <c r="N377" s="27">
        <f t="shared" si="53"/>
        <v>0</v>
      </c>
    </row>
    <row r="378" spans="1:14">
      <c r="A378" s="34" t="s">
        <v>204</v>
      </c>
      <c r="B378" s="1092">
        <v>0</v>
      </c>
      <c r="C378" s="1092">
        <v>0</v>
      </c>
      <c r="D378" s="1092">
        <v>0</v>
      </c>
      <c r="E378" s="1092">
        <v>0</v>
      </c>
      <c r="F378" s="1092">
        <v>0</v>
      </c>
      <c r="G378" s="1092">
        <v>0</v>
      </c>
      <c r="H378" s="1092">
        <v>0</v>
      </c>
      <c r="I378" s="1092">
        <v>0</v>
      </c>
      <c r="J378" s="1092">
        <v>0</v>
      </c>
      <c r="K378" s="1092">
        <v>0</v>
      </c>
      <c r="L378" s="1092">
        <v>0</v>
      </c>
      <c r="M378" s="1092">
        <v>0</v>
      </c>
      <c r="N378" s="27">
        <f t="shared" si="53"/>
        <v>0</v>
      </c>
    </row>
    <row r="379" spans="1:14">
      <c r="A379" s="76" t="s">
        <v>30</v>
      </c>
      <c r="B379" s="1092">
        <v>0</v>
      </c>
      <c r="C379" s="1092">
        <v>0</v>
      </c>
      <c r="D379" s="1092">
        <v>0</v>
      </c>
      <c r="E379" s="1092">
        <v>0</v>
      </c>
      <c r="F379" s="1092">
        <v>0</v>
      </c>
      <c r="G379" s="1092">
        <v>0</v>
      </c>
      <c r="H379" s="1092">
        <v>0</v>
      </c>
      <c r="I379" s="1092">
        <v>0</v>
      </c>
      <c r="J379" s="1092">
        <v>0</v>
      </c>
      <c r="K379" s="1092">
        <v>4</v>
      </c>
      <c r="L379" s="1092">
        <v>11</v>
      </c>
      <c r="M379" s="1092">
        <v>0</v>
      </c>
      <c r="N379" s="27">
        <f t="shared" si="53"/>
        <v>15</v>
      </c>
    </row>
    <row r="380" spans="1:14">
      <c r="A380" s="32" t="s">
        <v>56</v>
      </c>
      <c r="B380" s="1092">
        <v>0</v>
      </c>
      <c r="C380" s="1092">
        <v>0</v>
      </c>
      <c r="D380" s="1092">
        <v>0</v>
      </c>
      <c r="E380" s="1092">
        <v>0</v>
      </c>
      <c r="F380" s="1092">
        <v>0</v>
      </c>
      <c r="G380" s="1092">
        <v>0</v>
      </c>
      <c r="H380" s="1092">
        <v>0</v>
      </c>
      <c r="I380" s="1092">
        <v>0</v>
      </c>
      <c r="J380" s="1092">
        <v>0</v>
      </c>
      <c r="K380" s="1092">
        <v>2250</v>
      </c>
      <c r="L380" s="1092">
        <v>0</v>
      </c>
      <c r="M380" s="1092">
        <v>0</v>
      </c>
      <c r="N380" s="27">
        <f t="shared" si="53"/>
        <v>2250</v>
      </c>
    </row>
    <row r="381" spans="1:14">
      <c r="A381" s="78" t="s">
        <v>122</v>
      </c>
      <c r="B381" s="1092">
        <v>0</v>
      </c>
      <c r="C381" s="1092">
        <v>0</v>
      </c>
      <c r="D381" s="1092">
        <v>0</v>
      </c>
      <c r="E381" s="1092">
        <v>0</v>
      </c>
      <c r="F381" s="1092">
        <v>0</v>
      </c>
      <c r="G381" s="1092">
        <v>0</v>
      </c>
      <c r="H381" s="1092">
        <v>0</v>
      </c>
      <c r="I381" s="1092">
        <v>0</v>
      </c>
      <c r="J381" s="1092">
        <v>0</v>
      </c>
      <c r="K381" s="1092">
        <v>0</v>
      </c>
      <c r="L381" s="1092">
        <v>0</v>
      </c>
      <c r="M381" s="1092">
        <v>0</v>
      </c>
      <c r="N381" s="27">
        <f t="shared" si="53"/>
        <v>0</v>
      </c>
    </row>
    <row r="382" spans="1:14">
      <c r="A382" s="78" t="s">
        <v>184</v>
      </c>
      <c r="B382" s="1092">
        <v>0</v>
      </c>
      <c r="C382" s="1092">
        <v>0</v>
      </c>
      <c r="D382" s="1092">
        <v>0</v>
      </c>
      <c r="E382" s="1092">
        <v>0</v>
      </c>
      <c r="F382" s="1092">
        <v>0</v>
      </c>
      <c r="G382" s="1092">
        <v>0</v>
      </c>
      <c r="H382" s="1092">
        <v>0</v>
      </c>
      <c r="I382" s="1092">
        <v>0</v>
      </c>
      <c r="J382" s="1092">
        <v>0</v>
      </c>
      <c r="K382" s="1092">
        <v>0</v>
      </c>
      <c r="L382" s="1092">
        <v>0</v>
      </c>
      <c r="M382" s="1092">
        <v>0</v>
      </c>
      <c r="N382" s="27">
        <f t="shared" si="53"/>
        <v>0</v>
      </c>
    </row>
    <row r="383" spans="1:14">
      <c r="A383" s="78" t="s">
        <v>187</v>
      </c>
      <c r="B383" s="1092">
        <v>0</v>
      </c>
      <c r="C383" s="1092">
        <v>0</v>
      </c>
      <c r="D383" s="1092">
        <v>0</v>
      </c>
      <c r="E383" s="1092">
        <v>0</v>
      </c>
      <c r="F383" s="1092">
        <v>0</v>
      </c>
      <c r="G383" s="1092">
        <v>0</v>
      </c>
      <c r="H383" s="1092">
        <v>0</v>
      </c>
      <c r="I383" s="1092">
        <v>0</v>
      </c>
      <c r="J383" s="1092">
        <v>0</v>
      </c>
      <c r="K383" s="1092">
        <v>0</v>
      </c>
      <c r="L383" s="1092">
        <v>0</v>
      </c>
      <c r="M383" s="1092">
        <v>0</v>
      </c>
      <c r="N383" s="27">
        <f t="shared" si="53"/>
        <v>0</v>
      </c>
    </row>
    <row r="384" spans="1:14">
      <c r="A384" s="78" t="s">
        <v>188</v>
      </c>
      <c r="B384" s="1092">
        <v>0</v>
      </c>
      <c r="C384" s="1092">
        <v>0</v>
      </c>
      <c r="D384" s="1092">
        <v>0</v>
      </c>
      <c r="E384" s="1092">
        <v>0</v>
      </c>
      <c r="F384" s="1092">
        <v>0</v>
      </c>
      <c r="G384" s="1092">
        <v>0</v>
      </c>
      <c r="H384" s="1092">
        <v>0</v>
      </c>
      <c r="I384" s="1092">
        <v>0</v>
      </c>
      <c r="J384" s="1092">
        <v>0</v>
      </c>
      <c r="K384" s="1092">
        <v>0</v>
      </c>
      <c r="L384" s="1092">
        <v>0</v>
      </c>
      <c r="M384" s="1092">
        <v>0</v>
      </c>
      <c r="N384" s="27">
        <f t="shared" si="53"/>
        <v>0</v>
      </c>
    </row>
    <row r="385" spans="1:14">
      <c r="A385" s="78" t="s">
        <v>213</v>
      </c>
      <c r="B385" s="1092">
        <v>0</v>
      </c>
      <c r="C385" s="1092">
        <v>0</v>
      </c>
      <c r="D385" s="1092">
        <v>0</v>
      </c>
      <c r="E385" s="1092">
        <v>0</v>
      </c>
      <c r="F385" s="1092">
        <v>0</v>
      </c>
      <c r="G385" s="1092">
        <v>0</v>
      </c>
      <c r="H385" s="1092">
        <v>0</v>
      </c>
      <c r="I385" s="1092">
        <v>0</v>
      </c>
      <c r="J385" s="1092">
        <v>0</v>
      </c>
      <c r="K385" s="1092">
        <v>0</v>
      </c>
      <c r="L385" s="1092">
        <v>0</v>
      </c>
      <c r="M385" s="1092">
        <v>0</v>
      </c>
      <c r="N385" s="27">
        <f t="shared" si="53"/>
        <v>0</v>
      </c>
    </row>
    <row r="386" spans="1:14">
      <c r="A386" s="76" t="s">
        <v>267</v>
      </c>
      <c r="B386" s="1092">
        <v>0</v>
      </c>
      <c r="C386" s="1092">
        <v>0</v>
      </c>
      <c r="D386" s="1092">
        <v>0</v>
      </c>
      <c r="E386" s="1092">
        <v>0</v>
      </c>
      <c r="F386" s="1092">
        <v>0</v>
      </c>
      <c r="G386" s="1092">
        <v>0</v>
      </c>
      <c r="H386" s="1092">
        <v>0</v>
      </c>
      <c r="I386" s="1092">
        <v>0</v>
      </c>
      <c r="J386" s="1092">
        <v>0</v>
      </c>
      <c r="K386" s="1092">
        <v>0</v>
      </c>
      <c r="L386" s="1092">
        <v>0</v>
      </c>
      <c r="M386" s="1092">
        <v>0</v>
      </c>
      <c r="N386" s="27">
        <f t="shared" si="53"/>
        <v>0</v>
      </c>
    </row>
    <row r="387" spans="1:14" ht="14" thickBot="1">
      <c r="A387" s="78" t="s">
        <v>268</v>
      </c>
      <c r="B387" s="1092">
        <v>0</v>
      </c>
      <c r="C387" s="1092">
        <v>0</v>
      </c>
      <c r="D387" s="1092">
        <v>0</v>
      </c>
      <c r="E387" s="1092">
        <v>0</v>
      </c>
      <c r="F387" s="1092">
        <v>0</v>
      </c>
      <c r="G387" s="1092">
        <v>0</v>
      </c>
      <c r="H387" s="1092">
        <v>0</v>
      </c>
      <c r="I387" s="1092">
        <v>0</v>
      </c>
      <c r="J387" s="1092">
        <v>0</v>
      </c>
      <c r="K387" s="1092">
        <v>0</v>
      </c>
      <c r="L387" s="1092">
        <v>0</v>
      </c>
      <c r="M387" s="1092">
        <v>0</v>
      </c>
      <c r="N387" s="27">
        <f t="shared" si="53"/>
        <v>0</v>
      </c>
    </row>
    <row r="388" spans="1:14" ht="14" thickBot="1">
      <c r="A388" s="38" t="s">
        <v>192</v>
      </c>
      <c r="B388" s="39"/>
      <c r="C388" s="39"/>
      <c r="D388" s="39"/>
      <c r="E388" s="39"/>
      <c r="F388" s="39"/>
      <c r="G388" s="39"/>
      <c r="H388" s="39"/>
      <c r="I388" s="39"/>
      <c r="J388" s="39"/>
      <c r="K388" s="39"/>
      <c r="L388" s="39"/>
      <c r="M388" s="39"/>
      <c r="N388" s="40"/>
    </row>
    <row r="389" spans="1:14" ht="14" thickBot="1">
      <c r="A389" s="32" t="s">
        <v>165</v>
      </c>
      <c r="B389" s="1092">
        <v>0</v>
      </c>
      <c r="C389" s="1092">
        <v>0</v>
      </c>
      <c r="D389" s="1092">
        <v>0</v>
      </c>
      <c r="E389" s="1092">
        <v>0</v>
      </c>
      <c r="F389" s="1092">
        <v>0</v>
      </c>
      <c r="G389" s="1092">
        <v>0</v>
      </c>
      <c r="H389" s="1092">
        <v>0</v>
      </c>
      <c r="I389" s="1092">
        <v>0</v>
      </c>
      <c r="J389" s="1092">
        <v>0</v>
      </c>
      <c r="K389" s="1092">
        <v>0</v>
      </c>
      <c r="L389" s="1092">
        <v>0</v>
      </c>
      <c r="M389" s="1092">
        <v>0</v>
      </c>
      <c r="N389" s="27">
        <f>SUM(B389:M389)</f>
        <v>0</v>
      </c>
    </row>
    <row r="390" spans="1:14" ht="14" thickBot="1">
      <c r="A390" s="53" t="s">
        <v>60</v>
      </c>
      <c r="B390" s="55">
        <f t="shared" ref="B390:M390" si="54">SUM(B376:B389)</f>
        <v>66</v>
      </c>
      <c r="C390" s="55">
        <f t="shared" si="54"/>
        <v>2</v>
      </c>
      <c r="D390" s="55">
        <f t="shared" si="54"/>
        <v>0</v>
      </c>
      <c r="E390" s="55">
        <f t="shared" si="54"/>
        <v>0</v>
      </c>
      <c r="F390" s="55">
        <f t="shared" si="54"/>
        <v>0</v>
      </c>
      <c r="G390" s="55">
        <f t="shared" si="54"/>
        <v>0</v>
      </c>
      <c r="H390" s="55">
        <f t="shared" si="54"/>
        <v>22</v>
      </c>
      <c r="I390" s="55">
        <f t="shared" si="54"/>
        <v>0</v>
      </c>
      <c r="J390" s="55">
        <f t="shared" si="54"/>
        <v>0</v>
      </c>
      <c r="K390" s="55">
        <f t="shared" si="54"/>
        <v>2254</v>
      </c>
      <c r="L390" s="55">
        <f t="shared" si="54"/>
        <v>11</v>
      </c>
      <c r="M390" s="55">
        <f t="shared" si="54"/>
        <v>0</v>
      </c>
      <c r="N390" s="54"/>
    </row>
    <row r="391" spans="1:14">
      <c r="H391"/>
    </row>
    <row r="392" spans="1:14" ht="14" thickBot="1">
      <c r="B392" s="43" t="s">
        <v>35</v>
      </c>
      <c r="C392" s="43" t="s">
        <v>36</v>
      </c>
      <c r="D392" s="43" t="s">
        <v>37</v>
      </c>
      <c r="E392" s="43" t="s">
        <v>38</v>
      </c>
      <c r="F392" s="43" t="s">
        <v>39</v>
      </c>
      <c r="G392" s="43" t="s">
        <v>40</v>
      </c>
      <c r="H392" s="43" t="s">
        <v>41</v>
      </c>
      <c r="I392" s="43" t="s">
        <v>42</v>
      </c>
      <c r="J392" s="43" t="s">
        <v>43</v>
      </c>
      <c r="K392" s="43" t="s">
        <v>44</v>
      </c>
      <c r="L392" s="43" t="s">
        <v>45</v>
      </c>
      <c r="M392" s="43" t="s">
        <v>46</v>
      </c>
      <c r="N392" s="43" t="s">
        <v>10</v>
      </c>
    </row>
    <row r="393" spans="1:14" ht="17" thickBot="1">
      <c r="A393" s="31" t="s">
        <v>392</v>
      </c>
      <c r="B393" s="24"/>
      <c r="C393" s="24"/>
      <c r="D393" s="22"/>
      <c r="E393" s="22"/>
      <c r="F393" s="25"/>
      <c r="G393" s="25"/>
      <c r="H393" s="22"/>
      <c r="I393" s="22"/>
      <c r="J393" s="22"/>
      <c r="K393" s="22"/>
      <c r="L393" s="24"/>
      <c r="M393" s="24"/>
      <c r="N393" s="26"/>
    </row>
    <row r="394" spans="1:14" ht="14" thickBot="1">
      <c r="A394" s="38" t="s">
        <v>189</v>
      </c>
      <c r="B394" s="39"/>
      <c r="C394" s="39"/>
      <c r="D394" s="39"/>
      <c r="E394" s="39"/>
      <c r="F394" s="39"/>
      <c r="G394" s="39"/>
      <c r="H394" s="39"/>
      <c r="I394" s="39"/>
      <c r="J394" s="39"/>
      <c r="K394" s="39"/>
      <c r="L394" s="39"/>
      <c r="M394" s="39"/>
      <c r="N394" s="40"/>
    </row>
    <row r="395" spans="1:14">
      <c r="A395" s="32" t="s">
        <v>29</v>
      </c>
      <c r="B395" s="1092">
        <v>0</v>
      </c>
      <c r="C395" s="1092">
        <v>0</v>
      </c>
      <c r="D395" s="1092">
        <v>1</v>
      </c>
      <c r="E395" s="1092">
        <v>0</v>
      </c>
      <c r="F395" s="1092">
        <v>0</v>
      </c>
      <c r="G395" s="1092">
        <v>5</v>
      </c>
      <c r="H395" s="1092">
        <v>0</v>
      </c>
      <c r="I395" s="1092">
        <v>0</v>
      </c>
      <c r="J395" s="1092">
        <v>1</v>
      </c>
      <c r="K395" s="1092">
        <v>1</v>
      </c>
      <c r="L395" s="1092">
        <v>4</v>
      </c>
      <c r="M395" s="1092">
        <v>2</v>
      </c>
      <c r="N395" s="27">
        <f t="shared" ref="N395:N402" si="55">SUM(B395:M395)</f>
        <v>14</v>
      </c>
    </row>
    <row r="396" spans="1:14">
      <c r="A396" s="32" t="s">
        <v>33</v>
      </c>
      <c r="B396" s="1092">
        <v>0</v>
      </c>
      <c r="C396" s="1092">
        <v>5</v>
      </c>
      <c r="D396" s="1092">
        <v>62</v>
      </c>
      <c r="E396" s="1092">
        <v>5</v>
      </c>
      <c r="F396" s="1092">
        <v>7</v>
      </c>
      <c r="G396" s="1092">
        <v>1</v>
      </c>
      <c r="H396" s="1092">
        <v>5</v>
      </c>
      <c r="I396" s="1092">
        <v>5</v>
      </c>
      <c r="J396" s="1092">
        <v>9</v>
      </c>
      <c r="K396" s="1092">
        <v>1</v>
      </c>
      <c r="L396" s="1092">
        <v>42</v>
      </c>
      <c r="M396" s="1092">
        <v>59</v>
      </c>
      <c r="N396" s="27">
        <f t="shared" si="55"/>
        <v>201</v>
      </c>
    </row>
    <row r="397" spans="1:14">
      <c r="A397" s="32" t="s">
        <v>56</v>
      </c>
      <c r="B397" s="1092">
        <v>0</v>
      </c>
      <c r="C397" s="1092">
        <v>3</v>
      </c>
      <c r="D397" s="1092">
        <v>15</v>
      </c>
      <c r="E397" s="1092">
        <v>0</v>
      </c>
      <c r="F397" s="1092">
        <v>1</v>
      </c>
      <c r="G397" s="1092">
        <v>2</v>
      </c>
      <c r="H397" s="1092">
        <v>0</v>
      </c>
      <c r="I397" s="1092">
        <v>2</v>
      </c>
      <c r="J397" s="1092">
        <v>8</v>
      </c>
      <c r="K397" s="1092">
        <v>9</v>
      </c>
      <c r="L397" s="1092">
        <v>6</v>
      </c>
      <c r="M397" s="1092">
        <v>3</v>
      </c>
      <c r="N397" s="27">
        <f t="shared" si="55"/>
        <v>49</v>
      </c>
    </row>
    <row r="398" spans="1:14">
      <c r="A398" s="78" t="s">
        <v>30</v>
      </c>
      <c r="B398" s="1092">
        <v>3</v>
      </c>
      <c r="C398" s="1092">
        <v>11</v>
      </c>
      <c r="D398" s="1092">
        <v>27</v>
      </c>
      <c r="E398" s="1092">
        <v>8</v>
      </c>
      <c r="F398" s="1092">
        <v>4</v>
      </c>
      <c r="G398" s="1092">
        <v>9</v>
      </c>
      <c r="H398" s="1092">
        <v>3</v>
      </c>
      <c r="I398" s="1092">
        <v>8</v>
      </c>
      <c r="J398" s="1092">
        <v>14</v>
      </c>
      <c r="K398" s="1092">
        <v>19</v>
      </c>
      <c r="L398" s="1092">
        <v>15</v>
      </c>
      <c r="M398" s="1092">
        <v>22</v>
      </c>
      <c r="N398" s="27">
        <f t="shared" si="55"/>
        <v>143</v>
      </c>
    </row>
    <row r="399" spans="1:14">
      <c r="A399" s="76" t="s">
        <v>213</v>
      </c>
      <c r="B399" s="1092">
        <v>0</v>
      </c>
      <c r="C399" s="1092">
        <v>0</v>
      </c>
      <c r="D399" s="1092">
        <v>0</v>
      </c>
      <c r="E399" s="1092">
        <v>0</v>
      </c>
      <c r="F399" s="1092">
        <v>0</v>
      </c>
      <c r="G399" s="1092">
        <v>0</v>
      </c>
      <c r="H399" s="1092">
        <v>1</v>
      </c>
      <c r="I399" s="1092">
        <v>0</v>
      </c>
      <c r="J399" s="1092">
        <v>0</v>
      </c>
      <c r="K399" s="1092">
        <v>1</v>
      </c>
      <c r="L399" s="1092">
        <v>1</v>
      </c>
      <c r="M399" s="1092">
        <v>0</v>
      </c>
      <c r="N399" s="27">
        <f t="shared" si="55"/>
        <v>3</v>
      </c>
    </row>
    <row r="400" spans="1:14">
      <c r="A400" s="76" t="s">
        <v>212</v>
      </c>
      <c r="B400" s="1092">
        <v>0</v>
      </c>
      <c r="C400" s="1092">
        <v>0</v>
      </c>
      <c r="D400" s="1092">
        <v>0</v>
      </c>
      <c r="E400" s="1092">
        <v>0</v>
      </c>
      <c r="F400" s="1092">
        <v>0</v>
      </c>
      <c r="G400" s="1092">
        <v>0</v>
      </c>
      <c r="H400" s="1092">
        <v>1</v>
      </c>
      <c r="I400" s="1092">
        <v>0</v>
      </c>
      <c r="J400" s="1092">
        <v>0</v>
      </c>
      <c r="K400" s="1092">
        <v>0</v>
      </c>
      <c r="L400" s="1092">
        <v>0</v>
      </c>
      <c r="M400" s="1092">
        <v>3</v>
      </c>
      <c r="N400" s="27">
        <f t="shared" si="55"/>
        <v>4</v>
      </c>
    </row>
    <row r="401" spans="1:14">
      <c r="A401" s="76" t="s">
        <v>331</v>
      </c>
      <c r="B401" s="1092">
        <v>1</v>
      </c>
      <c r="C401" s="1092">
        <v>2</v>
      </c>
      <c r="D401" s="1092">
        <v>0</v>
      </c>
      <c r="E401" s="1092">
        <v>0</v>
      </c>
      <c r="F401" s="1092">
        <v>0</v>
      </c>
      <c r="G401" s="1092">
        <v>0</v>
      </c>
      <c r="H401" s="1092">
        <v>0</v>
      </c>
      <c r="I401" s="1092">
        <v>0</v>
      </c>
      <c r="J401" s="1092">
        <v>0</v>
      </c>
      <c r="K401" s="1092">
        <v>0</v>
      </c>
      <c r="L401" s="1092">
        <v>0</v>
      </c>
      <c r="M401" s="1092">
        <v>0</v>
      </c>
      <c r="N401" s="27">
        <f t="shared" si="55"/>
        <v>3</v>
      </c>
    </row>
    <row r="402" spans="1:14" ht="14" thickBot="1">
      <c r="A402" s="76" t="s">
        <v>267</v>
      </c>
      <c r="B402" s="1092">
        <v>0</v>
      </c>
      <c r="C402" s="1092">
        <v>0</v>
      </c>
      <c r="D402" s="1092">
        <v>0</v>
      </c>
      <c r="E402" s="1092">
        <v>0</v>
      </c>
      <c r="F402" s="1092">
        <v>0</v>
      </c>
      <c r="G402" s="1092">
        <v>0</v>
      </c>
      <c r="H402" s="1092">
        <v>0</v>
      </c>
      <c r="I402" s="1092">
        <v>0</v>
      </c>
      <c r="J402" s="1092">
        <v>0</v>
      </c>
      <c r="K402" s="1092">
        <v>0</v>
      </c>
      <c r="L402" s="1092">
        <v>0</v>
      </c>
      <c r="M402" s="1092">
        <v>0</v>
      </c>
      <c r="N402" s="27">
        <f t="shared" si="55"/>
        <v>0</v>
      </c>
    </row>
    <row r="403" spans="1:14" ht="14" thickBot="1">
      <c r="A403" s="38" t="s">
        <v>190</v>
      </c>
      <c r="B403" s="39"/>
      <c r="C403" s="39"/>
      <c r="D403" s="39"/>
      <c r="E403" s="39"/>
      <c r="F403" s="39"/>
      <c r="G403" s="39"/>
      <c r="H403" s="39"/>
      <c r="I403" s="39"/>
      <c r="J403" s="39"/>
      <c r="K403" s="39"/>
      <c r="L403" s="39"/>
      <c r="M403" s="39"/>
      <c r="N403" s="280"/>
    </row>
    <row r="404" spans="1:14">
      <c r="A404" s="76" t="s">
        <v>393</v>
      </c>
      <c r="B404" s="1092">
        <v>0</v>
      </c>
      <c r="C404" s="1092">
        <v>0</v>
      </c>
      <c r="D404" s="1092">
        <v>0</v>
      </c>
      <c r="E404" s="1092">
        <v>0</v>
      </c>
      <c r="F404" s="1092">
        <v>0</v>
      </c>
      <c r="G404" s="1092">
        <v>0</v>
      </c>
      <c r="H404" s="1092">
        <v>0</v>
      </c>
      <c r="I404" s="1092">
        <v>0</v>
      </c>
      <c r="J404" s="1092">
        <v>2</v>
      </c>
      <c r="K404" s="1092">
        <v>0</v>
      </c>
      <c r="L404" s="1092">
        <v>0</v>
      </c>
      <c r="M404" s="1092">
        <v>0</v>
      </c>
      <c r="N404" s="27">
        <f>SUM(B404:M404)</f>
        <v>2</v>
      </c>
    </row>
    <row r="405" spans="1:14">
      <c r="A405" s="76" t="s">
        <v>166</v>
      </c>
      <c r="B405" s="1092">
        <v>0</v>
      </c>
      <c r="C405" s="1092">
        <v>0</v>
      </c>
      <c r="D405" s="1092">
        <v>0</v>
      </c>
      <c r="E405" s="1092">
        <v>0</v>
      </c>
      <c r="F405" s="1092">
        <v>0</v>
      </c>
      <c r="G405" s="1092">
        <v>0</v>
      </c>
      <c r="H405" s="1092">
        <v>0</v>
      </c>
      <c r="I405" s="1092">
        <v>0</v>
      </c>
      <c r="J405" s="1092">
        <v>0</v>
      </c>
      <c r="K405" s="1092">
        <v>0</v>
      </c>
      <c r="L405" s="1092">
        <v>0</v>
      </c>
      <c r="M405" s="1092">
        <v>0</v>
      </c>
      <c r="N405" s="27">
        <f>SUM(B405:M405)</f>
        <v>0</v>
      </c>
    </row>
    <row r="406" spans="1:14">
      <c r="A406" s="76" t="s">
        <v>336</v>
      </c>
      <c r="B406" s="1092">
        <v>0</v>
      </c>
      <c r="C406" s="1092">
        <v>0</v>
      </c>
      <c r="D406" s="1092">
        <v>0</v>
      </c>
      <c r="E406" s="1092">
        <v>0</v>
      </c>
      <c r="F406" s="1092">
        <v>0</v>
      </c>
      <c r="G406" s="1092">
        <v>0</v>
      </c>
      <c r="H406" s="1092">
        <v>0</v>
      </c>
      <c r="I406" s="1092">
        <v>1</v>
      </c>
      <c r="J406" s="1092">
        <v>0</v>
      </c>
      <c r="K406" s="1092">
        <v>0</v>
      </c>
      <c r="L406" s="1092">
        <v>0</v>
      </c>
      <c r="M406" s="1092">
        <v>0</v>
      </c>
      <c r="N406" s="27">
        <f>SUM(B406:M406)</f>
        <v>1</v>
      </c>
    </row>
    <row r="407" spans="1:14" ht="14" thickBot="1">
      <c r="A407" s="76" t="s">
        <v>266</v>
      </c>
      <c r="B407" s="1092">
        <v>20</v>
      </c>
      <c r="C407" s="1092">
        <v>10</v>
      </c>
      <c r="D407" s="1092">
        <v>10</v>
      </c>
      <c r="E407" s="1092">
        <v>17</v>
      </c>
      <c r="F407" s="1092">
        <v>12</v>
      </c>
      <c r="G407" s="1092">
        <v>4</v>
      </c>
      <c r="H407" s="1092">
        <v>6</v>
      </c>
      <c r="I407" s="1092">
        <v>4</v>
      </c>
      <c r="J407" s="1092">
        <v>4</v>
      </c>
      <c r="K407" s="1092">
        <v>1</v>
      </c>
      <c r="L407" s="1092">
        <v>6</v>
      </c>
      <c r="M407" s="1092">
        <v>10</v>
      </c>
      <c r="N407" s="27">
        <f>SUM(B407:M407)</f>
        <v>104</v>
      </c>
    </row>
    <row r="408" spans="1:14" ht="14" thickBot="1">
      <c r="A408" s="53" t="s">
        <v>60</v>
      </c>
      <c r="B408" s="55"/>
      <c r="C408" s="55"/>
      <c r="D408" s="55"/>
      <c r="E408" s="55"/>
      <c r="F408" s="55"/>
      <c r="G408" s="55"/>
      <c r="H408" s="55"/>
      <c r="I408" s="55"/>
      <c r="J408" s="55"/>
      <c r="K408" s="55"/>
      <c r="L408" s="55"/>
      <c r="M408" s="55"/>
      <c r="N408" s="54"/>
    </row>
    <row r="409" spans="1:14" ht="14" thickBot="1">
      <c r="A409" s="38" t="s">
        <v>194</v>
      </c>
      <c r="B409" s="39"/>
      <c r="C409" s="39"/>
      <c r="D409" s="39"/>
      <c r="E409" s="39"/>
      <c r="F409" s="39"/>
      <c r="G409" s="39"/>
      <c r="H409" s="39"/>
      <c r="I409" s="39"/>
      <c r="J409" s="39"/>
      <c r="K409" s="39"/>
      <c r="L409" s="39"/>
      <c r="M409" s="39"/>
      <c r="N409" s="40"/>
    </row>
    <row r="410" spans="1:14">
      <c r="A410" s="32" t="s">
        <v>29</v>
      </c>
      <c r="B410" s="1092">
        <v>0</v>
      </c>
      <c r="C410" s="1092">
        <v>0</v>
      </c>
      <c r="D410" s="1092">
        <v>122</v>
      </c>
      <c r="E410" s="1092">
        <v>4</v>
      </c>
      <c r="F410" s="1092">
        <v>0</v>
      </c>
      <c r="G410" s="1092">
        <v>0</v>
      </c>
      <c r="H410" s="1092">
        <v>0</v>
      </c>
      <c r="I410" s="1092">
        <v>0</v>
      </c>
      <c r="J410" s="1092">
        <v>0</v>
      </c>
      <c r="K410" s="1092">
        <v>0</v>
      </c>
      <c r="L410" s="1092">
        <v>0</v>
      </c>
      <c r="M410" s="1092">
        <v>0</v>
      </c>
      <c r="N410" s="27">
        <f t="shared" ref="N410:N421" si="56">SUM(B410:M410)</f>
        <v>126</v>
      </c>
    </row>
    <row r="411" spans="1:14">
      <c r="A411" s="78" t="s">
        <v>264</v>
      </c>
      <c r="B411" s="1092">
        <v>0</v>
      </c>
      <c r="C411" s="1092">
        <v>0</v>
      </c>
      <c r="D411" s="1092">
        <v>0</v>
      </c>
      <c r="E411" s="1092">
        <v>0</v>
      </c>
      <c r="F411" s="1092">
        <v>0</v>
      </c>
      <c r="G411" s="1092">
        <v>0</v>
      </c>
      <c r="H411" s="1092">
        <v>0</v>
      </c>
      <c r="I411" s="1092">
        <v>0</v>
      </c>
      <c r="J411" s="1092">
        <v>0</v>
      </c>
      <c r="K411" s="1092">
        <v>0</v>
      </c>
      <c r="L411" s="1092">
        <v>0</v>
      </c>
      <c r="M411" s="1092">
        <v>0</v>
      </c>
      <c r="N411" s="27">
        <f t="shared" si="56"/>
        <v>0</v>
      </c>
    </row>
    <row r="412" spans="1:14">
      <c r="A412" s="34" t="s">
        <v>204</v>
      </c>
      <c r="B412" s="1092">
        <v>0</v>
      </c>
      <c r="C412" s="1092">
        <v>0</v>
      </c>
      <c r="D412" s="1092">
        <v>0</v>
      </c>
      <c r="E412" s="1092">
        <v>0</v>
      </c>
      <c r="F412" s="1092">
        <v>0</v>
      </c>
      <c r="G412" s="1092">
        <v>0</v>
      </c>
      <c r="H412" s="1092">
        <v>0</v>
      </c>
      <c r="I412" s="1092">
        <v>0</v>
      </c>
      <c r="J412" s="1092">
        <v>0</v>
      </c>
      <c r="K412" s="1092">
        <v>0</v>
      </c>
      <c r="L412" s="1092">
        <v>0</v>
      </c>
      <c r="M412" s="1092">
        <v>0</v>
      </c>
      <c r="N412" s="27">
        <f t="shared" si="56"/>
        <v>0</v>
      </c>
    </row>
    <row r="413" spans="1:14">
      <c r="A413" s="76" t="s">
        <v>30</v>
      </c>
      <c r="B413" s="1092">
        <v>0</v>
      </c>
      <c r="C413" s="1092">
        <v>0</v>
      </c>
      <c r="D413" s="1092">
        <v>0</v>
      </c>
      <c r="E413" s="1092">
        <v>0</v>
      </c>
      <c r="F413" s="1092">
        <v>0</v>
      </c>
      <c r="G413" s="1092">
        <v>0</v>
      </c>
      <c r="H413" s="1092">
        <v>0</v>
      </c>
      <c r="I413" s="1092">
        <v>0</v>
      </c>
      <c r="J413" s="1092">
        <v>15</v>
      </c>
      <c r="K413" s="1092">
        <v>0</v>
      </c>
      <c r="L413" s="1092">
        <v>0</v>
      </c>
      <c r="M413" s="1092">
        <v>0</v>
      </c>
      <c r="N413" s="27">
        <f t="shared" si="56"/>
        <v>15</v>
      </c>
    </row>
    <row r="414" spans="1:14">
      <c r="A414" s="32" t="s">
        <v>56</v>
      </c>
      <c r="B414" s="1092">
        <v>0</v>
      </c>
      <c r="C414" s="1092">
        <v>0</v>
      </c>
      <c r="D414" s="1092">
        <v>0</v>
      </c>
      <c r="E414" s="1092">
        <v>0</v>
      </c>
      <c r="F414" s="1092">
        <v>0</v>
      </c>
      <c r="G414" s="1092">
        <v>0</v>
      </c>
      <c r="H414" s="1092">
        <v>0</v>
      </c>
      <c r="I414" s="1092">
        <v>0</v>
      </c>
      <c r="J414" s="1092">
        <v>0</v>
      </c>
      <c r="K414" s="1092">
        <v>0</v>
      </c>
      <c r="L414" s="1092">
        <v>0</v>
      </c>
      <c r="M414" s="1092">
        <v>0</v>
      </c>
      <c r="N414" s="27">
        <f t="shared" si="56"/>
        <v>0</v>
      </c>
    </row>
    <row r="415" spans="1:14">
      <c r="A415" s="78" t="s">
        <v>122</v>
      </c>
      <c r="B415" s="1092">
        <v>0</v>
      </c>
      <c r="C415" s="1092">
        <v>0</v>
      </c>
      <c r="D415" s="1092">
        <v>0</v>
      </c>
      <c r="E415" s="1092">
        <v>0</v>
      </c>
      <c r="F415" s="1092">
        <v>0</v>
      </c>
      <c r="G415" s="1092">
        <v>0</v>
      </c>
      <c r="H415" s="1092">
        <v>0</v>
      </c>
      <c r="I415" s="1092">
        <v>0</v>
      </c>
      <c r="J415" s="1092">
        <v>0</v>
      </c>
      <c r="K415" s="1092">
        <v>0</v>
      </c>
      <c r="L415" s="1092">
        <v>0</v>
      </c>
      <c r="M415" s="1092">
        <v>0</v>
      </c>
      <c r="N415" s="27">
        <f t="shared" si="56"/>
        <v>0</v>
      </c>
    </row>
    <row r="416" spans="1:14">
      <c r="A416" s="78" t="s">
        <v>184</v>
      </c>
      <c r="B416" s="1092">
        <v>0</v>
      </c>
      <c r="C416" s="1092">
        <v>0</v>
      </c>
      <c r="D416" s="1092">
        <v>0</v>
      </c>
      <c r="E416" s="1092">
        <v>0</v>
      </c>
      <c r="F416" s="1092">
        <v>0</v>
      </c>
      <c r="G416" s="1092">
        <v>0</v>
      </c>
      <c r="H416" s="1092">
        <v>0</v>
      </c>
      <c r="I416" s="1092">
        <v>0</v>
      </c>
      <c r="J416" s="1092">
        <v>0</v>
      </c>
      <c r="K416" s="1092">
        <v>0</v>
      </c>
      <c r="L416" s="1092">
        <v>0</v>
      </c>
      <c r="M416" s="1092">
        <v>0</v>
      </c>
      <c r="N416" s="27">
        <f t="shared" si="56"/>
        <v>0</v>
      </c>
    </row>
    <row r="417" spans="1:14">
      <c r="A417" s="78" t="s">
        <v>187</v>
      </c>
      <c r="B417" s="1092">
        <v>0</v>
      </c>
      <c r="C417" s="1092">
        <v>0</v>
      </c>
      <c r="D417" s="1092">
        <v>0</v>
      </c>
      <c r="E417" s="1092">
        <v>0</v>
      </c>
      <c r="F417" s="1092">
        <v>0</v>
      </c>
      <c r="G417" s="1092">
        <v>0</v>
      </c>
      <c r="H417" s="1092">
        <v>0</v>
      </c>
      <c r="I417" s="1092">
        <v>0</v>
      </c>
      <c r="J417" s="1092">
        <v>0</v>
      </c>
      <c r="K417" s="1092">
        <v>0</v>
      </c>
      <c r="L417" s="1092">
        <v>0</v>
      </c>
      <c r="M417" s="1092">
        <v>0</v>
      </c>
      <c r="N417" s="27">
        <f t="shared" si="56"/>
        <v>0</v>
      </c>
    </row>
    <row r="418" spans="1:14">
      <c r="A418" s="78" t="s">
        <v>188</v>
      </c>
      <c r="B418" s="1092">
        <v>0</v>
      </c>
      <c r="C418" s="1092">
        <v>0</v>
      </c>
      <c r="D418" s="1092">
        <v>0</v>
      </c>
      <c r="E418" s="1092">
        <v>0</v>
      </c>
      <c r="F418" s="1092">
        <v>0</v>
      </c>
      <c r="G418" s="1092">
        <v>0</v>
      </c>
      <c r="H418" s="1092">
        <v>0</v>
      </c>
      <c r="I418" s="1092">
        <v>0</v>
      </c>
      <c r="J418" s="1092">
        <v>0</v>
      </c>
      <c r="K418" s="1092">
        <v>0</v>
      </c>
      <c r="L418" s="1092">
        <v>0</v>
      </c>
      <c r="M418" s="1092">
        <v>0</v>
      </c>
      <c r="N418" s="27">
        <f t="shared" si="56"/>
        <v>0</v>
      </c>
    </row>
    <row r="419" spans="1:14">
      <c r="A419" s="78" t="s">
        <v>213</v>
      </c>
      <c r="B419" s="1092">
        <v>0</v>
      </c>
      <c r="C419" s="1092">
        <v>0</v>
      </c>
      <c r="D419" s="1092">
        <v>0</v>
      </c>
      <c r="E419" s="1092">
        <v>0</v>
      </c>
      <c r="F419" s="1092">
        <v>0</v>
      </c>
      <c r="G419" s="1092">
        <v>0</v>
      </c>
      <c r="H419" s="1092">
        <v>0</v>
      </c>
      <c r="I419" s="1092">
        <v>0</v>
      </c>
      <c r="J419" s="1092">
        <v>0</v>
      </c>
      <c r="K419" s="1092">
        <v>0</v>
      </c>
      <c r="L419" s="1092">
        <v>0</v>
      </c>
      <c r="M419" s="1092">
        <v>0</v>
      </c>
      <c r="N419" s="27">
        <f t="shared" si="56"/>
        <v>0</v>
      </c>
    </row>
    <row r="420" spans="1:14">
      <c r="A420" s="76" t="s">
        <v>267</v>
      </c>
      <c r="B420" s="1092">
        <v>0</v>
      </c>
      <c r="C420" s="1092">
        <v>0</v>
      </c>
      <c r="D420" s="1092">
        <v>0</v>
      </c>
      <c r="E420" s="1092">
        <v>0</v>
      </c>
      <c r="F420" s="1092">
        <v>0</v>
      </c>
      <c r="G420" s="1092">
        <v>0</v>
      </c>
      <c r="H420" s="1092">
        <v>0</v>
      </c>
      <c r="I420" s="1092">
        <v>0</v>
      </c>
      <c r="J420" s="1092">
        <v>0</v>
      </c>
      <c r="K420" s="1092">
        <v>0</v>
      </c>
      <c r="L420" s="1092">
        <v>0</v>
      </c>
      <c r="M420" s="1092">
        <v>0</v>
      </c>
      <c r="N420" s="27">
        <f t="shared" si="56"/>
        <v>0</v>
      </c>
    </row>
    <row r="421" spans="1:14" ht="14" thickBot="1">
      <c r="A421" s="78" t="s">
        <v>268</v>
      </c>
      <c r="B421" s="1092">
        <v>0</v>
      </c>
      <c r="C421" s="1092">
        <v>0</v>
      </c>
      <c r="D421" s="1092">
        <v>0</v>
      </c>
      <c r="E421" s="1092">
        <v>0</v>
      </c>
      <c r="F421" s="1092">
        <v>0</v>
      </c>
      <c r="G421" s="1092">
        <v>0</v>
      </c>
      <c r="H421" s="1092">
        <v>0</v>
      </c>
      <c r="I421" s="1092">
        <v>547</v>
      </c>
      <c r="J421" s="1092">
        <v>0</v>
      </c>
      <c r="K421" s="1092">
        <v>0</v>
      </c>
      <c r="L421" s="1092">
        <v>0</v>
      </c>
      <c r="M421" s="1092">
        <v>0</v>
      </c>
      <c r="N421" s="27">
        <f t="shared" si="56"/>
        <v>547</v>
      </c>
    </row>
    <row r="422" spans="1:14" ht="14" thickBot="1">
      <c r="A422" s="38" t="s">
        <v>192</v>
      </c>
      <c r="B422" s="39"/>
      <c r="C422" s="39"/>
      <c r="D422" s="39"/>
      <c r="E422" s="39"/>
      <c r="F422" s="39"/>
      <c r="G422" s="39"/>
      <c r="H422" s="39"/>
      <c r="I422" s="39"/>
      <c r="J422" s="39"/>
      <c r="K422" s="39"/>
      <c r="L422" s="39"/>
      <c r="M422" s="39"/>
      <c r="N422" s="40"/>
    </row>
    <row r="423" spans="1:14" ht="14" thickBot="1">
      <c r="A423" s="76" t="s">
        <v>193</v>
      </c>
      <c r="B423" s="1092"/>
      <c r="C423" s="1092"/>
      <c r="D423" s="1092"/>
      <c r="E423" s="1092"/>
      <c r="F423" s="1092"/>
      <c r="G423" s="1092"/>
      <c r="H423" s="1092"/>
      <c r="I423" s="1092"/>
      <c r="J423" s="1092"/>
      <c r="K423" s="1092"/>
      <c r="L423" s="1092"/>
      <c r="M423" s="1092"/>
      <c r="N423" s="27">
        <f>SUM(B423:M423)</f>
        <v>0</v>
      </c>
    </row>
    <row r="424" spans="1:14" ht="14" thickBot="1">
      <c r="A424" s="53" t="s">
        <v>60</v>
      </c>
      <c r="B424" s="55">
        <f t="shared" ref="B424:M424" si="57">SUM(B410:B423)</f>
        <v>0</v>
      </c>
      <c r="C424" s="55">
        <f t="shared" si="57"/>
        <v>0</v>
      </c>
      <c r="D424" s="55">
        <f t="shared" si="57"/>
        <v>122</v>
      </c>
      <c r="E424" s="55">
        <f t="shared" si="57"/>
        <v>4</v>
      </c>
      <c r="F424" s="55">
        <f t="shared" si="57"/>
        <v>0</v>
      </c>
      <c r="G424" s="55">
        <f t="shared" si="57"/>
        <v>0</v>
      </c>
      <c r="H424" s="55">
        <f t="shared" si="57"/>
        <v>0</v>
      </c>
      <c r="I424" s="55">
        <f t="shared" si="57"/>
        <v>547</v>
      </c>
      <c r="J424" s="55">
        <f t="shared" si="57"/>
        <v>15</v>
      </c>
      <c r="K424" s="55">
        <f t="shared" si="57"/>
        <v>0</v>
      </c>
      <c r="L424" s="55">
        <f t="shared" si="57"/>
        <v>0</v>
      </c>
      <c r="M424" s="55">
        <f t="shared" si="57"/>
        <v>0</v>
      </c>
      <c r="N424" s="54"/>
    </row>
    <row r="425" spans="1:14">
      <c r="H425"/>
    </row>
    <row r="426" spans="1:14" ht="14" thickBot="1">
      <c r="B426" s="43" t="s">
        <v>35</v>
      </c>
      <c r="C426" s="43" t="s">
        <v>36</v>
      </c>
      <c r="D426" s="43" t="s">
        <v>37</v>
      </c>
      <c r="E426" s="43" t="s">
        <v>38</v>
      </c>
      <c r="F426" s="43" t="s">
        <v>39</v>
      </c>
      <c r="G426" s="43" t="s">
        <v>40</v>
      </c>
      <c r="H426" s="43" t="s">
        <v>41</v>
      </c>
      <c r="I426" s="43" t="s">
        <v>42</v>
      </c>
      <c r="J426" s="43" t="s">
        <v>43</v>
      </c>
      <c r="K426" s="43" t="s">
        <v>44</v>
      </c>
      <c r="L426" s="43" t="s">
        <v>45</v>
      </c>
      <c r="M426" s="43" t="s">
        <v>46</v>
      </c>
      <c r="N426" s="43" t="s">
        <v>10</v>
      </c>
    </row>
    <row r="427" spans="1:14" ht="17" thickBot="1">
      <c r="A427" s="31" t="s">
        <v>434</v>
      </c>
      <c r="B427" s="24"/>
      <c r="C427" s="24"/>
      <c r="D427" s="22"/>
      <c r="E427" s="22"/>
      <c r="F427" s="25"/>
      <c r="G427" s="25"/>
      <c r="H427" s="22"/>
      <c r="I427" s="22"/>
      <c r="J427" s="22"/>
      <c r="K427" s="22"/>
      <c r="L427" s="24"/>
      <c r="M427" s="24"/>
      <c r="N427" s="26"/>
    </row>
    <row r="428" spans="1:14" ht="14" thickBot="1">
      <c r="A428" s="38" t="s">
        <v>189</v>
      </c>
      <c r="B428" s="39"/>
      <c r="C428" s="39"/>
      <c r="D428" s="39"/>
      <c r="E428" s="39"/>
      <c r="F428" s="39"/>
      <c r="G428" s="39"/>
      <c r="H428" s="39"/>
      <c r="I428" s="39"/>
      <c r="J428" s="39"/>
      <c r="K428" s="39"/>
      <c r="L428" s="39"/>
      <c r="M428" s="39"/>
      <c r="N428" s="40"/>
    </row>
    <row r="429" spans="1:14">
      <c r="A429" s="32" t="s">
        <v>29</v>
      </c>
      <c r="B429" s="1092"/>
      <c r="C429" s="1092"/>
      <c r="D429" s="1092">
        <v>8</v>
      </c>
      <c r="E429" s="1092"/>
      <c r="F429" s="1092">
        <v>44</v>
      </c>
      <c r="G429" s="1092">
        <v>10</v>
      </c>
      <c r="H429" s="1092">
        <v>17</v>
      </c>
      <c r="I429" s="1092">
        <v>42</v>
      </c>
      <c r="J429" s="1092">
        <v>52</v>
      </c>
      <c r="K429" s="1092">
        <v>14</v>
      </c>
      <c r="L429" s="1092">
        <v>54</v>
      </c>
      <c r="M429" s="1092">
        <v>5</v>
      </c>
      <c r="N429" s="27">
        <f t="shared" ref="N429:N436" si="58">SUM(B429:M429)</f>
        <v>246</v>
      </c>
    </row>
    <row r="430" spans="1:14">
      <c r="A430" s="32" t="s">
        <v>33</v>
      </c>
      <c r="B430" s="1092">
        <v>2</v>
      </c>
      <c r="C430" s="1092">
        <v>7</v>
      </c>
      <c r="D430" s="1092">
        <v>3</v>
      </c>
      <c r="E430" s="1092">
        <v>2</v>
      </c>
      <c r="F430" s="1092">
        <v>3</v>
      </c>
      <c r="G430" s="1092">
        <v>1</v>
      </c>
      <c r="H430" s="1092">
        <v>3</v>
      </c>
      <c r="I430" s="1092">
        <v>10</v>
      </c>
      <c r="J430" s="1092">
        <v>2</v>
      </c>
      <c r="K430" s="1092">
        <v>2</v>
      </c>
      <c r="L430" s="1092">
        <v>23</v>
      </c>
      <c r="M430" s="1092">
        <v>4</v>
      </c>
      <c r="N430" s="27">
        <f t="shared" si="58"/>
        <v>62</v>
      </c>
    </row>
    <row r="431" spans="1:14">
      <c r="A431" s="32" t="s">
        <v>56</v>
      </c>
      <c r="B431" s="1092"/>
      <c r="C431" s="1092"/>
      <c r="D431" s="1092">
        <v>8</v>
      </c>
      <c r="E431" s="1092"/>
      <c r="F431" s="1092">
        <v>3</v>
      </c>
      <c r="G431" s="1092">
        <v>1</v>
      </c>
      <c r="H431" s="1092"/>
      <c r="I431" s="1092">
        <v>7</v>
      </c>
      <c r="J431" s="1092">
        <v>3</v>
      </c>
      <c r="K431" s="1092"/>
      <c r="L431" s="1092">
        <v>3</v>
      </c>
      <c r="M431" s="1092"/>
      <c r="N431" s="27">
        <f t="shared" si="58"/>
        <v>25</v>
      </c>
    </row>
    <row r="432" spans="1:14">
      <c r="A432" s="78" t="s">
        <v>30</v>
      </c>
      <c r="B432" s="1092">
        <v>9</v>
      </c>
      <c r="C432" s="1092">
        <v>20</v>
      </c>
      <c r="D432" s="1092">
        <v>23</v>
      </c>
      <c r="E432" s="1092">
        <v>6</v>
      </c>
      <c r="F432" s="1092">
        <v>14</v>
      </c>
      <c r="G432" s="1092">
        <v>6</v>
      </c>
      <c r="H432" s="1092">
        <v>4</v>
      </c>
      <c r="I432" s="1092">
        <v>13</v>
      </c>
      <c r="J432" s="1092">
        <v>6</v>
      </c>
      <c r="K432" s="1092">
        <v>1</v>
      </c>
      <c r="L432" s="1092">
        <v>10</v>
      </c>
      <c r="M432" s="1092">
        <v>8</v>
      </c>
      <c r="N432" s="27">
        <f t="shared" si="58"/>
        <v>120</v>
      </c>
    </row>
    <row r="433" spans="1:14">
      <c r="A433" s="76" t="s">
        <v>213</v>
      </c>
      <c r="B433" s="1092">
        <v>2</v>
      </c>
      <c r="C433" s="1092"/>
      <c r="D433" s="1092">
        <v>2</v>
      </c>
      <c r="E433" s="1092">
        <v>1</v>
      </c>
      <c r="F433" s="1092"/>
      <c r="G433" s="1092">
        <v>1</v>
      </c>
      <c r="H433" s="1092">
        <v>2</v>
      </c>
      <c r="I433" s="1092"/>
      <c r="J433" s="1092">
        <v>1</v>
      </c>
      <c r="K433" s="1092"/>
      <c r="L433" s="1092"/>
      <c r="M433" s="1092"/>
      <c r="N433" s="27">
        <f t="shared" si="58"/>
        <v>9</v>
      </c>
    </row>
    <row r="434" spans="1:14">
      <c r="A434" s="76" t="s">
        <v>212</v>
      </c>
      <c r="B434" s="1092"/>
      <c r="C434" s="1092"/>
      <c r="D434" s="1092"/>
      <c r="E434" s="1092"/>
      <c r="F434" s="1092"/>
      <c r="G434" s="1092"/>
      <c r="H434" s="1092"/>
      <c r="I434" s="1092"/>
      <c r="J434" s="1092"/>
      <c r="K434" s="1092"/>
      <c r="L434" s="1092"/>
      <c r="M434" s="1092"/>
      <c r="N434" s="27">
        <f t="shared" si="58"/>
        <v>0</v>
      </c>
    </row>
    <row r="435" spans="1:14">
      <c r="A435" s="76" t="s">
        <v>331</v>
      </c>
      <c r="B435" s="1092"/>
      <c r="C435" s="1092"/>
      <c r="D435" s="1092"/>
      <c r="E435" s="1092"/>
      <c r="F435" s="1092"/>
      <c r="G435" s="1092"/>
      <c r="H435" s="1092"/>
      <c r="I435" s="1092"/>
      <c r="J435" s="1092"/>
      <c r="K435" s="1092"/>
      <c r="L435" s="1092"/>
      <c r="M435" s="1092"/>
      <c r="N435" s="27">
        <f t="shared" si="58"/>
        <v>0</v>
      </c>
    </row>
    <row r="436" spans="1:14" ht="14" thickBot="1">
      <c r="A436" s="76" t="s">
        <v>267</v>
      </c>
      <c r="B436" s="1092"/>
      <c r="C436" s="1092"/>
      <c r="D436" s="1092"/>
      <c r="E436" s="1092"/>
      <c r="F436" s="1092"/>
      <c r="G436" s="1092"/>
      <c r="H436" s="1092"/>
      <c r="I436" s="1092"/>
      <c r="J436" s="1092"/>
      <c r="K436" s="1092"/>
      <c r="L436" s="1092"/>
      <c r="M436" s="1092"/>
      <c r="N436" s="27">
        <f t="shared" si="58"/>
        <v>0</v>
      </c>
    </row>
    <row r="437" spans="1:14" ht="14" thickBot="1">
      <c r="A437" s="38" t="s">
        <v>190</v>
      </c>
      <c r="B437" s="39"/>
      <c r="C437" s="39"/>
      <c r="D437" s="39"/>
      <c r="E437" s="39"/>
      <c r="F437" s="39"/>
      <c r="G437" s="39"/>
      <c r="H437" s="39"/>
      <c r="I437" s="39"/>
      <c r="J437" s="39"/>
      <c r="K437" s="39"/>
      <c r="L437" s="39"/>
      <c r="M437" s="39"/>
      <c r="N437" s="280"/>
    </row>
    <row r="438" spans="1:14">
      <c r="A438" s="76" t="s">
        <v>393</v>
      </c>
      <c r="B438" s="1092">
        <v>2</v>
      </c>
      <c r="C438" s="1092">
        <v>0</v>
      </c>
      <c r="D438" s="1092"/>
      <c r="E438" s="1092"/>
      <c r="F438" s="1092"/>
      <c r="G438" s="1092"/>
      <c r="H438" s="1092"/>
      <c r="I438" s="1092"/>
      <c r="J438" s="1092">
        <v>1</v>
      </c>
      <c r="K438" s="1092"/>
      <c r="L438" s="1092">
        <v>2</v>
      </c>
      <c r="M438" s="1092">
        <v>1</v>
      </c>
      <c r="N438" s="27">
        <f>SUM(B438:M438)</f>
        <v>6</v>
      </c>
    </row>
    <row r="439" spans="1:14">
      <c r="A439" s="76" t="s">
        <v>166</v>
      </c>
      <c r="B439" s="1092">
        <v>0</v>
      </c>
      <c r="C439" s="1140">
        <v>0</v>
      </c>
      <c r="D439" s="1092">
        <v>0</v>
      </c>
      <c r="E439" s="1092">
        <v>0</v>
      </c>
      <c r="F439" s="1092">
        <v>0</v>
      </c>
      <c r="G439" s="1092">
        <v>0</v>
      </c>
      <c r="H439" s="1092">
        <v>1</v>
      </c>
      <c r="I439" s="1092">
        <v>0</v>
      </c>
      <c r="J439" s="1092">
        <v>0</v>
      </c>
      <c r="K439" s="1092">
        <v>0</v>
      </c>
      <c r="L439" s="1092">
        <v>0</v>
      </c>
      <c r="M439" s="1092">
        <v>0</v>
      </c>
      <c r="N439" s="27">
        <f>SUM(B439:M439)</f>
        <v>1</v>
      </c>
    </row>
    <row r="440" spans="1:14">
      <c r="A440" s="76" t="s">
        <v>336</v>
      </c>
      <c r="B440" s="1092">
        <v>0</v>
      </c>
      <c r="C440" s="1092">
        <v>2</v>
      </c>
      <c r="D440" s="1092">
        <v>0</v>
      </c>
      <c r="E440" s="1092">
        <v>1</v>
      </c>
      <c r="F440" s="1092">
        <v>0</v>
      </c>
      <c r="G440" s="1092">
        <v>0</v>
      </c>
      <c r="H440" s="1092">
        <v>0</v>
      </c>
      <c r="I440" s="1092">
        <v>0</v>
      </c>
      <c r="J440" s="1092">
        <v>0</v>
      </c>
      <c r="K440" s="1092">
        <v>0</v>
      </c>
      <c r="L440" s="1092">
        <v>2</v>
      </c>
      <c r="M440" s="1092">
        <v>1</v>
      </c>
      <c r="N440" s="27">
        <f>SUM(B440:M440)</f>
        <v>6</v>
      </c>
    </row>
    <row r="441" spans="1:14">
      <c r="A441" s="76" t="s">
        <v>266</v>
      </c>
      <c r="B441" s="1092">
        <v>12</v>
      </c>
      <c r="C441" s="1092">
        <v>11</v>
      </c>
      <c r="D441" s="1092">
        <v>8</v>
      </c>
      <c r="E441" s="1092">
        <v>10</v>
      </c>
      <c r="F441" s="1092">
        <v>9</v>
      </c>
      <c r="G441" s="1092">
        <v>6</v>
      </c>
      <c r="H441" s="1092">
        <v>10</v>
      </c>
      <c r="I441" s="1092">
        <v>11</v>
      </c>
      <c r="J441" s="1092">
        <v>8</v>
      </c>
      <c r="K441" s="1092">
        <v>0</v>
      </c>
      <c r="L441" s="1092">
        <v>0</v>
      </c>
      <c r="M441" s="1092">
        <v>3</v>
      </c>
      <c r="N441" s="27">
        <f>SUM(B441:M441)</f>
        <v>88</v>
      </c>
    </row>
    <row r="442" spans="1:14" ht="14" thickBot="1">
      <c r="A442" s="76" t="s">
        <v>467</v>
      </c>
      <c r="B442" s="1092"/>
      <c r="C442" s="1092"/>
      <c r="D442" s="1092"/>
      <c r="E442" s="1092"/>
      <c r="F442" s="1092"/>
      <c r="G442" s="1092"/>
      <c r="H442" s="1092"/>
      <c r="I442" s="1092"/>
      <c r="J442" s="1092"/>
      <c r="K442" s="1092"/>
      <c r="L442" s="1092">
        <v>2</v>
      </c>
      <c r="M442" s="1092"/>
      <c r="N442" s="27">
        <f>SUM(B442:M442)</f>
        <v>2</v>
      </c>
    </row>
    <row r="443" spans="1:14" ht="14" thickBot="1">
      <c r="A443" s="53" t="s">
        <v>60</v>
      </c>
      <c r="B443" s="55">
        <f>SUM(B429:B442)</f>
        <v>27</v>
      </c>
      <c r="C443" s="55">
        <f t="shared" ref="C443:L443" si="59">SUM(C429:C442)</f>
        <v>40</v>
      </c>
      <c r="D443" s="55">
        <f t="shared" si="59"/>
        <v>52</v>
      </c>
      <c r="E443" s="55">
        <f t="shared" si="59"/>
        <v>20</v>
      </c>
      <c r="F443" s="55">
        <f t="shared" si="59"/>
        <v>73</v>
      </c>
      <c r="G443" s="55">
        <f t="shared" si="59"/>
        <v>25</v>
      </c>
      <c r="H443" s="55">
        <f t="shared" si="59"/>
        <v>37</v>
      </c>
      <c r="I443" s="55">
        <f t="shared" si="59"/>
        <v>83</v>
      </c>
      <c r="J443" s="55">
        <f t="shared" si="59"/>
        <v>73</v>
      </c>
      <c r="K443" s="55">
        <f t="shared" si="59"/>
        <v>17</v>
      </c>
      <c r="L443" s="55">
        <f t="shared" si="59"/>
        <v>96</v>
      </c>
      <c r="M443" s="55">
        <f>SUM(M429:M442)</f>
        <v>22</v>
      </c>
      <c r="N443" s="54"/>
    </row>
    <row r="444" spans="1:14" ht="14" thickBot="1">
      <c r="A444" s="38" t="s">
        <v>194</v>
      </c>
      <c r="B444" s="39"/>
      <c r="C444" s="39"/>
      <c r="D444" s="39"/>
      <c r="E444" s="39"/>
      <c r="F444" s="39"/>
      <c r="G444" s="39"/>
      <c r="H444" s="39"/>
      <c r="I444" s="39"/>
      <c r="J444" s="39"/>
      <c r="K444" s="39"/>
      <c r="L444" s="39"/>
      <c r="M444" s="39"/>
      <c r="N444" s="40"/>
    </row>
    <row r="445" spans="1:14">
      <c r="A445" s="32" t="s">
        <v>29</v>
      </c>
      <c r="B445" s="1092"/>
      <c r="C445" s="1092"/>
      <c r="D445" s="1092"/>
      <c r="E445" s="1092"/>
      <c r="F445" s="1092"/>
      <c r="G445" s="1092">
        <v>428</v>
      </c>
      <c r="H445" s="1092"/>
      <c r="I445" s="1092"/>
      <c r="J445" s="1092"/>
      <c r="K445" s="1092"/>
      <c r="L445" s="1092"/>
      <c r="M445" s="1092"/>
      <c r="N445" s="27">
        <f t="shared" ref="N445:N456" si="60">SUM(B445:M445)</f>
        <v>428</v>
      </c>
    </row>
    <row r="446" spans="1:14">
      <c r="A446" s="78" t="s">
        <v>264</v>
      </c>
      <c r="B446" s="1092"/>
      <c r="C446" s="1092"/>
      <c r="D446" s="1092"/>
      <c r="E446" s="1092"/>
      <c r="F446" s="1092"/>
      <c r="G446" s="1092"/>
      <c r="H446" s="1092"/>
      <c r="I446" s="1092"/>
      <c r="J446" s="1092"/>
      <c r="K446" s="1092"/>
      <c r="L446" s="1092"/>
      <c r="M446" s="1092"/>
      <c r="N446" s="27">
        <f t="shared" si="60"/>
        <v>0</v>
      </c>
    </row>
    <row r="447" spans="1:14">
      <c r="A447" s="34" t="s">
        <v>204</v>
      </c>
      <c r="B447" s="1092"/>
      <c r="C447" s="1092"/>
      <c r="D447" s="1092"/>
      <c r="E447" s="1092"/>
      <c r="F447" s="1092"/>
      <c r="G447" s="1092"/>
      <c r="H447" s="1092"/>
      <c r="I447" s="1092"/>
      <c r="J447" s="1092"/>
      <c r="K447" s="1092"/>
      <c r="L447" s="1092"/>
      <c r="M447" s="1092"/>
      <c r="N447" s="27">
        <f t="shared" si="60"/>
        <v>0</v>
      </c>
    </row>
    <row r="448" spans="1:14">
      <c r="A448" s="76" t="s">
        <v>30</v>
      </c>
      <c r="B448" s="1092"/>
      <c r="C448" s="1092"/>
      <c r="D448" s="1092"/>
      <c r="E448" s="1092"/>
      <c r="F448" s="1092"/>
      <c r="G448" s="1092"/>
      <c r="H448" s="1092"/>
      <c r="I448" s="1092"/>
      <c r="J448" s="1092"/>
      <c r="K448" s="1092"/>
      <c r="L448" s="1092"/>
      <c r="M448" s="1092">
        <v>2</v>
      </c>
      <c r="N448" s="27">
        <f t="shared" si="60"/>
        <v>2</v>
      </c>
    </row>
    <row r="449" spans="1:14">
      <c r="A449" s="32" t="s">
        <v>56</v>
      </c>
      <c r="B449" s="1092"/>
      <c r="C449" s="1092"/>
      <c r="D449" s="1092"/>
      <c r="E449" s="1092"/>
      <c r="F449" s="1092"/>
      <c r="G449" s="1092"/>
      <c r="H449" s="1092"/>
      <c r="I449" s="1092"/>
      <c r="J449" s="1092"/>
      <c r="K449" s="1092"/>
      <c r="L449" s="1092"/>
      <c r="M449" s="1092"/>
      <c r="N449" s="27">
        <f t="shared" si="60"/>
        <v>0</v>
      </c>
    </row>
    <row r="450" spans="1:14">
      <c r="A450" s="78" t="s">
        <v>122</v>
      </c>
      <c r="B450" s="1092"/>
      <c r="C450" s="1092"/>
      <c r="D450" s="1092"/>
      <c r="E450" s="1092"/>
      <c r="F450" s="1092"/>
      <c r="G450" s="1092"/>
      <c r="H450" s="1092"/>
      <c r="I450" s="1092"/>
      <c r="J450" s="1092"/>
      <c r="K450" s="1092"/>
      <c r="L450" s="1092"/>
      <c r="M450" s="1092"/>
      <c r="N450" s="27">
        <f t="shared" si="60"/>
        <v>0</v>
      </c>
    </row>
    <row r="451" spans="1:14">
      <c r="A451" s="78" t="s">
        <v>184</v>
      </c>
      <c r="B451" s="1092"/>
      <c r="C451" s="1092"/>
      <c r="D451" s="1092"/>
      <c r="E451" s="1092"/>
      <c r="F451" s="1092"/>
      <c r="G451" s="1092"/>
      <c r="H451" s="1092"/>
      <c r="I451" s="1092"/>
      <c r="J451" s="1092"/>
      <c r="K451" s="1092"/>
      <c r="L451" s="1092"/>
      <c r="M451" s="1092"/>
      <c r="N451" s="27">
        <f t="shared" si="60"/>
        <v>0</v>
      </c>
    </row>
    <row r="452" spans="1:14">
      <c r="A452" s="78" t="s">
        <v>187</v>
      </c>
      <c r="B452" s="1092"/>
      <c r="C452" s="1092"/>
      <c r="D452" s="1092"/>
      <c r="E452" s="1092"/>
      <c r="F452" s="1092"/>
      <c r="G452" s="1092"/>
      <c r="H452" s="1092">
        <v>1020</v>
      </c>
      <c r="I452" s="1092"/>
      <c r="J452" s="1092"/>
      <c r="K452" s="1092"/>
      <c r="L452" s="1092"/>
      <c r="M452" s="1092"/>
      <c r="N452" s="27">
        <f t="shared" si="60"/>
        <v>1020</v>
      </c>
    </row>
    <row r="453" spans="1:14">
      <c r="A453" s="78" t="s">
        <v>188</v>
      </c>
      <c r="B453" s="1092"/>
      <c r="C453" s="1092"/>
      <c r="D453" s="1092"/>
      <c r="E453" s="1092"/>
      <c r="F453" s="1092"/>
      <c r="G453" s="1092"/>
      <c r="H453" s="1092"/>
      <c r="I453" s="1092"/>
      <c r="J453" s="1092"/>
      <c r="K453" s="1092"/>
      <c r="L453" s="1092"/>
      <c r="M453" s="1092"/>
      <c r="N453" s="27">
        <f t="shared" si="60"/>
        <v>0</v>
      </c>
    </row>
    <row r="454" spans="1:14">
      <c r="A454" s="78" t="s">
        <v>213</v>
      </c>
      <c r="B454" s="1092"/>
      <c r="C454" s="1092"/>
      <c r="D454" s="1092"/>
      <c r="E454" s="1092"/>
      <c r="F454" s="1092"/>
      <c r="G454" s="1092"/>
      <c r="H454" s="1092">
        <v>1</v>
      </c>
      <c r="I454" s="1092"/>
      <c r="J454" s="1092"/>
      <c r="K454" s="1092"/>
      <c r="L454" s="1092">
        <v>1</v>
      </c>
      <c r="M454" s="1092"/>
      <c r="N454" s="27">
        <f t="shared" si="60"/>
        <v>2</v>
      </c>
    </row>
    <row r="455" spans="1:14">
      <c r="A455" s="76" t="s">
        <v>267</v>
      </c>
      <c r="B455" s="1092"/>
      <c r="C455" s="1092"/>
      <c r="D455" s="1092"/>
      <c r="E455" s="1092"/>
      <c r="F455" s="1092"/>
      <c r="G455" s="1092"/>
      <c r="H455" s="1092"/>
      <c r="I455" s="1092"/>
      <c r="J455" s="1092"/>
      <c r="K455" s="1092"/>
      <c r="L455" s="1092"/>
      <c r="M455" s="1092"/>
      <c r="N455" s="27">
        <f t="shared" si="60"/>
        <v>0</v>
      </c>
    </row>
    <row r="456" spans="1:14" ht="14" thickBot="1">
      <c r="A456" s="78" t="s">
        <v>268</v>
      </c>
      <c r="B456" s="1092"/>
      <c r="C456" s="1092"/>
      <c r="D456" s="1092"/>
      <c r="E456" s="1092"/>
      <c r="F456" s="1092"/>
      <c r="G456" s="1092"/>
      <c r="H456" s="1092">
        <v>194</v>
      </c>
      <c r="I456" s="1092"/>
      <c r="J456" s="1092"/>
      <c r="K456" s="1092"/>
      <c r="L456" s="1092"/>
      <c r="M456" s="1092"/>
      <c r="N456" s="27">
        <f t="shared" si="60"/>
        <v>194</v>
      </c>
    </row>
    <row r="457" spans="1:14" ht="14" thickBot="1">
      <c r="A457" s="38" t="s">
        <v>192</v>
      </c>
      <c r="B457" s="39"/>
      <c r="C457" s="39"/>
      <c r="D457" s="39"/>
      <c r="E457" s="39"/>
      <c r="F457" s="39"/>
      <c r="G457" s="39"/>
      <c r="H457" s="39"/>
      <c r="I457" s="39"/>
      <c r="J457" s="39"/>
      <c r="K457" s="39"/>
      <c r="L457" s="39"/>
      <c r="M457" s="39"/>
      <c r="N457" s="40"/>
    </row>
    <row r="458" spans="1:14" ht="14" thickBot="1">
      <c r="A458" s="76" t="s">
        <v>193</v>
      </c>
      <c r="B458" s="1092"/>
      <c r="C458" s="1092"/>
      <c r="D458" s="1092"/>
      <c r="E458" s="1092"/>
      <c r="F458" s="1092"/>
      <c r="G458" s="1092"/>
      <c r="H458" s="1092"/>
      <c r="I458" s="1092"/>
      <c r="J458" s="1092"/>
      <c r="K458" s="1092"/>
      <c r="L458" s="1092"/>
      <c r="M458" s="1092"/>
      <c r="N458" s="27">
        <f>SUM(B458:M458)</f>
        <v>0</v>
      </c>
    </row>
    <row r="459" spans="1:14" ht="14" thickBot="1">
      <c r="A459" s="53" t="s">
        <v>60</v>
      </c>
      <c r="B459" s="55">
        <f t="shared" ref="B459:M459" si="61">SUM(B445:B458)</f>
        <v>0</v>
      </c>
      <c r="C459" s="55">
        <f t="shared" si="61"/>
        <v>0</v>
      </c>
      <c r="D459" s="55">
        <f t="shared" si="61"/>
        <v>0</v>
      </c>
      <c r="E459" s="55">
        <f t="shared" si="61"/>
        <v>0</v>
      </c>
      <c r="F459" s="55">
        <f t="shared" si="61"/>
        <v>0</v>
      </c>
      <c r="G459" s="55">
        <f t="shared" si="61"/>
        <v>428</v>
      </c>
      <c r="H459" s="55">
        <f t="shared" si="61"/>
        <v>1215</v>
      </c>
      <c r="I459" s="55">
        <f t="shared" si="61"/>
        <v>0</v>
      </c>
      <c r="J459" s="55">
        <f t="shared" si="61"/>
        <v>0</v>
      </c>
      <c r="K459" s="55">
        <f t="shared" si="61"/>
        <v>0</v>
      </c>
      <c r="L459" s="55">
        <f t="shared" si="61"/>
        <v>1</v>
      </c>
      <c r="M459" s="55">
        <f t="shared" si="61"/>
        <v>2</v>
      </c>
      <c r="N459" s="54"/>
    </row>
  </sheetData>
  <printOptions gridLines="1"/>
  <pageMargins left="0.75" right="0.75" top="1" bottom="1" header="0.5" footer="0.5"/>
  <pageSetup scale="71" orientation="landscape" r:id="rId1"/>
  <headerFooter alignWithMargins="0"/>
  <rowBreaks count="1" manualBreakCount="1">
    <brk id="52" max="1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4">
    <tabColor rgb="FFFF0000"/>
    <pageSetUpPr fitToPage="1"/>
  </sheetPr>
  <dimension ref="A1:U650"/>
  <sheetViews>
    <sheetView showGridLines="0" view="pageBreakPreview" zoomScale="75" zoomScaleNormal="100" zoomScaleSheetLayoutView="75" workbookViewId="0">
      <selection activeCell="M2" sqref="M2:N3"/>
    </sheetView>
  </sheetViews>
  <sheetFormatPr baseColWidth="10" defaultColWidth="8.83203125" defaultRowHeight="13"/>
  <cols>
    <col min="1" max="1" width="57.33203125" customWidth="1"/>
    <col min="2" max="5" width="8.83203125" customWidth="1"/>
    <col min="6" max="7" width="8.83203125" style="424" customWidth="1"/>
    <col min="8" max="8" width="17.1640625" style="424" customWidth="1"/>
    <col min="9" max="12" width="17.1640625" customWidth="1"/>
    <col min="13" max="14" width="8.83203125" customWidth="1"/>
  </cols>
  <sheetData>
    <row r="1" spans="1:15" s="363" customFormat="1" ht="16">
      <c r="A1" s="98"/>
      <c r="B1" s="99"/>
      <c r="C1" s="99"/>
      <c r="D1" s="99"/>
      <c r="E1" s="99"/>
      <c r="F1" s="421"/>
      <c r="G1" s="421"/>
      <c r="H1" s="421"/>
      <c r="I1" s="1468" t="s">
        <v>0</v>
      </c>
      <c r="J1" s="1468"/>
      <c r="K1" s="1468"/>
      <c r="L1" s="1468"/>
      <c r="M1" s="99"/>
      <c r="N1" s="101"/>
    </row>
    <row r="2" spans="1:15" ht="16">
      <c r="A2" s="97"/>
      <c r="B2" s="1469" t="s">
        <v>1</v>
      </c>
      <c r="C2" s="1469"/>
      <c r="D2" s="1469" t="s">
        <v>2</v>
      </c>
      <c r="E2" s="1469"/>
      <c r="F2" s="1470" t="s">
        <v>3</v>
      </c>
      <c r="G2" s="1470"/>
      <c r="H2" s="1314" t="s">
        <v>3</v>
      </c>
      <c r="I2" s="127" t="s">
        <v>195</v>
      </c>
      <c r="J2" s="102"/>
      <c r="K2" s="102"/>
      <c r="L2" s="128"/>
      <c r="M2" s="1471" t="s">
        <v>469</v>
      </c>
      <c r="N2" s="1472"/>
    </row>
    <row r="3" spans="1:15" ht="19" thickBot="1">
      <c r="A3" s="103" t="s">
        <v>5</v>
      </c>
      <c r="B3" s="1473" t="s">
        <v>6</v>
      </c>
      <c r="C3" s="1473"/>
      <c r="D3" s="1473" t="s">
        <v>7</v>
      </c>
      <c r="E3" s="1473"/>
      <c r="F3" s="1474" t="s">
        <v>7</v>
      </c>
      <c r="G3" s="1474"/>
      <c r="H3" s="1317" t="s">
        <v>58</v>
      </c>
      <c r="I3" s="1318" t="s">
        <v>196</v>
      </c>
      <c r="J3" s="1316" t="s">
        <v>8</v>
      </c>
      <c r="K3" s="1316" t="s">
        <v>9</v>
      </c>
      <c r="L3" s="401" t="s">
        <v>10</v>
      </c>
      <c r="M3" s="1473" t="s">
        <v>470</v>
      </c>
      <c r="N3" s="1475"/>
    </row>
    <row r="4" spans="1:15" ht="24" thickBot="1">
      <c r="A4" s="88" t="s">
        <v>435</v>
      </c>
      <c r="B4" s="1476"/>
      <c r="C4" s="1477"/>
      <c r="D4" s="1478"/>
      <c r="E4" s="1479"/>
      <c r="F4" s="1480"/>
      <c r="G4" s="1481"/>
      <c r="H4" s="1324"/>
      <c r="I4" s="213"/>
      <c r="J4" s="213"/>
      <c r="K4" s="213"/>
      <c r="L4" s="214"/>
      <c r="M4" s="1482"/>
      <c r="N4" s="1483"/>
    </row>
    <row r="5" spans="1:15" s="1161" customFormat="1" ht="17" thickBot="1">
      <c r="A5" s="110" t="s">
        <v>189</v>
      </c>
      <c r="B5" s="1456"/>
      <c r="C5" s="1457"/>
      <c r="D5" s="1457"/>
      <c r="E5" s="1457"/>
      <c r="F5" s="1484"/>
      <c r="G5" s="1484"/>
      <c r="H5" s="1320"/>
      <c r="I5" s="1319"/>
      <c r="J5" s="1319"/>
      <c r="K5" s="1319"/>
      <c r="L5" s="1319"/>
      <c r="M5" s="1485"/>
      <c r="N5" s="1486"/>
    </row>
    <row r="6" spans="1:15" s="121" customFormat="1">
      <c r="A6" s="69" t="s">
        <v>29</v>
      </c>
      <c r="B6" s="1465">
        <f>FWC!N429</f>
        <v>246</v>
      </c>
      <c r="C6" s="1466"/>
      <c r="D6" s="1432">
        <f>F6*325900</f>
        <v>1972216.44</v>
      </c>
      <c r="E6" s="1433"/>
      <c r="F6" s="1467">
        <f>0.0246*B6</f>
        <v>6.0515999999999996</v>
      </c>
      <c r="G6" s="1433"/>
      <c r="H6" s="1325">
        <f>F6*20</f>
        <v>121.032</v>
      </c>
      <c r="I6" s="173">
        <v>0</v>
      </c>
      <c r="J6" s="173">
        <f>B6*60</f>
        <v>14760</v>
      </c>
      <c r="K6" s="173">
        <f>B6*40</f>
        <v>9840</v>
      </c>
      <c r="L6" s="174">
        <f>K6+J6+I6</f>
        <v>24600</v>
      </c>
      <c r="M6" s="1427">
        <f>J6/(F6*830)</f>
        <v>2.9385836027034973</v>
      </c>
      <c r="N6" s="1428"/>
    </row>
    <row r="7" spans="1:15" s="121" customFormat="1">
      <c r="A7" s="69" t="s">
        <v>33</v>
      </c>
      <c r="B7" s="1435">
        <f>FWC!N430</f>
        <v>62</v>
      </c>
      <c r="C7" s="1433"/>
      <c r="D7" s="1432">
        <f t="shared" ref="D7" si="0">F7*325900</f>
        <v>697100.10000000009</v>
      </c>
      <c r="E7" s="1433"/>
      <c r="F7" s="1467">
        <f>0.0345*B7</f>
        <v>2.1390000000000002</v>
      </c>
      <c r="G7" s="1433"/>
      <c r="H7" s="1325">
        <f>F7*14</f>
        <v>29.946000000000005</v>
      </c>
      <c r="I7" s="173">
        <f>0*B7</f>
        <v>0</v>
      </c>
      <c r="J7" s="173">
        <f>B7*75</f>
        <v>4650</v>
      </c>
      <c r="K7" s="173">
        <f>B7*85</f>
        <v>5270</v>
      </c>
      <c r="L7" s="174">
        <f t="shared" ref="L7:L8" si="1">K7+J7+I7</f>
        <v>9920</v>
      </c>
      <c r="M7" s="1427">
        <f t="shared" ref="M7:M10" si="2">J7/(F7*830)</f>
        <v>2.6191723415400729</v>
      </c>
      <c r="N7" s="1428"/>
    </row>
    <row r="8" spans="1:15" s="121" customFormat="1">
      <c r="A8" s="254" t="s">
        <v>466</v>
      </c>
      <c r="B8" s="1435">
        <f>FWC!N431</f>
        <v>25</v>
      </c>
      <c r="C8" s="1433"/>
      <c r="D8" s="1432">
        <f>F8*325900</f>
        <v>1585959.7600000002</v>
      </c>
      <c r="E8" s="1433"/>
      <c r="F8" s="1460">
        <f>0.0044*1106</f>
        <v>4.8664000000000005</v>
      </c>
      <c r="G8" s="1461"/>
      <c r="H8" s="1325">
        <f>F8*5</f>
        <v>24.332000000000001</v>
      </c>
      <c r="I8" s="173">
        <f>0*0</f>
        <v>0</v>
      </c>
      <c r="J8" s="173">
        <f>3*1106</f>
        <v>3318</v>
      </c>
      <c r="K8" s="173">
        <f>2*1106</f>
        <v>2212</v>
      </c>
      <c r="L8" s="174">
        <f t="shared" si="1"/>
        <v>5530</v>
      </c>
      <c r="M8" s="1427">
        <f t="shared" si="2"/>
        <v>0.82146768893756839</v>
      </c>
      <c r="N8" s="1428"/>
    </row>
    <row r="9" spans="1:15" s="121" customFormat="1">
      <c r="A9" s="69" t="s">
        <v>52</v>
      </c>
      <c r="B9" s="1435">
        <f>FWC!N432</f>
        <v>120</v>
      </c>
      <c r="C9" s="1433"/>
      <c r="D9" s="1432">
        <f>F9*325900</f>
        <v>1619071.2</v>
      </c>
      <c r="E9" s="1433"/>
      <c r="F9" s="1467">
        <f>0.0414*B9</f>
        <v>4.968</v>
      </c>
      <c r="G9" s="1433"/>
      <c r="H9" s="1325">
        <f>F9*10</f>
        <v>49.68</v>
      </c>
      <c r="I9" s="173">
        <v>0</v>
      </c>
      <c r="J9" s="173">
        <f>B9*80</f>
        <v>9600</v>
      </c>
      <c r="K9" s="173">
        <f>B9*80</f>
        <v>9600</v>
      </c>
      <c r="L9" s="174">
        <f>K9+J9+I9</f>
        <v>19200</v>
      </c>
      <c r="M9" s="1427">
        <f t="shared" si="2"/>
        <v>2.3281531924800656</v>
      </c>
      <c r="N9" s="1428"/>
    </row>
    <row r="10" spans="1:15" s="121" customFormat="1">
      <c r="A10" s="254" t="s">
        <v>439</v>
      </c>
      <c r="B10" s="1435">
        <f>FWC!N433</f>
        <v>9</v>
      </c>
      <c r="C10" s="1433"/>
      <c r="D10" s="1451">
        <f>F10*325900</f>
        <v>400889</v>
      </c>
      <c r="E10" s="1448"/>
      <c r="F10" s="1447">
        <f>9323*43/325900</f>
        <v>1.2300981896287204</v>
      </c>
      <c r="G10" s="1448"/>
      <c r="H10" s="1321">
        <f>F10*10</f>
        <v>12.300981896287205</v>
      </c>
      <c r="I10" s="173">
        <v>0</v>
      </c>
      <c r="J10" s="173">
        <v>8521</v>
      </c>
      <c r="K10" s="173">
        <v>18646</v>
      </c>
      <c r="L10" s="174">
        <f t="shared" ref="L10:L13" si="3">K10+J10+I10</f>
        <v>27167</v>
      </c>
      <c r="M10" s="1427">
        <f t="shared" si="2"/>
        <v>8.3458907157156474</v>
      </c>
      <c r="N10" s="1428"/>
    </row>
    <row r="11" spans="1:15" s="121" customFormat="1">
      <c r="A11" s="254" t="s">
        <v>214</v>
      </c>
      <c r="B11" s="1435">
        <f>FWC!N434</f>
        <v>0</v>
      </c>
      <c r="C11" s="1433"/>
      <c r="D11" s="1432">
        <f t="shared" ref="D11" si="4">F11*325900</f>
        <v>0</v>
      </c>
      <c r="E11" s="1433"/>
      <c r="F11" s="1460">
        <f>0.0019*B11</f>
        <v>0</v>
      </c>
      <c r="G11" s="1461"/>
      <c r="H11" s="1325">
        <f>F11*5</f>
        <v>0</v>
      </c>
      <c r="I11" s="173">
        <v>0</v>
      </c>
      <c r="J11" s="173">
        <f>B11*0</f>
        <v>0</v>
      </c>
      <c r="K11" s="173">
        <f>B11*35</f>
        <v>0</v>
      </c>
      <c r="L11" s="174">
        <f t="shared" si="3"/>
        <v>0</v>
      </c>
      <c r="M11" s="1427">
        <v>0</v>
      </c>
      <c r="N11" s="1428"/>
    </row>
    <row r="12" spans="1:15" s="121" customFormat="1">
      <c r="A12" s="254" t="s">
        <v>331</v>
      </c>
      <c r="B12" s="1435">
        <f>FWC!N435</f>
        <v>0</v>
      </c>
      <c r="C12" s="1433"/>
      <c r="D12" s="1432">
        <f>F12*325900</f>
        <v>0</v>
      </c>
      <c r="E12" s="1433"/>
      <c r="F12" s="1460">
        <v>0</v>
      </c>
      <c r="G12" s="1461"/>
      <c r="H12" s="1325">
        <v>0</v>
      </c>
      <c r="I12" s="173">
        <v>0</v>
      </c>
      <c r="J12" s="173">
        <f>B12*0</f>
        <v>0</v>
      </c>
      <c r="K12" s="173">
        <f>B12*300</f>
        <v>0</v>
      </c>
      <c r="L12" s="174">
        <f t="shared" si="3"/>
        <v>0</v>
      </c>
      <c r="M12" s="1427">
        <v>0</v>
      </c>
      <c r="N12" s="1428"/>
    </row>
    <row r="13" spans="1:15" s="121" customFormat="1" ht="14" thickBot="1">
      <c r="A13" s="254" t="s">
        <v>269</v>
      </c>
      <c r="B13" s="1462">
        <f>FWC!N436</f>
        <v>0</v>
      </c>
      <c r="C13" s="1437"/>
      <c r="D13" s="1432">
        <f t="shared" ref="D13" si="5">F13*325900</f>
        <v>0</v>
      </c>
      <c r="E13" s="1433"/>
      <c r="F13" s="1506">
        <f>0.0414*B13</f>
        <v>0</v>
      </c>
      <c r="G13" s="1505"/>
      <c r="H13" s="1325">
        <f>F13*10</f>
        <v>0</v>
      </c>
      <c r="I13" s="173">
        <v>0</v>
      </c>
      <c r="J13" s="173">
        <f t="shared" ref="J13" si="6">B13*65</f>
        <v>0</v>
      </c>
      <c r="K13" s="173">
        <f t="shared" ref="K13" si="7">B13*40</f>
        <v>0</v>
      </c>
      <c r="L13" s="174">
        <f t="shared" si="3"/>
        <v>0</v>
      </c>
      <c r="M13" s="1427">
        <v>0</v>
      </c>
      <c r="N13" s="1428"/>
    </row>
    <row r="14" spans="1:15" s="1161" customFormat="1" ht="17" thickBot="1">
      <c r="A14" s="110" t="s">
        <v>190</v>
      </c>
      <c r="B14" s="1456"/>
      <c r="C14" s="1457"/>
      <c r="D14" s="1457"/>
      <c r="E14" s="1457"/>
      <c r="F14" s="1457"/>
      <c r="G14" s="1457"/>
      <c r="H14" s="1319"/>
      <c r="I14" s="195"/>
      <c r="J14" s="195"/>
      <c r="K14" s="195"/>
      <c r="L14" s="195"/>
      <c r="M14" s="195"/>
      <c r="N14" s="1190"/>
    </row>
    <row r="15" spans="1:15" s="121" customFormat="1">
      <c r="A15" s="76" t="s">
        <v>393</v>
      </c>
      <c r="B15" s="1435">
        <f>FWC!N438</f>
        <v>6</v>
      </c>
      <c r="C15" s="1433"/>
      <c r="D15" s="1432">
        <f>F15*325900</f>
        <v>453652.80000000005</v>
      </c>
      <c r="E15" s="1433"/>
      <c r="F15" s="1463">
        <f>B15*0.232</f>
        <v>1.3920000000000001</v>
      </c>
      <c r="G15" s="1464"/>
      <c r="H15" s="1413">
        <f>F15*2</f>
        <v>2.7840000000000003</v>
      </c>
      <c r="I15" s="173">
        <v>0</v>
      </c>
      <c r="J15" s="173">
        <f>L15-K15</f>
        <v>1085.5813321250566</v>
      </c>
      <c r="K15" s="173">
        <v>1000</v>
      </c>
      <c r="L15" s="174">
        <v>2085.5813321250566</v>
      </c>
      <c r="M15" s="1427">
        <f t="shared" ref="M15:M19" si="8">J15/(F15*830)</f>
        <v>0.93960439354405256</v>
      </c>
      <c r="N15" s="1428"/>
    </row>
    <row r="16" spans="1:15" s="120" customFormat="1">
      <c r="A16" s="254" t="s">
        <v>454</v>
      </c>
      <c r="B16" s="1435">
        <f>FWC!N439</f>
        <v>1</v>
      </c>
      <c r="C16" s="1433"/>
      <c r="D16" s="1451">
        <f>F16*325900</f>
        <v>13492.26</v>
      </c>
      <c r="E16" s="1448"/>
      <c r="F16" s="1447">
        <f>(0.0414*1)+(0.0044*0)</f>
        <v>4.1399999999999999E-2</v>
      </c>
      <c r="G16" s="1448"/>
      <c r="H16" s="1404">
        <f>((0.0414*1)*10)+((0.0044*0)*5)</f>
        <v>0.41399999999999998</v>
      </c>
      <c r="I16" s="173">
        <v>0</v>
      </c>
      <c r="J16" s="173">
        <f>L16-K16</f>
        <v>323.78453338314318</v>
      </c>
      <c r="K16" s="173">
        <v>340</v>
      </c>
      <c r="L16" s="174">
        <v>663.78453338314318</v>
      </c>
      <c r="M16" s="1427">
        <f t="shared" si="8"/>
        <v>9.4227499383954125</v>
      </c>
      <c r="N16" s="1428"/>
      <c r="O16" s="1412"/>
    </row>
    <row r="17" spans="1:21" s="121" customFormat="1">
      <c r="A17" s="254" t="s">
        <v>451</v>
      </c>
      <c r="B17" s="1435">
        <f>FWC!N440</f>
        <v>6</v>
      </c>
      <c r="C17" s="1433"/>
      <c r="D17" s="1451">
        <f>F17*325900</f>
        <v>80953.56</v>
      </c>
      <c r="E17" s="1448"/>
      <c r="F17" s="1447">
        <f>0.0414*6</f>
        <v>0.24840000000000001</v>
      </c>
      <c r="G17" s="1448"/>
      <c r="H17" s="1321">
        <f>F17*10</f>
        <v>2.484</v>
      </c>
      <c r="I17" s="173">
        <v>0</v>
      </c>
      <c r="J17" s="173">
        <f>L17-K17</f>
        <v>2035.1127152387276</v>
      </c>
      <c r="K17" s="173">
        <v>1657</v>
      </c>
      <c r="L17" s="174">
        <v>3692.1127152387276</v>
      </c>
      <c r="M17" s="1427">
        <f t="shared" si="8"/>
        <v>9.870946177166287</v>
      </c>
      <c r="N17" s="1428"/>
    </row>
    <row r="18" spans="1:21" s="121" customFormat="1">
      <c r="A18" s="254" t="s">
        <v>266</v>
      </c>
      <c r="B18" s="1435">
        <f>FWC!N441</f>
        <v>88</v>
      </c>
      <c r="C18" s="1433"/>
      <c r="D18" s="1447">
        <f>F18*325900</f>
        <v>395772.95999999996</v>
      </c>
      <c r="E18" s="1448"/>
      <c r="F18" s="1451">
        <f>B18*0.0138</f>
        <v>1.2143999999999999</v>
      </c>
      <c r="G18" s="1448"/>
      <c r="H18" s="1321">
        <f>F18*10</f>
        <v>12.143999999999998</v>
      </c>
      <c r="I18" s="173">
        <v>0</v>
      </c>
      <c r="J18" s="286">
        <f>L18-K18</f>
        <v>28403.649999999998</v>
      </c>
      <c r="K18" s="286">
        <v>19455.7</v>
      </c>
      <c r="L18" s="174">
        <v>47859.35</v>
      </c>
      <c r="M18" s="1427">
        <f t="shared" si="8"/>
        <v>28.179566090448752</v>
      </c>
      <c r="N18" s="1428"/>
    </row>
    <row r="19" spans="1:21" s="121" customFormat="1" ht="14" thickBot="1">
      <c r="A19" s="76" t="s">
        <v>467</v>
      </c>
      <c r="B19" s="1435">
        <f>FWC!N442</f>
        <v>2</v>
      </c>
      <c r="C19" s="1433"/>
      <c r="D19" s="1458">
        <f>F19*325900</f>
        <v>48885</v>
      </c>
      <c r="E19" s="1459"/>
      <c r="F19" s="1458">
        <f>B19*0.075</f>
        <v>0.15</v>
      </c>
      <c r="G19" s="1459"/>
      <c r="H19" s="1410">
        <f>F19*10</f>
        <v>1.5</v>
      </c>
      <c r="I19" s="286">
        <v>0</v>
      </c>
      <c r="J19" s="286">
        <v>342.64</v>
      </c>
      <c r="K19" s="286">
        <v>0</v>
      </c>
      <c r="L19" s="174">
        <f>SUM(I19:K19)</f>
        <v>342.64</v>
      </c>
      <c r="M19" s="1427">
        <f t="shared" si="8"/>
        <v>2.7521285140562246</v>
      </c>
      <c r="N19" s="1428"/>
    </row>
    <row r="20" spans="1:21" ht="14" thickBot="1">
      <c r="A20" s="53" t="s">
        <v>60</v>
      </c>
      <c r="B20" s="1452">
        <f>SUM(B6:C19)</f>
        <v>565</v>
      </c>
      <c r="C20" s="1453"/>
      <c r="D20" s="1452">
        <f t="shared" ref="D20" si="9">SUM(D6:E19)</f>
        <v>7267993.0800000001</v>
      </c>
      <c r="E20" s="1453"/>
      <c r="F20" s="1452">
        <f t="shared" ref="F20" si="10">SUM(F6:G19)</f>
        <v>22.301298189628717</v>
      </c>
      <c r="G20" s="1453"/>
      <c r="H20" s="1322">
        <f>SUM(H6:H19)</f>
        <v>256.6169818962872</v>
      </c>
      <c r="I20" s="1411">
        <f t="shared" ref="I20:L20" si="11">SUM(I6:I19)</f>
        <v>0</v>
      </c>
      <c r="J20" s="1411">
        <f t="shared" si="11"/>
        <v>73039.768580746924</v>
      </c>
      <c r="K20" s="1411">
        <f t="shared" si="11"/>
        <v>68020.7</v>
      </c>
      <c r="L20" s="1411">
        <f t="shared" si="11"/>
        <v>141060.46858074697</v>
      </c>
      <c r="M20" s="1454"/>
      <c r="N20" s="1455"/>
    </row>
    <row r="21" spans="1:21" s="1161" customFormat="1" ht="17" thickBot="1">
      <c r="A21" s="110" t="s">
        <v>194</v>
      </c>
      <c r="B21" s="1456"/>
      <c r="C21" s="1457"/>
      <c r="D21" s="1457"/>
      <c r="E21" s="1457"/>
      <c r="F21" s="1457"/>
      <c r="G21" s="1457"/>
      <c r="H21" s="1319"/>
      <c r="I21" s="1334"/>
      <c r="J21" s="1334"/>
      <c r="K21" s="1334"/>
      <c r="L21" s="1334"/>
      <c r="M21" s="1334"/>
      <c r="N21" s="1335"/>
    </row>
    <row r="22" spans="1:21">
      <c r="A22" s="68" t="s">
        <v>29</v>
      </c>
      <c r="B22" s="1421">
        <f>FWC!N445</f>
        <v>428</v>
      </c>
      <c r="C22" s="1422"/>
      <c r="D22" s="1431">
        <f>F22*325900</f>
        <v>3431335.92</v>
      </c>
      <c r="E22" s="1422"/>
      <c r="F22" s="1444">
        <f>0.0246*B22</f>
        <v>10.5288</v>
      </c>
      <c r="G22" s="1422"/>
      <c r="H22" s="1326">
        <f>F22*20</f>
        <v>210.57600000000002</v>
      </c>
      <c r="I22" s="151">
        <v>0</v>
      </c>
      <c r="J22" s="150">
        <f>B22*60</f>
        <v>25680</v>
      </c>
      <c r="K22" s="150">
        <f>B22*40</f>
        <v>17120</v>
      </c>
      <c r="L22" s="174">
        <f t="shared" ref="L22:L25" si="12">K22+J22+I22</f>
        <v>42800</v>
      </c>
      <c r="M22" s="1427">
        <f>J22/(F22*830)</f>
        <v>2.9385836027034968</v>
      </c>
      <c r="N22" s="1428"/>
      <c r="U22" s="3"/>
    </row>
    <row r="23" spans="1:21">
      <c r="A23" s="68" t="s">
        <v>51</v>
      </c>
      <c r="B23" s="1421">
        <f>FWC!N446</f>
        <v>0</v>
      </c>
      <c r="C23" s="1422"/>
      <c r="D23" s="1431">
        <f>F23*325900</f>
        <v>0</v>
      </c>
      <c r="E23" s="1422"/>
      <c r="F23" s="1444">
        <f>0.1227*B23</f>
        <v>0</v>
      </c>
      <c r="G23" s="1422"/>
      <c r="H23" s="1326">
        <f>F23*20</f>
        <v>0</v>
      </c>
      <c r="I23" s="151">
        <v>0</v>
      </c>
      <c r="J23" s="150">
        <f>B23*200</f>
        <v>0</v>
      </c>
      <c r="K23" s="150">
        <f>B23*200</f>
        <v>0</v>
      </c>
      <c r="L23" s="174">
        <f t="shared" si="12"/>
        <v>0</v>
      </c>
      <c r="M23" s="1427">
        <v>0</v>
      </c>
      <c r="N23" s="1428"/>
    </row>
    <row r="24" spans="1:21">
      <c r="A24" s="2" t="s">
        <v>204</v>
      </c>
      <c r="B24" s="1421">
        <f>FWC!N447</f>
        <v>0</v>
      </c>
      <c r="C24" s="1422"/>
      <c r="D24" s="1431">
        <f>F24*325900</f>
        <v>0</v>
      </c>
      <c r="E24" s="1422"/>
      <c r="F24" s="1444">
        <f>0.644*B24</f>
        <v>0</v>
      </c>
      <c r="G24" s="1422"/>
      <c r="H24" s="1326">
        <f>F24*5</f>
        <v>0</v>
      </c>
      <c r="I24" s="151">
        <v>0</v>
      </c>
      <c r="J24" s="150">
        <f>B24*375</f>
        <v>0</v>
      </c>
      <c r="K24" s="150">
        <f>B24*625</f>
        <v>0</v>
      </c>
      <c r="L24" s="174">
        <f t="shared" si="12"/>
        <v>0</v>
      </c>
      <c r="M24" s="1427">
        <v>0</v>
      </c>
      <c r="N24" s="1428"/>
    </row>
    <row r="25" spans="1:21">
      <c r="A25" s="254" t="s">
        <v>30</v>
      </c>
      <c r="B25" s="1421">
        <f>FWC!N448</f>
        <v>2</v>
      </c>
      <c r="C25" s="1422"/>
      <c r="D25" s="1431">
        <f t="shared" ref="D25:D33" si="13">F25*325900</f>
        <v>8408.2199999999993</v>
      </c>
      <c r="E25" s="1422"/>
      <c r="F25" s="1449">
        <f>0.0129*B25</f>
        <v>2.58E-2</v>
      </c>
      <c r="G25" s="1450"/>
      <c r="H25" s="1326">
        <f>F25*10</f>
        <v>0.25800000000000001</v>
      </c>
      <c r="I25" s="151">
        <v>0</v>
      </c>
      <c r="J25" s="150">
        <f>B25*15</f>
        <v>30</v>
      </c>
      <c r="K25" s="150">
        <f>B25*35</f>
        <v>70</v>
      </c>
      <c r="L25" s="174">
        <f t="shared" si="12"/>
        <v>100</v>
      </c>
      <c r="M25" s="1427">
        <f t="shared" ref="M25:M33" si="14">J25/(F25*830)</f>
        <v>1.4009526478005043</v>
      </c>
      <c r="N25" s="1428"/>
    </row>
    <row r="26" spans="1:21">
      <c r="A26" s="254" t="s">
        <v>436</v>
      </c>
      <c r="B26" s="1421">
        <f>FWC!N449</f>
        <v>0</v>
      </c>
      <c r="C26" s="1422"/>
      <c r="D26" s="1431">
        <f t="shared" si="13"/>
        <v>0</v>
      </c>
      <c r="E26" s="1422"/>
      <c r="F26" s="1425">
        <f>0.0044*0</f>
        <v>0</v>
      </c>
      <c r="G26" s="1426"/>
      <c r="H26" s="1326">
        <f>F26*5</f>
        <v>0</v>
      </c>
      <c r="I26" s="151">
        <v>0</v>
      </c>
      <c r="J26" s="150"/>
      <c r="K26" s="150"/>
      <c r="L26" s="174">
        <f>K26+J26+I26</f>
        <v>0</v>
      </c>
      <c r="M26" s="1427">
        <v>0</v>
      </c>
      <c r="N26" s="1428"/>
    </row>
    <row r="27" spans="1:21">
      <c r="A27" s="254" t="s">
        <v>122</v>
      </c>
      <c r="B27" s="1421">
        <f>FWC!N450</f>
        <v>0</v>
      </c>
      <c r="C27" s="1422"/>
      <c r="D27" s="1431">
        <f t="shared" si="13"/>
        <v>0</v>
      </c>
      <c r="E27" s="1422"/>
      <c r="F27" s="1444">
        <f>0.018*B27</f>
        <v>0</v>
      </c>
      <c r="G27" s="1422"/>
      <c r="H27" s="1326">
        <f>F27*10</f>
        <v>0</v>
      </c>
      <c r="I27" s="151">
        <v>0</v>
      </c>
      <c r="J27" s="150">
        <f>B27*5</f>
        <v>0</v>
      </c>
      <c r="K27" s="150">
        <f>B27*13</f>
        <v>0</v>
      </c>
      <c r="L27" s="174">
        <f t="shared" ref="L27:L33" si="15">K27+J27+I27</f>
        <v>0</v>
      </c>
      <c r="M27" s="1427">
        <v>0</v>
      </c>
      <c r="N27" s="1428"/>
    </row>
    <row r="28" spans="1:21">
      <c r="A28" s="257" t="s">
        <v>184</v>
      </c>
      <c r="B28" s="1421">
        <f>FWC!N451</f>
        <v>0</v>
      </c>
      <c r="C28" s="1422"/>
      <c r="D28" s="1431">
        <f t="shared" si="13"/>
        <v>0</v>
      </c>
      <c r="E28" s="1422"/>
      <c r="F28" s="1444">
        <f>0.0129*B28</f>
        <v>0</v>
      </c>
      <c r="G28" s="1422"/>
      <c r="H28" s="1326">
        <f>F28*10</f>
        <v>0</v>
      </c>
      <c r="I28" s="151">
        <v>0</v>
      </c>
      <c r="J28" s="150">
        <f>B28*15</f>
        <v>0</v>
      </c>
      <c r="K28" s="150">
        <f>B28*35</f>
        <v>0</v>
      </c>
      <c r="L28" s="174">
        <f t="shared" si="15"/>
        <v>0</v>
      </c>
      <c r="M28" s="1427">
        <v>0</v>
      </c>
      <c r="N28" s="1428"/>
    </row>
    <row r="29" spans="1:21" s="57" customFormat="1">
      <c r="A29" s="258" t="s">
        <v>187</v>
      </c>
      <c r="B29" s="1421">
        <f>FWC!N452</f>
        <v>1020</v>
      </c>
      <c r="C29" s="1422"/>
      <c r="D29" s="1431">
        <f t="shared" si="13"/>
        <v>7645614</v>
      </c>
      <c r="E29" s="1422"/>
      <c r="F29" s="1444">
        <f>0.023*B29</f>
        <v>23.46</v>
      </c>
      <c r="G29" s="1422"/>
      <c r="H29" s="1326">
        <f>F29*5</f>
        <v>117.30000000000001</v>
      </c>
      <c r="I29" s="151">
        <v>0</v>
      </c>
      <c r="J29" s="150">
        <f>B29*10</f>
        <v>10200</v>
      </c>
      <c r="K29" s="150">
        <f>B29*10</f>
        <v>10200</v>
      </c>
      <c r="L29" s="174">
        <f t="shared" si="15"/>
        <v>20400</v>
      </c>
      <c r="M29" s="1427">
        <f t="shared" si="14"/>
        <v>0.52383446830801472</v>
      </c>
      <c r="N29" s="1428"/>
    </row>
    <row r="30" spans="1:21" s="57" customFormat="1">
      <c r="A30" s="258" t="s">
        <v>188</v>
      </c>
      <c r="B30" s="1421">
        <f>FWC!N453</f>
        <v>0</v>
      </c>
      <c r="C30" s="1422"/>
      <c r="D30" s="1431">
        <f t="shared" si="13"/>
        <v>0</v>
      </c>
      <c r="E30" s="1422"/>
      <c r="F30" s="1445">
        <f>B30*0.154</f>
        <v>0</v>
      </c>
      <c r="G30" s="1446"/>
      <c r="H30" s="1329">
        <f>F30*10</f>
        <v>0</v>
      </c>
      <c r="I30" s="151">
        <v>0</v>
      </c>
      <c r="J30" s="150">
        <f>B30*1000</f>
        <v>0</v>
      </c>
      <c r="K30" s="150">
        <f>B30*1000</f>
        <v>0</v>
      </c>
      <c r="L30" s="174">
        <f t="shared" si="15"/>
        <v>0</v>
      </c>
      <c r="M30" s="1427">
        <v>0</v>
      </c>
      <c r="N30" s="1428"/>
    </row>
    <row r="31" spans="1:21" s="57" customFormat="1">
      <c r="A31" s="258" t="s">
        <v>443</v>
      </c>
      <c r="B31" s="1421">
        <f>FWC!N454</f>
        <v>2</v>
      </c>
      <c r="C31" s="1422"/>
      <c r="D31" s="1423">
        <f t="shared" si="13"/>
        <v>2795000</v>
      </c>
      <c r="E31" s="1424"/>
      <c r="F31" s="1447">
        <f>65000*43/325900</f>
        <v>8.5762503835532371</v>
      </c>
      <c r="G31" s="1448"/>
      <c r="H31" s="1321">
        <f>F31*10</f>
        <v>85.762503835532371</v>
      </c>
      <c r="I31" s="151">
        <v>2000</v>
      </c>
      <c r="J31" s="150">
        <v>10000</v>
      </c>
      <c r="K31" s="150">
        <v>104000</v>
      </c>
      <c r="L31" s="174">
        <f t="shared" si="15"/>
        <v>116000</v>
      </c>
      <c r="M31" s="1427">
        <f t="shared" si="14"/>
        <v>1.4048322089790288</v>
      </c>
      <c r="N31" s="1428"/>
    </row>
    <row r="32" spans="1:21" s="57" customFormat="1">
      <c r="A32" s="258" t="s">
        <v>269</v>
      </c>
      <c r="B32" s="1421">
        <f>FWC!N455</f>
        <v>0</v>
      </c>
      <c r="C32" s="1422"/>
      <c r="D32" s="1423">
        <f t="shared" si="13"/>
        <v>0</v>
      </c>
      <c r="E32" s="1424"/>
      <c r="F32" s="1425">
        <f t="shared" ref="F32" si="16">0.0129*B32</f>
        <v>0</v>
      </c>
      <c r="G32" s="1426"/>
      <c r="H32" s="1323">
        <f>F32*10</f>
        <v>0</v>
      </c>
      <c r="I32" s="151">
        <v>0</v>
      </c>
      <c r="J32" s="150">
        <f>B32*15</f>
        <v>0</v>
      </c>
      <c r="K32" s="150">
        <f>B32*35</f>
        <v>0</v>
      </c>
      <c r="L32" s="174">
        <f t="shared" si="15"/>
        <v>0</v>
      </c>
      <c r="M32" s="1427">
        <v>0</v>
      </c>
      <c r="N32" s="1428"/>
    </row>
    <row r="33" spans="1:14" s="57" customFormat="1" ht="14" thickBot="1">
      <c r="A33" s="258" t="s">
        <v>268</v>
      </c>
      <c r="B33" s="1421">
        <f>FWC!N456</f>
        <v>194</v>
      </c>
      <c r="C33" s="1422"/>
      <c r="D33" s="1431">
        <f t="shared" si="13"/>
        <v>265543.32</v>
      </c>
      <c r="E33" s="1422"/>
      <c r="F33" s="1432">
        <f>(B33*0.0084)/2</f>
        <v>0.81479999999999997</v>
      </c>
      <c r="G33" s="1433"/>
      <c r="H33" s="1325">
        <f>F33*10</f>
        <v>8.1479999999999997</v>
      </c>
      <c r="I33" s="151">
        <v>0</v>
      </c>
      <c r="J33" s="150">
        <f>B33*5</f>
        <v>970</v>
      </c>
      <c r="K33" s="150">
        <f>B33*5</f>
        <v>970</v>
      </c>
      <c r="L33" s="174">
        <f t="shared" si="15"/>
        <v>1940</v>
      </c>
      <c r="M33" s="1427">
        <f t="shared" si="14"/>
        <v>1.4343086632243258</v>
      </c>
      <c r="N33" s="1428"/>
    </row>
    <row r="34" spans="1:14" s="91" customFormat="1" ht="16.5" hidden="1" customHeight="1" thickBot="1">
      <c r="A34" s="1046" t="s">
        <v>192</v>
      </c>
      <c r="B34" s="1434"/>
      <c r="C34" s="1434"/>
      <c r="D34" s="1434"/>
      <c r="E34" s="1434"/>
      <c r="F34" s="1425">
        <f t="shared" ref="F34:F35" si="17">0.0129*B34</f>
        <v>0</v>
      </c>
      <c r="G34" s="1426"/>
      <c r="H34" s="1327"/>
      <c r="I34" s="1133"/>
      <c r="J34" s="1133"/>
      <c r="K34" s="1133"/>
      <c r="L34" s="1133"/>
      <c r="M34" s="1133"/>
      <c r="N34" s="1134"/>
    </row>
    <row r="35" spans="1:14" s="121" customFormat="1" ht="13.5" hidden="1" customHeight="1" thickBot="1">
      <c r="A35" s="76" t="s">
        <v>193</v>
      </c>
      <c r="B35" s="1435"/>
      <c r="C35" s="1433"/>
      <c r="D35" s="1436"/>
      <c r="E35" s="1437"/>
      <c r="F35" s="1425">
        <f t="shared" si="17"/>
        <v>0</v>
      </c>
      <c r="G35" s="1426"/>
      <c r="H35" s="1325">
        <f>F35*5</f>
        <v>0</v>
      </c>
      <c r="I35" s="216">
        <v>0</v>
      </c>
      <c r="J35" s="216">
        <f>L35-K35</f>
        <v>0</v>
      </c>
      <c r="K35" s="216">
        <f>B35*2</f>
        <v>0</v>
      </c>
      <c r="L35" s="174">
        <v>0</v>
      </c>
      <c r="M35" s="1427">
        <f>IF(ISERROR(L35/(F35*771)),0,L35/(F35*771))</f>
        <v>0</v>
      </c>
      <c r="N35" s="1428"/>
    </row>
    <row r="36" spans="1:14" ht="14" thickBot="1">
      <c r="A36" s="53" t="s">
        <v>60</v>
      </c>
      <c r="B36" s="1438">
        <f>SUM(B22:C35)</f>
        <v>1646</v>
      </c>
      <c r="C36" s="1439"/>
      <c r="D36" s="1440">
        <f>SUM(D22:E35)</f>
        <v>14145901.460000001</v>
      </c>
      <c r="E36" s="1439"/>
      <c r="F36" s="1441">
        <f>SUM(F22:G35)</f>
        <v>43.405650383553237</v>
      </c>
      <c r="G36" s="1439"/>
      <c r="H36" s="1313">
        <f>SUM(H22:H35)</f>
        <v>422.0445038355324</v>
      </c>
      <c r="I36" s="1336">
        <f>SUM(I22:I35)</f>
        <v>2000</v>
      </c>
      <c r="J36" s="1336">
        <f>SUM(J22:J35)</f>
        <v>46880</v>
      </c>
      <c r="K36" s="1336">
        <f>SUM(K22:K35)</f>
        <v>132360</v>
      </c>
      <c r="L36" s="1336">
        <f>SUM(L22:L35)</f>
        <v>181240</v>
      </c>
      <c r="M36" s="1442"/>
      <c r="N36" s="1443"/>
    </row>
    <row r="37" spans="1:14" s="1161" customFormat="1" ht="17" thickBot="1">
      <c r="A37" s="1163" t="s">
        <v>17</v>
      </c>
      <c r="B37" s="1414">
        <f>SUM(,B20,B36)</f>
        <v>2211</v>
      </c>
      <c r="C37" s="1415"/>
      <c r="D37" s="1416">
        <f>SUM(,D20,D36)</f>
        <v>21413894.539999999</v>
      </c>
      <c r="E37" s="1415"/>
      <c r="F37" s="1416">
        <f>SUM(,F20,F36)</f>
        <v>65.706948573181961</v>
      </c>
      <c r="G37" s="1415"/>
      <c r="H37" s="1312">
        <f>SUM(H20,H36)</f>
        <v>678.66148573181954</v>
      </c>
      <c r="I37" s="1165">
        <f>SUM(,I20,I36)</f>
        <v>2000</v>
      </c>
      <c r="J37" s="1165">
        <f>SUM(,J20,J36)</f>
        <v>119919.76858074692</v>
      </c>
      <c r="K37" s="1165">
        <f>SUM(,K20,K36)</f>
        <v>200380.7</v>
      </c>
      <c r="L37" s="1165">
        <f>SUM(,L20,L36)</f>
        <v>322300.46858074697</v>
      </c>
      <c r="M37" s="1417"/>
      <c r="N37" s="1418"/>
    </row>
    <row r="38" spans="1:14">
      <c r="A38" s="50"/>
      <c r="B38" s="1332"/>
      <c r="C38" s="1332"/>
      <c r="D38" s="1332"/>
      <c r="E38" s="1332"/>
      <c r="F38" s="1331"/>
      <c r="G38" s="1331"/>
      <c r="H38" s="1331"/>
      <c r="I38" s="21"/>
      <c r="J38" s="21"/>
      <c r="K38" s="21"/>
      <c r="L38" s="21"/>
      <c r="M38" s="1328"/>
      <c r="N38" s="1328"/>
    </row>
    <row r="39" spans="1:14" ht="15">
      <c r="A39" s="9" t="s">
        <v>18</v>
      </c>
      <c r="B39" s="1419" t="s">
        <v>59</v>
      </c>
      <c r="C39" s="1419"/>
      <c r="D39" s="1419"/>
      <c r="E39" s="1419"/>
      <c r="F39" s="1331"/>
      <c r="G39" s="1331"/>
      <c r="H39" s="1331"/>
      <c r="I39" s="21"/>
      <c r="J39" s="21"/>
      <c r="K39" s="21"/>
      <c r="L39" s="21"/>
      <c r="M39" s="1328"/>
      <c r="N39" s="1328"/>
    </row>
    <row r="40" spans="1:14" ht="14" thickBot="1">
      <c r="B40" s="1420" t="s">
        <v>19</v>
      </c>
      <c r="C40" s="1420"/>
      <c r="D40" s="1420"/>
      <c r="E40" s="1420"/>
      <c r="F40" s="1331"/>
      <c r="G40" s="1331"/>
      <c r="H40" s="1331"/>
      <c r="I40" s="21"/>
      <c r="J40" s="21"/>
      <c r="K40" s="21"/>
      <c r="L40" s="21"/>
      <c r="N40" s="1328"/>
    </row>
    <row r="41" spans="1:14" s="363" customFormat="1" ht="16">
      <c r="A41" s="98"/>
      <c r="B41" s="99"/>
      <c r="C41" s="99"/>
      <c r="D41" s="99"/>
      <c r="E41" s="99"/>
      <c r="F41" s="421"/>
      <c r="G41" s="421"/>
      <c r="H41" s="421"/>
      <c r="I41" s="1468" t="s">
        <v>0</v>
      </c>
      <c r="J41" s="1468"/>
      <c r="K41" s="1468"/>
      <c r="L41" s="1468"/>
      <c r="M41" s="99"/>
      <c r="N41" s="101"/>
    </row>
    <row r="42" spans="1:14" ht="16">
      <c r="A42" s="97"/>
      <c r="B42" s="1469" t="s">
        <v>1</v>
      </c>
      <c r="C42" s="1469"/>
      <c r="D42" s="1469" t="s">
        <v>2</v>
      </c>
      <c r="E42" s="1469"/>
      <c r="F42" s="1470" t="s">
        <v>3</v>
      </c>
      <c r="G42" s="1470"/>
      <c r="H42" s="1116" t="s">
        <v>3</v>
      </c>
      <c r="I42" s="127" t="s">
        <v>195</v>
      </c>
      <c r="J42" s="102"/>
      <c r="K42" s="102"/>
      <c r="L42" s="128"/>
      <c r="M42" s="1525" t="s">
        <v>4</v>
      </c>
      <c r="N42" s="1526"/>
    </row>
    <row r="43" spans="1:14" ht="19" thickBot="1">
      <c r="A43" s="103" t="s">
        <v>5</v>
      </c>
      <c r="B43" s="1473" t="s">
        <v>6</v>
      </c>
      <c r="C43" s="1473"/>
      <c r="D43" s="1473" t="s">
        <v>7</v>
      </c>
      <c r="E43" s="1473"/>
      <c r="F43" s="1474" t="s">
        <v>7</v>
      </c>
      <c r="G43" s="1474"/>
      <c r="H43" s="1118" t="s">
        <v>58</v>
      </c>
      <c r="I43" s="1121" t="s">
        <v>196</v>
      </c>
      <c r="J43" s="1117" t="s">
        <v>8</v>
      </c>
      <c r="K43" s="1117" t="s">
        <v>9</v>
      </c>
      <c r="L43" s="401" t="s">
        <v>10</v>
      </c>
      <c r="M43" s="1527" t="s">
        <v>145</v>
      </c>
      <c r="N43" s="1475"/>
    </row>
    <row r="44" spans="1:14" ht="24" thickBot="1">
      <c r="A44" s="88" t="s">
        <v>391</v>
      </c>
      <c r="B44" s="1476"/>
      <c r="C44" s="1477"/>
      <c r="D44" s="1478"/>
      <c r="E44" s="1479"/>
      <c r="F44" s="1480"/>
      <c r="G44" s="1481"/>
      <c r="H44" s="1126"/>
      <c r="I44" s="213"/>
      <c r="J44" s="213"/>
      <c r="K44" s="213"/>
      <c r="L44" s="214"/>
      <c r="M44" s="1482"/>
      <c r="N44" s="1483"/>
    </row>
    <row r="45" spans="1:14" s="1161" customFormat="1" ht="17" thickBot="1">
      <c r="A45" s="110" t="s">
        <v>189</v>
      </c>
      <c r="B45" s="1456"/>
      <c r="C45" s="1457"/>
      <c r="D45" s="1457"/>
      <c r="E45" s="1457"/>
      <c r="F45" s="1484"/>
      <c r="G45" s="1484"/>
      <c r="H45" s="1158"/>
      <c r="I45" s="1141"/>
      <c r="J45" s="1141"/>
      <c r="K45" s="1141"/>
      <c r="L45" s="1141"/>
      <c r="M45" s="1485"/>
      <c r="N45" s="1486"/>
    </row>
    <row r="46" spans="1:14" s="121" customFormat="1">
      <c r="A46" s="69" t="s">
        <v>29</v>
      </c>
      <c r="B46" s="1435">
        <f>FWC!N395</f>
        <v>14</v>
      </c>
      <c r="C46" s="1433"/>
      <c r="D46" s="1501">
        <f>F46*325900</f>
        <v>112239.95999999999</v>
      </c>
      <c r="E46" s="1973"/>
      <c r="F46" s="1460">
        <f>0.0246*B46</f>
        <v>0.34439999999999998</v>
      </c>
      <c r="G46" s="1461"/>
      <c r="H46" s="1124">
        <f>F46*20</f>
        <v>6.8879999999999999</v>
      </c>
      <c r="I46" s="173">
        <v>0</v>
      </c>
      <c r="J46" s="173">
        <f>B46*60</f>
        <v>840</v>
      </c>
      <c r="K46" s="173">
        <f>B46*40</f>
        <v>560</v>
      </c>
      <c r="L46" s="174">
        <f>K46+J46+I46</f>
        <v>1400</v>
      </c>
      <c r="M46" s="1427">
        <f t="shared" ref="M46:M53" si="18">IF(ISERROR(L46/(F46*771)),0,L46/(F46*799))</f>
        <v>5.0876603884937479</v>
      </c>
      <c r="N46" s="1428"/>
    </row>
    <row r="47" spans="1:14" s="121" customFormat="1">
      <c r="A47" s="69" t="s">
        <v>33</v>
      </c>
      <c r="B47" s="1435">
        <f>FWC!N396</f>
        <v>201</v>
      </c>
      <c r="C47" s="1433"/>
      <c r="D47" s="1460">
        <f t="shared" ref="D47" si="19">F47*325900</f>
        <v>2259953.5500000003</v>
      </c>
      <c r="E47" s="1461"/>
      <c r="F47" s="1460">
        <f>0.0345*B47</f>
        <v>6.9345000000000008</v>
      </c>
      <c r="G47" s="1461"/>
      <c r="H47" s="1124">
        <f>F47*14</f>
        <v>97.083000000000013</v>
      </c>
      <c r="I47" s="173">
        <f>0*B47</f>
        <v>0</v>
      </c>
      <c r="J47" s="173">
        <f>B47*75</f>
        <v>15075</v>
      </c>
      <c r="K47" s="173">
        <f>B47*85</f>
        <v>17085</v>
      </c>
      <c r="L47" s="174">
        <f t="shared" ref="L47:L53" si="20">K47+J47+I47</f>
        <v>32160</v>
      </c>
      <c r="M47" s="1427">
        <f t="shared" si="18"/>
        <v>5.804356895394605</v>
      </c>
      <c r="N47" s="1428"/>
    </row>
    <row r="48" spans="1:14" s="121" customFormat="1">
      <c r="A48" s="254" t="s">
        <v>428</v>
      </c>
      <c r="B48" s="1435">
        <f>FWC!N397</f>
        <v>49</v>
      </c>
      <c r="C48" s="1433"/>
      <c r="D48" s="1460">
        <f>F48*325851</f>
        <v>3376468.0619999999</v>
      </c>
      <c r="E48" s="1461"/>
      <c r="F48" s="1460">
        <f>0.0044*2355</f>
        <v>10.362</v>
      </c>
      <c r="G48" s="1461"/>
      <c r="H48" s="1124">
        <f>F48*5</f>
        <v>51.81</v>
      </c>
      <c r="I48" s="173">
        <f>0*2355</f>
        <v>0</v>
      </c>
      <c r="J48" s="173">
        <f>2355*3</f>
        <v>7065</v>
      </c>
      <c r="K48" s="173">
        <f>2355*2</f>
        <v>4710</v>
      </c>
      <c r="L48" s="174">
        <f t="shared" si="20"/>
        <v>11775</v>
      </c>
      <c r="M48" s="1427">
        <f>IF(ISERROR(L48/(F48*771)),0,L48/(F48*799))</f>
        <v>1.4222323358743885</v>
      </c>
      <c r="N48" s="1428"/>
    </row>
    <row r="49" spans="1:21" s="121" customFormat="1">
      <c r="A49" s="69" t="s">
        <v>52</v>
      </c>
      <c r="B49" s="1435">
        <f>FWC!N398</f>
        <v>143</v>
      </c>
      <c r="C49" s="1433"/>
      <c r="D49" s="1460">
        <f>F49*325900</f>
        <v>1929393.18</v>
      </c>
      <c r="E49" s="1461"/>
      <c r="F49" s="1460">
        <f>0.0414*B49</f>
        <v>5.9201999999999995</v>
      </c>
      <c r="G49" s="1461"/>
      <c r="H49" s="1124">
        <f>F49*10</f>
        <v>59.201999999999998</v>
      </c>
      <c r="I49" s="173">
        <v>0</v>
      </c>
      <c r="J49" s="173">
        <f>B49*80</f>
        <v>11440</v>
      </c>
      <c r="K49" s="173">
        <f>B49*80</f>
        <v>11440</v>
      </c>
      <c r="L49" s="174">
        <f t="shared" si="20"/>
        <v>22880</v>
      </c>
      <c r="M49" s="1427">
        <f t="shared" si="18"/>
        <v>4.8369640794955053</v>
      </c>
      <c r="N49" s="1428"/>
    </row>
    <row r="50" spans="1:21" s="121" customFormat="1">
      <c r="A50" s="254" t="s">
        <v>406</v>
      </c>
      <c r="B50" s="1435">
        <f>FWC!N399</f>
        <v>3</v>
      </c>
      <c r="C50" s="1433"/>
      <c r="D50" s="1451">
        <f>F50*325900</f>
        <v>105994.99902</v>
      </c>
      <c r="E50" s="1448"/>
      <c r="F50" s="1946">
        <v>0.32523780000000002</v>
      </c>
      <c r="G50" s="1947"/>
      <c r="H50" s="1115">
        <f>F50*10</f>
        <v>3.2523780000000002</v>
      </c>
      <c r="I50" s="173">
        <v>0</v>
      </c>
      <c r="J50" s="173">
        <v>2195</v>
      </c>
      <c r="K50" s="173">
        <v>3430</v>
      </c>
      <c r="L50" s="174">
        <f t="shared" si="20"/>
        <v>5625</v>
      </c>
      <c r="M50" s="1427">
        <f t="shared" si="18"/>
        <v>21.645854395086374</v>
      </c>
      <c r="N50" s="1428"/>
    </row>
    <row r="51" spans="1:21" s="121" customFormat="1">
      <c r="A51" s="254" t="s">
        <v>214</v>
      </c>
      <c r="B51" s="1435">
        <f>FWC!N400</f>
        <v>4</v>
      </c>
      <c r="C51" s="1433"/>
      <c r="D51" s="1432">
        <f t="shared" ref="D51:D53" si="21">F51*325900</f>
        <v>2476.84</v>
      </c>
      <c r="E51" s="1433"/>
      <c r="F51" s="1460">
        <f>0.0019*B51</f>
        <v>7.6E-3</v>
      </c>
      <c r="G51" s="1461"/>
      <c r="H51" s="1124">
        <f>F51*5</f>
        <v>3.7999999999999999E-2</v>
      </c>
      <c r="I51" s="173">
        <v>0</v>
      </c>
      <c r="J51" s="173">
        <f>B51*0</f>
        <v>0</v>
      </c>
      <c r="K51" s="173">
        <f>B51*35</f>
        <v>140</v>
      </c>
      <c r="L51" s="174">
        <f t="shared" si="20"/>
        <v>140</v>
      </c>
      <c r="M51" s="1427">
        <f t="shared" si="18"/>
        <v>23.055134707858507</v>
      </c>
      <c r="N51" s="1428"/>
    </row>
    <row r="52" spans="1:21" s="121" customFormat="1">
      <c r="A52" s="254" t="s">
        <v>331</v>
      </c>
      <c r="B52" s="1435">
        <f>FWC!N401</f>
        <v>3</v>
      </c>
      <c r="C52" s="1433"/>
      <c r="D52" s="1432">
        <f t="shared" si="21"/>
        <v>0</v>
      </c>
      <c r="E52" s="1433"/>
      <c r="F52" s="1460">
        <v>0</v>
      </c>
      <c r="G52" s="1461"/>
      <c r="H52" s="1124">
        <v>0</v>
      </c>
      <c r="I52" s="173">
        <v>0</v>
      </c>
      <c r="J52" s="173">
        <f>B52*0</f>
        <v>0</v>
      </c>
      <c r="K52" s="173">
        <f>B52*300</f>
        <v>900</v>
      </c>
      <c r="L52" s="174">
        <f t="shared" si="20"/>
        <v>900</v>
      </c>
      <c r="M52" s="1427">
        <f t="shared" si="18"/>
        <v>0</v>
      </c>
      <c r="N52" s="1428"/>
    </row>
    <row r="53" spans="1:21" s="121" customFormat="1" ht="14" thickBot="1">
      <c r="A53" s="254" t="s">
        <v>269</v>
      </c>
      <c r="B53" s="1435">
        <f>FWC!N402</f>
        <v>0</v>
      </c>
      <c r="C53" s="1433"/>
      <c r="D53" s="1432">
        <f t="shared" si="21"/>
        <v>0</v>
      </c>
      <c r="E53" s="1433"/>
      <c r="F53" s="1460">
        <f>B53*0.0414</f>
        <v>0</v>
      </c>
      <c r="G53" s="1461"/>
      <c r="H53" s="1124">
        <f>F53*10</f>
        <v>0</v>
      </c>
      <c r="I53" s="173">
        <v>0</v>
      </c>
      <c r="J53" s="173">
        <f t="shared" ref="J53" si="22">B53*65</f>
        <v>0</v>
      </c>
      <c r="K53" s="173">
        <f t="shared" ref="K53" si="23">B53*40</f>
        <v>0</v>
      </c>
      <c r="L53" s="174">
        <f t="shared" si="20"/>
        <v>0</v>
      </c>
      <c r="M53" s="1427">
        <f t="shared" si="18"/>
        <v>0</v>
      </c>
      <c r="N53" s="1428"/>
    </row>
    <row r="54" spans="1:21" s="1161" customFormat="1" ht="17" thickBot="1">
      <c r="A54" s="110" t="s">
        <v>190</v>
      </c>
      <c r="B54" s="1456"/>
      <c r="C54" s="1457"/>
      <c r="D54" s="1457"/>
      <c r="E54" s="1457"/>
      <c r="F54" s="1457"/>
      <c r="G54" s="1457"/>
      <c r="H54" s="1141"/>
      <c r="I54" s="195"/>
      <c r="J54" s="195"/>
      <c r="K54" s="195"/>
      <c r="L54" s="195"/>
      <c r="M54" s="195"/>
      <c r="N54" s="1190"/>
    </row>
    <row r="55" spans="1:21" s="121" customFormat="1">
      <c r="A55" s="76" t="s">
        <v>424</v>
      </c>
      <c r="B55" s="1435">
        <f>FWC!N404</f>
        <v>2</v>
      </c>
      <c r="C55" s="1433"/>
      <c r="D55" s="1432" t="s">
        <v>22</v>
      </c>
      <c r="E55" s="1433"/>
      <c r="F55" s="1467" t="s">
        <v>22</v>
      </c>
      <c r="G55" s="1433"/>
      <c r="H55" s="1292" t="s">
        <v>22</v>
      </c>
      <c r="I55" s="173">
        <f>B55*541.27</f>
        <v>1082.54</v>
      </c>
      <c r="J55" s="173">
        <v>0</v>
      </c>
      <c r="K55" s="173">
        <v>0</v>
      </c>
      <c r="L55" s="174">
        <f>I55+J55+K55</f>
        <v>1082.54</v>
      </c>
      <c r="M55" s="1427">
        <f>IF(ISERROR(L55/(F55*771)),0,L55/(F55*799))</f>
        <v>0</v>
      </c>
      <c r="N55" s="1428"/>
    </row>
    <row r="56" spans="1:21" s="121" customFormat="1">
      <c r="A56" s="254" t="s">
        <v>353</v>
      </c>
      <c r="B56" s="1435">
        <f>FWC!N405</f>
        <v>0</v>
      </c>
      <c r="C56" s="1433"/>
      <c r="D56" s="1451">
        <f>F56*325900</f>
        <v>0</v>
      </c>
      <c r="E56" s="1448"/>
      <c r="F56" s="1447">
        <v>0</v>
      </c>
      <c r="G56" s="1448"/>
      <c r="H56" s="1115">
        <v>0</v>
      </c>
      <c r="I56" s="173">
        <f>(B56*922.51)*0.49</f>
        <v>0</v>
      </c>
      <c r="J56" s="173">
        <f>(B56*922.5)*0</f>
        <v>0</v>
      </c>
      <c r="K56" s="173">
        <f>(B56*922.51)*0.51</f>
        <v>0</v>
      </c>
      <c r="L56" s="174">
        <f t="shared" ref="L56:L58" si="24">K56+J56+I56</f>
        <v>0</v>
      </c>
      <c r="M56" s="1427">
        <f>IF(ISERROR(L56/(F56*771)),0,L56/(F56*799))</f>
        <v>0</v>
      </c>
      <c r="N56" s="1428"/>
    </row>
    <row r="57" spans="1:21" s="121" customFormat="1">
      <c r="A57" s="254" t="s">
        <v>414</v>
      </c>
      <c r="B57" s="1435">
        <f>FWC!N406</f>
        <v>1</v>
      </c>
      <c r="C57" s="1433"/>
      <c r="D57" s="1451">
        <f>F57*325900</f>
        <v>13492.26</v>
      </c>
      <c r="E57" s="1448"/>
      <c r="F57" s="1447">
        <f>0.0414*1</f>
        <v>4.1399999999999999E-2</v>
      </c>
      <c r="G57" s="1448"/>
      <c r="H57" s="1115">
        <f>F57*10</f>
        <v>0.41399999999999998</v>
      </c>
      <c r="I57" s="173">
        <v>0</v>
      </c>
      <c r="J57" s="173">
        <f>(B57*674.7)*0.62</f>
        <v>418.31400000000002</v>
      </c>
      <c r="K57" s="173">
        <f>(B57*674.7)*0.38</f>
        <v>256.38600000000002</v>
      </c>
      <c r="L57" s="174">
        <f>K57+J57+I57</f>
        <v>674.7</v>
      </c>
      <c r="M57" s="1427">
        <f>IF(ISERROR(L57/(F57*771)),0,L57/(F57*799))</f>
        <v>20.396872902722606</v>
      </c>
      <c r="N57" s="1428"/>
    </row>
    <row r="58" spans="1:21" s="121" customFormat="1" ht="14" thickBot="1">
      <c r="A58" s="254" t="s">
        <v>266</v>
      </c>
      <c r="B58" s="1435">
        <f>FWC!N407</f>
        <v>104</v>
      </c>
      <c r="C58" s="1433"/>
      <c r="D58" s="1458">
        <f>F58*325900</f>
        <v>3999444.7999999993</v>
      </c>
      <c r="E58" s="1459"/>
      <c r="F58" s="1693">
        <f>B58*0.118</f>
        <v>12.271999999999998</v>
      </c>
      <c r="G58" s="1459"/>
      <c r="H58" s="1115">
        <f>F58*10</f>
        <v>122.71999999999998</v>
      </c>
      <c r="I58" s="173">
        <v>0</v>
      </c>
      <c r="J58" s="286">
        <f>(B58*520.03)*0.51</f>
        <v>27582.391199999998</v>
      </c>
      <c r="K58" s="286">
        <f>(B58*520.03)*0.49</f>
        <v>26500.728799999997</v>
      </c>
      <c r="L58" s="174">
        <f t="shared" si="24"/>
        <v>54083.119999999995</v>
      </c>
      <c r="M58" s="1427">
        <f>IF(ISERROR(L58/(F58*771)),0,L58/(F58*799))</f>
        <v>5.5156869816083658</v>
      </c>
      <c r="N58" s="1428"/>
    </row>
    <row r="59" spans="1:21" ht="14" thickBot="1">
      <c r="A59" s="53" t="s">
        <v>60</v>
      </c>
      <c r="B59" s="1452">
        <f>SUM(B46:C58)</f>
        <v>524</v>
      </c>
      <c r="C59" s="1453"/>
      <c r="D59" s="1694">
        <f>SUM(D46:E58)</f>
        <v>11799463.65102</v>
      </c>
      <c r="E59" s="1453"/>
      <c r="F59" s="1452">
        <v>8.309800000000001</v>
      </c>
      <c r="G59" s="1453"/>
      <c r="H59" s="1122">
        <f>SUM(H46:H58)</f>
        <v>341.40737799999999</v>
      </c>
      <c r="I59" s="1132">
        <f>SUM(I46:I58)</f>
        <v>1082.54</v>
      </c>
      <c r="J59" s="1132">
        <f>SUM(J46:J58)</f>
        <v>64615.705199999997</v>
      </c>
      <c r="K59" s="1132">
        <f t="shared" ref="K59:L59" si="25">SUM(K46:K58)</f>
        <v>65022.114799999996</v>
      </c>
      <c r="L59" s="1132">
        <f t="shared" si="25"/>
        <v>130720.35999999999</v>
      </c>
      <c r="M59" s="1454">
        <f t="shared" ref="M59" si="26">IF(ISERROR(L59/(F59*744)),0,L59/(F59*744))</f>
        <v>21.143638667856088</v>
      </c>
      <c r="N59" s="1455"/>
    </row>
    <row r="60" spans="1:21" s="1161" customFormat="1" ht="17" thickBot="1">
      <c r="A60" s="110" t="s">
        <v>194</v>
      </c>
      <c r="B60" s="1456"/>
      <c r="C60" s="1457"/>
      <c r="D60" s="1457"/>
      <c r="E60" s="1457"/>
      <c r="F60" s="1457"/>
      <c r="G60" s="1457"/>
      <c r="H60" s="1141"/>
      <c r="I60" s="997"/>
      <c r="J60" s="997"/>
      <c r="K60" s="997"/>
      <c r="L60" s="997"/>
      <c r="M60" s="997"/>
      <c r="N60" s="998"/>
    </row>
    <row r="61" spans="1:21">
      <c r="A61" s="68" t="s">
        <v>29</v>
      </c>
      <c r="B61" s="1421">
        <f>FWC!N410</f>
        <v>126</v>
      </c>
      <c r="C61" s="1422"/>
      <c r="D61" s="1431">
        <f>F61*325900</f>
        <v>1010159.64</v>
      </c>
      <c r="E61" s="1422"/>
      <c r="F61" s="1425">
        <f>0.0246*B61</f>
        <v>3.0996000000000001</v>
      </c>
      <c r="G61" s="1426"/>
      <c r="H61" s="1123">
        <f>F61*20</f>
        <v>61.992000000000004</v>
      </c>
      <c r="I61" s="151">
        <v>0</v>
      </c>
      <c r="J61" s="150">
        <f>B61*60</f>
        <v>7560</v>
      </c>
      <c r="K61" s="150">
        <f>B61*40</f>
        <v>5040</v>
      </c>
      <c r="L61" s="174">
        <f t="shared" ref="L61:L70" si="27">K61+J61+I61</f>
        <v>12600</v>
      </c>
      <c r="M61" s="1427">
        <f t="shared" ref="M61:M72" si="28">IF(ISERROR(L61/(F61*771)),0,L61/(F61*799))</f>
        <v>5.087660388493747</v>
      </c>
      <c r="N61" s="1428"/>
      <c r="U61" s="3"/>
    </row>
    <row r="62" spans="1:21">
      <c r="A62" s="68" t="s">
        <v>51</v>
      </c>
      <c r="B62" s="1421">
        <f>FWC!N411</f>
        <v>0</v>
      </c>
      <c r="C62" s="1422"/>
      <c r="D62" s="1431">
        <f>F62*325900</f>
        <v>0</v>
      </c>
      <c r="E62" s="1422"/>
      <c r="F62" s="1425">
        <f>0.1227*B62</f>
        <v>0</v>
      </c>
      <c r="G62" s="1426"/>
      <c r="H62" s="1123">
        <f>F62*20</f>
        <v>0</v>
      </c>
      <c r="I62" s="151">
        <v>0</v>
      </c>
      <c r="J62" s="150">
        <f>B62*200</f>
        <v>0</v>
      </c>
      <c r="K62" s="150">
        <f>B62*200</f>
        <v>0</v>
      </c>
      <c r="L62" s="174">
        <f t="shared" si="27"/>
        <v>0</v>
      </c>
      <c r="M62" s="1427">
        <f t="shared" si="28"/>
        <v>0</v>
      </c>
      <c r="N62" s="1428"/>
    </row>
    <row r="63" spans="1:21">
      <c r="A63" s="2" t="s">
        <v>204</v>
      </c>
      <c r="B63" s="1421">
        <f>FWC!N412</f>
        <v>0</v>
      </c>
      <c r="C63" s="1422"/>
      <c r="D63" s="1431">
        <f>F63*325900</f>
        <v>0</v>
      </c>
      <c r="E63" s="1422"/>
      <c r="F63" s="1425">
        <f>0.644*B63</f>
        <v>0</v>
      </c>
      <c r="G63" s="1426"/>
      <c r="H63" s="1123">
        <f>F63*5</f>
        <v>0</v>
      </c>
      <c r="I63" s="151">
        <v>0</v>
      </c>
      <c r="J63" s="150">
        <f>B63*375</f>
        <v>0</v>
      </c>
      <c r="K63" s="150">
        <f>B63*625</f>
        <v>0</v>
      </c>
      <c r="L63" s="174">
        <f t="shared" si="27"/>
        <v>0</v>
      </c>
      <c r="M63" s="1427">
        <f t="shared" si="28"/>
        <v>0</v>
      </c>
      <c r="N63" s="1428"/>
    </row>
    <row r="64" spans="1:21">
      <c r="A64" s="254" t="s">
        <v>30</v>
      </c>
      <c r="B64" s="1421">
        <f>FWC!N413</f>
        <v>15</v>
      </c>
      <c r="C64" s="1422"/>
      <c r="D64" s="1431">
        <f t="shared" ref="D64:D72" si="29">F64*325900</f>
        <v>63061.65</v>
      </c>
      <c r="E64" s="1422"/>
      <c r="F64" s="1513">
        <f>0.0129*B64</f>
        <v>0.19350000000000001</v>
      </c>
      <c r="G64" s="1514"/>
      <c r="H64" s="1123">
        <f>F64*10</f>
        <v>1.9350000000000001</v>
      </c>
      <c r="I64" s="151">
        <v>0</v>
      </c>
      <c r="J64" s="150">
        <f>B64*15</f>
        <v>225</v>
      </c>
      <c r="K64" s="150">
        <f>B64*35</f>
        <v>525</v>
      </c>
      <c r="L64" s="174">
        <f t="shared" si="27"/>
        <v>750</v>
      </c>
      <c r="M64" s="1427">
        <f t="shared" si="28"/>
        <v>4.8510250215870609</v>
      </c>
      <c r="N64" s="1428"/>
    </row>
    <row r="65" spans="1:14">
      <c r="A65" s="254" t="s">
        <v>363</v>
      </c>
      <c r="B65" s="1421">
        <f>FWC!N414</f>
        <v>0</v>
      </c>
      <c r="C65" s="1422"/>
      <c r="D65" s="1431">
        <f t="shared" si="29"/>
        <v>0</v>
      </c>
      <c r="E65" s="1422"/>
      <c r="F65" s="1425">
        <f>0.0044*0</f>
        <v>0</v>
      </c>
      <c r="G65" s="1426"/>
      <c r="H65" s="1288">
        <f>F65*5</f>
        <v>0</v>
      </c>
      <c r="I65" s="151">
        <v>0</v>
      </c>
      <c r="J65" s="150">
        <f>0*3</f>
        <v>0</v>
      </c>
      <c r="K65" s="150">
        <f>0*2</f>
        <v>0</v>
      </c>
      <c r="L65" s="174">
        <f t="shared" si="27"/>
        <v>0</v>
      </c>
      <c r="M65" s="1427">
        <f t="shared" si="28"/>
        <v>0</v>
      </c>
      <c r="N65" s="1428"/>
    </row>
    <row r="66" spans="1:14">
      <c r="A66" s="254" t="s">
        <v>122</v>
      </c>
      <c r="B66" s="1421">
        <f>FWC!N415</f>
        <v>0</v>
      </c>
      <c r="C66" s="1422"/>
      <c r="D66" s="1431">
        <f t="shared" si="29"/>
        <v>0</v>
      </c>
      <c r="E66" s="1422"/>
      <c r="F66" s="1425">
        <f>0.018*B66</f>
        <v>0</v>
      </c>
      <c r="G66" s="1426"/>
      <c r="H66" s="1123">
        <f>F66*10</f>
        <v>0</v>
      </c>
      <c r="I66" s="151">
        <v>0</v>
      </c>
      <c r="J66" s="150">
        <f>B66*5</f>
        <v>0</v>
      </c>
      <c r="K66" s="150">
        <f>B66*13</f>
        <v>0</v>
      </c>
      <c r="L66" s="174">
        <f t="shared" si="27"/>
        <v>0</v>
      </c>
      <c r="M66" s="1427">
        <f t="shared" si="28"/>
        <v>0</v>
      </c>
      <c r="N66" s="1428"/>
    </row>
    <row r="67" spans="1:14">
      <c r="A67" s="257" t="s">
        <v>184</v>
      </c>
      <c r="B67" s="1421">
        <f>FWC!N416</f>
        <v>0</v>
      </c>
      <c r="C67" s="1422"/>
      <c r="D67" s="1431">
        <f t="shared" si="29"/>
        <v>0</v>
      </c>
      <c r="E67" s="1422"/>
      <c r="F67" s="1425">
        <f>0.0129*B67</f>
        <v>0</v>
      </c>
      <c r="G67" s="1426"/>
      <c r="H67" s="1123">
        <f>F67*10</f>
        <v>0</v>
      </c>
      <c r="I67" s="151">
        <v>0</v>
      </c>
      <c r="J67" s="150">
        <f>B67*15</f>
        <v>0</v>
      </c>
      <c r="K67" s="150">
        <f>B67*35</f>
        <v>0</v>
      </c>
      <c r="L67" s="174">
        <f t="shared" si="27"/>
        <v>0</v>
      </c>
      <c r="M67" s="1427">
        <f t="shared" si="28"/>
        <v>0</v>
      </c>
      <c r="N67" s="1428"/>
    </row>
    <row r="68" spans="1:14" s="57" customFormat="1">
      <c r="A68" s="258" t="s">
        <v>187</v>
      </c>
      <c r="B68" s="1421">
        <f>FWC!N417</f>
        <v>0</v>
      </c>
      <c r="C68" s="1422"/>
      <c r="D68" s="1431">
        <f t="shared" si="29"/>
        <v>0</v>
      </c>
      <c r="E68" s="1422"/>
      <c r="F68" s="1425">
        <f>0.023*B68</f>
        <v>0</v>
      </c>
      <c r="G68" s="1426"/>
      <c r="H68" s="1123">
        <f>F68*5</f>
        <v>0</v>
      </c>
      <c r="I68" s="151">
        <v>0</v>
      </c>
      <c r="J68" s="150">
        <f>B68*10</f>
        <v>0</v>
      </c>
      <c r="K68" s="150">
        <f>B68*10</f>
        <v>0</v>
      </c>
      <c r="L68" s="174">
        <f t="shared" si="27"/>
        <v>0</v>
      </c>
      <c r="M68" s="1427">
        <f t="shared" si="28"/>
        <v>0</v>
      </c>
      <c r="N68" s="1428"/>
    </row>
    <row r="69" spans="1:14" s="57" customFormat="1">
      <c r="A69" s="258" t="s">
        <v>188</v>
      </c>
      <c r="B69" s="1421">
        <f>FWC!N418</f>
        <v>0</v>
      </c>
      <c r="C69" s="1422"/>
      <c r="D69" s="1431">
        <f t="shared" si="29"/>
        <v>0</v>
      </c>
      <c r="E69" s="1422"/>
      <c r="F69" s="1509">
        <f>0.154*B69</f>
        <v>0</v>
      </c>
      <c r="G69" s="1510"/>
      <c r="H69" s="1130">
        <f>F69*10</f>
        <v>0</v>
      </c>
      <c r="I69" s="151">
        <v>0</v>
      </c>
      <c r="J69" s="150">
        <f>B69*1000</f>
        <v>0</v>
      </c>
      <c r="K69" s="150">
        <f>B69*1000</f>
        <v>0</v>
      </c>
      <c r="L69" s="174">
        <f t="shared" si="27"/>
        <v>0</v>
      </c>
      <c r="M69" s="1427">
        <f t="shared" si="28"/>
        <v>0</v>
      </c>
      <c r="N69" s="1428"/>
    </row>
    <row r="70" spans="1:14" s="57" customFormat="1">
      <c r="A70" s="258" t="s">
        <v>323</v>
      </c>
      <c r="B70" s="1421">
        <f>FWC!N419</f>
        <v>0</v>
      </c>
      <c r="C70" s="1422"/>
      <c r="D70" s="1423">
        <f t="shared" si="29"/>
        <v>0</v>
      </c>
      <c r="E70" s="1424"/>
      <c r="F70" s="1494">
        <v>0</v>
      </c>
      <c r="G70" s="1495"/>
      <c r="H70" s="1115">
        <f>F70*10</f>
        <v>0</v>
      </c>
      <c r="I70" s="151">
        <v>0</v>
      </c>
      <c r="J70" s="150">
        <v>0</v>
      </c>
      <c r="K70" s="150">
        <v>0</v>
      </c>
      <c r="L70" s="174">
        <f t="shared" si="27"/>
        <v>0</v>
      </c>
      <c r="M70" s="1427">
        <f t="shared" si="28"/>
        <v>0</v>
      </c>
      <c r="N70" s="1428"/>
    </row>
    <row r="71" spans="1:14" s="57" customFormat="1">
      <c r="A71" s="258" t="s">
        <v>269</v>
      </c>
      <c r="B71" s="1421">
        <f>FWC!N420</f>
        <v>0</v>
      </c>
      <c r="C71" s="1422"/>
      <c r="D71" s="1423">
        <f t="shared" si="29"/>
        <v>0</v>
      </c>
      <c r="E71" s="1424"/>
      <c r="F71" s="1498">
        <f>B71*0.0129</f>
        <v>0</v>
      </c>
      <c r="G71" s="1499"/>
      <c r="H71" s="1113">
        <f>F71*10</f>
        <v>0</v>
      </c>
      <c r="I71" s="151">
        <v>0</v>
      </c>
      <c r="J71" s="150">
        <f>B71*15</f>
        <v>0</v>
      </c>
      <c r="K71" s="150">
        <f>B71*35</f>
        <v>0</v>
      </c>
      <c r="L71" s="174">
        <f t="shared" ref="L71:L72" si="30">K71+J71+I71</f>
        <v>0</v>
      </c>
      <c r="M71" s="1427">
        <f t="shared" si="28"/>
        <v>0</v>
      </c>
      <c r="N71" s="1428"/>
    </row>
    <row r="72" spans="1:14" s="57" customFormat="1" ht="14" thickBot="1">
      <c r="A72" s="258" t="s">
        <v>268</v>
      </c>
      <c r="B72" s="1421">
        <f>FWC!N421</f>
        <v>547</v>
      </c>
      <c r="C72" s="1422"/>
      <c r="D72" s="1431">
        <f t="shared" si="29"/>
        <v>748722.65999999992</v>
      </c>
      <c r="E72" s="1422"/>
      <c r="F72" s="1501">
        <f>(B72*0.0084)/2</f>
        <v>2.2973999999999997</v>
      </c>
      <c r="G72" s="1461"/>
      <c r="H72" s="1124">
        <f>F72*10</f>
        <v>22.973999999999997</v>
      </c>
      <c r="I72" s="151">
        <v>0</v>
      </c>
      <c r="J72" s="150">
        <f>B72*5</f>
        <v>2735</v>
      </c>
      <c r="K72" s="150">
        <f>B72*5</f>
        <v>2735</v>
      </c>
      <c r="L72" s="174">
        <f t="shared" si="30"/>
        <v>5470</v>
      </c>
      <c r="M72" s="1427">
        <f t="shared" si="28"/>
        <v>2.9799153704034809</v>
      </c>
      <c r="N72" s="1428"/>
    </row>
    <row r="73" spans="1:14" s="91" customFormat="1" ht="17" hidden="1" thickBot="1">
      <c r="A73" s="1046" t="s">
        <v>192</v>
      </c>
      <c r="B73" s="1434"/>
      <c r="C73" s="1434"/>
      <c r="D73" s="1434"/>
      <c r="E73" s="1434"/>
      <c r="F73" s="1434"/>
      <c r="G73" s="1434"/>
      <c r="H73" s="1114"/>
      <c r="I73" s="1133"/>
      <c r="J73" s="1133"/>
      <c r="K73" s="1133"/>
      <c r="L73" s="1133"/>
      <c r="M73" s="1133"/>
      <c r="N73" s="1134"/>
    </row>
    <row r="74" spans="1:14" s="121" customFormat="1" ht="14" hidden="1" thickBot="1">
      <c r="A74" s="76" t="s">
        <v>193</v>
      </c>
      <c r="B74" s="1435">
        <f>FWC!N423</f>
        <v>0</v>
      </c>
      <c r="C74" s="1433"/>
      <c r="D74" s="1436">
        <f>F74*325900</f>
        <v>0</v>
      </c>
      <c r="E74" s="1437"/>
      <c r="F74" s="1744">
        <f>0.004*B74</f>
        <v>0</v>
      </c>
      <c r="G74" s="1437"/>
      <c r="H74" s="1124">
        <f>F74*5</f>
        <v>0</v>
      </c>
      <c r="I74" s="216">
        <v>0</v>
      </c>
      <c r="J74" s="216">
        <f>L74-K74</f>
        <v>3607.5</v>
      </c>
      <c r="K74" s="216">
        <f>B74*2</f>
        <v>0</v>
      </c>
      <c r="L74" s="174">
        <v>3607.5</v>
      </c>
      <c r="M74" s="1427">
        <f>IF(ISERROR(L74/(F74*771)),0,L74/(F74*771))</f>
        <v>0</v>
      </c>
      <c r="N74" s="1428"/>
    </row>
    <row r="75" spans="1:14" ht="14" thickBot="1">
      <c r="A75" s="53" t="s">
        <v>60</v>
      </c>
      <c r="B75" s="1438">
        <f>SUM(B61:B74)</f>
        <v>688</v>
      </c>
      <c r="C75" s="1439"/>
      <c r="D75" s="1440">
        <f>SUM(D61:E74)</f>
        <v>1821943.95</v>
      </c>
      <c r="E75" s="1439"/>
      <c r="F75" s="1441">
        <f>SUM(F61:G74)</f>
        <v>5.5904999999999996</v>
      </c>
      <c r="G75" s="1439"/>
      <c r="H75" s="1119">
        <f>SUM(H61:H74)</f>
        <v>86.90100000000001</v>
      </c>
      <c r="I75" s="146">
        <f>SUM(I61:I74)</f>
        <v>0</v>
      </c>
      <c r="J75" s="146">
        <f>SUM(J61:J74)</f>
        <v>14127.5</v>
      </c>
      <c r="K75" s="146">
        <f>SUM(K61:K74)</f>
        <v>8300</v>
      </c>
      <c r="L75" s="146">
        <f>SUM(L61:L74)</f>
        <v>22427.5</v>
      </c>
      <c r="M75" s="1442"/>
      <c r="N75" s="1443"/>
    </row>
    <row r="76" spans="1:14" s="1161" customFormat="1" ht="17" thickBot="1">
      <c r="A76" s="1163" t="s">
        <v>17</v>
      </c>
      <c r="B76" s="1414">
        <f>SUM(,B59,B75)</f>
        <v>1212</v>
      </c>
      <c r="C76" s="1415"/>
      <c r="D76" s="1416">
        <f>SUM(,D59,D75)</f>
        <v>13621407.601019999</v>
      </c>
      <c r="E76" s="1415"/>
      <c r="F76" s="1416">
        <f>SUM(,F59,F75)</f>
        <v>13.900300000000001</v>
      </c>
      <c r="G76" s="1415"/>
      <c r="H76" s="1164">
        <f>SUM(H59,H75)</f>
        <v>428.308378</v>
      </c>
      <c r="I76" s="1165">
        <f>SUM(,I59,I75)</f>
        <v>1082.54</v>
      </c>
      <c r="J76" s="1165">
        <f>SUM(,J59,J75)</f>
        <v>78743.205199999997</v>
      </c>
      <c r="K76" s="1165">
        <f>SUM(,K59,K75)</f>
        <v>73322.114799999996</v>
      </c>
      <c r="L76" s="1165">
        <f>SUM(,L59,L75)</f>
        <v>153147.85999999999</v>
      </c>
      <c r="M76" s="1417"/>
      <c r="N76" s="1418"/>
    </row>
    <row r="77" spans="1:14">
      <c r="A77" s="50"/>
      <c r="B77" s="1127"/>
      <c r="C77" s="1127"/>
      <c r="D77" s="1127"/>
      <c r="E77" s="1127"/>
      <c r="F77" s="1128"/>
      <c r="G77" s="1128"/>
      <c r="H77" s="1128"/>
      <c r="I77" s="21"/>
      <c r="J77" s="21"/>
      <c r="K77" s="21"/>
      <c r="L77" s="21"/>
      <c r="M77" s="1125"/>
      <c r="N77" s="1125"/>
    </row>
    <row r="78" spans="1:14" ht="15">
      <c r="A78" s="9" t="s">
        <v>18</v>
      </c>
      <c r="B78" s="1419" t="s">
        <v>59</v>
      </c>
      <c r="C78" s="1419"/>
      <c r="D78" s="1419"/>
      <c r="E78" s="1419"/>
      <c r="F78" s="1128"/>
      <c r="G78" s="1128"/>
      <c r="H78" s="1128"/>
      <c r="I78" s="21"/>
      <c r="J78" s="21"/>
      <c r="K78" s="21"/>
      <c r="L78" s="21"/>
      <c r="M78" s="1125"/>
      <c r="N78" s="1125"/>
    </row>
    <row r="79" spans="1:14">
      <c r="B79" s="1420" t="s">
        <v>19</v>
      </c>
      <c r="C79" s="1420"/>
      <c r="D79" s="1420"/>
      <c r="E79" s="1420"/>
      <c r="F79" s="1128"/>
      <c r="G79" s="1128"/>
      <c r="H79" s="1128"/>
      <c r="I79" s="21"/>
      <c r="J79" s="21"/>
      <c r="K79" s="21"/>
      <c r="L79" s="21"/>
      <c r="N79" s="1125"/>
    </row>
    <row r="80" spans="1:14">
      <c r="B80" s="1125"/>
      <c r="C80" s="1125"/>
      <c r="D80" s="1125"/>
      <c r="E80" s="1125"/>
      <c r="F80" s="1128"/>
      <c r="G80" s="1128"/>
      <c r="H80" s="1128"/>
      <c r="I80" s="21"/>
      <c r="J80" s="21"/>
      <c r="K80" s="21"/>
      <c r="L80" s="21"/>
      <c r="N80" s="1125"/>
    </row>
    <row r="81" spans="1:14" s="363" customFormat="1" ht="16">
      <c r="A81" s="348"/>
      <c r="B81" s="349"/>
      <c r="C81" s="349"/>
      <c r="D81" s="349"/>
      <c r="E81" s="349"/>
      <c r="F81" s="437"/>
      <c r="G81" s="437"/>
      <c r="H81" s="437"/>
      <c r="I81" s="2046" t="s">
        <v>0</v>
      </c>
      <c r="J81" s="2046"/>
      <c r="K81" s="2046"/>
      <c r="L81" s="2046"/>
      <c r="M81" s="349"/>
      <c r="N81" s="344"/>
    </row>
    <row r="82" spans="1:14" ht="16">
      <c r="A82" s="97"/>
      <c r="B82" s="1469" t="s">
        <v>1</v>
      </c>
      <c r="C82" s="1469"/>
      <c r="D82" s="1469" t="s">
        <v>2</v>
      </c>
      <c r="E82" s="1469"/>
      <c r="F82" s="1470" t="s">
        <v>3</v>
      </c>
      <c r="G82" s="1470"/>
      <c r="H82" s="1003" t="s">
        <v>3</v>
      </c>
      <c r="I82" s="127" t="s">
        <v>195</v>
      </c>
      <c r="J82" s="102"/>
      <c r="K82" s="102"/>
      <c r="L82" s="128"/>
      <c r="M82" s="1525" t="s">
        <v>4</v>
      </c>
      <c r="N82" s="1526"/>
    </row>
    <row r="83" spans="1:14" ht="19" thickBot="1">
      <c r="A83" s="103" t="s">
        <v>5</v>
      </c>
      <c r="B83" s="1473" t="s">
        <v>6</v>
      </c>
      <c r="C83" s="1473"/>
      <c r="D83" s="1473" t="s">
        <v>7</v>
      </c>
      <c r="E83" s="1473"/>
      <c r="F83" s="1474" t="s">
        <v>7</v>
      </c>
      <c r="G83" s="1474"/>
      <c r="H83" s="1006" t="s">
        <v>58</v>
      </c>
      <c r="I83" s="1007" t="s">
        <v>196</v>
      </c>
      <c r="J83" s="1005" t="s">
        <v>8</v>
      </c>
      <c r="K83" s="1005" t="s">
        <v>9</v>
      </c>
      <c r="L83" s="401" t="s">
        <v>10</v>
      </c>
      <c r="M83" s="1527" t="s">
        <v>145</v>
      </c>
      <c r="N83" s="1475"/>
    </row>
    <row r="84" spans="1:14" ht="24" thickBot="1">
      <c r="A84" s="88" t="s">
        <v>351</v>
      </c>
      <c r="B84" s="1702"/>
      <c r="C84" s="1703"/>
      <c r="D84" s="1704"/>
      <c r="E84" s="1705"/>
      <c r="F84" s="1706"/>
      <c r="G84" s="1707"/>
      <c r="H84" s="1015"/>
      <c r="I84" s="304"/>
      <c r="J84" s="304"/>
      <c r="K84" s="304"/>
      <c r="L84" s="305"/>
      <c r="M84" s="1708"/>
      <c r="N84" s="1709"/>
    </row>
    <row r="85" spans="1:14" s="1161" customFormat="1" ht="17" thickBot="1">
      <c r="A85" s="110" t="s">
        <v>189</v>
      </c>
      <c r="B85" s="1456"/>
      <c r="C85" s="1586"/>
      <c r="D85" s="1457"/>
      <c r="E85" s="1457"/>
      <c r="F85" s="1587"/>
      <c r="G85" s="1484"/>
      <c r="H85" s="1144"/>
      <c r="I85" s="1148"/>
      <c r="J85" s="1148"/>
      <c r="K85" s="1148"/>
      <c r="L85" s="1148"/>
      <c r="M85" s="1617"/>
      <c r="N85" s="1486"/>
    </row>
    <row r="86" spans="1:14" s="1087" customFormat="1">
      <c r="A86" s="1057" t="s">
        <v>29</v>
      </c>
      <c r="B86" s="1503">
        <f>FWC!N361</f>
        <v>440</v>
      </c>
      <c r="C86" s="1461"/>
      <c r="D86" s="1501">
        <f>F86*325900</f>
        <v>3527541.6</v>
      </c>
      <c r="E86" s="1461"/>
      <c r="F86" s="1460">
        <f>0.0246*B86</f>
        <v>10.824</v>
      </c>
      <c r="G86" s="1461"/>
      <c r="H86" s="1073">
        <f>F86*20</f>
        <v>216.48</v>
      </c>
      <c r="I86" s="1052">
        <v>0</v>
      </c>
      <c r="J86" s="1052">
        <f>B86*60</f>
        <v>26400</v>
      </c>
      <c r="K86" s="1052">
        <f>B86*40</f>
        <v>17600</v>
      </c>
      <c r="L86" s="1054">
        <f>K86+J86+I86</f>
        <v>44000</v>
      </c>
      <c r="M86" s="1507">
        <f t="shared" ref="M86:M93" si="31">IF(ISERROR(L86/(F86*771)),0,L86/(F86*771))</f>
        <v>5.272426265118682</v>
      </c>
      <c r="N86" s="1508"/>
    </row>
    <row r="87" spans="1:14" s="1087" customFormat="1">
      <c r="A87" s="1057" t="s">
        <v>33</v>
      </c>
      <c r="B87" s="1503">
        <f>FWC!N362</f>
        <v>407</v>
      </c>
      <c r="C87" s="1461"/>
      <c r="D87" s="1501">
        <f t="shared" ref="D87" si="32">F87*325900</f>
        <v>4576124.8500000006</v>
      </c>
      <c r="E87" s="1461"/>
      <c r="F87" s="1460">
        <f>0.0345*B87</f>
        <v>14.041500000000001</v>
      </c>
      <c r="G87" s="1461"/>
      <c r="H87" s="1073">
        <f>F87*14</f>
        <v>196.58100000000002</v>
      </c>
      <c r="I87" s="1052">
        <f>0*B87</f>
        <v>0</v>
      </c>
      <c r="J87" s="1052">
        <f>B87*65</f>
        <v>26455</v>
      </c>
      <c r="K87" s="1052">
        <f>B87*85</f>
        <v>34595</v>
      </c>
      <c r="L87" s="1054">
        <f t="shared" ref="L87:L93" si="33">K87+J87+I87</f>
        <v>61050</v>
      </c>
      <c r="M87" s="1507">
        <f t="shared" si="31"/>
        <v>5.6392037444312857</v>
      </c>
      <c r="N87" s="1508"/>
    </row>
    <row r="88" spans="1:14" s="1087" customFormat="1">
      <c r="A88" s="1057" t="s">
        <v>361</v>
      </c>
      <c r="B88" s="1503">
        <f>FWC!N363</f>
        <v>13118</v>
      </c>
      <c r="C88" s="1461"/>
      <c r="D88" s="1501">
        <f>F88*325851</f>
        <v>18807859.0392</v>
      </c>
      <c r="E88" s="1461"/>
      <c r="F88" s="1460">
        <f>0.0044*B88</f>
        <v>57.719200000000001</v>
      </c>
      <c r="G88" s="1461"/>
      <c r="H88" s="1073">
        <f>F88*5</f>
        <v>288.596</v>
      </c>
      <c r="I88" s="1052">
        <f>0*B88</f>
        <v>0</v>
      </c>
      <c r="J88" s="1052">
        <f>B88*3</f>
        <v>39354</v>
      </c>
      <c r="K88" s="1052">
        <f>B88*2</f>
        <v>26236</v>
      </c>
      <c r="L88" s="1054">
        <f t="shared" si="33"/>
        <v>65590</v>
      </c>
      <c r="M88" s="1507">
        <f t="shared" si="31"/>
        <v>1.4738827968399952</v>
      </c>
      <c r="N88" s="1508"/>
    </row>
    <row r="89" spans="1:14" s="1087" customFormat="1">
      <c r="A89" s="1057" t="s">
        <v>52</v>
      </c>
      <c r="B89" s="1503">
        <f>FWC!N364</f>
        <v>112</v>
      </c>
      <c r="C89" s="1461"/>
      <c r="D89" s="1501">
        <f t="shared" ref="D89:D93" si="34">F89*325900</f>
        <v>1511133.12</v>
      </c>
      <c r="E89" s="1461"/>
      <c r="F89" s="1460">
        <f>0.0414*B89</f>
        <v>4.6368</v>
      </c>
      <c r="G89" s="1461"/>
      <c r="H89" s="1073">
        <f>F89*10</f>
        <v>46.368000000000002</v>
      </c>
      <c r="I89" s="1052">
        <v>0</v>
      </c>
      <c r="J89" s="1052">
        <f>B89*70</f>
        <v>7840</v>
      </c>
      <c r="K89" s="1052">
        <f>B89*80</f>
        <v>8960</v>
      </c>
      <c r="L89" s="1054">
        <f t="shared" si="33"/>
        <v>16800</v>
      </c>
      <c r="M89" s="1507">
        <f t="shared" si="31"/>
        <v>4.6993364536927382</v>
      </c>
      <c r="N89" s="1508"/>
    </row>
    <row r="90" spans="1:14" s="1087" customFormat="1">
      <c r="A90" s="1057" t="s">
        <v>323</v>
      </c>
      <c r="B90" s="1503">
        <f>FWC!N365</f>
        <v>0</v>
      </c>
      <c r="C90" s="1461"/>
      <c r="D90" s="1494">
        <f t="shared" si="34"/>
        <v>0</v>
      </c>
      <c r="E90" s="1495"/>
      <c r="F90" s="1515">
        <v>0</v>
      </c>
      <c r="G90" s="1495"/>
      <c r="H90" s="1074">
        <f>F90*10</f>
        <v>0</v>
      </c>
      <c r="I90" s="1052">
        <v>0</v>
      </c>
      <c r="J90" s="1052">
        <f t="shared" ref="J90:J93" si="35">B90*65</f>
        <v>0</v>
      </c>
      <c r="K90" s="1052">
        <f t="shared" ref="K90:K93" si="36">B90*40</f>
        <v>0</v>
      </c>
      <c r="L90" s="1054">
        <f t="shared" si="33"/>
        <v>0</v>
      </c>
      <c r="M90" s="1507">
        <f t="shared" si="31"/>
        <v>0</v>
      </c>
      <c r="N90" s="1508"/>
    </row>
    <row r="91" spans="1:14" s="1087" customFormat="1">
      <c r="A91" s="1057" t="s">
        <v>214</v>
      </c>
      <c r="B91" s="1503">
        <f>FWC!N366</f>
        <v>0</v>
      </c>
      <c r="C91" s="1461"/>
      <c r="D91" s="1501">
        <f t="shared" si="34"/>
        <v>0</v>
      </c>
      <c r="E91" s="1461"/>
      <c r="F91" s="1460">
        <f>0.0019*B91</f>
        <v>0</v>
      </c>
      <c r="G91" s="1461"/>
      <c r="H91" s="1073">
        <f>F91*5</f>
        <v>0</v>
      </c>
      <c r="I91" s="1052">
        <v>0</v>
      </c>
      <c r="J91" s="1052">
        <f>B91*0</f>
        <v>0</v>
      </c>
      <c r="K91" s="1052">
        <f>B91*35</f>
        <v>0</v>
      </c>
      <c r="L91" s="1054">
        <f t="shared" si="33"/>
        <v>0</v>
      </c>
      <c r="M91" s="1507">
        <f t="shared" si="31"/>
        <v>0</v>
      </c>
      <c r="N91" s="1508"/>
    </row>
    <row r="92" spans="1:14" s="1087" customFormat="1">
      <c r="A92" s="1057" t="s">
        <v>331</v>
      </c>
      <c r="B92" s="1503">
        <f>FWC!N367</f>
        <v>31</v>
      </c>
      <c r="C92" s="1461"/>
      <c r="D92" s="1501">
        <f t="shared" si="34"/>
        <v>0</v>
      </c>
      <c r="E92" s="1461"/>
      <c r="F92" s="1460">
        <v>0</v>
      </c>
      <c r="G92" s="1461"/>
      <c r="H92" s="1073">
        <v>0</v>
      </c>
      <c r="I92" s="1052">
        <v>0</v>
      </c>
      <c r="J92" s="1052">
        <f>B92*0</f>
        <v>0</v>
      </c>
      <c r="K92" s="1052">
        <f>B92*300</f>
        <v>9300</v>
      </c>
      <c r="L92" s="1054">
        <f t="shared" si="33"/>
        <v>9300</v>
      </c>
      <c r="M92" s="1507">
        <f t="shared" si="31"/>
        <v>0</v>
      </c>
      <c r="N92" s="1508"/>
    </row>
    <row r="93" spans="1:14" s="1087" customFormat="1" ht="14" thickBot="1">
      <c r="A93" s="1057" t="s">
        <v>269</v>
      </c>
      <c r="B93" s="1503">
        <f>FWC!N368</f>
        <v>0</v>
      </c>
      <c r="C93" s="1461"/>
      <c r="D93" s="1501">
        <f t="shared" si="34"/>
        <v>0</v>
      </c>
      <c r="E93" s="1461"/>
      <c r="F93" s="1460">
        <f>B93*0.0414</f>
        <v>0</v>
      </c>
      <c r="G93" s="1461"/>
      <c r="H93" s="1073">
        <v>0</v>
      </c>
      <c r="I93" s="1052">
        <v>0</v>
      </c>
      <c r="J93" s="1052">
        <f t="shared" si="35"/>
        <v>0</v>
      </c>
      <c r="K93" s="1052">
        <f t="shared" si="36"/>
        <v>0</v>
      </c>
      <c r="L93" s="1054">
        <f t="shared" si="33"/>
        <v>0</v>
      </c>
      <c r="M93" s="1507">
        <f t="shared" si="31"/>
        <v>0</v>
      </c>
      <c r="N93" s="1508"/>
    </row>
    <row r="94" spans="1:14" s="1228" customFormat="1" ht="17" thickBot="1">
      <c r="A94" s="1224" t="s">
        <v>190</v>
      </c>
      <c r="B94" s="1524"/>
      <c r="C94" s="1502"/>
      <c r="D94" s="1502"/>
      <c r="E94" s="1502"/>
      <c r="F94" s="1502"/>
      <c r="G94" s="1502"/>
      <c r="H94" s="1225"/>
      <c r="I94" s="1226"/>
      <c r="J94" s="1226"/>
      <c r="K94" s="1226"/>
      <c r="L94" s="1226"/>
      <c r="M94" s="1226"/>
      <c r="N94" s="1227"/>
    </row>
    <row r="95" spans="1:14" s="1087" customFormat="1">
      <c r="A95" s="1057" t="s">
        <v>388</v>
      </c>
      <c r="B95" s="1503">
        <f>FWC!N370</f>
        <v>0</v>
      </c>
      <c r="C95" s="1461"/>
      <c r="D95" s="1501">
        <f>F95*325900</f>
        <v>0</v>
      </c>
      <c r="E95" s="1461"/>
      <c r="F95" s="1460">
        <f>B95*0.0044</f>
        <v>0</v>
      </c>
      <c r="G95" s="1461"/>
      <c r="H95" s="1073">
        <f>F95*5</f>
        <v>0</v>
      </c>
      <c r="I95" s="1052">
        <v>0</v>
      </c>
      <c r="J95" s="1052">
        <f>L95-K95</f>
        <v>0</v>
      </c>
      <c r="K95" s="1052">
        <f>B95*2</f>
        <v>0</v>
      </c>
      <c r="L95" s="1054">
        <v>0</v>
      </c>
      <c r="M95" s="1507">
        <f>IF(ISERROR(L95/(F95*771)),0,L95/(F95*771))</f>
        <v>0</v>
      </c>
      <c r="N95" s="1508"/>
    </row>
    <row r="96" spans="1:14" s="1087" customFormat="1">
      <c r="A96" s="1057" t="s">
        <v>353</v>
      </c>
      <c r="B96" s="1503">
        <f>FWC!N371</f>
        <v>0</v>
      </c>
      <c r="C96" s="1461"/>
      <c r="D96" s="1494">
        <f>F96*325900</f>
        <v>0</v>
      </c>
      <c r="E96" s="1495"/>
      <c r="F96" s="1515">
        <v>0</v>
      </c>
      <c r="G96" s="1495"/>
      <c r="H96" s="1074">
        <f>F96*7.5</f>
        <v>0</v>
      </c>
      <c r="I96" s="1052">
        <f>(B96*958)*0.5</f>
        <v>0</v>
      </c>
      <c r="J96" s="1052">
        <f>(B96*958)*0.02</f>
        <v>0</v>
      </c>
      <c r="K96" s="1052">
        <f>(B96*958)*0.48</f>
        <v>0</v>
      </c>
      <c r="L96" s="1054">
        <f t="shared" ref="L96:L98" si="37">K96+J96+I96</f>
        <v>0</v>
      </c>
      <c r="M96" s="1507">
        <f>IF(ISERROR(L96/(F96*771)),0,L96/(F96*771))</f>
        <v>0</v>
      </c>
      <c r="N96" s="1508"/>
    </row>
    <row r="97" spans="1:21" s="1087" customFormat="1">
      <c r="A97" s="1057" t="s">
        <v>375</v>
      </c>
      <c r="B97" s="1503">
        <f>FWC!N372</f>
        <v>0</v>
      </c>
      <c r="C97" s="1461"/>
      <c r="D97" s="1494">
        <f>F97*325900</f>
        <v>0</v>
      </c>
      <c r="E97" s="1495"/>
      <c r="F97" s="1515">
        <f>0.0414*0</f>
        <v>0</v>
      </c>
      <c r="G97" s="1495"/>
      <c r="H97" s="1074">
        <f>F97*10</f>
        <v>0</v>
      </c>
      <c r="I97" s="1052">
        <v>0</v>
      </c>
      <c r="J97" s="1052">
        <f>(B97*705)*0.84</f>
        <v>0</v>
      </c>
      <c r="K97" s="1052">
        <f>(B97*705)*0.16</f>
        <v>0</v>
      </c>
      <c r="L97" s="1054">
        <f t="shared" si="37"/>
        <v>0</v>
      </c>
      <c r="M97" s="1507">
        <f>IF(ISERROR(L97/(F97*771)),0,L97/(F97*771))</f>
        <v>0</v>
      </c>
      <c r="N97" s="1508"/>
    </row>
    <row r="98" spans="1:21" s="1087" customFormat="1" ht="14" thickBot="1">
      <c r="A98" s="1057" t="s">
        <v>266</v>
      </c>
      <c r="B98" s="1503">
        <f>FWC!N373</f>
        <v>149</v>
      </c>
      <c r="C98" s="1461"/>
      <c r="D98" s="1516">
        <f>F98*325900</f>
        <v>5729973.7999999998</v>
      </c>
      <c r="E98" s="1517"/>
      <c r="F98" s="1518">
        <f>B98*0.118</f>
        <v>17.582000000000001</v>
      </c>
      <c r="G98" s="1517"/>
      <c r="H98" s="1074">
        <f>F98*10</f>
        <v>175.82</v>
      </c>
      <c r="I98" s="1052">
        <v>0</v>
      </c>
      <c r="J98" s="1088">
        <f>(B98*461)*0.53</f>
        <v>36405.17</v>
      </c>
      <c r="K98" s="1088">
        <f>(B98*461)*0.47</f>
        <v>32283.829999999998</v>
      </c>
      <c r="L98" s="1054">
        <f t="shared" si="37"/>
        <v>68689</v>
      </c>
      <c r="M98" s="1507">
        <f>IF(ISERROR(L98/(F98*771)),0,L98/(F98*771))</f>
        <v>5.0671590934071977</v>
      </c>
      <c r="N98" s="1508"/>
    </row>
    <row r="99" spans="1:21" s="1055" customFormat="1" ht="14" thickBot="1">
      <c r="A99" s="1060" t="s">
        <v>60</v>
      </c>
      <c r="B99" s="1519">
        <f>SUM(B86:C98)</f>
        <v>14257</v>
      </c>
      <c r="C99" s="1520"/>
      <c r="D99" s="1521">
        <f>SUM(D86:E98)</f>
        <v>34152632.409200005</v>
      </c>
      <c r="E99" s="1520"/>
      <c r="F99" s="1519">
        <f>SUM(F86:G98)</f>
        <v>104.80349999999999</v>
      </c>
      <c r="G99" s="1520"/>
      <c r="H99" s="1061">
        <f>SUM(H86:H98)</f>
        <v>923.84500000000003</v>
      </c>
      <c r="I99" s="1062">
        <f>SUM(I86:I98)</f>
        <v>0</v>
      </c>
      <c r="J99" s="1062">
        <f t="shared" ref="J99:L99" si="38">SUM(J86:J98)</f>
        <v>136454.16999999998</v>
      </c>
      <c r="K99" s="1062">
        <f t="shared" si="38"/>
        <v>128974.83</v>
      </c>
      <c r="L99" s="1062">
        <f t="shared" si="38"/>
        <v>265429</v>
      </c>
      <c r="M99" s="1522"/>
      <c r="N99" s="1523"/>
    </row>
    <row r="100" spans="1:21" s="1228" customFormat="1" ht="17" thickBot="1">
      <c r="A100" s="1224" t="s">
        <v>194</v>
      </c>
      <c r="B100" s="1524"/>
      <c r="C100" s="1502"/>
      <c r="D100" s="1502"/>
      <c r="E100" s="1502"/>
      <c r="F100" s="1502"/>
      <c r="G100" s="1502"/>
      <c r="H100" s="1225"/>
      <c r="I100" s="1229"/>
      <c r="J100" s="1229"/>
      <c r="K100" s="1229"/>
      <c r="L100" s="1229"/>
      <c r="M100" s="1229"/>
      <c r="N100" s="1230"/>
    </row>
    <row r="101" spans="1:21" s="1055" customFormat="1">
      <c r="A101" s="1049" t="s">
        <v>29</v>
      </c>
      <c r="B101" s="1491">
        <f>FWC!N376</f>
        <v>90</v>
      </c>
      <c r="C101" s="1426"/>
      <c r="D101" s="1500">
        <f>F101*325900</f>
        <v>721542.6</v>
      </c>
      <c r="E101" s="1426"/>
      <c r="F101" s="1425">
        <f>0.0246*B101</f>
        <v>2.214</v>
      </c>
      <c r="G101" s="1426"/>
      <c r="H101" s="1050">
        <f>F101*20</f>
        <v>44.28</v>
      </c>
      <c r="I101" s="1051">
        <v>0</v>
      </c>
      <c r="J101" s="1053">
        <f>B101*60</f>
        <v>5400</v>
      </c>
      <c r="K101" s="1053">
        <f>B101*40</f>
        <v>3600</v>
      </c>
      <c r="L101" s="1054">
        <f t="shared" ref="L101:L109" si="39">K101+J101+I101</f>
        <v>9000</v>
      </c>
      <c r="M101" s="1496">
        <f t="shared" ref="M101:M112" si="40">IF(ISERROR(L101/(F101*771)),0,L101/(F101*771))</f>
        <v>5.2724262651186828</v>
      </c>
      <c r="N101" s="1497"/>
      <c r="U101" s="1063"/>
    </row>
    <row r="102" spans="1:21" s="1055" customFormat="1">
      <c r="A102" s="1049" t="s">
        <v>51</v>
      </c>
      <c r="B102" s="1491">
        <f>FWC!N377</f>
        <v>0</v>
      </c>
      <c r="C102" s="1426"/>
      <c r="D102" s="1500">
        <f>F102*325900</f>
        <v>0</v>
      </c>
      <c r="E102" s="1426"/>
      <c r="F102" s="1425">
        <f>0.1227*B102</f>
        <v>0</v>
      </c>
      <c r="G102" s="1426"/>
      <c r="H102" s="1050">
        <f>F102*20</f>
        <v>0</v>
      </c>
      <c r="I102" s="1051">
        <v>0</v>
      </c>
      <c r="J102" s="1053">
        <f>B102*200</f>
        <v>0</v>
      </c>
      <c r="K102" s="1053">
        <f>B102*200</f>
        <v>0</v>
      </c>
      <c r="L102" s="1054">
        <f t="shared" si="39"/>
        <v>0</v>
      </c>
      <c r="M102" s="1496">
        <f t="shared" si="40"/>
        <v>0</v>
      </c>
      <c r="N102" s="1497"/>
    </row>
    <row r="103" spans="1:21" s="1055" customFormat="1">
      <c r="A103" s="1064" t="s">
        <v>204</v>
      </c>
      <c r="B103" s="1491">
        <f>FWC!N378</f>
        <v>0</v>
      </c>
      <c r="C103" s="1426"/>
      <c r="D103" s="1500">
        <f>F103*325851</f>
        <v>0</v>
      </c>
      <c r="E103" s="1426"/>
      <c r="F103" s="1425">
        <f>0.644*B103</f>
        <v>0</v>
      </c>
      <c r="G103" s="1426"/>
      <c r="H103" s="1050">
        <f>F103*5</f>
        <v>0</v>
      </c>
      <c r="I103" s="1051">
        <v>0</v>
      </c>
      <c r="J103" s="1053">
        <f>B103*0</f>
        <v>0</v>
      </c>
      <c r="K103" s="1053">
        <f>B103*0</f>
        <v>0</v>
      </c>
      <c r="L103" s="1054">
        <f t="shared" si="39"/>
        <v>0</v>
      </c>
      <c r="M103" s="1496">
        <f t="shared" si="40"/>
        <v>0</v>
      </c>
      <c r="N103" s="1497"/>
    </row>
    <row r="104" spans="1:21" s="1055" customFormat="1">
      <c r="A104" s="1057" t="s">
        <v>30</v>
      </c>
      <c r="B104" s="1491">
        <f>FWC!N379</f>
        <v>15</v>
      </c>
      <c r="C104" s="1426"/>
      <c r="D104" s="1500">
        <f t="shared" ref="D104:D112" si="41">F104*325900</f>
        <v>63061.65</v>
      </c>
      <c r="E104" s="1426"/>
      <c r="F104" s="1513">
        <f>0.0129*B104</f>
        <v>0.19350000000000001</v>
      </c>
      <c r="G104" s="1514"/>
      <c r="H104" s="1050">
        <f>F104*10</f>
        <v>1.9350000000000001</v>
      </c>
      <c r="I104" s="1051">
        <v>0</v>
      </c>
      <c r="J104" s="1053">
        <f>B104*0</f>
        <v>0</v>
      </c>
      <c r="K104" s="1053">
        <f>B104*0</f>
        <v>0</v>
      </c>
      <c r="L104" s="1054">
        <f t="shared" si="39"/>
        <v>0</v>
      </c>
      <c r="M104" s="1496">
        <f t="shared" si="40"/>
        <v>0</v>
      </c>
      <c r="N104" s="1497"/>
    </row>
    <row r="105" spans="1:21" s="1055" customFormat="1">
      <c r="A105" s="1057" t="s">
        <v>367</v>
      </c>
      <c r="B105" s="1491">
        <f>FWC!N380</f>
        <v>2250</v>
      </c>
      <c r="C105" s="1426"/>
      <c r="D105" s="1500">
        <f t="shared" si="41"/>
        <v>3226410</v>
      </c>
      <c r="E105" s="1426"/>
      <c r="F105" s="1425">
        <f>0.0044*B105</f>
        <v>9.9</v>
      </c>
      <c r="G105" s="1426"/>
      <c r="H105" s="1050">
        <f>F105*5</f>
        <v>49.5</v>
      </c>
      <c r="I105" s="1051">
        <v>0</v>
      </c>
      <c r="J105" s="1053">
        <f>B105*2</f>
        <v>4500</v>
      </c>
      <c r="K105" s="1053">
        <f>B105*2</f>
        <v>4500</v>
      </c>
      <c r="L105" s="1054">
        <f t="shared" si="39"/>
        <v>9000</v>
      </c>
      <c r="M105" s="1496">
        <f t="shared" si="40"/>
        <v>1.1791062374719961</v>
      </c>
      <c r="N105" s="1497"/>
    </row>
    <row r="106" spans="1:21" s="1055" customFormat="1">
      <c r="A106" s="1057" t="s">
        <v>122</v>
      </c>
      <c r="B106" s="1491">
        <f>FWC!N381</f>
        <v>0</v>
      </c>
      <c r="C106" s="1426"/>
      <c r="D106" s="1500">
        <f t="shared" si="41"/>
        <v>0</v>
      </c>
      <c r="E106" s="1426"/>
      <c r="F106" s="1425">
        <f>0.018*B106</f>
        <v>0</v>
      </c>
      <c r="G106" s="1426"/>
      <c r="H106" s="1050">
        <f>F106*10</f>
        <v>0</v>
      </c>
      <c r="I106" s="1051">
        <v>0</v>
      </c>
      <c r="J106" s="1053">
        <f>B106*2</f>
        <v>0</v>
      </c>
      <c r="K106" s="1053">
        <f>B106*13</f>
        <v>0</v>
      </c>
      <c r="L106" s="1054">
        <f t="shared" si="39"/>
        <v>0</v>
      </c>
      <c r="M106" s="1496">
        <f t="shared" si="40"/>
        <v>0</v>
      </c>
      <c r="N106" s="1497"/>
    </row>
    <row r="107" spans="1:21" s="1055" customFormat="1">
      <c r="A107" s="1049" t="s">
        <v>184</v>
      </c>
      <c r="B107" s="1491">
        <f>FWC!N382</f>
        <v>0</v>
      </c>
      <c r="C107" s="1426"/>
      <c r="D107" s="1500">
        <f t="shared" si="41"/>
        <v>0</v>
      </c>
      <c r="E107" s="1426"/>
      <c r="F107" s="1425">
        <f>0.0129*B107</f>
        <v>0</v>
      </c>
      <c r="G107" s="1426"/>
      <c r="H107" s="1050">
        <f>F107*10</f>
        <v>0</v>
      </c>
      <c r="I107" s="1051">
        <v>0</v>
      </c>
      <c r="J107" s="1053">
        <f>B107*0</f>
        <v>0</v>
      </c>
      <c r="K107" s="1053">
        <f>B107*0</f>
        <v>0</v>
      </c>
      <c r="L107" s="1054">
        <f t="shared" si="39"/>
        <v>0</v>
      </c>
      <c r="M107" s="1496">
        <f t="shared" si="40"/>
        <v>0</v>
      </c>
      <c r="N107" s="1497"/>
    </row>
    <row r="108" spans="1:21" s="1065" customFormat="1">
      <c r="A108" s="1059" t="s">
        <v>187</v>
      </c>
      <c r="B108" s="1491">
        <f>FWC!N383</f>
        <v>0</v>
      </c>
      <c r="C108" s="1426"/>
      <c r="D108" s="1500">
        <f t="shared" si="41"/>
        <v>0</v>
      </c>
      <c r="E108" s="1426"/>
      <c r="F108" s="1425">
        <f>0.023*B108</f>
        <v>0</v>
      </c>
      <c r="G108" s="1426"/>
      <c r="H108" s="1050">
        <f>F108*5</f>
        <v>0</v>
      </c>
      <c r="I108" s="1051">
        <v>0</v>
      </c>
      <c r="J108" s="1053">
        <f>B108*10</f>
        <v>0</v>
      </c>
      <c r="K108" s="1053">
        <f>B108*10</f>
        <v>0</v>
      </c>
      <c r="L108" s="1054">
        <f t="shared" si="39"/>
        <v>0</v>
      </c>
      <c r="M108" s="1496">
        <f t="shared" si="40"/>
        <v>0</v>
      </c>
      <c r="N108" s="1497"/>
    </row>
    <row r="109" spans="1:21" s="1065" customFormat="1">
      <c r="A109" s="1059" t="s">
        <v>188</v>
      </c>
      <c r="B109" s="1491">
        <f>FWC!N384</f>
        <v>0</v>
      </c>
      <c r="C109" s="1426"/>
      <c r="D109" s="1500">
        <f t="shared" si="41"/>
        <v>0</v>
      </c>
      <c r="E109" s="1426"/>
      <c r="F109" s="1509">
        <f>0.154*B109</f>
        <v>0</v>
      </c>
      <c r="G109" s="1510"/>
      <c r="H109" s="1066">
        <f>F109*10</f>
        <v>0</v>
      </c>
      <c r="I109" s="1051">
        <v>0</v>
      </c>
      <c r="J109" s="1053">
        <f>B109*1000</f>
        <v>0</v>
      </c>
      <c r="K109" s="1053">
        <f>B109*1000</f>
        <v>0</v>
      </c>
      <c r="L109" s="1054">
        <f t="shared" si="39"/>
        <v>0</v>
      </c>
      <c r="M109" s="1496">
        <f t="shared" si="40"/>
        <v>0</v>
      </c>
      <c r="N109" s="1497"/>
    </row>
    <row r="110" spans="1:21" s="1065" customFormat="1">
      <c r="A110" s="1059" t="s">
        <v>323</v>
      </c>
      <c r="B110" s="1491">
        <f>FWC!N385</f>
        <v>0</v>
      </c>
      <c r="C110" s="1426"/>
      <c r="D110" s="1492">
        <f t="shared" si="41"/>
        <v>0</v>
      </c>
      <c r="E110" s="1493"/>
      <c r="F110" s="1494">
        <v>0</v>
      </c>
      <c r="G110" s="1495"/>
      <c r="H110" s="1058">
        <f>F110*10</f>
        <v>0</v>
      </c>
      <c r="I110" s="1051">
        <v>0</v>
      </c>
      <c r="J110" s="1053">
        <f>B110*0</f>
        <v>0</v>
      </c>
      <c r="K110" s="1053">
        <f>B110*0</f>
        <v>0</v>
      </c>
      <c r="L110" s="1054">
        <f>K110+J110+I110</f>
        <v>0</v>
      </c>
      <c r="M110" s="1496">
        <f t="shared" si="40"/>
        <v>0</v>
      </c>
      <c r="N110" s="1497"/>
    </row>
    <row r="111" spans="1:21" s="1065" customFormat="1">
      <c r="A111" s="1059" t="s">
        <v>269</v>
      </c>
      <c r="B111" s="1491">
        <f>FWC!N386</f>
        <v>0</v>
      </c>
      <c r="C111" s="1426"/>
      <c r="D111" s="1492">
        <f t="shared" si="41"/>
        <v>0</v>
      </c>
      <c r="E111" s="1493"/>
      <c r="F111" s="1498">
        <f>B111*0.0129</f>
        <v>0</v>
      </c>
      <c r="G111" s="1499"/>
      <c r="H111" s="1067">
        <f>F111*10</f>
        <v>0</v>
      </c>
      <c r="I111" s="1051">
        <v>0</v>
      </c>
      <c r="J111" s="1053">
        <f>B111*0</f>
        <v>0</v>
      </c>
      <c r="K111" s="1053">
        <f>B111*0</f>
        <v>0</v>
      </c>
      <c r="L111" s="1054">
        <f t="shared" ref="L111:L112" si="42">K111+J111+I111</f>
        <v>0</v>
      </c>
      <c r="M111" s="1496">
        <f t="shared" si="40"/>
        <v>0</v>
      </c>
      <c r="N111" s="1497"/>
    </row>
    <row r="112" spans="1:21" s="1065" customFormat="1" ht="14" thickBot="1">
      <c r="A112" s="1059" t="s">
        <v>268</v>
      </c>
      <c r="B112" s="1491">
        <f>FWC!N387</f>
        <v>0</v>
      </c>
      <c r="C112" s="1426"/>
      <c r="D112" s="1500">
        <f t="shared" si="41"/>
        <v>0</v>
      </c>
      <c r="E112" s="1426"/>
      <c r="F112" s="1501">
        <f>(B112*0.0084)/2</f>
        <v>0</v>
      </c>
      <c r="G112" s="1461"/>
      <c r="H112" s="1056">
        <f>F112*10</f>
        <v>0</v>
      </c>
      <c r="I112" s="1051">
        <v>0</v>
      </c>
      <c r="J112" s="1053">
        <f>B112*10</f>
        <v>0</v>
      </c>
      <c r="K112" s="1053">
        <f>B112*5</f>
        <v>0</v>
      </c>
      <c r="L112" s="1054">
        <f t="shared" si="42"/>
        <v>0</v>
      </c>
      <c r="M112" s="1496">
        <f t="shared" si="40"/>
        <v>0</v>
      </c>
      <c r="N112" s="1497"/>
    </row>
    <row r="113" spans="1:14" s="1228" customFormat="1" ht="17" thickBot="1">
      <c r="A113" s="1224" t="s">
        <v>192</v>
      </c>
      <c r="B113" s="1502"/>
      <c r="C113" s="1502"/>
      <c r="D113" s="1502"/>
      <c r="E113" s="1502"/>
      <c r="F113" s="1502"/>
      <c r="G113" s="1502"/>
      <c r="H113" s="1225"/>
      <c r="I113" s="1229"/>
      <c r="J113" s="1229"/>
      <c r="K113" s="1229"/>
      <c r="L113" s="1229"/>
      <c r="M113" s="1229"/>
      <c r="N113" s="1230"/>
    </row>
    <row r="114" spans="1:14" s="1087" customFormat="1" ht="14" thickBot="1">
      <c r="A114" s="1068" t="s">
        <v>388</v>
      </c>
      <c r="B114" s="1503">
        <f>FWC!N389</f>
        <v>0</v>
      </c>
      <c r="C114" s="1461"/>
      <c r="D114" s="1504">
        <f>F114*325900</f>
        <v>0</v>
      </c>
      <c r="E114" s="1505"/>
      <c r="F114" s="1506">
        <f>0.004*B114</f>
        <v>0</v>
      </c>
      <c r="G114" s="1505"/>
      <c r="H114" s="1073">
        <f>F114*5</f>
        <v>0</v>
      </c>
      <c r="I114" s="1089">
        <v>0</v>
      </c>
      <c r="J114" s="1089">
        <f>L114-K114</f>
        <v>0</v>
      </c>
      <c r="K114" s="1089">
        <f>B114*2</f>
        <v>0</v>
      </c>
      <c r="L114" s="1054">
        <v>0</v>
      </c>
      <c r="M114" s="1507">
        <f>IF(ISERROR(L114/(F114*771)),0,L114/(F114*771))</f>
        <v>0</v>
      </c>
      <c r="N114" s="1508"/>
    </row>
    <row r="115" spans="1:14" ht="14" thickBot="1">
      <c r="A115" s="53" t="s">
        <v>60</v>
      </c>
      <c r="B115" s="1438">
        <f>SUM(B101:B114)</f>
        <v>2355</v>
      </c>
      <c r="C115" s="1439"/>
      <c r="D115" s="1441">
        <f>SUM(D101:E114)</f>
        <v>4011014.25</v>
      </c>
      <c r="E115" s="1439"/>
      <c r="F115" s="1511">
        <f>SUM(F101:G114)</f>
        <v>12.307500000000001</v>
      </c>
      <c r="G115" s="1575"/>
      <c r="H115" s="1001">
        <f>SUM(H101:H114)</f>
        <v>95.715000000000003</v>
      </c>
      <c r="I115" s="146">
        <f>SUM(I101:I114)</f>
        <v>0</v>
      </c>
      <c r="J115" s="146">
        <f>SUM(J101:J114)</f>
        <v>9900</v>
      </c>
      <c r="K115" s="146">
        <f>SUM(K101:K114)</f>
        <v>8100</v>
      </c>
      <c r="L115" s="146">
        <f>SUM(L101:L114)</f>
        <v>18000</v>
      </c>
      <c r="M115" s="1442"/>
      <c r="N115" s="1443"/>
    </row>
    <row r="116" spans="1:14" s="1161" customFormat="1" ht="17" thickBot="1">
      <c r="A116" s="1163" t="s">
        <v>17</v>
      </c>
      <c r="B116" s="1414">
        <f>SUM(,B99,B115)</f>
        <v>16612</v>
      </c>
      <c r="C116" s="1415"/>
      <c r="D116" s="1416">
        <f>SUM(,D99,D115)</f>
        <v>38163646.659200005</v>
      </c>
      <c r="E116" s="1415"/>
      <c r="F116" s="1487">
        <f>SUM(,F99,F115)</f>
        <v>117.11099999999999</v>
      </c>
      <c r="G116" s="1488"/>
      <c r="H116" s="1164">
        <f>SUM(H99,H115)</f>
        <v>1019.5600000000001</v>
      </c>
      <c r="I116" s="1165">
        <f>SUM(,I99,I115)</f>
        <v>0</v>
      </c>
      <c r="J116" s="1165">
        <f>SUM(,J99,J115)</f>
        <v>146354.16999999998</v>
      </c>
      <c r="K116" s="1165">
        <f>SUM(,K99,K115)</f>
        <v>137074.83000000002</v>
      </c>
      <c r="L116" s="1165">
        <f>SUM(,L99,L115)</f>
        <v>283429</v>
      </c>
      <c r="M116" s="1417"/>
      <c r="N116" s="1418"/>
    </row>
    <row r="117" spans="1:14">
      <c r="A117" s="50"/>
      <c r="B117" s="1027"/>
      <c r="C117" s="1027"/>
      <c r="D117" s="1027"/>
      <c r="E117" s="1027"/>
      <c r="F117" s="1026"/>
      <c r="G117" s="1026"/>
      <c r="H117" s="1026"/>
      <c r="I117" s="21"/>
      <c r="J117" s="21"/>
      <c r="K117" s="21"/>
      <c r="L117" s="21"/>
      <c r="M117" s="1012"/>
      <c r="N117" s="1012"/>
    </row>
    <row r="118" spans="1:14" ht="15">
      <c r="A118" s="9" t="s">
        <v>18</v>
      </c>
      <c r="B118" s="1695" t="s">
        <v>59</v>
      </c>
      <c r="C118" s="1695"/>
      <c r="D118" s="1695"/>
      <c r="E118" s="1695"/>
      <c r="F118" s="1026"/>
      <c r="G118" s="1026"/>
      <c r="H118" s="1026"/>
      <c r="I118" s="21"/>
      <c r="J118" s="21"/>
      <c r="K118" s="21"/>
      <c r="L118" s="21"/>
      <c r="M118" s="1012"/>
      <c r="N118" s="1012"/>
    </row>
    <row r="119" spans="1:14">
      <c r="B119" s="1696" t="s">
        <v>19</v>
      </c>
      <c r="C119" s="1696"/>
      <c r="D119" s="1696"/>
      <c r="E119" s="1696"/>
      <c r="F119" s="1026"/>
      <c r="G119" s="1026"/>
      <c r="H119" s="1026"/>
      <c r="I119" s="21"/>
      <c r="J119" s="21"/>
      <c r="K119" s="21"/>
      <c r="L119" s="21"/>
      <c r="M119" s="1012"/>
      <c r="N119" s="1012"/>
    </row>
    <row r="120" spans="1:14">
      <c r="B120" s="1012"/>
      <c r="C120" s="1012"/>
      <c r="D120" s="1012"/>
      <c r="E120" s="1012"/>
      <c r="F120" s="1026"/>
      <c r="G120" s="1026"/>
      <c r="H120" s="1026"/>
      <c r="I120" s="21"/>
      <c r="J120" s="21"/>
      <c r="K120" s="21"/>
      <c r="L120" s="21"/>
      <c r="M120" s="1012"/>
      <c r="N120" s="1012"/>
    </row>
    <row r="121" spans="1:14" ht="14" thickBot="1">
      <c r="B121" s="1012"/>
      <c r="C121" s="1012"/>
      <c r="D121" s="1012"/>
      <c r="E121" s="1012"/>
      <c r="F121" s="1026"/>
      <c r="G121" s="1026"/>
      <c r="H121" s="1026"/>
      <c r="I121" s="21"/>
      <c r="J121" s="21"/>
      <c r="K121" s="21"/>
      <c r="L121" s="21"/>
      <c r="M121" s="1012"/>
      <c r="N121" s="1012"/>
    </row>
    <row r="122" spans="1:14" s="363" customFormat="1" ht="16">
      <c r="A122" s="98"/>
      <c r="B122" s="99"/>
      <c r="C122" s="99"/>
      <c r="D122" s="99"/>
      <c r="E122" s="99"/>
      <c r="F122" s="421"/>
      <c r="G122" s="421"/>
      <c r="H122" s="421"/>
      <c r="I122" s="1468" t="s">
        <v>0</v>
      </c>
      <c r="J122" s="1468"/>
      <c r="K122" s="1468"/>
      <c r="L122" s="1468"/>
      <c r="M122" s="99"/>
      <c r="N122" s="101"/>
    </row>
    <row r="123" spans="1:14" ht="16">
      <c r="A123" s="97"/>
      <c r="B123" s="1469" t="s">
        <v>1</v>
      </c>
      <c r="C123" s="1469"/>
      <c r="D123" s="1469" t="s">
        <v>2</v>
      </c>
      <c r="E123" s="1469"/>
      <c r="F123" s="1470" t="s">
        <v>3</v>
      </c>
      <c r="G123" s="1470"/>
      <c r="H123" s="1003" t="s">
        <v>3</v>
      </c>
      <c r="I123" s="127" t="s">
        <v>195</v>
      </c>
      <c r="J123" s="102"/>
      <c r="K123" s="102"/>
      <c r="L123" s="128"/>
      <c r="M123" s="1525" t="s">
        <v>4</v>
      </c>
      <c r="N123" s="1526"/>
    </row>
    <row r="124" spans="1:14" ht="19" thickBot="1">
      <c r="A124" s="103" t="s">
        <v>5</v>
      </c>
      <c r="B124" s="1473" t="s">
        <v>6</v>
      </c>
      <c r="C124" s="1473"/>
      <c r="D124" s="1473" t="s">
        <v>7</v>
      </c>
      <c r="E124" s="1473"/>
      <c r="F124" s="1474" t="s">
        <v>7</v>
      </c>
      <c r="G124" s="1474"/>
      <c r="H124" s="1006" t="s">
        <v>58</v>
      </c>
      <c r="I124" s="1007" t="s">
        <v>196</v>
      </c>
      <c r="J124" s="1005" t="s">
        <v>8</v>
      </c>
      <c r="K124" s="1005" t="s">
        <v>9</v>
      </c>
      <c r="L124" s="401" t="s">
        <v>10</v>
      </c>
      <c r="M124" s="1527" t="s">
        <v>145</v>
      </c>
      <c r="N124" s="1475"/>
    </row>
    <row r="125" spans="1:14" s="121" customFormat="1" ht="24" thickBot="1">
      <c r="A125" s="88" t="s">
        <v>318</v>
      </c>
      <c r="B125" s="2085"/>
      <c r="C125" s="2086"/>
      <c r="D125" s="2087"/>
      <c r="E125" s="2088"/>
      <c r="F125" s="2089"/>
      <c r="G125" s="2090"/>
      <c r="H125" s="1339"/>
      <c r="I125" s="1340"/>
      <c r="J125" s="1340"/>
      <c r="K125" s="1340"/>
      <c r="L125" s="1341"/>
      <c r="M125" s="2091"/>
      <c r="N125" s="2092"/>
    </row>
    <row r="126" spans="1:14" s="1161" customFormat="1" ht="17" thickBot="1">
      <c r="A126" s="110" t="s">
        <v>189</v>
      </c>
      <c r="B126" s="1456"/>
      <c r="C126" s="1586"/>
      <c r="D126" s="1457"/>
      <c r="E126" s="1457"/>
      <c r="F126" s="1587"/>
      <c r="G126" s="1484"/>
      <c r="H126" s="1300"/>
      <c r="I126" s="1304"/>
      <c r="J126" s="1304"/>
      <c r="K126" s="1304"/>
      <c r="L126" s="1304"/>
      <c r="M126" s="1617"/>
      <c r="N126" s="1486"/>
    </row>
    <row r="127" spans="1:14">
      <c r="A127" s="68" t="s">
        <v>29</v>
      </c>
      <c r="B127" s="1421">
        <f>FWC!N326</f>
        <v>2416</v>
      </c>
      <c r="C127" s="1422"/>
      <c r="D127" s="1444">
        <f>F127*325900</f>
        <v>19369410.239999998</v>
      </c>
      <c r="E127" s="1422"/>
      <c r="F127" s="1720">
        <f>0.0246*B127</f>
        <v>59.433599999999998</v>
      </c>
      <c r="G127" s="1721"/>
      <c r="H127" s="760">
        <f>F127*20</f>
        <v>1188.672</v>
      </c>
      <c r="I127" s="151">
        <v>0</v>
      </c>
      <c r="J127" s="150">
        <v>178192</v>
      </c>
      <c r="K127" s="150">
        <v>96640</v>
      </c>
      <c r="L127" s="174">
        <f>K127+J127+I127</f>
        <v>274832</v>
      </c>
      <c r="M127" s="1539">
        <f>IF(ISERROR(L127/(F127*744)),0,L127/(F127*744))</f>
        <v>6.215303287405872</v>
      </c>
      <c r="N127" s="1540"/>
    </row>
    <row r="128" spans="1:14">
      <c r="A128" s="68" t="s">
        <v>33</v>
      </c>
      <c r="B128" s="1421">
        <f>FWC!N327</f>
        <v>86</v>
      </c>
      <c r="C128" s="1422"/>
      <c r="D128" s="1444">
        <f t="shared" ref="D128:D134" si="43">F128*325900</f>
        <v>966945.3</v>
      </c>
      <c r="E128" s="1422"/>
      <c r="F128" s="1720">
        <f>0.0345*B128</f>
        <v>2.9670000000000001</v>
      </c>
      <c r="G128" s="1721"/>
      <c r="H128" s="760">
        <f>F128*14</f>
        <v>41.538000000000004</v>
      </c>
      <c r="I128" s="150">
        <f>0*B128</f>
        <v>0</v>
      </c>
      <c r="J128" s="150">
        <v>2245</v>
      </c>
      <c r="K128" s="150">
        <v>7310</v>
      </c>
      <c r="L128" s="174">
        <f t="shared" ref="L128:L155" si="44">K128+J128+I128</f>
        <v>9555</v>
      </c>
      <c r="M128" s="1539">
        <f t="shared" ref="M128:M134" si="45">IF(ISERROR(L128/(F128*744)),0,L128/(F128*744))</f>
        <v>4.3285277841199434</v>
      </c>
      <c r="N128" s="1540"/>
    </row>
    <row r="129" spans="1:14">
      <c r="A129" s="68" t="s">
        <v>56</v>
      </c>
      <c r="B129" s="1421">
        <f>FWC!N328</f>
        <v>4159</v>
      </c>
      <c r="C129" s="1422"/>
      <c r="D129" s="1444">
        <f>F129*325851</f>
        <v>5962942.9596000006</v>
      </c>
      <c r="E129" s="1422"/>
      <c r="F129" s="1720">
        <f>0.0044*B129</f>
        <v>18.299600000000002</v>
      </c>
      <c r="G129" s="1721"/>
      <c r="H129" s="760">
        <f>F129*5</f>
        <v>91.498000000000005</v>
      </c>
      <c r="I129" s="150">
        <f>0*B129</f>
        <v>0</v>
      </c>
      <c r="J129" s="150">
        <v>926</v>
      </c>
      <c r="K129" s="150">
        <v>1198</v>
      </c>
      <c r="L129" s="174">
        <f t="shared" si="44"/>
        <v>2124</v>
      </c>
      <c r="M129" s="1539">
        <f t="shared" si="45"/>
        <v>0.15600552523975492</v>
      </c>
      <c r="N129" s="1540"/>
    </row>
    <row r="130" spans="1:14">
      <c r="A130" s="257" t="s">
        <v>52</v>
      </c>
      <c r="B130" s="1563">
        <f>FWC!N329</f>
        <v>66</v>
      </c>
      <c r="C130" s="1424"/>
      <c r="D130" s="1536">
        <f t="shared" si="43"/>
        <v>890489.16</v>
      </c>
      <c r="E130" s="1424"/>
      <c r="F130" s="1537">
        <f>0.0414*B130</f>
        <v>2.7324000000000002</v>
      </c>
      <c r="G130" s="1538"/>
      <c r="H130" s="905">
        <f>F130*10</f>
        <v>27.324000000000002</v>
      </c>
      <c r="I130" s="151">
        <v>0</v>
      </c>
      <c r="J130" s="173">
        <v>2855.74</v>
      </c>
      <c r="K130" s="173">
        <v>5280</v>
      </c>
      <c r="L130" s="174">
        <f t="shared" si="44"/>
        <v>8135.74</v>
      </c>
      <c r="M130" s="1539">
        <f t="shared" si="45"/>
        <v>4.0020254752606315</v>
      </c>
      <c r="N130" s="1540"/>
    </row>
    <row r="131" spans="1:14" ht="12.75" customHeight="1">
      <c r="A131" s="254" t="s">
        <v>324</v>
      </c>
      <c r="B131" s="1563">
        <f>FWC!N330</f>
        <v>22</v>
      </c>
      <c r="C131" s="1424"/>
      <c r="D131" s="1536">
        <f t="shared" si="43"/>
        <v>1362099.05</v>
      </c>
      <c r="E131" s="1424"/>
      <c r="F131" s="1537">
        <v>4.1795</v>
      </c>
      <c r="G131" s="1538"/>
      <c r="H131" s="905">
        <f>F131*10</f>
        <v>41.795000000000002</v>
      </c>
      <c r="I131" s="151">
        <v>0</v>
      </c>
      <c r="J131" s="173">
        <v>0</v>
      </c>
      <c r="K131" s="173">
        <v>62270</v>
      </c>
      <c r="L131" s="174">
        <f t="shared" si="44"/>
        <v>62270</v>
      </c>
      <c r="M131" s="1539">
        <f t="shared" si="45"/>
        <v>20.025418485258953</v>
      </c>
      <c r="N131" s="1540"/>
    </row>
    <row r="132" spans="1:14" ht="12.75" customHeight="1">
      <c r="A132" s="254" t="s">
        <v>214</v>
      </c>
      <c r="B132" s="1421">
        <f>FWC!N331</f>
        <v>16</v>
      </c>
      <c r="C132" s="1422"/>
      <c r="D132" s="1444">
        <f t="shared" si="43"/>
        <v>9907.36</v>
      </c>
      <c r="E132" s="1422"/>
      <c r="F132" s="1718">
        <f>0.0019*B132</f>
        <v>3.04E-2</v>
      </c>
      <c r="G132" s="1719"/>
      <c r="H132" s="772">
        <f>F132*5</f>
        <v>0.152</v>
      </c>
      <c r="I132" s="151">
        <v>0</v>
      </c>
      <c r="J132" s="173">
        <v>0</v>
      </c>
      <c r="K132" s="173">
        <v>1200</v>
      </c>
      <c r="L132" s="174">
        <f t="shared" si="44"/>
        <v>1200</v>
      </c>
      <c r="M132" s="1539">
        <f t="shared" si="45"/>
        <v>53.056027164685908</v>
      </c>
      <c r="N132" s="1540"/>
    </row>
    <row r="133" spans="1:14" ht="12.75" customHeight="1">
      <c r="A133" s="254" t="s">
        <v>331</v>
      </c>
      <c r="B133" s="1421">
        <f>FWC!N332</f>
        <v>0</v>
      </c>
      <c r="C133" s="1422"/>
      <c r="D133" s="1444">
        <f t="shared" ref="D133" si="46">F133*325900</f>
        <v>0</v>
      </c>
      <c r="E133" s="1422"/>
      <c r="F133" s="1710">
        <v>0</v>
      </c>
      <c r="G133" s="1711"/>
      <c r="H133" s="898">
        <v>0</v>
      </c>
      <c r="I133" s="151">
        <v>0</v>
      </c>
      <c r="J133" s="173">
        <v>0</v>
      </c>
      <c r="K133" s="173">
        <v>0</v>
      </c>
      <c r="L133" s="174">
        <f t="shared" si="44"/>
        <v>0</v>
      </c>
      <c r="M133" s="1539">
        <f t="shared" si="45"/>
        <v>0</v>
      </c>
      <c r="N133" s="1540"/>
    </row>
    <row r="134" spans="1:14" s="121" customFormat="1" ht="12.75" customHeight="1" thickBot="1">
      <c r="A134" s="254" t="s">
        <v>269</v>
      </c>
      <c r="B134" s="1435">
        <f>FWC!N333</f>
        <v>0</v>
      </c>
      <c r="C134" s="1433"/>
      <c r="D134" s="1432">
        <f t="shared" si="43"/>
        <v>0</v>
      </c>
      <c r="E134" s="1433"/>
      <c r="F134" s="1710">
        <f>B134*0.0414</f>
        <v>0</v>
      </c>
      <c r="G134" s="1711"/>
      <c r="H134" s="1294">
        <v>0</v>
      </c>
      <c r="I134" s="173">
        <v>0</v>
      </c>
      <c r="J134" s="173">
        <v>0</v>
      </c>
      <c r="K134" s="173">
        <v>0</v>
      </c>
      <c r="L134" s="174">
        <f t="shared" si="44"/>
        <v>0</v>
      </c>
      <c r="M134" s="1427">
        <f t="shared" si="45"/>
        <v>0</v>
      </c>
      <c r="N134" s="1428"/>
    </row>
    <row r="135" spans="1:14" s="1161" customFormat="1" ht="17" thickBot="1">
      <c r="A135" s="108" t="s">
        <v>190</v>
      </c>
      <c r="B135" s="1457"/>
      <c r="C135" s="1457"/>
      <c r="D135" s="1567"/>
      <c r="E135" s="1586"/>
      <c r="F135" s="1484"/>
      <c r="G135" s="1484"/>
      <c r="H135" s="109"/>
      <c r="I135" s="194"/>
      <c r="J135" s="194"/>
      <c r="K135" s="194"/>
      <c r="L135" s="194"/>
      <c r="M135" s="1541"/>
      <c r="N135" s="1542"/>
    </row>
    <row r="136" spans="1:14">
      <c r="A136" s="254" t="s">
        <v>205</v>
      </c>
      <c r="B136" s="1563">
        <f>FWC!N335</f>
        <v>0</v>
      </c>
      <c r="C136" s="1424"/>
      <c r="D136" s="1536">
        <f>F136*325900</f>
        <v>0</v>
      </c>
      <c r="E136" s="1424"/>
      <c r="F136" s="1537">
        <f>B136*0.0044</f>
        <v>0</v>
      </c>
      <c r="G136" s="1538"/>
      <c r="H136" s="905">
        <f>F136*5</f>
        <v>0</v>
      </c>
      <c r="I136" s="151">
        <v>0</v>
      </c>
      <c r="J136" s="151">
        <v>0</v>
      </c>
      <c r="K136" s="173">
        <v>0</v>
      </c>
      <c r="L136" s="174">
        <f t="shared" si="44"/>
        <v>0</v>
      </c>
      <c r="M136" s="1539">
        <f t="shared" ref="M136" si="47">IF(ISERROR(L136/(F136*744)),0,L136/(F136*744))</f>
        <v>0</v>
      </c>
      <c r="N136" s="1540"/>
    </row>
    <row r="137" spans="1:14">
      <c r="A137" s="254" t="s">
        <v>345</v>
      </c>
      <c r="B137" s="1563">
        <f>FWC!N336</f>
        <v>17</v>
      </c>
      <c r="C137" s="1424"/>
      <c r="D137" s="1451">
        <f>F137*325900</f>
        <v>733405.36</v>
      </c>
      <c r="E137" s="1448"/>
      <c r="F137" s="1537">
        <v>2.2504</v>
      </c>
      <c r="G137" s="1538"/>
      <c r="H137" s="905">
        <v>17.047999999999998</v>
      </c>
      <c r="I137" s="173">
        <v>8046.1</v>
      </c>
      <c r="J137" s="173">
        <v>173.45</v>
      </c>
      <c r="K137" s="173">
        <v>7872.71</v>
      </c>
      <c r="L137" s="174">
        <f t="shared" si="44"/>
        <v>16092.26</v>
      </c>
      <c r="M137" s="1539">
        <f t="shared" ref="M137:M139" si="48">IF(ISERROR(L137/(F137*744)),0,L137/(F137*744))</f>
        <v>9.611349857994183</v>
      </c>
      <c r="N137" s="1540"/>
    </row>
    <row r="138" spans="1:14">
      <c r="A138" s="254" t="s">
        <v>349</v>
      </c>
      <c r="B138" s="1563">
        <f>FWC!N337</f>
        <v>9</v>
      </c>
      <c r="C138" s="1424"/>
      <c r="D138" s="1451">
        <f>F138*325900</f>
        <v>121430.34</v>
      </c>
      <c r="E138" s="1448"/>
      <c r="F138" s="1557">
        <v>0.37259999999999999</v>
      </c>
      <c r="G138" s="1558"/>
      <c r="H138" s="905">
        <v>3.726</v>
      </c>
      <c r="I138" s="173">
        <v>0</v>
      </c>
      <c r="J138" s="173">
        <v>4589</v>
      </c>
      <c r="K138" s="173">
        <v>1341</v>
      </c>
      <c r="L138" s="174">
        <f t="shared" si="44"/>
        <v>5930</v>
      </c>
      <c r="M138" s="1539">
        <f t="shared" si="48"/>
        <v>21.39138515170929</v>
      </c>
      <c r="N138" s="1540"/>
    </row>
    <row r="139" spans="1:14" ht="14" thickBot="1">
      <c r="A139" s="254" t="s">
        <v>266</v>
      </c>
      <c r="B139" s="1563">
        <f>FWC!N338</f>
        <v>36</v>
      </c>
      <c r="C139" s="1424"/>
      <c r="D139" s="1451">
        <f>F139*325900</f>
        <v>949672.60000000009</v>
      </c>
      <c r="E139" s="1448"/>
      <c r="F139" s="2084">
        <v>2.9140000000000001</v>
      </c>
      <c r="G139" s="2033"/>
      <c r="H139" s="914">
        <f>F139*10</f>
        <v>29.14</v>
      </c>
      <c r="I139" s="151">
        <v>0</v>
      </c>
      <c r="J139" s="286">
        <v>6370.12</v>
      </c>
      <c r="K139" s="220">
        <v>5449.88</v>
      </c>
      <c r="L139" s="174">
        <f t="shared" si="44"/>
        <v>11820</v>
      </c>
      <c r="M139" s="1539">
        <f t="shared" si="48"/>
        <v>5.4519892842119244</v>
      </c>
      <c r="N139" s="1540"/>
    </row>
    <row r="140" spans="1:14" s="121" customFormat="1" ht="14" thickBot="1">
      <c r="A140" s="53" t="s">
        <v>60</v>
      </c>
      <c r="B140" s="2050">
        <f>SUM(B127:C139)</f>
        <v>6827</v>
      </c>
      <c r="C140" s="1932"/>
      <c r="D140" s="1714">
        <f>SUM(D127:E139)</f>
        <v>30366302.369600002</v>
      </c>
      <c r="E140" s="1715"/>
      <c r="F140" s="1716">
        <f>SUM(F127:G139)</f>
        <v>93.179500000000004</v>
      </c>
      <c r="G140" s="1717"/>
      <c r="H140" s="1308">
        <f>SUM(H127:H139)</f>
        <v>1440.8930000000005</v>
      </c>
      <c r="I140" s="1342">
        <f>SUM(I127:I139)</f>
        <v>8046.1</v>
      </c>
      <c r="J140" s="1342">
        <f t="shared" ref="J140:K140" si="49">SUM(J127:J139)</f>
        <v>195351.31</v>
      </c>
      <c r="K140" s="1342">
        <f t="shared" si="49"/>
        <v>188561.59</v>
      </c>
      <c r="L140" s="1342">
        <f t="shared" ref="L140" si="50">SUM(L127:L139)</f>
        <v>391959</v>
      </c>
      <c r="M140" s="1852"/>
      <c r="N140" s="2016"/>
    </row>
    <row r="141" spans="1:14" s="1161" customFormat="1" ht="17" thickBot="1">
      <c r="A141" s="108" t="s">
        <v>194</v>
      </c>
      <c r="B141" s="1457"/>
      <c r="C141" s="1457"/>
      <c r="D141" s="1567"/>
      <c r="E141" s="1586"/>
      <c r="F141" s="1587"/>
      <c r="G141" s="1588"/>
      <c r="H141" s="1296"/>
      <c r="I141" s="1311"/>
      <c r="J141" s="1162"/>
      <c r="K141" s="1162"/>
      <c r="L141" s="1162"/>
      <c r="M141" s="1541"/>
      <c r="N141" s="1542"/>
    </row>
    <row r="142" spans="1:14">
      <c r="A142" s="68" t="s">
        <v>29</v>
      </c>
      <c r="B142" s="1421">
        <f>FWC!N342</f>
        <v>51</v>
      </c>
      <c r="C142" s="1422"/>
      <c r="D142" s="1431">
        <f>F142*325900</f>
        <v>408874.13999999996</v>
      </c>
      <c r="E142" s="1422"/>
      <c r="F142" s="1727">
        <f>0.0246*B142</f>
        <v>1.2545999999999999</v>
      </c>
      <c r="G142" s="1721"/>
      <c r="H142" s="760">
        <f>F142*20</f>
        <v>25.091999999999999</v>
      </c>
      <c r="I142" s="151">
        <v>0</v>
      </c>
      <c r="J142" s="150">
        <v>5000</v>
      </c>
      <c r="K142" s="150">
        <v>2000</v>
      </c>
      <c r="L142" s="174">
        <f t="shared" si="44"/>
        <v>7000</v>
      </c>
      <c r="M142" s="1539">
        <f t="shared" ref="M142" si="51">IF(ISERROR(L142/(F142*744)),0,L142/(F142*744))</f>
        <v>7.4992843540073615</v>
      </c>
      <c r="N142" s="1540"/>
    </row>
    <row r="143" spans="1:14">
      <c r="A143" s="68" t="s">
        <v>51</v>
      </c>
      <c r="B143" s="1421">
        <f>FWC!N343</f>
        <v>0</v>
      </c>
      <c r="C143" s="1422"/>
      <c r="D143" s="1444">
        <f>F143*325900</f>
        <v>0</v>
      </c>
      <c r="E143" s="1422"/>
      <c r="F143" s="1720">
        <f>0.1227*B143</f>
        <v>0</v>
      </c>
      <c r="G143" s="1721"/>
      <c r="H143" s="760">
        <f>F143*20</f>
        <v>0</v>
      </c>
      <c r="I143" s="151">
        <v>0</v>
      </c>
      <c r="J143" s="150">
        <v>0</v>
      </c>
      <c r="K143" s="150">
        <v>0</v>
      </c>
      <c r="L143" s="174">
        <f t="shared" si="44"/>
        <v>0</v>
      </c>
      <c r="M143" s="1539">
        <f t="shared" ref="M143:M153" si="52">IF(ISERROR(L143/(F143*744)),0,L143/(F143*744))</f>
        <v>0</v>
      </c>
      <c r="N143" s="1540"/>
    </row>
    <row r="144" spans="1:14">
      <c r="A144" s="2" t="s">
        <v>204</v>
      </c>
      <c r="B144" s="1421">
        <f>FWC!N344</f>
        <v>2</v>
      </c>
      <c r="C144" s="1422"/>
      <c r="D144" s="1444">
        <f>F144*325851</f>
        <v>419696.08799999999</v>
      </c>
      <c r="E144" s="1422"/>
      <c r="F144" s="1720">
        <f>0.644*B144</f>
        <v>1.288</v>
      </c>
      <c r="G144" s="1721"/>
      <c r="H144" s="760">
        <f>F144*5</f>
        <v>6.44</v>
      </c>
      <c r="I144" s="151">
        <v>0</v>
      </c>
      <c r="J144" s="150">
        <v>290</v>
      </c>
      <c r="K144" s="150">
        <v>1750</v>
      </c>
      <c r="L144" s="174">
        <f t="shared" si="44"/>
        <v>2040</v>
      </c>
      <c r="M144" s="1539">
        <f t="shared" si="52"/>
        <v>2.1288318974153477</v>
      </c>
      <c r="N144" s="1540"/>
    </row>
    <row r="145" spans="1:16">
      <c r="A145" s="254" t="s">
        <v>30</v>
      </c>
      <c r="B145" s="1421">
        <f>FWC!N345</f>
        <v>25</v>
      </c>
      <c r="C145" s="1422"/>
      <c r="D145" s="1444">
        <f t="shared" ref="D145:D153" si="53">F145*325900</f>
        <v>105102.75</v>
      </c>
      <c r="E145" s="1422"/>
      <c r="F145" s="1756">
        <f>0.0129*B145</f>
        <v>0.32250000000000001</v>
      </c>
      <c r="G145" s="1757"/>
      <c r="H145" s="760">
        <f>F145*10</f>
        <v>3.2250000000000001</v>
      </c>
      <c r="I145" s="151">
        <v>0</v>
      </c>
      <c r="J145" s="151">
        <v>11101.75</v>
      </c>
      <c r="K145" s="151">
        <v>41959</v>
      </c>
      <c r="L145" s="174">
        <f t="shared" si="44"/>
        <v>53060.75</v>
      </c>
      <c r="M145" s="1539">
        <f t="shared" si="52"/>
        <v>221.14174376927565</v>
      </c>
      <c r="N145" s="1540"/>
      <c r="P145" s="3"/>
    </row>
    <row r="146" spans="1:16">
      <c r="A146" s="69" t="s">
        <v>56</v>
      </c>
      <c r="B146" s="1421">
        <f>FWC!N346</f>
        <v>0</v>
      </c>
      <c r="C146" s="1422"/>
      <c r="D146" s="1444">
        <f t="shared" si="53"/>
        <v>0</v>
      </c>
      <c r="E146" s="1422"/>
      <c r="F146" s="1720">
        <f>0.0044*B146</f>
        <v>0</v>
      </c>
      <c r="G146" s="1721"/>
      <c r="H146" s="760">
        <f>F146*5</f>
        <v>0</v>
      </c>
      <c r="I146" s="151">
        <v>0</v>
      </c>
      <c r="J146" s="150">
        <v>0</v>
      </c>
      <c r="K146" s="150">
        <v>0</v>
      </c>
      <c r="L146" s="174">
        <f t="shared" si="44"/>
        <v>0</v>
      </c>
      <c r="M146" s="1539">
        <f t="shared" si="52"/>
        <v>0</v>
      </c>
      <c r="N146" s="1540"/>
    </row>
    <row r="147" spans="1:16" ht="12.75" customHeight="1">
      <c r="A147" s="254" t="s">
        <v>122</v>
      </c>
      <c r="B147" s="1421">
        <f>FWC!N347</f>
        <v>0</v>
      </c>
      <c r="C147" s="1422"/>
      <c r="D147" s="1444">
        <f t="shared" si="53"/>
        <v>0</v>
      </c>
      <c r="E147" s="1422"/>
      <c r="F147" s="1720">
        <f>0.018*B147</f>
        <v>0</v>
      </c>
      <c r="G147" s="1721"/>
      <c r="H147" s="760">
        <f>F147*10</f>
        <v>0</v>
      </c>
      <c r="I147" s="151">
        <v>0</v>
      </c>
      <c r="J147" s="150">
        <v>0</v>
      </c>
      <c r="K147" s="150">
        <v>0</v>
      </c>
      <c r="L147" s="174">
        <f t="shared" si="44"/>
        <v>0</v>
      </c>
      <c r="M147" s="1539">
        <f t="shared" si="52"/>
        <v>0</v>
      </c>
      <c r="N147" s="1540"/>
    </row>
    <row r="148" spans="1:16">
      <c r="A148" s="257" t="s">
        <v>184</v>
      </c>
      <c r="B148" s="1435">
        <f>FWC!N348</f>
        <v>0</v>
      </c>
      <c r="C148" s="1433"/>
      <c r="D148" s="1444">
        <f t="shared" si="53"/>
        <v>0</v>
      </c>
      <c r="E148" s="1422"/>
      <c r="F148" s="1720">
        <f>0.0129*B148</f>
        <v>0</v>
      </c>
      <c r="G148" s="1721"/>
      <c r="H148" s="760">
        <f>F148*10</f>
        <v>0</v>
      </c>
      <c r="I148" s="151">
        <v>0</v>
      </c>
      <c r="J148" s="150">
        <v>0</v>
      </c>
      <c r="K148" s="150">
        <v>0</v>
      </c>
      <c r="L148" s="174">
        <f t="shared" si="44"/>
        <v>0</v>
      </c>
      <c r="M148" s="1539">
        <f t="shared" si="52"/>
        <v>0</v>
      </c>
      <c r="N148" s="1540"/>
    </row>
    <row r="149" spans="1:16" s="57" customFormat="1">
      <c r="A149" s="258" t="s">
        <v>187</v>
      </c>
      <c r="B149" s="1421">
        <f>FWC!N349</f>
        <v>0</v>
      </c>
      <c r="C149" s="1422"/>
      <c r="D149" s="1444">
        <f t="shared" si="53"/>
        <v>0</v>
      </c>
      <c r="E149" s="1422"/>
      <c r="F149" s="1720">
        <f>0.023*B149</f>
        <v>0</v>
      </c>
      <c r="G149" s="1721"/>
      <c r="H149" s="760">
        <f>F149*5</f>
        <v>0</v>
      </c>
      <c r="I149" s="151">
        <v>0</v>
      </c>
      <c r="J149" s="151">
        <v>0</v>
      </c>
      <c r="K149" s="151">
        <v>0</v>
      </c>
      <c r="L149" s="174">
        <f t="shared" si="44"/>
        <v>0</v>
      </c>
      <c r="M149" s="1539">
        <f t="shared" si="52"/>
        <v>0</v>
      </c>
      <c r="N149" s="1540"/>
    </row>
    <row r="150" spans="1:16" s="57" customFormat="1">
      <c r="A150" s="258" t="s">
        <v>188</v>
      </c>
      <c r="B150" s="1421">
        <f>FWC!N350</f>
        <v>1</v>
      </c>
      <c r="C150" s="1422"/>
      <c r="D150" s="1536">
        <f t="shared" si="53"/>
        <v>50188.6</v>
      </c>
      <c r="E150" s="1424"/>
      <c r="F150" s="1580">
        <f>0.154*B150</f>
        <v>0.154</v>
      </c>
      <c r="G150" s="1581"/>
      <c r="H150" s="914">
        <f>F150*10</f>
        <v>1.54</v>
      </c>
      <c r="I150" s="151">
        <v>0</v>
      </c>
      <c r="J150" s="151">
        <v>1000</v>
      </c>
      <c r="K150" s="151">
        <v>1000</v>
      </c>
      <c r="L150" s="174">
        <f t="shared" si="44"/>
        <v>2000</v>
      </c>
      <c r="M150" s="1539">
        <f t="shared" si="52"/>
        <v>17.455662616952942</v>
      </c>
      <c r="N150" s="1540"/>
    </row>
    <row r="151" spans="1:16" s="57" customFormat="1">
      <c r="A151" s="258" t="s">
        <v>325</v>
      </c>
      <c r="B151" s="1421">
        <f>FWC!N351</f>
        <v>2</v>
      </c>
      <c r="C151" s="1422"/>
      <c r="D151" s="1536">
        <f t="shared" si="53"/>
        <v>1191995.5449999999</v>
      </c>
      <c r="E151" s="1424"/>
      <c r="F151" s="2031">
        <v>3.6575500000000001</v>
      </c>
      <c r="G151" s="1862"/>
      <c r="H151" s="914">
        <f>F151*10</f>
        <v>36.575499999999998</v>
      </c>
      <c r="I151" s="151">
        <v>0</v>
      </c>
      <c r="J151" s="151">
        <v>0</v>
      </c>
      <c r="K151" s="151">
        <v>28135</v>
      </c>
      <c r="L151" s="174">
        <f>K151+J151+I151</f>
        <v>28135</v>
      </c>
      <c r="M151" s="1539">
        <f t="shared" si="52"/>
        <v>10.339123242349048</v>
      </c>
      <c r="N151" s="1540"/>
    </row>
    <row r="152" spans="1:16" s="57" customFormat="1">
      <c r="A152" s="258" t="s">
        <v>269</v>
      </c>
      <c r="B152" s="1421">
        <f>FWC!N352</f>
        <v>0</v>
      </c>
      <c r="C152" s="1422"/>
      <c r="D152" s="1536">
        <f t="shared" si="53"/>
        <v>0</v>
      </c>
      <c r="E152" s="1424"/>
      <c r="F152" s="2031">
        <f>B152*0.0129</f>
        <v>0</v>
      </c>
      <c r="G152" s="1862"/>
      <c r="H152" s="914">
        <f>F152*10</f>
        <v>0</v>
      </c>
      <c r="I152" s="151">
        <v>0</v>
      </c>
      <c r="J152" s="151">
        <v>0</v>
      </c>
      <c r="K152" s="151">
        <v>0</v>
      </c>
      <c r="L152" s="174">
        <f t="shared" si="44"/>
        <v>0</v>
      </c>
      <c r="M152" s="1539">
        <f t="shared" si="52"/>
        <v>0</v>
      </c>
      <c r="N152" s="1540"/>
    </row>
    <row r="153" spans="1:16" s="121" customFormat="1" ht="14" thickBot="1">
      <c r="A153" s="254" t="s">
        <v>268</v>
      </c>
      <c r="B153" s="1435">
        <f>FWC!N353</f>
        <v>0</v>
      </c>
      <c r="C153" s="1433"/>
      <c r="D153" s="1432">
        <f t="shared" si="53"/>
        <v>0</v>
      </c>
      <c r="E153" s="1433"/>
      <c r="F153" s="1710">
        <f>(B153*0.0084)/2</f>
        <v>0</v>
      </c>
      <c r="G153" s="1711"/>
      <c r="H153" s="1294">
        <f>F153*10</f>
        <v>0</v>
      </c>
      <c r="I153" s="173">
        <v>0</v>
      </c>
      <c r="J153" s="173">
        <v>0</v>
      </c>
      <c r="K153" s="173">
        <v>0</v>
      </c>
      <c r="L153" s="174">
        <f t="shared" si="44"/>
        <v>0</v>
      </c>
      <c r="M153" s="1427">
        <f t="shared" si="52"/>
        <v>0</v>
      </c>
      <c r="N153" s="1428"/>
    </row>
    <row r="154" spans="1:16" s="1161" customFormat="1" ht="17" thickBot="1">
      <c r="A154" s="108" t="s">
        <v>192</v>
      </c>
      <c r="B154" s="1457"/>
      <c r="C154" s="1457"/>
      <c r="D154" s="1457"/>
      <c r="E154" s="1457"/>
      <c r="F154" s="1484"/>
      <c r="G154" s="1484"/>
      <c r="H154" s="1296"/>
      <c r="I154" s="1311"/>
      <c r="J154" s="1311"/>
      <c r="K154" s="1311"/>
      <c r="L154" s="1311"/>
      <c r="M154" s="1541"/>
      <c r="N154" s="1542"/>
    </row>
    <row r="155" spans="1:16" ht="14" thickBot="1">
      <c r="A155" s="76" t="s">
        <v>165</v>
      </c>
      <c r="B155" s="1421">
        <f>FWC!N355</f>
        <v>0</v>
      </c>
      <c r="C155" s="1422"/>
      <c r="D155" s="1734">
        <f>F155*325900</f>
        <v>0</v>
      </c>
      <c r="E155" s="1430"/>
      <c r="F155" s="1867">
        <f>0.004*B155</f>
        <v>0</v>
      </c>
      <c r="G155" s="1747"/>
      <c r="H155" s="760">
        <f>F155*5</f>
        <v>0</v>
      </c>
      <c r="I155" s="215">
        <v>0</v>
      </c>
      <c r="J155" s="140">
        <f>0*B155</f>
        <v>0</v>
      </c>
      <c r="K155" s="140">
        <f>B155*3.25</f>
        <v>0</v>
      </c>
      <c r="L155" s="174">
        <f t="shared" si="44"/>
        <v>0</v>
      </c>
      <c r="M155" s="1539">
        <f t="shared" ref="M155" si="54">IF(ISERROR(L155/(F155*744)),0,L155/(F155*744))</f>
        <v>0</v>
      </c>
      <c r="N155" s="1540"/>
    </row>
    <row r="156" spans="1:16" s="121" customFormat="1" ht="14" thickBot="1">
      <c r="A156" s="53" t="s">
        <v>60</v>
      </c>
      <c r="B156" s="2050">
        <f>SUM(B142:B155)</f>
        <v>81</v>
      </c>
      <c r="C156" s="1932"/>
      <c r="D156" s="1931">
        <f>SUM(D142:E155)</f>
        <v>2175857.1229999997</v>
      </c>
      <c r="E156" s="1932"/>
      <c r="F156" s="2082">
        <f>SUM(F142:G155)</f>
        <v>6.6766500000000004</v>
      </c>
      <c r="G156" s="2083"/>
      <c r="H156" s="1310">
        <f>SUM(H142:H155)</f>
        <v>72.872500000000002</v>
      </c>
      <c r="I156" s="1343">
        <f>SUM(I142:I155)</f>
        <v>0</v>
      </c>
      <c r="J156" s="1343">
        <f>SUM(J142:J155)</f>
        <v>17391.75</v>
      </c>
      <c r="K156" s="1343">
        <f>SUM(K142:K155)</f>
        <v>74844</v>
      </c>
      <c r="L156" s="1343">
        <f>SUM(L142:L155)</f>
        <v>92235.75</v>
      </c>
      <c r="M156" s="1442"/>
      <c r="N156" s="1443"/>
    </row>
    <row r="157" spans="1:16" s="1161" customFormat="1" ht="17" thickBot="1">
      <c r="A157" s="1163" t="s">
        <v>17</v>
      </c>
      <c r="B157" s="1414">
        <f>SUM(,B140,B156)</f>
        <v>6908</v>
      </c>
      <c r="C157" s="1415"/>
      <c r="D157" s="1416">
        <f>SUM(,D140,D156)</f>
        <v>32542159.492600001</v>
      </c>
      <c r="E157" s="1415"/>
      <c r="F157" s="1487">
        <f>SUM(,F140,F156)</f>
        <v>99.85615</v>
      </c>
      <c r="G157" s="1488"/>
      <c r="H157" s="1293">
        <f>SUM(H140,H156)</f>
        <v>1513.7655000000004</v>
      </c>
      <c r="I157" s="1165">
        <f>SUM(,I140,I156)</f>
        <v>8046.1</v>
      </c>
      <c r="J157" s="1165">
        <f>SUM(,J140,J156)</f>
        <v>212743.06</v>
      </c>
      <c r="K157" s="1165">
        <f>SUM(,K140,K156)</f>
        <v>263405.58999999997</v>
      </c>
      <c r="L157" s="1165">
        <f>SUM(,L140,L156)</f>
        <v>484194.75</v>
      </c>
      <c r="M157" s="1417"/>
      <c r="N157" s="1418"/>
    </row>
    <row r="158" spans="1:16">
      <c r="A158" s="50"/>
      <c r="B158" s="770"/>
      <c r="C158" s="770"/>
      <c r="D158" s="770"/>
      <c r="E158" s="770"/>
      <c r="F158" s="769"/>
      <c r="G158" s="769"/>
      <c r="H158" s="769"/>
      <c r="I158" s="21"/>
      <c r="J158" s="21"/>
      <c r="K158" s="21"/>
      <c r="L158" s="21"/>
      <c r="M158" s="767"/>
      <c r="N158" s="767"/>
    </row>
    <row r="159" spans="1:16" ht="15">
      <c r="A159" s="9" t="s">
        <v>18</v>
      </c>
      <c r="B159" s="1695" t="s">
        <v>59</v>
      </c>
      <c r="C159" s="1695"/>
      <c r="D159" s="1695"/>
      <c r="E159" s="1695"/>
      <c r="F159" s="769"/>
      <c r="G159" s="769"/>
      <c r="H159" s="769"/>
      <c r="I159" s="21"/>
      <c r="J159" s="21"/>
      <c r="K159" s="21"/>
      <c r="L159" s="21"/>
      <c r="M159" s="767"/>
      <c r="N159" s="767"/>
    </row>
    <row r="160" spans="1:16">
      <c r="B160" s="1420" t="s">
        <v>19</v>
      </c>
      <c r="C160" s="1420"/>
      <c r="D160" s="1420"/>
      <c r="E160" s="1420"/>
      <c r="F160" s="769"/>
      <c r="G160" s="769"/>
      <c r="H160" s="769"/>
      <c r="I160" s="21"/>
      <c r="J160" s="21"/>
      <c r="K160" s="21"/>
      <c r="L160" s="21"/>
      <c r="M160" s="767"/>
      <c r="N160" s="767"/>
    </row>
    <row r="161" spans="1:14" ht="14" thickBot="1">
      <c r="B161" s="767"/>
      <c r="C161" s="767"/>
      <c r="D161" s="767"/>
      <c r="E161" s="767"/>
      <c r="F161" s="769"/>
      <c r="G161" s="769"/>
      <c r="H161" s="769"/>
      <c r="I161" s="21"/>
      <c r="J161" s="21"/>
      <c r="K161" s="21"/>
      <c r="L161" s="21"/>
      <c r="M161" s="767"/>
      <c r="N161" s="767"/>
    </row>
    <row r="162" spans="1:14" s="363" customFormat="1" ht="16">
      <c r="A162" s="98"/>
      <c r="B162" s="99"/>
      <c r="C162" s="99"/>
      <c r="D162" s="99"/>
      <c r="E162" s="99"/>
      <c r="F162" s="421"/>
      <c r="G162" s="421"/>
      <c r="H162" s="421"/>
      <c r="I162" s="1468" t="s">
        <v>0</v>
      </c>
      <c r="J162" s="1468"/>
      <c r="K162" s="1468"/>
      <c r="L162" s="1468"/>
      <c r="M162" s="99"/>
      <c r="N162" s="101"/>
    </row>
    <row r="163" spans="1:14" ht="16">
      <c r="A163" s="97"/>
      <c r="B163" s="1469" t="s">
        <v>1</v>
      </c>
      <c r="C163" s="1469"/>
      <c r="D163" s="1469" t="s">
        <v>2</v>
      </c>
      <c r="E163" s="1469"/>
      <c r="F163" s="1470" t="s">
        <v>3</v>
      </c>
      <c r="G163" s="1470"/>
      <c r="H163" s="1003" t="s">
        <v>3</v>
      </c>
      <c r="I163" s="127" t="s">
        <v>195</v>
      </c>
      <c r="J163" s="102"/>
      <c r="K163" s="102"/>
      <c r="L163" s="128"/>
      <c r="M163" s="1525" t="s">
        <v>4</v>
      </c>
      <c r="N163" s="1526"/>
    </row>
    <row r="164" spans="1:14" ht="19" thickBot="1">
      <c r="A164" s="103" t="s">
        <v>5</v>
      </c>
      <c r="B164" s="1473" t="s">
        <v>6</v>
      </c>
      <c r="C164" s="1473"/>
      <c r="D164" s="1473" t="s">
        <v>7</v>
      </c>
      <c r="E164" s="1473"/>
      <c r="F164" s="1474" t="s">
        <v>7</v>
      </c>
      <c r="G164" s="1474"/>
      <c r="H164" s="1006" t="s">
        <v>58</v>
      </c>
      <c r="I164" s="1007" t="s">
        <v>196</v>
      </c>
      <c r="J164" s="1005" t="s">
        <v>8</v>
      </c>
      <c r="K164" s="1005" t="s">
        <v>9</v>
      </c>
      <c r="L164" s="401" t="s">
        <v>10</v>
      </c>
      <c r="M164" s="1527" t="s">
        <v>145</v>
      </c>
      <c r="N164" s="1475"/>
    </row>
    <row r="165" spans="1:14" s="121" customFormat="1" ht="24" thickBot="1">
      <c r="A165" s="88" t="s">
        <v>265</v>
      </c>
      <c r="B165" s="2085"/>
      <c r="C165" s="2086"/>
      <c r="D165" s="2087"/>
      <c r="E165" s="2088"/>
      <c r="F165" s="2089"/>
      <c r="G165" s="2090"/>
      <c r="H165" s="1339"/>
      <c r="I165" s="1340"/>
      <c r="J165" s="1340"/>
      <c r="K165" s="1340"/>
      <c r="L165" s="1341"/>
      <c r="M165" s="2091"/>
      <c r="N165" s="2092"/>
    </row>
    <row r="166" spans="1:14" s="1161" customFormat="1" ht="17" thickBot="1">
      <c r="A166" s="108" t="s">
        <v>189</v>
      </c>
      <c r="B166" s="1456"/>
      <c r="C166" s="1586"/>
      <c r="D166" s="1457"/>
      <c r="E166" s="1586"/>
      <c r="F166" s="1587"/>
      <c r="G166" s="1588"/>
      <c r="H166" s="1301"/>
      <c r="I166" s="109"/>
      <c r="J166" s="109"/>
      <c r="K166" s="109"/>
      <c r="L166" s="1296"/>
      <c r="M166" s="1617"/>
      <c r="N166" s="1486"/>
    </row>
    <row r="167" spans="1:14">
      <c r="A167" s="68" t="s">
        <v>29</v>
      </c>
      <c r="B167" s="1731">
        <f>FWC!N292</f>
        <v>388</v>
      </c>
      <c r="C167" s="1732"/>
      <c r="D167" s="1767">
        <f t="shared" ref="D167:D173" si="55">F167*325900</f>
        <v>5374091.0000000009</v>
      </c>
      <c r="E167" s="1732"/>
      <c r="F167" s="2101">
        <f>0.0425*B167</f>
        <v>16.490000000000002</v>
      </c>
      <c r="G167" s="2098"/>
      <c r="H167" s="462">
        <f>F167*20</f>
        <v>329.80000000000007</v>
      </c>
      <c r="I167" s="151">
        <v>0</v>
      </c>
      <c r="J167" s="150">
        <v>10495.1</v>
      </c>
      <c r="K167" s="150">
        <v>37641.129999999997</v>
      </c>
      <c r="L167" s="172">
        <f t="shared" ref="L167:L173" si="56">I167+J167+K167</f>
        <v>48136.229999999996</v>
      </c>
      <c r="M167" s="1599">
        <f t="shared" ref="M167:M173" si="57">IF(ISERROR(L167/(F167*721)),0,L167/(F167*721))</f>
        <v>4.0487051791990938</v>
      </c>
      <c r="N167" s="1600"/>
    </row>
    <row r="168" spans="1:14">
      <c r="A168" s="68" t="s">
        <v>33</v>
      </c>
      <c r="B168" s="1421">
        <f>FWC!N293</f>
        <v>217</v>
      </c>
      <c r="C168" s="1422"/>
      <c r="D168" s="1444">
        <f t="shared" si="55"/>
        <v>2439850.35</v>
      </c>
      <c r="E168" s="1422"/>
      <c r="F168" s="1720">
        <f>0.0345*B168</f>
        <v>7.4865000000000004</v>
      </c>
      <c r="G168" s="1721"/>
      <c r="H168" s="462">
        <f>F168*14</f>
        <v>104.81100000000001</v>
      </c>
      <c r="I168" s="150">
        <f>0*B168</f>
        <v>0</v>
      </c>
      <c r="J168" s="150">
        <v>2990</v>
      </c>
      <c r="K168" s="150">
        <v>18190</v>
      </c>
      <c r="L168" s="172">
        <f t="shared" si="56"/>
        <v>21180</v>
      </c>
      <c r="M168" s="1539">
        <f t="shared" si="57"/>
        <v>3.9238451681820616</v>
      </c>
      <c r="N168" s="1540"/>
    </row>
    <row r="169" spans="1:14">
      <c r="A169" s="68" t="s">
        <v>56</v>
      </c>
      <c r="B169" s="1421">
        <f>FWC!N294</f>
        <v>4298</v>
      </c>
      <c r="C169" s="1422"/>
      <c r="D169" s="1444">
        <f t="shared" si="55"/>
        <v>6163160.0800000001</v>
      </c>
      <c r="E169" s="1422"/>
      <c r="F169" s="1720">
        <f>0.0044*B169</f>
        <v>18.911200000000001</v>
      </c>
      <c r="G169" s="1721"/>
      <c r="H169" s="462">
        <f>F169*5</f>
        <v>94.556000000000012</v>
      </c>
      <c r="I169" s="150">
        <f>0*B169</f>
        <v>0</v>
      </c>
      <c r="J169" s="150">
        <v>0</v>
      </c>
      <c r="K169" s="150">
        <v>8296</v>
      </c>
      <c r="L169" s="172">
        <f t="shared" si="56"/>
        <v>8296</v>
      </c>
      <c r="M169" s="1539">
        <f t="shared" si="57"/>
        <v>0.6084352834026423</v>
      </c>
      <c r="N169" s="1540"/>
    </row>
    <row r="170" spans="1:14">
      <c r="A170" s="68" t="s">
        <v>52</v>
      </c>
      <c r="B170" s="1421">
        <f>FWC!N295</f>
        <v>93</v>
      </c>
      <c r="C170" s="1422"/>
      <c r="D170" s="1444">
        <f t="shared" si="55"/>
        <v>9850327.5</v>
      </c>
      <c r="E170" s="1422"/>
      <c r="F170" s="1710">
        <f>0.325*B170</f>
        <v>30.225000000000001</v>
      </c>
      <c r="G170" s="1711"/>
      <c r="H170" s="465">
        <f>F170*10</f>
        <v>302.25</v>
      </c>
      <c r="I170" s="151">
        <v>0</v>
      </c>
      <c r="J170" s="173">
        <v>1708.98</v>
      </c>
      <c r="K170" s="173">
        <v>7147.98</v>
      </c>
      <c r="L170" s="174">
        <f t="shared" si="56"/>
        <v>8856.9599999999991</v>
      </c>
      <c r="M170" s="1539">
        <f t="shared" si="57"/>
        <v>0.4064275217422727</v>
      </c>
      <c r="N170" s="1540"/>
    </row>
    <row r="171" spans="1:14" ht="12.75" customHeight="1">
      <c r="A171" s="254" t="s">
        <v>291</v>
      </c>
      <c r="B171" s="1421">
        <f>FWC!N296</f>
        <v>50</v>
      </c>
      <c r="C171" s="1422"/>
      <c r="D171" s="1444">
        <f t="shared" si="55"/>
        <v>3285942.1529999995</v>
      </c>
      <c r="E171" s="1422"/>
      <c r="F171" s="1710">
        <f>(77559*0.00013)</f>
        <v>10.082669999999998</v>
      </c>
      <c r="G171" s="1711"/>
      <c r="H171" s="465">
        <f>F171*10</f>
        <v>100.82669999999999</v>
      </c>
      <c r="I171" s="151">
        <v>0</v>
      </c>
      <c r="J171" s="173">
        <v>0</v>
      </c>
      <c r="K171" s="173">
        <v>149090</v>
      </c>
      <c r="L171" s="174">
        <f t="shared" si="56"/>
        <v>149090</v>
      </c>
      <c r="M171" s="1539">
        <f t="shared" si="57"/>
        <v>20.50867943504392</v>
      </c>
      <c r="N171" s="1540"/>
    </row>
    <row r="172" spans="1:14" ht="12.75" customHeight="1">
      <c r="A172" s="254" t="s">
        <v>214</v>
      </c>
      <c r="B172" s="1421">
        <f>FWC!N297</f>
        <v>51</v>
      </c>
      <c r="C172" s="1422"/>
      <c r="D172" s="1444">
        <f t="shared" si="55"/>
        <v>31579.71</v>
      </c>
      <c r="E172" s="1422"/>
      <c r="F172" s="1718">
        <f>0.0019*B172</f>
        <v>9.69E-2</v>
      </c>
      <c r="G172" s="1719"/>
      <c r="H172" s="732">
        <f>F172*5</f>
        <v>0.48449999999999999</v>
      </c>
      <c r="I172" s="151">
        <v>0</v>
      </c>
      <c r="J172" s="173">
        <f>0*B172</f>
        <v>0</v>
      </c>
      <c r="K172" s="173">
        <v>3736.03</v>
      </c>
      <c r="L172" s="174">
        <f t="shared" si="56"/>
        <v>3736.03</v>
      </c>
      <c r="M172" s="1539">
        <f t="shared" si="57"/>
        <v>53.475064016408808</v>
      </c>
      <c r="N172" s="1540"/>
    </row>
    <row r="173" spans="1:14" s="121" customFormat="1" ht="12.75" customHeight="1" thickBot="1">
      <c r="A173" s="254" t="s">
        <v>269</v>
      </c>
      <c r="B173" s="1435">
        <f>FWC!N298</f>
        <v>0</v>
      </c>
      <c r="C173" s="1433"/>
      <c r="D173" s="1432">
        <f t="shared" si="55"/>
        <v>0</v>
      </c>
      <c r="E173" s="1433"/>
      <c r="F173" s="1710">
        <f>0.0414*B173</f>
        <v>0</v>
      </c>
      <c r="G173" s="1711"/>
      <c r="H173" s="1294">
        <f>F173*10</f>
        <v>0</v>
      </c>
      <c r="I173" s="173">
        <v>0</v>
      </c>
      <c r="J173" s="173">
        <f>0*B173</f>
        <v>0</v>
      </c>
      <c r="K173" s="173">
        <f>B173*75</f>
        <v>0</v>
      </c>
      <c r="L173" s="174">
        <f t="shared" si="56"/>
        <v>0</v>
      </c>
      <c r="M173" s="1427">
        <f t="shared" si="57"/>
        <v>0</v>
      </c>
      <c r="N173" s="1428"/>
    </row>
    <row r="174" spans="1:14" s="1161" customFormat="1" ht="17" thickBot="1">
      <c r="A174" s="110" t="s">
        <v>190</v>
      </c>
      <c r="B174" s="1456"/>
      <c r="C174" s="1586"/>
      <c r="D174" s="1457"/>
      <c r="E174" s="1586"/>
      <c r="F174" s="1587"/>
      <c r="G174" s="1588"/>
      <c r="H174" s="1299"/>
      <c r="I174" s="194"/>
      <c r="J174" s="194"/>
      <c r="K174" s="194"/>
      <c r="L174" s="195"/>
      <c r="M174" s="1593"/>
      <c r="N174" s="1542"/>
    </row>
    <row r="175" spans="1:14" s="121" customFormat="1">
      <c r="A175" s="254" t="s">
        <v>205</v>
      </c>
      <c r="B175" s="1465">
        <f>FWC!N300</f>
        <v>0</v>
      </c>
      <c r="C175" s="1466"/>
      <c r="D175" s="1794">
        <f>F175*325900</f>
        <v>0</v>
      </c>
      <c r="E175" s="1466"/>
      <c r="F175" s="2099">
        <f>B175*0.0044</f>
        <v>0</v>
      </c>
      <c r="G175" s="2100"/>
      <c r="H175" s="1294">
        <f>F175*5</f>
        <v>0</v>
      </c>
      <c r="I175" s="173">
        <v>0</v>
      </c>
      <c r="J175" s="173">
        <v>0</v>
      </c>
      <c r="K175" s="173">
        <v>0</v>
      </c>
      <c r="L175" s="174">
        <f>I175+J175+K175</f>
        <v>0</v>
      </c>
      <c r="M175" s="1427">
        <f>IF(ISERROR(L175/(F175*721)),0,L175/(F175*721))</f>
        <v>0</v>
      </c>
      <c r="N175" s="1428"/>
    </row>
    <row r="176" spans="1:14">
      <c r="A176" s="254" t="s">
        <v>307</v>
      </c>
      <c r="B176" s="1421">
        <f>FWC!N301</f>
        <v>54</v>
      </c>
      <c r="C176" s="1422"/>
      <c r="D176" s="1432">
        <f>F176*325900</f>
        <v>9768461.4199999999</v>
      </c>
      <c r="E176" s="1433"/>
      <c r="F176" s="1537">
        <v>29.973800000000001</v>
      </c>
      <c r="G176" s="1538"/>
      <c r="H176" s="472">
        <v>278.24400000000003</v>
      </c>
      <c r="I176" s="173">
        <v>24599.64</v>
      </c>
      <c r="J176" s="173">
        <v>0</v>
      </c>
      <c r="K176" s="173">
        <v>24599.64</v>
      </c>
      <c r="L176" s="174">
        <f>I176+J176+K176</f>
        <v>49199.28</v>
      </c>
      <c r="M176" s="1539">
        <f>IF(ISERROR(L176/(F176*721)),0,L176/(F176*721))</f>
        <v>2.2765735057252816</v>
      </c>
      <c r="N176" s="1540"/>
    </row>
    <row r="177" spans="1:16">
      <c r="A177" s="254" t="s">
        <v>292</v>
      </c>
      <c r="B177" s="1421">
        <f>FWC!N302</f>
        <v>2</v>
      </c>
      <c r="C177" s="1422"/>
      <c r="D177" s="1467">
        <f>F177*325900</f>
        <v>46603.7</v>
      </c>
      <c r="E177" s="1433"/>
      <c r="F177" s="1771">
        <f>(1100*0.00013)</f>
        <v>0.14299999999999999</v>
      </c>
      <c r="G177" s="1719"/>
      <c r="H177" s="465">
        <f>F177*10</f>
        <v>1.43</v>
      </c>
      <c r="I177" s="173">
        <v>375</v>
      </c>
      <c r="J177" s="173">
        <v>4375</v>
      </c>
      <c r="K177" s="173">
        <v>0</v>
      </c>
      <c r="L177" s="174">
        <f>I177+J177+K177</f>
        <v>4750</v>
      </c>
      <c r="M177" s="1539">
        <f>IF(ISERROR(L177/(F177*721)),0,L177/(F177*721))</f>
        <v>46.070434419948988</v>
      </c>
      <c r="N177" s="1540"/>
    </row>
    <row r="178" spans="1:16" ht="14" thickBot="1">
      <c r="A178" s="254" t="s">
        <v>266</v>
      </c>
      <c r="B178" s="1421">
        <f>FWC!N303</f>
        <v>0</v>
      </c>
      <c r="C178" s="1422"/>
      <c r="D178" s="1734">
        <v>0</v>
      </c>
      <c r="E178" s="1430"/>
      <c r="F178" s="2130">
        <v>0</v>
      </c>
      <c r="G178" s="1729"/>
      <c r="H178" s="463">
        <f>F178*10</f>
        <v>0</v>
      </c>
      <c r="I178" s="151">
        <v>0</v>
      </c>
      <c r="J178" s="286">
        <v>0</v>
      </c>
      <c r="K178" s="220">
        <v>0</v>
      </c>
      <c r="L178" s="151">
        <f>J178+K178</f>
        <v>0</v>
      </c>
      <c r="M178" s="1634">
        <f>IF(ISERROR(L178/(F178*721)),0,L178/(F178*721))</f>
        <v>0</v>
      </c>
      <c r="N178" s="1540"/>
    </row>
    <row r="179" spans="1:16" s="121" customFormat="1" ht="14" thickBot="1">
      <c r="A179" s="256" t="s">
        <v>60</v>
      </c>
      <c r="B179" s="2050">
        <f>SUM(B167:B178)</f>
        <v>5153</v>
      </c>
      <c r="C179" s="1932"/>
      <c r="D179" s="1931">
        <f>SUM(D167:E178)</f>
        <v>36960015.913000003</v>
      </c>
      <c r="E179" s="1932"/>
      <c r="F179" s="2096">
        <f>SUM(F167:G178)</f>
        <v>113.40907</v>
      </c>
      <c r="G179" s="2083"/>
      <c r="H179" s="1310">
        <f>SUM(H167:H178)</f>
        <v>1212.4022000000002</v>
      </c>
      <c r="I179" s="1343">
        <f>SUM(I167:I178)</f>
        <v>24974.639999999999</v>
      </c>
      <c r="J179" s="1343">
        <f>SUM(J167:J178)</f>
        <v>19569.080000000002</v>
      </c>
      <c r="K179" s="1343">
        <f>SUM(K167:K178)</f>
        <v>248700.77999999997</v>
      </c>
      <c r="L179" s="1344">
        <f>SUM(L167:L178)</f>
        <v>293244.5</v>
      </c>
      <c r="M179" s="1607"/>
      <c r="N179" s="2017"/>
    </row>
    <row r="180" spans="1:16" s="1161" customFormat="1" ht="17" thickBot="1">
      <c r="A180" s="108" t="s">
        <v>194</v>
      </c>
      <c r="B180" s="1456"/>
      <c r="C180" s="1586"/>
      <c r="D180" s="1567"/>
      <c r="E180" s="1586"/>
      <c r="F180" s="1484"/>
      <c r="G180" s="1588"/>
      <c r="H180" s="1299"/>
      <c r="I180" s="184"/>
      <c r="J180" s="184"/>
      <c r="K180" s="184"/>
      <c r="L180" s="184"/>
      <c r="M180" s="1541"/>
      <c r="N180" s="1542"/>
    </row>
    <row r="181" spans="1:16">
      <c r="A181" s="68" t="s">
        <v>29</v>
      </c>
      <c r="B181" s="1731">
        <f>FWC!N307</f>
        <v>904</v>
      </c>
      <c r="C181" s="1732"/>
      <c r="D181" s="1855">
        <f>F181*325900</f>
        <v>12521078</v>
      </c>
      <c r="E181" s="1732"/>
      <c r="F181" s="2097">
        <f>0.0425*B181</f>
        <v>38.42</v>
      </c>
      <c r="G181" s="2098"/>
      <c r="H181" s="462">
        <f>F181*20</f>
        <v>768.40000000000009</v>
      </c>
      <c r="I181" s="151">
        <v>0</v>
      </c>
      <c r="J181" s="150">
        <v>37940</v>
      </c>
      <c r="K181" s="150">
        <v>115886</v>
      </c>
      <c r="L181" s="172">
        <f t="shared" ref="L181:L192" si="58">SUM(I181:K181)</f>
        <v>153826</v>
      </c>
      <c r="M181" s="1539">
        <f>IF(ISERROR(L181/(F181*721)),0,L181/(F181*721))</f>
        <v>5.5531208101420821</v>
      </c>
      <c r="N181" s="1540"/>
    </row>
    <row r="182" spans="1:16">
      <c r="A182" s="68" t="s">
        <v>51</v>
      </c>
      <c r="B182" s="1421">
        <f>FWC!N308</f>
        <v>0</v>
      </c>
      <c r="C182" s="1422"/>
      <c r="D182" s="1444">
        <f>F182*325900</f>
        <v>0</v>
      </c>
      <c r="E182" s="1422"/>
      <c r="F182" s="1720">
        <f>0.1227*B182</f>
        <v>0</v>
      </c>
      <c r="G182" s="1721"/>
      <c r="H182" s="462">
        <f>F182*20</f>
        <v>0</v>
      </c>
      <c r="I182" s="151">
        <v>0</v>
      </c>
      <c r="J182" s="150">
        <v>0</v>
      </c>
      <c r="K182" s="150">
        <v>0</v>
      </c>
      <c r="L182" s="172">
        <f t="shared" si="58"/>
        <v>0</v>
      </c>
      <c r="M182" s="1539">
        <f>IF(ISERROR(L182/(F182*721)),0,L182/(F182*721))</f>
        <v>0</v>
      </c>
      <c r="N182" s="1540"/>
    </row>
    <row r="183" spans="1:16">
      <c r="A183" s="2" t="s">
        <v>204</v>
      </c>
      <c r="B183" s="1421">
        <f>FWC!N309</f>
        <v>0</v>
      </c>
      <c r="C183" s="1422"/>
      <c r="D183" s="1444">
        <f t="shared" ref="D183:D192" si="59">F183*325900</f>
        <v>0</v>
      </c>
      <c r="E183" s="1422"/>
      <c r="F183" s="1720">
        <f>0.644*B183</f>
        <v>0</v>
      </c>
      <c r="G183" s="1721"/>
      <c r="H183" s="462">
        <f>F183*5</f>
        <v>0</v>
      </c>
      <c r="I183" s="151">
        <v>0</v>
      </c>
      <c r="J183" s="150">
        <v>0</v>
      </c>
      <c r="K183" s="150">
        <v>0</v>
      </c>
      <c r="L183" s="172">
        <f t="shared" si="58"/>
        <v>0</v>
      </c>
      <c r="M183" s="1539">
        <f t="shared" ref="M183:M192" si="60">IF(ISERROR(L183/(F183*721)),0,L183/(F183*721))</f>
        <v>0</v>
      </c>
      <c r="N183" s="1540"/>
    </row>
    <row r="184" spans="1:16">
      <c r="A184" s="254" t="s">
        <v>30</v>
      </c>
      <c r="B184" s="1421">
        <f>FWC!N310</f>
        <v>25</v>
      </c>
      <c r="C184" s="1422"/>
      <c r="D184" s="1444">
        <f t="shared" si="59"/>
        <v>2647937.5</v>
      </c>
      <c r="E184" s="1422"/>
      <c r="F184" s="1720">
        <f>0.325*B184</f>
        <v>8.125</v>
      </c>
      <c r="G184" s="1721"/>
      <c r="H184" s="462">
        <f>F184*10</f>
        <v>81.25</v>
      </c>
      <c r="I184" s="151">
        <v>0</v>
      </c>
      <c r="J184" s="151">
        <v>4440</v>
      </c>
      <c r="K184" s="151">
        <v>17400</v>
      </c>
      <c r="L184" s="172">
        <f t="shared" si="58"/>
        <v>21840</v>
      </c>
      <c r="M184" s="1539">
        <f t="shared" si="60"/>
        <v>3.7281553398058254</v>
      </c>
      <c r="N184" s="1540"/>
      <c r="P184" s="3"/>
    </row>
    <row r="185" spans="1:16">
      <c r="A185" s="69" t="s">
        <v>56</v>
      </c>
      <c r="B185" s="1421">
        <f>FWC!N311</f>
        <v>0</v>
      </c>
      <c r="C185" s="1422"/>
      <c r="D185" s="1444">
        <f t="shared" si="59"/>
        <v>0</v>
      </c>
      <c r="E185" s="1422"/>
      <c r="F185" s="1720">
        <f>0.0044*B185</f>
        <v>0</v>
      </c>
      <c r="G185" s="1721"/>
      <c r="H185" s="462">
        <f>F185*5</f>
        <v>0</v>
      </c>
      <c r="I185" s="151">
        <v>0</v>
      </c>
      <c r="J185" s="150">
        <v>0</v>
      </c>
      <c r="K185" s="150">
        <v>0</v>
      </c>
      <c r="L185" s="172">
        <f t="shared" si="58"/>
        <v>0</v>
      </c>
      <c r="M185" s="1539">
        <f t="shared" si="60"/>
        <v>0</v>
      </c>
      <c r="N185" s="1540"/>
    </row>
    <row r="186" spans="1:16" ht="12.75" customHeight="1">
      <c r="A186" s="254" t="s">
        <v>122</v>
      </c>
      <c r="B186" s="1421">
        <f>FWC!N312</f>
        <v>0</v>
      </c>
      <c r="C186" s="1422"/>
      <c r="D186" s="1444">
        <f t="shared" si="59"/>
        <v>0</v>
      </c>
      <c r="E186" s="1422"/>
      <c r="F186" s="1720">
        <f>0.018*B186</f>
        <v>0</v>
      </c>
      <c r="G186" s="1721"/>
      <c r="H186" s="462">
        <f>F186*10</f>
        <v>0</v>
      </c>
      <c r="I186" s="151">
        <v>0</v>
      </c>
      <c r="J186" s="150">
        <v>0</v>
      </c>
      <c r="K186" s="150">
        <v>0</v>
      </c>
      <c r="L186" s="172">
        <f t="shared" si="58"/>
        <v>0</v>
      </c>
      <c r="M186" s="1539">
        <f t="shared" si="60"/>
        <v>0</v>
      </c>
      <c r="N186" s="1540"/>
    </row>
    <row r="187" spans="1:16">
      <c r="A187" s="257" t="s">
        <v>184</v>
      </c>
      <c r="B187" s="1421">
        <f>FWC!N313</f>
        <v>0</v>
      </c>
      <c r="C187" s="1422"/>
      <c r="D187" s="1444">
        <f t="shared" si="59"/>
        <v>0</v>
      </c>
      <c r="E187" s="1422"/>
      <c r="F187" s="1720">
        <f>0.0129*B187</f>
        <v>0</v>
      </c>
      <c r="G187" s="1721"/>
      <c r="H187" s="462">
        <f>F187*10</f>
        <v>0</v>
      </c>
      <c r="I187" s="151">
        <v>0</v>
      </c>
      <c r="J187" s="150">
        <v>0</v>
      </c>
      <c r="K187" s="150">
        <v>0</v>
      </c>
      <c r="L187" s="172">
        <f t="shared" si="58"/>
        <v>0</v>
      </c>
      <c r="M187" s="1539">
        <f t="shared" si="60"/>
        <v>0</v>
      </c>
      <c r="N187" s="1540"/>
    </row>
    <row r="188" spans="1:16" s="57" customFormat="1">
      <c r="A188" s="258" t="s">
        <v>187</v>
      </c>
      <c r="B188" s="1421">
        <f>FWC!N314</f>
        <v>0</v>
      </c>
      <c r="C188" s="1422"/>
      <c r="D188" s="1444">
        <f t="shared" si="59"/>
        <v>0</v>
      </c>
      <c r="E188" s="1422"/>
      <c r="F188" s="1720">
        <f>0.023*B188</f>
        <v>0</v>
      </c>
      <c r="G188" s="1721"/>
      <c r="H188" s="462">
        <f>F188*5</f>
        <v>0</v>
      </c>
      <c r="I188" s="151">
        <v>0</v>
      </c>
      <c r="J188" s="151">
        <v>0</v>
      </c>
      <c r="K188" s="151">
        <v>0</v>
      </c>
      <c r="L188" s="170">
        <f t="shared" si="58"/>
        <v>0</v>
      </c>
      <c r="M188" s="1539">
        <f t="shared" si="60"/>
        <v>0</v>
      </c>
      <c r="N188" s="1540"/>
    </row>
    <row r="189" spans="1:16" s="57" customFormat="1">
      <c r="A189" s="258" t="s">
        <v>188</v>
      </c>
      <c r="B189" s="1421">
        <f>FWC!N315</f>
        <v>3</v>
      </c>
      <c r="C189" s="1422"/>
      <c r="D189" s="1444">
        <f t="shared" si="59"/>
        <v>150565.79999999999</v>
      </c>
      <c r="E189" s="1422"/>
      <c r="F189" s="2093">
        <f>0.154*B189</f>
        <v>0.46199999999999997</v>
      </c>
      <c r="G189" s="2094"/>
      <c r="H189" s="463">
        <f>F189*10</f>
        <v>4.6199999999999992</v>
      </c>
      <c r="I189" s="151">
        <v>0</v>
      </c>
      <c r="J189" s="151">
        <v>1000</v>
      </c>
      <c r="K189" s="151">
        <v>3000</v>
      </c>
      <c r="L189" s="170">
        <f t="shared" si="58"/>
        <v>4000</v>
      </c>
      <c r="M189" s="1539">
        <f t="shared" si="60"/>
        <v>12.008333783645851</v>
      </c>
      <c r="N189" s="1540"/>
    </row>
    <row r="190" spans="1:16" s="57" customFormat="1">
      <c r="A190" s="258" t="s">
        <v>281</v>
      </c>
      <c r="B190" s="1421">
        <f>FWC!N316</f>
        <v>22</v>
      </c>
      <c r="C190" s="1422"/>
      <c r="D190" s="1444">
        <f t="shared" si="59"/>
        <v>12675655.628999999</v>
      </c>
      <c r="E190" s="1422"/>
      <c r="F190" s="1723">
        <f>(299187*0.00013)</f>
        <v>38.894309999999997</v>
      </c>
      <c r="G190" s="1724"/>
      <c r="H190" s="463">
        <f>F190*10</f>
        <v>388.94309999999996</v>
      </c>
      <c r="I190" s="151">
        <v>0</v>
      </c>
      <c r="J190" s="151">
        <v>187603</v>
      </c>
      <c r="K190" s="151">
        <v>287657</v>
      </c>
      <c r="L190" s="170">
        <f t="shared" si="58"/>
        <v>475260</v>
      </c>
      <c r="M190" s="1539">
        <f t="shared" si="60"/>
        <v>16.947667215816232</v>
      </c>
      <c r="N190" s="1540"/>
    </row>
    <row r="191" spans="1:16" s="57" customFormat="1">
      <c r="A191" s="258" t="s">
        <v>269</v>
      </c>
      <c r="B191" s="1421">
        <f>FWC!N317</f>
        <v>0</v>
      </c>
      <c r="C191" s="1422"/>
      <c r="D191" s="1444">
        <f t="shared" si="59"/>
        <v>0</v>
      </c>
      <c r="E191" s="1422"/>
      <c r="F191" s="1723">
        <f>B191*0.0129</f>
        <v>0</v>
      </c>
      <c r="G191" s="1724"/>
      <c r="H191" s="463">
        <f>F191*10</f>
        <v>0</v>
      </c>
      <c r="I191" s="151">
        <v>0</v>
      </c>
      <c r="J191" s="151">
        <v>0</v>
      </c>
      <c r="K191" s="151">
        <v>0</v>
      </c>
      <c r="L191" s="170">
        <f t="shared" si="58"/>
        <v>0</v>
      </c>
      <c r="M191" s="1539">
        <f t="shared" si="60"/>
        <v>0</v>
      </c>
      <c r="N191" s="1540"/>
    </row>
    <row r="192" spans="1:16" s="121" customFormat="1" ht="14" thickBot="1">
      <c r="A192" s="254" t="s">
        <v>268</v>
      </c>
      <c r="B192" s="1435">
        <f>FWC!N318</f>
        <v>0</v>
      </c>
      <c r="C192" s="1433"/>
      <c r="D192" s="1432">
        <f t="shared" si="59"/>
        <v>0</v>
      </c>
      <c r="E192" s="1433"/>
      <c r="F192" s="1746">
        <f>(B192*0.0084)/2</f>
        <v>0</v>
      </c>
      <c r="G192" s="2095"/>
      <c r="H192" s="1294">
        <f>F192*10</f>
        <v>0</v>
      </c>
      <c r="I192" s="173">
        <v>0</v>
      </c>
      <c r="J192" s="173">
        <v>0</v>
      </c>
      <c r="K192" s="173">
        <v>0</v>
      </c>
      <c r="L192" s="174">
        <f t="shared" si="58"/>
        <v>0</v>
      </c>
      <c r="M192" s="1427">
        <f t="shared" si="60"/>
        <v>0</v>
      </c>
      <c r="N192" s="1428"/>
    </row>
    <row r="193" spans="1:14" s="1161" customFormat="1" ht="17" thickBot="1">
      <c r="A193" s="108" t="s">
        <v>192</v>
      </c>
      <c r="B193" s="1456"/>
      <c r="C193" s="1586"/>
      <c r="D193" s="1457"/>
      <c r="E193" s="1586"/>
      <c r="F193" s="1587"/>
      <c r="G193" s="1588"/>
      <c r="H193" s="1299"/>
      <c r="I193" s="184"/>
      <c r="J193" s="184"/>
      <c r="K193" s="184"/>
      <c r="L193" s="1311"/>
      <c r="M193" s="1593"/>
      <c r="N193" s="1542"/>
    </row>
    <row r="194" spans="1:14" ht="14" thickBot="1">
      <c r="A194" s="76" t="s">
        <v>165</v>
      </c>
      <c r="B194" s="1429">
        <f>FWC!N320</f>
        <v>0</v>
      </c>
      <c r="C194" s="1430"/>
      <c r="D194" s="1734">
        <f>F194*325900</f>
        <v>0</v>
      </c>
      <c r="E194" s="1430"/>
      <c r="F194" s="1867">
        <f>0.004*B194</f>
        <v>0</v>
      </c>
      <c r="G194" s="1747"/>
      <c r="H194" s="462">
        <f>F194*5</f>
        <v>0</v>
      </c>
      <c r="I194" s="215">
        <v>0</v>
      </c>
      <c r="J194" s="140">
        <f>0*B194</f>
        <v>0</v>
      </c>
      <c r="K194" s="140">
        <f>B194*3.25</f>
        <v>0</v>
      </c>
      <c r="L194" s="217">
        <f>SUM(I194:K194)</f>
        <v>0</v>
      </c>
      <c r="M194" s="1561">
        <f>IF(ISERROR(L194/(F194*752)),0,L194/(F194*752))</f>
        <v>0</v>
      </c>
      <c r="N194" s="1562"/>
    </row>
    <row r="195" spans="1:14" s="121" customFormat="1" ht="14" thickBot="1">
      <c r="A195" s="53" t="s">
        <v>60</v>
      </c>
      <c r="B195" s="2050">
        <f>SUM(B181:B194)</f>
        <v>954</v>
      </c>
      <c r="C195" s="1932"/>
      <c r="D195" s="1931">
        <f>SUM(D181:E194)</f>
        <v>27995236.928999998</v>
      </c>
      <c r="E195" s="1932"/>
      <c r="F195" s="2082">
        <f>SUM(F181:G194)</f>
        <v>85.901309999999995</v>
      </c>
      <c r="G195" s="2083"/>
      <c r="H195" s="1310">
        <f>SUM(H181:H194)</f>
        <v>1243.2130999999999</v>
      </c>
      <c r="I195" s="1343">
        <f>SUM(I181:I194)</f>
        <v>0</v>
      </c>
      <c r="J195" s="1343">
        <f>SUM(J181:J194)</f>
        <v>230983</v>
      </c>
      <c r="K195" s="1343">
        <f>SUM(K181:K194)</f>
        <v>423943</v>
      </c>
      <c r="L195" s="1343">
        <f>SUM(L181:L194)</f>
        <v>654926</v>
      </c>
      <c r="M195" s="1442"/>
      <c r="N195" s="1443"/>
    </row>
    <row r="196" spans="1:14" s="1161" customFormat="1" ht="17" thickBot="1">
      <c r="A196" s="1163" t="s">
        <v>17</v>
      </c>
      <c r="B196" s="1414">
        <f>SUM(,B179,B195)</f>
        <v>6107</v>
      </c>
      <c r="C196" s="1415"/>
      <c r="D196" s="1416">
        <f>SUM(,D179,D195)</f>
        <v>64955252.842</v>
      </c>
      <c r="E196" s="1415"/>
      <c r="F196" s="1487">
        <f>SUM(,F179,F195)</f>
        <v>199.31038000000001</v>
      </c>
      <c r="G196" s="1488"/>
      <c r="H196" s="1293">
        <f>SUM(H179,H195)</f>
        <v>2455.6153000000004</v>
      </c>
      <c r="I196" s="1165">
        <f>SUM(,I179,I195)</f>
        <v>24974.639999999999</v>
      </c>
      <c r="J196" s="1165">
        <f>SUM(,J179,J195)</f>
        <v>250552.08000000002</v>
      </c>
      <c r="K196" s="1165">
        <f>SUM(,K179,K195)</f>
        <v>672643.78</v>
      </c>
      <c r="L196" s="1165">
        <f>SUM(,L179,L195)</f>
        <v>948170.5</v>
      </c>
      <c r="M196" s="1417"/>
      <c r="N196" s="1418"/>
    </row>
    <row r="197" spans="1:14">
      <c r="A197" s="50"/>
      <c r="B197" s="20"/>
      <c r="C197" s="20"/>
      <c r="D197" s="20"/>
      <c r="E197" s="20"/>
      <c r="F197" s="422"/>
      <c r="G197" s="422"/>
      <c r="H197" s="422"/>
      <c r="I197" s="21"/>
      <c r="J197" s="21"/>
      <c r="K197" s="21"/>
      <c r="L197" s="21"/>
      <c r="M197" s="270"/>
      <c r="N197" s="270"/>
    </row>
    <row r="198" spans="1:14" ht="15">
      <c r="A198" s="9" t="s">
        <v>18</v>
      </c>
      <c r="B198" s="1695" t="s">
        <v>59</v>
      </c>
      <c r="C198" s="1695"/>
      <c r="D198" s="1695"/>
      <c r="E198" s="1695"/>
      <c r="F198" s="422"/>
      <c r="G198" s="422"/>
      <c r="H198" s="422"/>
      <c r="I198" s="21"/>
      <c r="J198" s="21"/>
      <c r="K198" s="21"/>
      <c r="L198" s="21"/>
      <c r="M198" s="270"/>
      <c r="N198" s="270"/>
    </row>
    <row r="199" spans="1:14">
      <c r="B199" s="1420" t="s">
        <v>19</v>
      </c>
      <c r="C199" s="1420"/>
      <c r="D199" s="1420"/>
      <c r="E199" s="1420"/>
      <c r="F199" s="422"/>
      <c r="G199" s="422"/>
      <c r="H199" s="422"/>
      <c r="I199" s="21"/>
      <c r="J199" s="21"/>
      <c r="K199" s="21"/>
      <c r="L199" s="21"/>
      <c r="M199" s="270"/>
      <c r="N199" s="270"/>
    </row>
    <row r="200" spans="1:14">
      <c r="B200" s="729"/>
      <c r="C200" s="729"/>
      <c r="D200" s="729"/>
      <c r="E200" s="729"/>
      <c r="F200" s="576"/>
      <c r="G200" s="576"/>
      <c r="H200" s="576"/>
      <c r="I200" s="21"/>
      <c r="J200" s="21"/>
      <c r="K200" s="21"/>
      <c r="L200" s="21"/>
      <c r="M200" s="568"/>
      <c r="N200" s="568"/>
    </row>
    <row r="201" spans="1:14" ht="14" thickBot="1">
      <c r="A201" s="737"/>
      <c r="B201" s="943"/>
      <c r="C201" s="943"/>
      <c r="D201" s="943"/>
      <c r="E201" s="943"/>
      <c r="F201" s="946"/>
      <c r="G201" s="946"/>
      <c r="H201" s="946"/>
      <c r="I201" s="21"/>
      <c r="J201" s="21"/>
      <c r="K201" s="21"/>
      <c r="L201" s="21"/>
      <c r="M201" s="943"/>
      <c r="N201" s="943"/>
    </row>
    <row r="202" spans="1:14" s="363" customFormat="1" ht="16">
      <c r="A202" s="98"/>
      <c r="B202" s="99"/>
      <c r="C202" s="99"/>
      <c r="D202" s="99"/>
      <c r="E202" s="99"/>
      <c r="F202" s="421"/>
      <c r="G202" s="421"/>
      <c r="H202" s="421"/>
      <c r="I202" s="1468" t="s">
        <v>0</v>
      </c>
      <c r="J202" s="1468"/>
      <c r="K202" s="1468"/>
      <c r="L202" s="1468"/>
      <c r="M202" s="99"/>
      <c r="N202" s="101"/>
    </row>
    <row r="203" spans="1:14" ht="16">
      <c r="A203" s="97"/>
      <c r="B203" s="1469" t="s">
        <v>1</v>
      </c>
      <c r="C203" s="1469"/>
      <c r="D203" s="1469" t="s">
        <v>2</v>
      </c>
      <c r="E203" s="1469"/>
      <c r="F203" s="1470" t="s">
        <v>3</v>
      </c>
      <c r="G203" s="1470"/>
      <c r="H203" s="723" t="s">
        <v>3</v>
      </c>
      <c r="I203" s="127" t="s">
        <v>197</v>
      </c>
      <c r="J203" s="102"/>
      <c r="K203" s="102"/>
      <c r="L203" s="128"/>
      <c r="M203" s="1469" t="s">
        <v>4</v>
      </c>
      <c r="N203" s="1526"/>
    </row>
    <row r="204" spans="1:14" s="121" customFormat="1" ht="19" thickBot="1">
      <c r="A204" s="1345" t="s">
        <v>5</v>
      </c>
      <c r="B204" s="2061" t="s">
        <v>6</v>
      </c>
      <c r="C204" s="2061"/>
      <c r="D204" s="2061" t="s">
        <v>7</v>
      </c>
      <c r="E204" s="2061"/>
      <c r="F204" s="2113" t="s">
        <v>7</v>
      </c>
      <c r="G204" s="2113"/>
      <c r="H204" s="1346" t="s">
        <v>58</v>
      </c>
      <c r="I204" s="1347" t="s">
        <v>196</v>
      </c>
      <c r="J204" s="1348" t="s">
        <v>8</v>
      </c>
      <c r="K204" s="1348" t="s">
        <v>9</v>
      </c>
      <c r="L204" s="1349" t="s">
        <v>10</v>
      </c>
      <c r="M204" s="2061" t="s">
        <v>145</v>
      </c>
      <c r="N204" s="2062"/>
    </row>
    <row r="205" spans="1:14" ht="24" thickBot="1">
      <c r="A205" s="88" t="s">
        <v>232</v>
      </c>
      <c r="B205" s="1764"/>
      <c r="C205" s="1477"/>
      <c r="D205" s="1478"/>
      <c r="E205" s="1479"/>
      <c r="F205" s="1480"/>
      <c r="G205" s="1481"/>
      <c r="H205" s="434"/>
      <c r="I205" s="213"/>
      <c r="J205" s="177"/>
      <c r="K205" s="177"/>
      <c r="L205" s="178"/>
      <c r="M205" s="1891"/>
      <c r="N205" s="1892"/>
    </row>
    <row r="206" spans="1:14" s="1161" customFormat="1" ht="17" thickBot="1">
      <c r="A206" s="108" t="str">
        <f>'Ontario Total'!A204</f>
        <v>SoCal Water$mart Residential Rebates</v>
      </c>
      <c r="B206" s="1567"/>
      <c r="C206" s="1586"/>
      <c r="D206" s="1567"/>
      <c r="E206" s="1586"/>
      <c r="F206" s="1587"/>
      <c r="G206" s="1588"/>
      <c r="H206" s="1301"/>
      <c r="I206" s="109"/>
      <c r="J206" s="179"/>
      <c r="K206" s="179"/>
      <c r="L206" s="180"/>
      <c r="M206" s="1593"/>
      <c r="N206" s="1542"/>
    </row>
    <row r="207" spans="1:14">
      <c r="A207" s="32" t="str">
        <f>'Ontario Total'!A205</f>
        <v>High Efficiency Toilets (HET)</v>
      </c>
      <c r="B207" s="1431">
        <f>FWC!N253</f>
        <v>254</v>
      </c>
      <c r="C207" s="1422"/>
      <c r="D207" s="1431">
        <f t="shared" ref="D207:D211" si="61">F207*325900</f>
        <v>3518090.5</v>
      </c>
      <c r="E207" s="1422"/>
      <c r="F207" s="1720">
        <f>0.0425*B207</f>
        <v>10.795</v>
      </c>
      <c r="G207" s="1721"/>
      <c r="H207" s="462">
        <f>F207*20</f>
        <v>215.9</v>
      </c>
      <c r="I207" s="151">
        <v>0</v>
      </c>
      <c r="J207" s="150">
        <f>50*B207</f>
        <v>12700</v>
      </c>
      <c r="K207" s="150">
        <f>B207*50</f>
        <v>12700</v>
      </c>
      <c r="L207" s="172">
        <f t="shared" ref="L207:L212" si="62">I207+J207+K207</f>
        <v>25400</v>
      </c>
      <c r="M207" s="1539">
        <f t="shared" ref="M207:M212" si="63">IF(ISERROR(L207/(F207*752)),0,L207/(F207*752))</f>
        <v>3.1289111389236544</v>
      </c>
      <c r="N207" s="1540"/>
    </row>
    <row r="208" spans="1:14">
      <c r="A208" s="32" t="str">
        <f>'Ontario Total'!A206</f>
        <v>High Efficiency Clothes Washers (HECW)</v>
      </c>
      <c r="B208" s="1431">
        <f>FWC!N254</f>
        <v>170</v>
      </c>
      <c r="C208" s="1422"/>
      <c r="D208" s="1431">
        <f t="shared" si="61"/>
        <v>1529122.8</v>
      </c>
      <c r="E208" s="1422"/>
      <c r="F208" s="1720">
        <f>0.0276*B208</f>
        <v>4.6920000000000002</v>
      </c>
      <c r="G208" s="1721"/>
      <c r="H208" s="462">
        <f>F208*15</f>
        <v>70.38</v>
      </c>
      <c r="I208" s="150">
        <f>0*B208</f>
        <v>0</v>
      </c>
      <c r="J208" s="150">
        <f>B208*65</f>
        <v>11050</v>
      </c>
      <c r="K208" s="150">
        <f>B208*85</f>
        <v>14450</v>
      </c>
      <c r="L208" s="172">
        <f t="shared" si="62"/>
        <v>25500</v>
      </c>
      <c r="M208" s="1539">
        <f t="shared" si="63"/>
        <v>7.227104532839963</v>
      </c>
      <c r="N208" s="1540"/>
    </row>
    <row r="209" spans="1:14">
      <c r="A209" s="32" t="str">
        <f>'Ontario Total'!A207</f>
        <v>Rotating Nozzles for Pop-up Spray Heads</v>
      </c>
      <c r="B209" s="1431">
        <f>FWC!N255</f>
        <v>141</v>
      </c>
      <c r="C209" s="1422"/>
      <c r="D209" s="1431">
        <f t="shared" si="61"/>
        <v>183807.6</v>
      </c>
      <c r="E209" s="1422"/>
      <c r="F209" s="1720">
        <f>0.004*B209</f>
        <v>0.56400000000000006</v>
      </c>
      <c r="G209" s="1721"/>
      <c r="H209" s="630">
        <f>F209*5</f>
        <v>2.8200000000000003</v>
      </c>
      <c r="I209" s="150">
        <f>0*B209</f>
        <v>0</v>
      </c>
      <c r="J209" s="150">
        <f>1*B209</f>
        <v>141</v>
      </c>
      <c r="K209" s="150">
        <f>B209*4</f>
        <v>564</v>
      </c>
      <c r="L209" s="172">
        <f t="shared" si="62"/>
        <v>705</v>
      </c>
      <c r="M209" s="1539">
        <f t="shared" si="63"/>
        <v>1.6622340425531914</v>
      </c>
      <c r="N209" s="1540"/>
    </row>
    <row r="210" spans="1:14">
      <c r="A210" s="32" t="str">
        <f>'Ontario Total'!A208</f>
        <v>Weather based Irrigation Controllers (WBIC)</v>
      </c>
      <c r="B210" s="1431">
        <f>FWC!N256</f>
        <v>4</v>
      </c>
      <c r="C210" s="1422"/>
      <c r="D210" s="1431">
        <f t="shared" si="61"/>
        <v>423670</v>
      </c>
      <c r="E210" s="1422"/>
      <c r="F210" s="1720">
        <f>0.325*B210</f>
        <v>1.3</v>
      </c>
      <c r="G210" s="1721"/>
      <c r="H210" s="630">
        <f>F210*10</f>
        <v>13</v>
      </c>
      <c r="I210" s="151">
        <v>0</v>
      </c>
      <c r="J210" s="150">
        <f>B210*70</f>
        <v>280</v>
      </c>
      <c r="K210" s="150">
        <f>B210*80</f>
        <v>320</v>
      </c>
      <c r="L210" s="172">
        <f t="shared" si="62"/>
        <v>600</v>
      </c>
      <c r="M210" s="1539">
        <f t="shared" si="63"/>
        <v>0.61374795417348604</v>
      </c>
      <c r="N210" s="1540"/>
    </row>
    <row r="211" spans="1:14" s="121" customFormat="1" ht="12.75" customHeight="1">
      <c r="A211" s="76" t="s">
        <v>260</v>
      </c>
      <c r="B211" s="1467">
        <v>6</v>
      </c>
      <c r="C211" s="1433"/>
      <c r="D211" s="1467">
        <f t="shared" si="61"/>
        <v>391080</v>
      </c>
      <c r="E211" s="1433"/>
      <c r="F211" s="1710">
        <v>1.2</v>
      </c>
      <c r="G211" s="1711"/>
      <c r="H211" s="1307">
        <f>F211*10</f>
        <v>12</v>
      </c>
      <c r="I211" s="173">
        <v>0</v>
      </c>
      <c r="J211" s="173">
        <v>0</v>
      </c>
      <c r="K211" s="173">
        <v>18680</v>
      </c>
      <c r="L211" s="174">
        <f t="shared" si="62"/>
        <v>18680</v>
      </c>
      <c r="M211" s="1427">
        <f t="shared" si="63"/>
        <v>20.700354609929079</v>
      </c>
      <c r="N211" s="1428"/>
    </row>
    <row r="212" spans="1:14" s="57" customFormat="1" ht="12.75" customHeight="1" thickBot="1">
      <c r="A212" s="107" t="s">
        <v>214</v>
      </c>
      <c r="B212" s="1431">
        <f>FWC!N258</f>
        <v>10</v>
      </c>
      <c r="C212" s="1422"/>
      <c r="D212" s="1431">
        <v>1059175</v>
      </c>
      <c r="E212" s="1422"/>
      <c r="F212" s="2093">
        <v>3.25</v>
      </c>
      <c r="G212" s="2094"/>
      <c r="H212" s="628">
        <v>32.5</v>
      </c>
      <c r="I212" s="151">
        <v>0</v>
      </c>
      <c r="J212" s="151">
        <f>B212*0</f>
        <v>0</v>
      </c>
      <c r="K212" s="151">
        <f>B212*75</f>
        <v>750</v>
      </c>
      <c r="L212" s="170">
        <f t="shared" si="62"/>
        <v>750</v>
      </c>
      <c r="M212" s="1539">
        <f t="shared" si="63"/>
        <v>0.30687397708674302</v>
      </c>
      <c r="N212" s="1540"/>
    </row>
    <row r="213" spans="1:14" s="1161" customFormat="1" ht="17" thickBot="1">
      <c r="A213" s="108" t="str">
        <f>'Ontario Total'!A211</f>
        <v>IEUA Locally Implemented Residential Programs</v>
      </c>
      <c r="B213" s="1567"/>
      <c r="C213" s="1586"/>
      <c r="D213" s="1567"/>
      <c r="E213" s="1586"/>
      <c r="F213" s="1587"/>
      <c r="G213" s="1588"/>
      <c r="H213" s="1299"/>
      <c r="I213" s="179"/>
      <c r="J213" s="179"/>
      <c r="K213" s="179"/>
      <c r="L213" s="180"/>
      <c r="M213" s="1593"/>
      <c r="N213" s="1542"/>
    </row>
    <row r="214" spans="1:14" s="121" customFormat="1">
      <c r="A214" s="32" t="s">
        <v>165</v>
      </c>
      <c r="B214" s="1431">
        <f>FWC!N260</f>
        <v>0</v>
      </c>
      <c r="C214" s="1422"/>
      <c r="D214" s="1431">
        <f>F214*325900</f>
        <v>0</v>
      </c>
      <c r="E214" s="1422"/>
      <c r="F214" s="1720">
        <f>0.325*B214</f>
        <v>0</v>
      </c>
      <c r="G214" s="1721"/>
      <c r="H214" s="462">
        <f>F214*10</f>
        <v>0</v>
      </c>
      <c r="I214" s="151">
        <v>0</v>
      </c>
      <c r="J214" s="151">
        <v>0</v>
      </c>
      <c r="K214" s="150">
        <f>B214*360</f>
        <v>0</v>
      </c>
      <c r="L214" s="172">
        <v>0</v>
      </c>
      <c r="M214" s="1539">
        <f>IF(ISERROR(L214/(F214*752)),0,L214/(F214*752))</f>
        <v>0</v>
      </c>
      <c r="N214" s="1540"/>
    </row>
    <row r="215" spans="1:14">
      <c r="A215" s="78" t="s">
        <v>248</v>
      </c>
      <c r="B215" s="1431">
        <f>FWC!N261</f>
        <v>27</v>
      </c>
      <c r="C215" s="1422"/>
      <c r="D215" s="1736">
        <f>F215*325900</f>
        <v>4236700</v>
      </c>
      <c r="E215" s="2111"/>
      <c r="F215" s="2031">
        <v>13</v>
      </c>
      <c r="G215" s="1862"/>
      <c r="H215" s="483">
        <v>123</v>
      </c>
      <c r="I215" s="151">
        <v>17494.740000000002</v>
      </c>
      <c r="J215" s="151">
        <v>0</v>
      </c>
      <c r="K215" s="151">
        <v>17494.740000000002</v>
      </c>
      <c r="L215" s="172">
        <f>SUM(I215:K215)</f>
        <v>34989.480000000003</v>
      </c>
      <c r="M215" s="1539">
        <f>IF(ISERROR(L215/(F215*752)),0,L215/(F215*752))</f>
        <v>3.5791202945990181</v>
      </c>
      <c r="N215" s="1540"/>
    </row>
    <row r="216" spans="1:14" ht="14" thickBot="1">
      <c r="A216" s="78" t="s">
        <v>238</v>
      </c>
      <c r="B216" s="1431">
        <f>FWC!N262</f>
        <v>11</v>
      </c>
      <c r="C216" s="1422"/>
      <c r="D216" s="1737">
        <v>418847</v>
      </c>
      <c r="E216" s="2112"/>
      <c r="F216" s="2032">
        <f>9793*0.00014</f>
        <v>1.3710199999999999</v>
      </c>
      <c r="G216" s="1729"/>
      <c r="H216" s="966">
        <v>12.85</v>
      </c>
      <c r="I216" s="151">
        <v>0</v>
      </c>
      <c r="J216" s="151">
        <f>32813.4-K216</f>
        <v>13227.400000000001</v>
      </c>
      <c r="K216" s="151">
        <f>9793*2</f>
        <v>19586</v>
      </c>
      <c r="L216" s="172">
        <f>SUM(I216:K216)</f>
        <v>32813.4</v>
      </c>
      <c r="M216" s="1539">
        <f>IF(ISERROR(L216/(F216*752)),0,L216/(F216*752))</f>
        <v>31.826552804139922</v>
      </c>
      <c r="N216" s="1540"/>
    </row>
    <row r="217" spans="1:14" ht="14" thickBot="1">
      <c r="A217" s="53" t="s">
        <v>60</v>
      </c>
      <c r="B217" s="1438">
        <f>SUM(B207:B216)</f>
        <v>623</v>
      </c>
      <c r="C217" s="1621"/>
      <c r="D217" s="1441">
        <f>SUM(D207:E216)</f>
        <v>11760492.899999999</v>
      </c>
      <c r="E217" s="1621"/>
      <c r="F217" s="1511">
        <f>SUM(F207:G216)</f>
        <v>36.172020000000003</v>
      </c>
      <c r="G217" s="1575"/>
      <c r="H217" s="482">
        <f>SUM(H207:H216)</f>
        <v>482.45</v>
      </c>
      <c r="I217" s="136">
        <f>SUM(I207:I216)</f>
        <v>17494.740000000002</v>
      </c>
      <c r="J217" s="136">
        <f>SUM(J207:J216)</f>
        <v>37398.400000000001</v>
      </c>
      <c r="K217" s="136">
        <f>SUM(K207:K216)</f>
        <v>84544.74</v>
      </c>
      <c r="L217" s="152">
        <f>SUM(L207:L216)</f>
        <v>139437.88</v>
      </c>
      <c r="M217" s="2102"/>
      <c r="N217" s="2103"/>
    </row>
    <row r="218" spans="1:14" s="91" customFormat="1" ht="17" hidden="1" thickBot="1">
      <c r="A218" s="108" t="str">
        <f>'Ontario Total'!A216</f>
        <v xml:space="preserve">IEUA High Efficiency Toilet (HET) Installation Prog. </v>
      </c>
      <c r="B218" s="1567"/>
      <c r="C218" s="1586"/>
      <c r="D218" s="1567"/>
      <c r="E218" s="1586"/>
      <c r="F218" s="1587"/>
      <c r="G218" s="1588"/>
      <c r="H218" s="460"/>
      <c r="I218" s="179"/>
      <c r="J218" s="179"/>
      <c r="K218" s="179"/>
      <c r="L218" s="180"/>
      <c r="M218" s="2104"/>
      <c r="N218" s="1985"/>
    </row>
    <row r="219" spans="1:14" hidden="1">
      <c r="A219" s="32" t="str">
        <f>'Ontario Total'!A217</f>
        <v>IEUA Multi-Family Direct Install Prog. (HET)</v>
      </c>
      <c r="B219" s="1431"/>
      <c r="C219" s="1422"/>
      <c r="D219" s="1431">
        <f>F219*325851</f>
        <v>0</v>
      </c>
      <c r="E219" s="1422"/>
      <c r="F219" s="1720">
        <f>0.0425*B219</f>
        <v>0</v>
      </c>
      <c r="G219" s="1721"/>
      <c r="H219" s="462">
        <f>F219*20</f>
        <v>0</v>
      </c>
      <c r="I219" s="181">
        <f>73.34*B219</f>
        <v>0</v>
      </c>
      <c r="J219" s="181">
        <f>35.66*B219</f>
        <v>0</v>
      </c>
      <c r="K219" s="181">
        <f>B219*50</f>
        <v>0</v>
      </c>
      <c r="L219" s="182">
        <f>I219+J219+K219</f>
        <v>0</v>
      </c>
      <c r="M219" s="1990">
        <f>IF(ISERROR(L219/(F219*727)),0,L219/(F219*727))</f>
        <v>0</v>
      </c>
      <c r="N219" s="1991"/>
    </row>
    <row r="220" spans="1:14" s="1168" customFormat="1" ht="14" hidden="1" thickBot="1">
      <c r="A220" s="1198" t="str">
        <f>'Ontario Total'!A218</f>
        <v>IEUA Single-Family Direct Install Prog. (HET)</v>
      </c>
      <c r="B220" s="2105"/>
      <c r="C220" s="2106"/>
      <c r="D220" s="2105">
        <f>F220*325851</f>
        <v>0</v>
      </c>
      <c r="E220" s="2106"/>
      <c r="F220" s="2107">
        <f>0.0425*B220</f>
        <v>0</v>
      </c>
      <c r="G220" s="2108"/>
      <c r="H220" s="1192">
        <f>F220*20</f>
        <v>0</v>
      </c>
      <c r="I220" s="1206">
        <f>73.34*B220</f>
        <v>0</v>
      </c>
      <c r="J220" s="1206">
        <f>35.66*B220</f>
        <v>0</v>
      </c>
      <c r="K220" s="1206">
        <f>B220*50</f>
        <v>0</v>
      </c>
      <c r="L220" s="1207">
        <f>I220+J220+K220</f>
        <v>0</v>
      </c>
      <c r="M220" s="2109">
        <f>IF(ISERROR(L220/(F220*727)),0,L220/(F220*727))</f>
        <v>0</v>
      </c>
      <c r="N220" s="2110"/>
    </row>
    <row r="221" spans="1:14" ht="14" hidden="1" thickBot="1">
      <c r="A221" s="53" t="s">
        <v>60</v>
      </c>
      <c r="B221" s="1438"/>
      <c r="C221" s="1609"/>
      <c r="D221" s="1438">
        <f>SUM(D219:D220)</f>
        <v>0</v>
      </c>
      <c r="E221" s="1609"/>
      <c r="F221" s="1618">
        <f>SUM(F219)</f>
        <v>0</v>
      </c>
      <c r="G221" s="1575"/>
      <c r="H221" s="482">
        <f>SUM(H219:H220)</f>
        <v>0</v>
      </c>
      <c r="I221" s="186">
        <f>SUM(I219:I220)</f>
        <v>0</v>
      </c>
      <c r="J221" s="187">
        <f>SUM(J219:J220)</f>
        <v>0</v>
      </c>
      <c r="K221" s="187">
        <f>SUM(K219:K220)</f>
        <v>0</v>
      </c>
      <c r="L221" s="186">
        <f>SUM(L219:L220)</f>
        <v>0</v>
      </c>
      <c r="M221" s="1442"/>
      <c r="N221" s="1735"/>
    </row>
    <row r="222" spans="1:14" s="1161" customFormat="1" ht="17" thickBot="1">
      <c r="A222" s="108" t="str">
        <f>'Ontario Total'!A220</f>
        <v>SoCal Water$mart Commercial Rebates</v>
      </c>
      <c r="B222" s="1567"/>
      <c r="C222" s="1586"/>
      <c r="D222" s="1567"/>
      <c r="E222" s="1586"/>
      <c r="F222" s="1587"/>
      <c r="G222" s="1588"/>
      <c r="H222" s="1299"/>
      <c r="I222" s="179"/>
      <c r="J222" s="179"/>
      <c r="K222" s="179"/>
      <c r="L222" s="180"/>
      <c r="M222" s="1593"/>
      <c r="N222" s="1542"/>
    </row>
    <row r="223" spans="1:14">
      <c r="A223" s="32" t="str">
        <f>'Ontario Total'!A221</f>
        <v>High Efficiency Toilets (HET)</v>
      </c>
      <c r="B223" s="1431">
        <f>FWC!N270</f>
        <v>1162</v>
      </c>
      <c r="C223" s="1422"/>
      <c r="D223" s="1431">
        <f>F223*325900</f>
        <v>16094571.500000002</v>
      </c>
      <c r="E223" s="1422"/>
      <c r="F223" s="1720">
        <f>0.0425*B223</f>
        <v>49.385000000000005</v>
      </c>
      <c r="G223" s="1721"/>
      <c r="H223" s="462">
        <f>F223*20</f>
        <v>987.7</v>
      </c>
      <c r="I223" s="151">
        <v>0</v>
      </c>
      <c r="J223" s="150">
        <v>0</v>
      </c>
      <c r="K223" s="150">
        <v>1966</v>
      </c>
      <c r="L223" s="172">
        <f>SUM(I223:K223)</f>
        <v>1966</v>
      </c>
      <c r="M223" s="1539">
        <f>IF(ISERROR(L223/(F223*752)),0,L223/(F223*752))</f>
        <v>5.2938376068191947E-2</v>
      </c>
      <c r="N223" s="1540"/>
    </row>
    <row r="224" spans="1:14">
      <c r="A224" s="32" t="str">
        <f>'Ontario Total'!A222</f>
        <v>Waterless Urinals</v>
      </c>
      <c r="B224" s="1431">
        <f>FWC!N271</f>
        <v>0</v>
      </c>
      <c r="C224" s="1422"/>
      <c r="D224" s="1431">
        <f>F224*325900</f>
        <v>0</v>
      </c>
      <c r="E224" s="1422"/>
      <c r="F224" s="1720">
        <f>0.1227*B224</f>
        <v>0</v>
      </c>
      <c r="G224" s="1721"/>
      <c r="H224" s="462">
        <f>F224*20</f>
        <v>0</v>
      </c>
      <c r="I224" s="151">
        <v>0</v>
      </c>
      <c r="J224" s="150">
        <f>0*B224</f>
        <v>0</v>
      </c>
      <c r="K224" s="150">
        <f>400*B224</f>
        <v>0</v>
      </c>
      <c r="L224" s="172">
        <f>SUM(I224:K224)</f>
        <v>0</v>
      </c>
      <c r="M224" s="1539">
        <f t="shared" ref="M224:M236" si="64">IF(ISERROR(L224/(F224*752)),0,L224/(F224*752))</f>
        <v>0</v>
      </c>
      <c r="N224" s="1540"/>
    </row>
    <row r="225" spans="1:14">
      <c r="A225" s="32" t="s">
        <v>204</v>
      </c>
      <c r="B225" s="1431">
        <f>FWC!N272</f>
        <v>0</v>
      </c>
      <c r="C225" s="1422"/>
      <c r="D225" s="1431">
        <f t="shared" ref="D225:D235" si="65">F225*325900</f>
        <v>0</v>
      </c>
      <c r="E225" s="1422"/>
      <c r="F225" s="1720">
        <v>0</v>
      </c>
      <c r="G225" s="1721"/>
      <c r="H225" s="462">
        <f>F225*5</f>
        <v>0</v>
      </c>
      <c r="I225" s="151">
        <v>0</v>
      </c>
      <c r="J225" s="150">
        <f>43.75*B225</f>
        <v>0</v>
      </c>
      <c r="K225" s="150">
        <f>625*B225</f>
        <v>0</v>
      </c>
      <c r="L225" s="172">
        <f>SUM(I225:K225)</f>
        <v>0</v>
      </c>
      <c r="M225" s="1539">
        <f t="shared" si="64"/>
        <v>0</v>
      </c>
      <c r="N225" s="1540"/>
    </row>
    <row r="226" spans="1:14" ht="12.75" hidden="1" customHeight="1">
      <c r="A226" s="32" t="str">
        <f>'Ontario Total'!A224</f>
        <v>High Efficiency Clothes Washers</v>
      </c>
      <c r="B226" s="1431">
        <f>FWC!N273</f>
        <v>0</v>
      </c>
      <c r="C226" s="1422"/>
      <c r="D226" s="1431">
        <f t="shared" si="65"/>
        <v>0</v>
      </c>
      <c r="E226" s="1422"/>
      <c r="F226" s="1720">
        <f>0.0276*B226</f>
        <v>0</v>
      </c>
      <c r="G226" s="1721"/>
      <c r="H226" s="462">
        <f>F226*10</f>
        <v>0</v>
      </c>
      <c r="I226" s="151">
        <v>0</v>
      </c>
      <c r="J226" s="181">
        <f>100*B226</f>
        <v>0</v>
      </c>
      <c r="K226" s="181">
        <f>80*B226</f>
        <v>0</v>
      </c>
      <c r="L226" s="182">
        <f>SUM(I226:K226)</f>
        <v>0</v>
      </c>
      <c r="M226" s="1539">
        <f t="shared" si="64"/>
        <v>0</v>
      </c>
      <c r="N226" s="1540"/>
    </row>
    <row r="227" spans="1:14" ht="12.75" hidden="1" customHeight="1">
      <c r="A227" s="35" t="s">
        <v>47</v>
      </c>
      <c r="B227" s="1431">
        <f>FWC!N274</f>
        <v>0</v>
      </c>
      <c r="C227" s="1422"/>
      <c r="D227" s="1431">
        <f t="shared" si="65"/>
        <v>0</v>
      </c>
      <c r="E227" s="1422"/>
      <c r="F227" s="1720">
        <f>0.1534*B227</f>
        <v>0</v>
      </c>
      <c r="G227" s="1721"/>
      <c r="H227" s="462">
        <f>F227*5</f>
        <v>0</v>
      </c>
      <c r="I227" s="151">
        <v>0</v>
      </c>
      <c r="J227" s="181">
        <f>0*B227</f>
        <v>0</v>
      </c>
      <c r="K227" s="181">
        <f>150*B227</f>
        <v>0</v>
      </c>
      <c r="L227" s="182">
        <f>SUM(I227:K227)</f>
        <v>0</v>
      </c>
      <c r="M227" s="1539">
        <f t="shared" si="64"/>
        <v>0</v>
      </c>
      <c r="N227" s="1540"/>
    </row>
    <row r="228" spans="1:14">
      <c r="A228" s="32" t="str">
        <f>'Ontario Total'!A226</f>
        <v>Weather Based Irrigation Controllers (WBIC)</v>
      </c>
      <c r="B228" s="1431">
        <f>FWC!N275</f>
        <v>2</v>
      </c>
      <c r="C228" s="1422"/>
      <c r="D228" s="1431">
        <f t="shared" si="65"/>
        <v>211835</v>
      </c>
      <c r="E228" s="1422"/>
      <c r="F228" s="1720">
        <f>0.325*B228</f>
        <v>0.65</v>
      </c>
      <c r="G228" s="1721"/>
      <c r="H228" s="462">
        <f>F228*10</f>
        <v>6.5</v>
      </c>
      <c r="I228" s="151">
        <v>0</v>
      </c>
      <c r="J228" s="150">
        <v>0</v>
      </c>
      <c r="K228" s="150">
        <v>0</v>
      </c>
      <c r="L228" s="172">
        <v>0</v>
      </c>
      <c r="M228" s="1539">
        <f t="shared" si="64"/>
        <v>0</v>
      </c>
      <c r="N228" s="1540"/>
    </row>
    <row r="229" spans="1:14" ht="12.75" hidden="1" customHeight="1">
      <c r="A229" s="33" t="s">
        <v>53</v>
      </c>
      <c r="B229" s="1431">
        <f>FWC!N276</f>
        <v>0</v>
      </c>
      <c r="C229" s="1422"/>
      <c r="D229" s="1431">
        <f t="shared" si="65"/>
        <v>0</v>
      </c>
      <c r="E229" s="1422"/>
      <c r="F229" s="1720">
        <f>0.00014*B229</f>
        <v>0</v>
      </c>
      <c r="G229" s="1721"/>
      <c r="H229" s="462">
        <f>F229*10</f>
        <v>0</v>
      </c>
      <c r="I229" s="151">
        <v>0</v>
      </c>
      <c r="J229" s="181">
        <f>0.45*B229</f>
        <v>0</v>
      </c>
      <c r="K229" s="181">
        <f>0.3*B229</f>
        <v>0</v>
      </c>
      <c r="L229" s="182">
        <f t="shared" ref="L229:L236" si="66">SUM(I229:K229)</f>
        <v>0</v>
      </c>
      <c r="M229" s="1539">
        <f t="shared" si="64"/>
        <v>0</v>
      </c>
      <c r="N229" s="1540"/>
    </row>
    <row r="230" spans="1:14">
      <c r="A230" s="32" t="str">
        <f>'Ontario Total'!A228</f>
        <v>Rotating Nozzles for Pop-up Spray Heads</v>
      </c>
      <c r="B230" s="1431">
        <f>FWC!N277</f>
        <v>4545</v>
      </c>
      <c r="C230" s="1422"/>
      <c r="D230" s="1431">
        <f t="shared" si="65"/>
        <v>5924862</v>
      </c>
      <c r="E230" s="1422"/>
      <c r="F230" s="1720">
        <f>0.004*B230</f>
        <v>18.18</v>
      </c>
      <c r="G230" s="1721"/>
      <c r="H230" s="462">
        <f>F230*5</f>
        <v>90.9</v>
      </c>
      <c r="I230" s="151">
        <v>0</v>
      </c>
      <c r="J230" s="150">
        <f>B230*2</f>
        <v>9090</v>
      </c>
      <c r="K230" s="150">
        <f>B230*3</f>
        <v>13635</v>
      </c>
      <c r="L230" s="172">
        <f t="shared" si="66"/>
        <v>22725</v>
      </c>
      <c r="M230" s="1539">
        <f t="shared" si="64"/>
        <v>1.6622340425531914</v>
      </c>
      <c r="N230" s="1540"/>
    </row>
    <row r="231" spans="1:14">
      <c r="A231" s="32" t="str">
        <f>'Ontario Total'!A229</f>
        <v>Large Rotary Nozzles</v>
      </c>
      <c r="B231" s="1431">
        <f>FWC!N278</f>
        <v>0</v>
      </c>
      <c r="C231" s="1422"/>
      <c r="D231" s="1431">
        <f t="shared" si="65"/>
        <v>0</v>
      </c>
      <c r="E231" s="1422"/>
      <c r="F231" s="1720">
        <f>0.018*B231</f>
        <v>0</v>
      </c>
      <c r="G231" s="1721"/>
      <c r="H231" s="462">
        <f>F231*10</f>
        <v>0</v>
      </c>
      <c r="I231" s="151">
        <v>0</v>
      </c>
      <c r="J231" s="150">
        <f>0*B231</f>
        <v>0</v>
      </c>
      <c r="K231" s="150">
        <f>13*B231</f>
        <v>0</v>
      </c>
      <c r="L231" s="172">
        <f t="shared" si="66"/>
        <v>0</v>
      </c>
      <c r="M231" s="1539">
        <f t="shared" si="64"/>
        <v>0</v>
      </c>
      <c r="N231" s="1540"/>
    </row>
    <row r="232" spans="1:14" ht="12.75" hidden="1" customHeight="1">
      <c r="A232" s="33" t="s">
        <v>102</v>
      </c>
      <c r="B232" s="1431">
        <f>FWC!N279</f>
        <v>0</v>
      </c>
      <c r="C232" s="1422"/>
      <c r="D232" s="1431">
        <f t="shared" si="65"/>
        <v>0</v>
      </c>
      <c r="E232" s="1422"/>
      <c r="F232" s="1720">
        <f>0.153*B232</f>
        <v>0</v>
      </c>
      <c r="G232" s="1721"/>
      <c r="H232" s="462">
        <f>F232*5</f>
        <v>0</v>
      </c>
      <c r="I232" s="151">
        <v>0</v>
      </c>
      <c r="J232" s="150">
        <f>0*B232</f>
        <v>0</v>
      </c>
      <c r="K232" s="150">
        <f>60*B232</f>
        <v>0</v>
      </c>
      <c r="L232" s="172">
        <f t="shared" si="66"/>
        <v>0</v>
      </c>
      <c r="M232" s="1539">
        <f t="shared" si="64"/>
        <v>0</v>
      </c>
      <c r="N232" s="1540"/>
    </row>
    <row r="233" spans="1:14">
      <c r="A233" s="32" t="str">
        <f>'Ontario Total'!A231</f>
        <v xml:space="preserve">Central Computerized Irrigation Controller </v>
      </c>
      <c r="B233" s="1431">
        <f>FWC!N280</f>
        <v>0</v>
      </c>
      <c r="C233" s="1422"/>
      <c r="D233" s="1431">
        <f t="shared" si="65"/>
        <v>0</v>
      </c>
      <c r="E233" s="1422"/>
      <c r="F233" s="1720">
        <f>0.018*B233</f>
        <v>0</v>
      </c>
      <c r="G233" s="1721"/>
      <c r="H233" s="462">
        <f>F233*10</f>
        <v>0</v>
      </c>
      <c r="I233" s="151">
        <v>0</v>
      </c>
      <c r="J233" s="151">
        <v>0</v>
      </c>
      <c r="K233" s="151">
        <v>0</v>
      </c>
      <c r="L233" s="172">
        <f t="shared" si="66"/>
        <v>0</v>
      </c>
      <c r="M233" s="1539">
        <f t="shared" si="64"/>
        <v>0</v>
      </c>
      <c r="N233" s="1540"/>
    </row>
    <row r="234" spans="1:14" s="57" customFormat="1">
      <c r="A234" s="144" t="str">
        <f>'Ontario Total'!A232</f>
        <v>Laminar Flow Restrictor</v>
      </c>
      <c r="B234" s="1431">
        <f>FWC!N281</f>
        <v>0</v>
      </c>
      <c r="C234" s="1422"/>
      <c r="D234" s="1431">
        <f t="shared" si="65"/>
        <v>0</v>
      </c>
      <c r="E234" s="1422"/>
      <c r="F234" s="1723">
        <f>0.023*B234</f>
        <v>0</v>
      </c>
      <c r="G234" s="1724"/>
      <c r="H234" s="463">
        <f>F234*10</f>
        <v>0</v>
      </c>
      <c r="I234" s="151">
        <v>0</v>
      </c>
      <c r="J234" s="151">
        <v>11710</v>
      </c>
      <c r="K234" s="151">
        <f>B234*10</f>
        <v>0</v>
      </c>
      <c r="L234" s="170">
        <f t="shared" si="66"/>
        <v>11710</v>
      </c>
      <c r="M234" s="1539">
        <f t="shared" si="64"/>
        <v>0</v>
      </c>
      <c r="N234" s="1540"/>
    </row>
    <row r="235" spans="1:14" s="57" customFormat="1">
      <c r="A235" s="144" t="str">
        <f>'Ontario Total'!A233</f>
        <v>Air-Cooled Ice Machine</v>
      </c>
      <c r="B235" s="1431">
        <f>FWC!N282</f>
        <v>0</v>
      </c>
      <c r="C235" s="1422"/>
      <c r="D235" s="1431">
        <f t="shared" si="65"/>
        <v>0</v>
      </c>
      <c r="E235" s="1422"/>
      <c r="F235" s="1723">
        <f>0.018*B235</f>
        <v>0</v>
      </c>
      <c r="G235" s="1724"/>
      <c r="H235" s="463">
        <f>F235*10</f>
        <v>0</v>
      </c>
      <c r="I235" s="151">
        <v>0</v>
      </c>
      <c r="J235" s="151">
        <v>0</v>
      </c>
      <c r="K235" s="151">
        <v>0</v>
      </c>
      <c r="L235" s="170">
        <f t="shared" si="66"/>
        <v>0</v>
      </c>
      <c r="M235" s="1539">
        <f t="shared" si="64"/>
        <v>0</v>
      </c>
      <c r="N235" s="1540"/>
    </row>
    <row r="236" spans="1:14" s="121" customFormat="1" ht="14" thickBot="1">
      <c r="A236" s="76" t="s">
        <v>254</v>
      </c>
      <c r="B236" s="1467">
        <f>FWC!N283</f>
        <v>1</v>
      </c>
      <c r="C236" s="1433"/>
      <c r="D236" s="1467">
        <f>F236*325900</f>
        <v>103375.48</v>
      </c>
      <c r="E236" s="1433"/>
      <c r="F236" s="1762">
        <f>2440*0.00013</f>
        <v>0.31719999999999998</v>
      </c>
      <c r="G236" s="1753"/>
      <c r="H236" s="1294">
        <f>F236*10</f>
        <v>3.1719999999999997</v>
      </c>
      <c r="I236" s="173">
        <v>0</v>
      </c>
      <c r="J236" s="173">
        <v>2440</v>
      </c>
      <c r="K236" s="173">
        <v>4880</v>
      </c>
      <c r="L236" s="174">
        <f t="shared" si="66"/>
        <v>7320</v>
      </c>
      <c r="M236" s="1427">
        <f t="shared" si="64"/>
        <v>30.687397708674307</v>
      </c>
      <c r="N236" s="1428"/>
    </row>
    <row r="237" spans="1:14" s="57" customFormat="1" ht="14" hidden="1" thickBot="1">
      <c r="A237" s="107"/>
      <c r="B237" s="571"/>
      <c r="C237" s="570"/>
      <c r="D237" s="571"/>
      <c r="E237" s="570"/>
      <c r="F237" s="581"/>
      <c r="G237" s="582"/>
      <c r="H237" s="580"/>
      <c r="I237" s="151"/>
      <c r="J237" s="151"/>
      <c r="K237" s="151"/>
      <c r="L237" s="170"/>
      <c r="M237" s="563"/>
      <c r="N237" s="564"/>
    </row>
    <row r="238" spans="1:14" s="1161" customFormat="1" ht="17" thickBot="1">
      <c r="A238" s="108" t="str">
        <f>'Ontario Total'!A236</f>
        <v>IEUA Locally Implemented Commercial Programs</v>
      </c>
      <c r="B238" s="1567"/>
      <c r="C238" s="1586"/>
      <c r="D238" s="1567"/>
      <c r="E238" s="1586"/>
      <c r="F238" s="1587"/>
      <c r="G238" s="1588"/>
      <c r="H238" s="1299"/>
      <c r="I238" s="109"/>
      <c r="J238" s="109"/>
      <c r="K238" s="109"/>
      <c r="L238" s="1296"/>
      <c r="M238" s="1593"/>
      <c r="N238" s="1542"/>
    </row>
    <row r="239" spans="1:14" hidden="1">
      <c r="A239" s="32" t="str">
        <f>'Ontario Total'!A237</f>
        <v>Fontana Unified School Retrofit Program</v>
      </c>
      <c r="B239" s="1431">
        <f>FWC!N203</f>
        <v>0</v>
      </c>
      <c r="C239" s="1422"/>
      <c r="D239" s="1444">
        <v>0</v>
      </c>
      <c r="E239" s="1422"/>
      <c r="F239" s="1723">
        <v>0</v>
      </c>
      <c r="G239" s="1724"/>
      <c r="H239" s="463">
        <v>0</v>
      </c>
      <c r="I239" s="220">
        <v>0</v>
      </c>
      <c r="J239" s="151">
        <v>0</v>
      </c>
      <c r="K239" s="151">
        <v>0</v>
      </c>
      <c r="L239" s="172">
        <v>0</v>
      </c>
      <c r="M239" s="1990">
        <f>IF(ISERROR(L239/(F239*727)),0,L239/(F239*727))</f>
        <v>0</v>
      </c>
      <c r="N239" s="1991"/>
    </row>
    <row r="240" spans="1:14" s="121" customFormat="1" ht="14" thickBot="1">
      <c r="A240" s="33" t="s">
        <v>165</v>
      </c>
      <c r="B240" s="1467">
        <f>FWC!N286</f>
        <v>0</v>
      </c>
      <c r="C240" s="1433"/>
      <c r="D240" s="1432">
        <f>F240*325900</f>
        <v>0</v>
      </c>
      <c r="E240" s="1433"/>
      <c r="F240" s="1710">
        <v>0</v>
      </c>
      <c r="G240" s="1711"/>
      <c r="H240" s="1294">
        <v>0</v>
      </c>
      <c r="I240" s="173">
        <v>0</v>
      </c>
      <c r="J240" s="173">
        <v>0</v>
      </c>
      <c r="K240" s="173">
        <f>B240*3.25</f>
        <v>0</v>
      </c>
      <c r="L240" s="174">
        <f>SUM(I240:K240)</f>
        <v>0</v>
      </c>
      <c r="M240" s="1427">
        <f>IF(ISERROR(L240/(F240*752)),0,L240/(F240*752))</f>
        <v>0</v>
      </c>
      <c r="N240" s="1428"/>
    </row>
    <row r="241" spans="1:14" ht="14" thickBot="1">
      <c r="A241" s="53" t="s">
        <v>60</v>
      </c>
      <c r="B241" s="1438">
        <f>SUM(B223:C240)</f>
        <v>5710</v>
      </c>
      <c r="C241" s="1440"/>
      <c r="D241" s="1441">
        <f>SUM(D223:E240)</f>
        <v>22334643.98</v>
      </c>
      <c r="E241" s="1440"/>
      <c r="F241" s="1511">
        <f>SUM(F223:G240)</f>
        <v>68.532200000000003</v>
      </c>
      <c r="G241" s="1575"/>
      <c r="H241" s="482">
        <f>SUM(H223:H240)</f>
        <v>1088.2720000000002</v>
      </c>
      <c r="I241" s="248">
        <f>SUM(I223:I240)</f>
        <v>0</v>
      </c>
      <c r="J241" s="136">
        <f>SUM(J223:J240)</f>
        <v>23240</v>
      </c>
      <c r="K241" s="136">
        <f>SUM(K223:K240)</f>
        <v>20481</v>
      </c>
      <c r="L241" s="136">
        <f>SUM(L223:L240)</f>
        <v>43721</v>
      </c>
      <c r="M241" s="1442"/>
      <c r="N241" s="1735"/>
    </row>
    <row r="242" spans="1:14" s="1168" customFormat="1" ht="17" thickBot="1">
      <c r="A242" s="1182" t="s">
        <v>17</v>
      </c>
      <c r="B242" s="1416">
        <f>SUM(B217+B221+B241)</f>
        <v>6333</v>
      </c>
      <c r="C242" s="1415"/>
      <c r="D242" s="1416">
        <f>SUM(D217+D221+D241)</f>
        <v>34095136.879999995</v>
      </c>
      <c r="E242" s="1415"/>
      <c r="F242" s="1487">
        <f>SUM(F217+F221+F241)</f>
        <v>104.70422000000001</v>
      </c>
      <c r="G242" s="1488"/>
      <c r="H242" s="1293">
        <f>SUM(H217+H221+H241)</f>
        <v>1570.7220000000002</v>
      </c>
      <c r="I242" s="1169">
        <f>SUM(I217+I221+I241)</f>
        <v>17494.740000000002</v>
      </c>
      <c r="J242" s="1169">
        <f>SUM(J217+J221+J241)</f>
        <v>60638.400000000001</v>
      </c>
      <c r="K242" s="1169">
        <f>SUM(K217+K221+K241)</f>
        <v>105025.74</v>
      </c>
      <c r="L242" s="1169">
        <f>SUM(L217+L221+L241)</f>
        <v>183158.88</v>
      </c>
      <c r="M242" s="1417"/>
      <c r="N242" s="1614"/>
    </row>
    <row r="243" spans="1:14" ht="16">
      <c r="A243" s="60"/>
      <c r="B243" s="61"/>
      <c r="C243" s="61"/>
      <c r="D243" s="61"/>
      <c r="E243" s="61"/>
      <c r="F243" s="441"/>
      <c r="G243" s="441"/>
      <c r="H243" s="441"/>
      <c r="I243" s="62"/>
      <c r="J243" s="62"/>
      <c r="K243" s="62"/>
      <c r="L243" s="62"/>
      <c r="M243" s="64"/>
      <c r="N243" s="65"/>
    </row>
    <row r="244" spans="1:14" ht="16">
      <c r="A244" s="9" t="s">
        <v>18</v>
      </c>
      <c r="B244" s="1419" t="s">
        <v>59</v>
      </c>
      <c r="C244" s="1419"/>
      <c r="D244" s="1419"/>
      <c r="E244" s="1419"/>
      <c r="F244" s="441"/>
      <c r="G244" s="441"/>
      <c r="H244" s="441"/>
      <c r="I244" s="62"/>
      <c r="J244" s="62"/>
      <c r="K244" s="62"/>
      <c r="L244" s="62"/>
      <c r="M244" s="64"/>
      <c r="N244" s="65"/>
    </row>
    <row r="245" spans="1:14" ht="16">
      <c r="A245" s="57"/>
      <c r="B245" s="1420" t="s">
        <v>19</v>
      </c>
      <c r="C245" s="1420"/>
      <c r="D245" s="1420"/>
      <c r="E245" s="1420"/>
      <c r="F245" s="441"/>
      <c r="G245" s="441"/>
      <c r="H245" s="441"/>
      <c r="I245" s="62"/>
      <c r="J245" s="62"/>
      <c r="K245" s="62"/>
      <c r="L245" s="62"/>
      <c r="M245" s="64"/>
      <c r="N245" s="65"/>
    </row>
    <row r="246" spans="1:14" ht="17" thickBot="1">
      <c r="A246" s="57"/>
      <c r="B246" s="1012"/>
      <c r="C246" s="1012"/>
      <c r="D246" s="1012"/>
      <c r="E246" s="1012"/>
      <c r="F246" s="441"/>
      <c r="G246" s="441"/>
      <c r="H246" s="441"/>
      <c r="I246" s="62"/>
      <c r="J246" s="62"/>
      <c r="K246" s="62"/>
      <c r="L246" s="62"/>
      <c r="M246" s="64"/>
      <c r="N246" s="65"/>
    </row>
    <row r="247" spans="1:14" s="363" customFormat="1" ht="16">
      <c r="A247" s="98"/>
      <c r="B247" s="99"/>
      <c r="C247" s="99"/>
      <c r="D247" s="99"/>
      <c r="E247" s="99"/>
      <c r="F247" s="421"/>
      <c r="G247" s="421"/>
      <c r="H247" s="421"/>
      <c r="I247" s="1468" t="s">
        <v>0</v>
      </c>
      <c r="J247" s="1468"/>
      <c r="K247" s="1468"/>
      <c r="L247" s="1468"/>
      <c r="M247" s="99"/>
      <c r="N247" s="101"/>
    </row>
    <row r="248" spans="1:14" ht="16">
      <c r="A248" s="97"/>
      <c r="B248" s="1469" t="s">
        <v>1</v>
      </c>
      <c r="C248" s="1469"/>
      <c r="D248" s="1469" t="s">
        <v>2</v>
      </c>
      <c r="E248" s="1469"/>
      <c r="F248" s="1470" t="s">
        <v>3</v>
      </c>
      <c r="G248" s="1470"/>
      <c r="H248" s="1003" t="s">
        <v>3</v>
      </c>
      <c r="I248" s="127" t="s">
        <v>197</v>
      </c>
      <c r="J248" s="102"/>
      <c r="K248" s="102"/>
      <c r="L248" s="128"/>
      <c r="M248" s="1469" t="s">
        <v>4</v>
      </c>
      <c r="N248" s="1526"/>
    </row>
    <row r="249" spans="1:14" s="121" customFormat="1" ht="19" thickBot="1">
      <c r="A249" s="1345" t="s">
        <v>5</v>
      </c>
      <c r="B249" s="2061" t="s">
        <v>6</v>
      </c>
      <c r="C249" s="2061"/>
      <c r="D249" s="2061" t="s">
        <v>7</v>
      </c>
      <c r="E249" s="2061"/>
      <c r="F249" s="2113" t="s">
        <v>7</v>
      </c>
      <c r="G249" s="2113"/>
      <c r="H249" s="1346" t="s">
        <v>58</v>
      </c>
      <c r="I249" s="1347" t="s">
        <v>196</v>
      </c>
      <c r="J249" s="1348" t="s">
        <v>8</v>
      </c>
      <c r="K249" s="1348" t="s">
        <v>9</v>
      </c>
      <c r="L249" s="1349" t="s">
        <v>10</v>
      </c>
      <c r="M249" s="2061" t="s">
        <v>145</v>
      </c>
      <c r="N249" s="2062"/>
    </row>
    <row r="250" spans="1:14" ht="24" thickBot="1">
      <c r="A250" s="88" t="s">
        <v>211</v>
      </c>
      <c r="B250" s="1764"/>
      <c r="C250" s="1477"/>
      <c r="D250" s="1478"/>
      <c r="E250" s="1479"/>
      <c r="F250" s="1480"/>
      <c r="G250" s="1481"/>
      <c r="H250" s="1020"/>
      <c r="I250" s="213"/>
      <c r="J250" s="177"/>
      <c r="K250" s="177"/>
      <c r="L250" s="178"/>
      <c r="M250" s="1891"/>
      <c r="N250" s="1892"/>
    </row>
    <row r="251" spans="1:14" s="1161" customFormat="1" ht="17" thickBot="1">
      <c r="A251" s="108" t="str">
        <f>'Ontario Total'!A249</f>
        <v>SoCal Water$mart Residential Rebates</v>
      </c>
      <c r="B251" s="1567"/>
      <c r="C251" s="1586"/>
      <c r="D251" s="1567"/>
      <c r="E251" s="1586"/>
      <c r="F251" s="1587"/>
      <c r="G251" s="1588"/>
      <c r="H251" s="1301"/>
      <c r="I251" s="109"/>
      <c r="J251" s="179"/>
      <c r="K251" s="179"/>
      <c r="L251" s="180"/>
      <c r="M251" s="1593"/>
      <c r="N251" s="1542"/>
    </row>
    <row r="252" spans="1:14">
      <c r="A252" s="32" t="str">
        <f>'Ontario Total'!A250</f>
        <v>High Efficiency Toilets (HET)</v>
      </c>
      <c r="B252" s="1431">
        <f>FWC!N215</f>
        <v>69</v>
      </c>
      <c r="C252" s="1422"/>
      <c r="D252" s="1431">
        <f t="shared" ref="D252:D257" si="67">F252*325851</f>
        <v>955558.0575</v>
      </c>
      <c r="E252" s="1422"/>
      <c r="F252" s="1720">
        <f>0.0425*B252</f>
        <v>2.9325000000000001</v>
      </c>
      <c r="G252" s="1721"/>
      <c r="H252" s="384">
        <f>F252*20</f>
        <v>58.650000000000006</v>
      </c>
      <c r="I252" s="151">
        <v>0</v>
      </c>
      <c r="J252" s="150">
        <f>50*B252</f>
        <v>3450</v>
      </c>
      <c r="K252" s="150">
        <f>B252*50</f>
        <v>3450</v>
      </c>
      <c r="L252" s="172">
        <f t="shared" ref="L252:L257" si="68">I252+J252+K252</f>
        <v>6900</v>
      </c>
      <c r="M252" s="1539">
        <f t="shared" ref="M252:M257" si="69">IF(ISERROR(L252/(F252*752)),0,L252/(F252*752))</f>
        <v>3.1289111389236544</v>
      </c>
      <c r="N252" s="1540"/>
    </row>
    <row r="253" spans="1:14">
      <c r="A253" s="32" t="str">
        <f>'Ontario Total'!A251</f>
        <v>High Efficiency Clothes Washers (HECW)</v>
      </c>
      <c r="B253" s="1431">
        <f>FWC!N216</f>
        <v>174</v>
      </c>
      <c r="C253" s="1422"/>
      <c r="D253" s="1431">
        <f t="shared" si="67"/>
        <v>1564866.8424</v>
      </c>
      <c r="E253" s="1422"/>
      <c r="F253" s="1720">
        <f>0.0276*B253</f>
        <v>4.8023999999999996</v>
      </c>
      <c r="G253" s="1721"/>
      <c r="H253" s="384">
        <f>F253*15</f>
        <v>72.035999999999987</v>
      </c>
      <c r="I253" s="150">
        <f>0*B253</f>
        <v>0</v>
      </c>
      <c r="J253" s="150">
        <f>B253*65</f>
        <v>11310</v>
      </c>
      <c r="K253" s="150">
        <f>B253*85</f>
        <v>14790</v>
      </c>
      <c r="L253" s="172">
        <f t="shared" si="68"/>
        <v>26100</v>
      </c>
      <c r="M253" s="1539">
        <f t="shared" si="69"/>
        <v>7.227104532839963</v>
      </c>
      <c r="N253" s="1540"/>
    </row>
    <row r="254" spans="1:14">
      <c r="A254" s="32" t="str">
        <f>'Ontario Total'!A252</f>
        <v>Rotating Nozzles for Pop-up Spray Heads</v>
      </c>
      <c r="B254" s="1431">
        <f>FWC!N217</f>
        <v>1</v>
      </c>
      <c r="C254" s="1422"/>
      <c r="D254" s="1431">
        <f t="shared" si="67"/>
        <v>1303.404</v>
      </c>
      <c r="E254" s="1422"/>
      <c r="F254" s="1720">
        <f>0.004*B254</f>
        <v>4.0000000000000001E-3</v>
      </c>
      <c r="G254" s="1721"/>
      <c r="H254" s="384">
        <f>F254*5</f>
        <v>0.02</v>
      </c>
      <c r="I254" s="150">
        <f>0*B254</f>
        <v>0</v>
      </c>
      <c r="J254" s="150">
        <f>1*B254</f>
        <v>1</v>
      </c>
      <c r="K254" s="150">
        <f>B254*4</f>
        <v>4</v>
      </c>
      <c r="L254" s="172">
        <f t="shared" si="68"/>
        <v>5</v>
      </c>
      <c r="M254" s="1539">
        <f t="shared" si="69"/>
        <v>1.6622340425531914</v>
      </c>
      <c r="N254" s="1540"/>
    </row>
    <row r="255" spans="1:14">
      <c r="A255" s="32" t="str">
        <f>'Ontario Total'!A253</f>
        <v>Weather based Irrigation Controllers (WBIC)</v>
      </c>
      <c r="B255" s="1421">
        <f>FWC!N218</f>
        <v>5</v>
      </c>
      <c r="C255" s="1422"/>
      <c r="D255" s="1431">
        <f t="shared" si="67"/>
        <v>529507.875</v>
      </c>
      <c r="E255" s="1422"/>
      <c r="F255" s="1720">
        <f>0.325*B255</f>
        <v>1.625</v>
      </c>
      <c r="G255" s="1721"/>
      <c r="H255" s="384">
        <f>F255*10</f>
        <v>16.25</v>
      </c>
      <c r="I255" s="151">
        <v>0</v>
      </c>
      <c r="J255" s="150">
        <f>B255*70</f>
        <v>350</v>
      </c>
      <c r="K255" s="150">
        <f>B255*80</f>
        <v>400</v>
      </c>
      <c r="L255" s="172">
        <f t="shared" si="68"/>
        <v>750</v>
      </c>
      <c r="M255" s="1539">
        <f t="shared" si="69"/>
        <v>0.61374795417348604</v>
      </c>
      <c r="N255" s="1540"/>
    </row>
    <row r="256" spans="1:14" s="1168" customFormat="1" ht="12.75" hidden="1" customHeight="1">
      <c r="A256" s="1197" t="s">
        <v>183</v>
      </c>
      <c r="B256" s="2114">
        <f>FWC!N219</f>
        <v>0</v>
      </c>
      <c r="C256" s="2106"/>
      <c r="D256" s="2105">
        <f t="shared" si="67"/>
        <v>0</v>
      </c>
      <c r="E256" s="2106"/>
      <c r="F256" s="2107">
        <f>0.325*B256</f>
        <v>0</v>
      </c>
      <c r="G256" s="2108"/>
      <c r="H256" s="1200">
        <f>F256*10</f>
        <v>0</v>
      </c>
      <c r="I256" s="1193">
        <v>0</v>
      </c>
      <c r="J256" s="1193">
        <f>B256*70</f>
        <v>0</v>
      </c>
      <c r="K256" s="1193">
        <f>B256*80</f>
        <v>0</v>
      </c>
      <c r="L256" s="1194">
        <f t="shared" si="68"/>
        <v>0</v>
      </c>
      <c r="M256" s="2115">
        <f t="shared" si="69"/>
        <v>0</v>
      </c>
      <c r="N256" s="2116"/>
    </row>
    <row r="257" spans="1:14" s="57" customFormat="1" ht="12.75" customHeight="1" thickBot="1">
      <c r="A257" s="107" t="s">
        <v>214</v>
      </c>
      <c r="B257" s="1945">
        <f>FWC!N220</f>
        <v>0</v>
      </c>
      <c r="C257" s="1446"/>
      <c r="D257" s="1736">
        <f t="shared" si="67"/>
        <v>0</v>
      </c>
      <c r="E257" s="1446"/>
      <c r="F257" s="1723">
        <f>0.325*B257</f>
        <v>0</v>
      </c>
      <c r="G257" s="1724"/>
      <c r="H257" s="389">
        <f>F257*10</f>
        <v>0</v>
      </c>
      <c r="I257" s="151">
        <v>0</v>
      </c>
      <c r="J257" s="151">
        <f>B257*0</f>
        <v>0</v>
      </c>
      <c r="K257" s="151">
        <f>B257*75</f>
        <v>0</v>
      </c>
      <c r="L257" s="170">
        <f t="shared" si="68"/>
        <v>0</v>
      </c>
      <c r="M257" s="1539">
        <f t="shared" si="69"/>
        <v>0</v>
      </c>
      <c r="N257" s="1540"/>
    </row>
    <row r="258" spans="1:14" s="1161" customFormat="1" ht="17" thickBot="1">
      <c r="A258" s="108" t="str">
        <f>'Ontario Total'!A256</f>
        <v>IEUA Locally Implemented Residential Programs</v>
      </c>
      <c r="B258" s="1567"/>
      <c r="C258" s="1586"/>
      <c r="D258" s="1567"/>
      <c r="E258" s="1586"/>
      <c r="F258" s="1587"/>
      <c r="G258" s="1588"/>
      <c r="H258" s="1301"/>
      <c r="I258" s="179"/>
      <c r="J258" s="179"/>
      <c r="K258" s="179"/>
      <c r="L258" s="180"/>
      <c r="M258" s="1593"/>
      <c r="N258" s="1542"/>
    </row>
    <row r="259" spans="1:14" s="121" customFormat="1">
      <c r="A259" s="32" t="s">
        <v>165</v>
      </c>
      <c r="B259" s="1431">
        <f>FWC!N222</f>
        <v>0</v>
      </c>
      <c r="C259" s="1422"/>
      <c r="D259" s="1431">
        <f>F259*325851</f>
        <v>0</v>
      </c>
      <c r="E259" s="1422"/>
      <c r="F259" s="1720">
        <f>0.325*B259</f>
        <v>0</v>
      </c>
      <c r="G259" s="1721"/>
      <c r="H259" s="384">
        <f>F259*10</f>
        <v>0</v>
      </c>
      <c r="I259" s="151">
        <v>0</v>
      </c>
      <c r="J259" s="151">
        <v>0</v>
      </c>
      <c r="K259" s="150">
        <f>B259*3.25</f>
        <v>0</v>
      </c>
      <c r="L259" s="172">
        <v>0</v>
      </c>
      <c r="M259" s="1539">
        <f>IF(ISERROR(L259/(F259*752)),0,L259/(F259*752))</f>
        <v>0</v>
      </c>
      <c r="N259" s="1540"/>
    </row>
    <row r="260" spans="1:14">
      <c r="A260" s="78" t="s">
        <v>230</v>
      </c>
      <c r="B260" s="1431">
        <f>FWC!N223</f>
        <v>23</v>
      </c>
      <c r="C260" s="1422"/>
      <c r="D260" s="1736">
        <f>F260*325851</f>
        <v>3431211.03</v>
      </c>
      <c r="E260" s="2111"/>
      <c r="F260" s="2031">
        <v>10.53</v>
      </c>
      <c r="G260" s="1862"/>
      <c r="H260" s="391">
        <v>103</v>
      </c>
      <c r="I260" s="151">
        <v>9924.1299999999992</v>
      </c>
      <c r="J260" s="151">
        <v>0</v>
      </c>
      <c r="K260" s="151">
        <v>9924.1299999999992</v>
      </c>
      <c r="L260" s="172">
        <f>SUM(I260:K260)</f>
        <v>19848.259999999998</v>
      </c>
      <c r="M260" s="1539">
        <f>IF(ISERROR(L260/(F260*752)),0,L260/(F260*752))</f>
        <v>2.5065491705562626</v>
      </c>
      <c r="N260" s="1540"/>
    </row>
    <row r="261" spans="1:14" ht="14" thickBot="1">
      <c r="A261" s="78" t="s">
        <v>219</v>
      </c>
      <c r="B261" s="1431">
        <f>FWC!N224</f>
        <v>11</v>
      </c>
      <c r="C261" s="1422"/>
      <c r="D261" s="1737">
        <f>F261*325851</f>
        <v>418783.70519999997</v>
      </c>
      <c r="E261" s="2112"/>
      <c r="F261" s="1728">
        <f>9180*0.00014</f>
        <v>1.2851999999999999</v>
      </c>
      <c r="G261" s="1729"/>
      <c r="H261" s="389">
        <f>F261*10</f>
        <v>12.851999999999999</v>
      </c>
      <c r="I261" s="151">
        <v>0</v>
      </c>
      <c r="J261" s="151">
        <v>16290</v>
      </c>
      <c r="K261" s="151">
        <v>12160</v>
      </c>
      <c r="L261" s="172">
        <f>SUM(I261:K261)</f>
        <v>28450</v>
      </c>
      <c r="M261" s="1539">
        <f>IF(ISERROR(L261/(F261*752)),0,L261/(F261*752))</f>
        <v>29.43701121110383</v>
      </c>
      <c r="N261" s="1540"/>
    </row>
    <row r="262" spans="1:14" ht="14" thickBot="1">
      <c r="A262" s="53" t="s">
        <v>60</v>
      </c>
      <c r="B262" s="1438">
        <f>SUM(B252:C261)</f>
        <v>283</v>
      </c>
      <c r="C262" s="1621"/>
      <c r="D262" s="1441">
        <f>SUM(D252:E261)</f>
        <v>6901230.9140999997</v>
      </c>
      <c r="E262" s="1621"/>
      <c r="F262" s="1511">
        <f>SUM(F252:G261)</f>
        <v>21.179099999999998</v>
      </c>
      <c r="G262" s="1575"/>
      <c r="H262" s="167">
        <f>SUM(H252:H261)</f>
        <v>262.80799999999999</v>
      </c>
      <c r="I262" s="136">
        <f>SUM(I252:I261)</f>
        <v>9924.1299999999992</v>
      </c>
      <c r="J262" s="136">
        <f>SUM(J252:J261)</f>
        <v>31401</v>
      </c>
      <c r="K262" s="136">
        <f>SUM(K252:K261)</f>
        <v>40728.129999999997</v>
      </c>
      <c r="L262" s="152">
        <f>SUM(L252:L261)</f>
        <v>82053.259999999995</v>
      </c>
      <c r="M262" s="1441"/>
      <c r="N262" s="1609"/>
    </row>
    <row r="263" spans="1:14" s="91" customFormat="1" ht="17" hidden="1" thickBot="1">
      <c r="A263" s="108" t="str">
        <f>'Ontario Total'!A261</f>
        <v xml:space="preserve">IEUA High Efficiency Toilet (HET) Installation Prog. </v>
      </c>
      <c r="B263" s="1567"/>
      <c r="C263" s="1586"/>
      <c r="D263" s="1567"/>
      <c r="E263" s="1586"/>
      <c r="F263" s="1587"/>
      <c r="G263" s="1588"/>
      <c r="H263" s="164"/>
      <c r="I263" s="179"/>
      <c r="J263" s="179"/>
      <c r="K263" s="179"/>
      <c r="L263" s="180"/>
      <c r="M263" s="1593"/>
      <c r="N263" s="1542"/>
    </row>
    <row r="264" spans="1:14" hidden="1">
      <c r="A264" s="32" t="str">
        <f>'Ontario Total'!A262</f>
        <v>IEUA Multi-Family Direct Install Prog. (HET)</v>
      </c>
      <c r="B264" s="1431">
        <f>FWC!N227</f>
        <v>0</v>
      </c>
      <c r="C264" s="1422"/>
      <c r="D264" s="1431">
        <f>F264*325851</f>
        <v>0</v>
      </c>
      <c r="E264" s="1422"/>
      <c r="F264" s="1720">
        <f>0.0425*B264</f>
        <v>0</v>
      </c>
      <c r="G264" s="1721"/>
      <c r="H264" s="384">
        <f>F264*20</f>
        <v>0</v>
      </c>
      <c r="I264" s="181">
        <f>73.34*B264</f>
        <v>0</v>
      </c>
      <c r="J264" s="181">
        <f>35.66*B264</f>
        <v>0</v>
      </c>
      <c r="K264" s="181">
        <f>B264*50</f>
        <v>0</v>
      </c>
      <c r="L264" s="182">
        <f>I264+J264+K264</f>
        <v>0</v>
      </c>
      <c r="M264" s="1990">
        <f>IF(ISERROR(L264/(F264*727)),0,L264/(F264*727))</f>
        <v>0</v>
      </c>
      <c r="N264" s="1991"/>
    </row>
    <row r="265" spans="1:14" s="1168" customFormat="1" ht="14" hidden="1" thickBot="1">
      <c r="A265" s="1198" t="str">
        <f>'Ontario Total'!A263</f>
        <v>IEUA Single-Family Direct Install Prog. (HET)</v>
      </c>
      <c r="B265" s="2105">
        <f>FWC!N228</f>
        <v>0</v>
      </c>
      <c r="C265" s="2106"/>
      <c r="D265" s="2105">
        <f>F265*325851</f>
        <v>0</v>
      </c>
      <c r="E265" s="2106"/>
      <c r="F265" s="2107">
        <f>0.0425*B265</f>
        <v>0</v>
      </c>
      <c r="G265" s="2108"/>
      <c r="H265" s="1200">
        <f>F265*20</f>
        <v>0</v>
      </c>
      <c r="I265" s="1206">
        <f>73.34*B265</f>
        <v>0</v>
      </c>
      <c r="J265" s="1206">
        <f>35.66*B265</f>
        <v>0</v>
      </c>
      <c r="K265" s="1206">
        <f>B265*50</f>
        <v>0</v>
      </c>
      <c r="L265" s="1207">
        <f>I265+J265+K265</f>
        <v>0</v>
      </c>
      <c r="M265" s="2109">
        <f>IF(ISERROR(L265/(F265*727)),0,L265/(F265*727))</f>
        <v>0</v>
      </c>
      <c r="N265" s="2110"/>
    </row>
    <row r="266" spans="1:14" ht="14" hidden="1" thickBot="1">
      <c r="A266" s="53" t="s">
        <v>60</v>
      </c>
      <c r="B266" s="1438">
        <f>SUM(B264:B265)</f>
        <v>0</v>
      </c>
      <c r="C266" s="1609"/>
      <c r="D266" s="1438">
        <f>SUM(D264:D265)</f>
        <v>0</v>
      </c>
      <c r="E266" s="1609"/>
      <c r="F266" s="1618">
        <f>SUM(F264)</f>
        <v>0</v>
      </c>
      <c r="G266" s="1575"/>
      <c r="H266" s="167">
        <f>SUM(H264:H265)</f>
        <v>0</v>
      </c>
      <c r="I266" s="186">
        <f>SUM(I264:I265)</f>
        <v>0</v>
      </c>
      <c r="J266" s="187">
        <f>SUM(J264:J265)</f>
        <v>0</v>
      </c>
      <c r="K266" s="187">
        <f>SUM(K264:K265)</f>
        <v>0</v>
      </c>
      <c r="L266" s="186">
        <f>SUM(L264:L265)</f>
        <v>0</v>
      </c>
      <c r="M266" s="1442"/>
      <c r="N266" s="1735"/>
    </row>
    <row r="267" spans="1:14" s="1161" customFormat="1" ht="17" thickBot="1">
      <c r="A267" s="108" t="str">
        <f>'Ontario Total'!A265</f>
        <v>SoCal Water$mart Commercial Rebates</v>
      </c>
      <c r="B267" s="1567"/>
      <c r="C267" s="1586"/>
      <c r="D267" s="1567"/>
      <c r="E267" s="1586"/>
      <c r="F267" s="1587"/>
      <c r="G267" s="1588"/>
      <c r="H267" s="1301"/>
      <c r="I267" s="179"/>
      <c r="J267" s="179"/>
      <c r="K267" s="179"/>
      <c r="L267" s="180"/>
      <c r="M267" s="1593"/>
      <c r="N267" s="1542"/>
    </row>
    <row r="268" spans="1:14">
      <c r="A268" s="32" t="str">
        <f>'Ontario Total'!A266</f>
        <v>High Efficiency Toilets (HET)</v>
      </c>
      <c r="B268" s="1431">
        <f>FWC!N231</f>
        <v>22</v>
      </c>
      <c r="C268" s="1422"/>
      <c r="D268" s="1431">
        <f t="shared" ref="D268:D280" si="70">F268*325851</f>
        <v>304670.685</v>
      </c>
      <c r="E268" s="1422"/>
      <c r="F268" s="1720">
        <f>0.0425*B268</f>
        <v>0.93500000000000005</v>
      </c>
      <c r="G268" s="1721"/>
      <c r="H268" s="384">
        <f>F268*20</f>
        <v>18.700000000000003</v>
      </c>
      <c r="I268" s="151">
        <v>0</v>
      </c>
      <c r="J268" s="150">
        <v>0</v>
      </c>
      <c r="K268" s="150">
        <v>1966</v>
      </c>
      <c r="L268" s="172">
        <f t="shared" ref="L268:L280" si="71">SUM(I268:K268)</f>
        <v>1966</v>
      </c>
      <c r="M268" s="1539">
        <f>IF(ISERROR(L268/(F268*752)),0,L268/(F268*752))</f>
        <v>2.7961087723290476</v>
      </c>
      <c r="N268" s="1540"/>
    </row>
    <row r="269" spans="1:14">
      <c r="A269" s="32" t="str">
        <f>'Ontario Total'!A267</f>
        <v>Waterless Urinals</v>
      </c>
      <c r="B269" s="1431">
        <f>FWC!N232</f>
        <v>0</v>
      </c>
      <c r="C269" s="1422"/>
      <c r="D269" s="1431">
        <f t="shared" si="70"/>
        <v>0</v>
      </c>
      <c r="E269" s="1422"/>
      <c r="F269" s="1720">
        <f>0.1227*B269</f>
        <v>0</v>
      </c>
      <c r="G269" s="1721"/>
      <c r="H269" s="384">
        <f>F269*20</f>
        <v>0</v>
      </c>
      <c r="I269" s="151">
        <v>0</v>
      </c>
      <c r="J269" s="150">
        <f>0*B269</f>
        <v>0</v>
      </c>
      <c r="K269" s="150">
        <f>400*B269</f>
        <v>0</v>
      </c>
      <c r="L269" s="172">
        <f t="shared" si="71"/>
        <v>0</v>
      </c>
      <c r="M269" s="1539">
        <f t="shared" ref="M269:M281" si="72">IF(ISERROR(L269/(F269*752)),0,L269/(F269*752))</f>
        <v>0</v>
      </c>
      <c r="N269" s="1540"/>
    </row>
    <row r="270" spans="1:14">
      <c r="A270" s="32" t="s">
        <v>204</v>
      </c>
      <c r="B270" s="1431">
        <f>FWC!N233</f>
        <v>0</v>
      </c>
      <c r="C270" s="1422"/>
      <c r="D270" s="1431">
        <f t="shared" si="70"/>
        <v>0</v>
      </c>
      <c r="E270" s="1422"/>
      <c r="F270" s="1720">
        <v>0</v>
      </c>
      <c r="G270" s="1721"/>
      <c r="H270" s="384">
        <f>F270*5</f>
        <v>0</v>
      </c>
      <c r="I270" s="151">
        <v>0</v>
      </c>
      <c r="J270" s="150">
        <f>43.75*B270</f>
        <v>0</v>
      </c>
      <c r="K270" s="150">
        <f>625*B270</f>
        <v>0</v>
      </c>
      <c r="L270" s="172">
        <f t="shared" si="71"/>
        <v>0</v>
      </c>
      <c r="M270" s="1539">
        <f t="shared" si="72"/>
        <v>0</v>
      </c>
      <c r="N270" s="1540"/>
    </row>
    <row r="271" spans="1:14" ht="12.75" hidden="1" customHeight="1">
      <c r="A271" s="32" t="str">
        <f>'Ontario Total'!A269</f>
        <v>High Efficiency Clothes Washers</v>
      </c>
      <c r="B271" s="1431">
        <f>FWC!N234</f>
        <v>0</v>
      </c>
      <c r="C271" s="1422"/>
      <c r="D271" s="1431">
        <f t="shared" si="70"/>
        <v>0</v>
      </c>
      <c r="E271" s="1422"/>
      <c r="F271" s="1720">
        <f>0.0276*B271</f>
        <v>0</v>
      </c>
      <c r="G271" s="1721"/>
      <c r="H271" s="384">
        <f>F271*10</f>
        <v>0</v>
      </c>
      <c r="I271" s="151">
        <v>0</v>
      </c>
      <c r="J271" s="181">
        <f>100*B271</f>
        <v>0</v>
      </c>
      <c r="K271" s="181">
        <f>80*B271</f>
        <v>0</v>
      </c>
      <c r="L271" s="182">
        <f t="shared" si="71"/>
        <v>0</v>
      </c>
      <c r="M271" s="1539">
        <f t="shared" si="72"/>
        <v>0</v>
      </c>
      <c r="N271" s="1540"/>
    </row>
    <row r="272" spans="1:14" ht="12.75" hidden="1" customHeight="1">
      <c r="A272" s="35" t="s">
        <v>47</v>
      </c>
      <c r="B272" s="1431">
        <f>FWC!N235</f>
        <v>0</v>
      </c>
      <c r="C272" s="1422"/>
      <c r="D272" s="1431">
        <f t="shared" si="70"/>
        <v>0</v>
      </c>
      <c r="E272" s="1422"/>
      <c r="F272" s="1720">
        <f>0.1534*B272</f>
        <v>0</v>
      </c>
      <c r="G272" s="1721"/>
      <c r="H272" s="384">
        <f>F272*5</f>
        <v>0</v>
      </c>
      <c r="I272" s="151">
        <v>0</v>
      </c>
      <c r="J272" s="181">
        <f>0*B272</f>
        <v>0</v>
      </c>
      <c r="K272" s="181">
        <f>150*B272</f>
        <v>0</v>
      </c>
      <c r="L272" s="182">
        <f t="shared" si="71"/>
        <v>0</v>
      </c>
      <c r="M272" s="1539">
        <f t="shared" si="72"/>
        <v>0</v>
      </c>
      <c r="N272" s="1540"/>
    </row>
    <row r="273" spans="1:14">
      <c r="A273" s="32" t="str">
        <f>'Ontario Total'!A271</f>
        <v>Weather Based Irrigation Controllers (WBIC)</v>
      </c>
      <c r="B273" s="1431">
        <f>FWC!N236</f>
        <v>0</v>
      </c>
      <c r="C273" s="1422"/>
      <c r="D273" s="1431">
        <f t="shared" si="70"/>
        <v>0</v>
      </c>
      <c r="E273" s="1422"/>
      <c r="F273" s="1720">
        <f>0.325*B273</f>
        <v>0</v>
      </c>
      <c r="G273" s="1721"/>
      <c r="H273" s="384">
        <f>F273*10</f>
        <v>0</v>
      </c>
      <c r="I273" s="151">
        <v>0</v>
      </c>
      <c r="J273" s="150">
        <v>0</v>
      </c>
      <c r="K273" s="150">
        <v>0</v>
      </c>
      <c r="L273" s="172">
        <v>0</v>
      </c>
      <c r="M273" s="1539">
        <f t="shared" si="72"/>
        <v>0</v>
      </c>
      <c r="N273" s="1540"/>
    </row>
    <row r="274" spans="1:14" ht="12.75" hidden="1" customHeight="1">
      <c r="A274" s="33" t="s">
        <v>53</v>
      </c>
      <c r="B274" s="1431">
        <f>FWC!N237</f>
        <v>0</v>
      </c>
      <c r="C274" s="1422"/>
      <c r="D274" s="1431">
        <f t="shared" si="70"/>
        <v>0</v>
      </c>
      <c r="E274" s="1422"/>
      <c r="F274" s="1720">
        <f>0.00014*B274</f>
        <v>0</v>
      </c>
      <c r="G274" s="1721"/>
      <c r="H274" s="384">
        <f>F274*10</f>
        <v>0</v>
      </c>
      <c r="I274" s="151">
        <v>0</v>
      </c>
      <c r="J274" s="181">
        <f>0.45*B274</f>
        <v>0</v>
      </c>
      <c r="K274" s="181">
        <f>0.3*B274</f>
        <v>0</v>
      </c>
      <c r="L274" s="182">
        <f t="shared" si="71"/>
        <v>0</v>
      </c>
      <c r="M274" s="1539">
        <f t="shared" si="72"/>
        <v>0</v>
      </c>
      <c r="N274" s="1540"/>
    </row>
    <row r="275" spans="1:14">
      <c r="A275" s="32" t="str">
        <f>'Ontario Total'!A273</f>
        <v>Rotating Nozzles for Pop-up Spray Heads</v>
      </c>
      <c r="B275" s="1431">
        <f>FWC!N238</f>
        <v>0</v>
      </c>
      <c r="C275" s="1422"/>
      <c r="D275" s="1431">
        <f t="shared" si="70"/>
        <v>0</v>
      </c>
      <c r="E275" s="1422"/>
      <c r="F275" s="1720">
        <f>0.004*B275</f>
        <v>0</v>
      </c>
      <c r="G275" s="1721"/>
      <c r="H275" s="384">
        <f>F275*5</f>
        <v>0</v>
      </c>
      <c r="I275" s="151">
        <v>0</v>
      </c>
      <c r="J275" s="150">
        <f>B275*2</f>
        <v>0</v>
      </c>
      <c r="K275" s="150">
        <f>B275*3</f>
        <v>0</v>
      </c>
      <c r="L275" s="172">
        <f t="shared" si="71"/>
        <v>0</v>
      </c>
      <c r="M275" s="1539">
        <f t="shared" si="72"/>
        <v>0</v>
      </c>
      <c r="N275" s="1540"/>
    </row>
    <row r="276" spans="1:14">
      <c r="A276" s="32" t="str">
        <f>'Ontario Total'!A274</f>
        <v>Large Rotary Nozzles</v>
      </c>
      <c r="B276" s="1431">
        <f>FWC!N239</f>
        <v>0</v>
      </c>
      <c r="C276" s="1422"/>
      <c r="D276" s="1431">
        <f t="shared" si="70"/>
        <v>0</v>
      </c>
      <c r="E276" s="1422"/>
      <c r="F276" s="1720">
        <f>0.018*B276</f>
        <v>0</v>
      </c>
      <c r="G276" s="1721"/>
      <c r="H276" s="384">
        <f>F276*10</f>
        <v>0</v>
      </c>
      <c r="I276" s="151">
        <v>0</v>
      </c>
      <c r="J276" s="150">
        <f>0*B276</f>
        <v>0</v>
      </c>
      <c r="K276" s="150">
        <f>13*B276</f>
        <v>0</v>
      </c>
      <c r="L276" s="172">
        <f t="shared" si="71"/>
        <v>0</v>
      </c>
      <c r="M276" s="1539">
        <f t="shared" si="72"/>
        <v>0</v>
      </c>
      <c r="N276" s="1540"/>
    </row>
    <row r="277" spans="1:14" ht="12.75" hidden="1" customHeight="1">
      <c r="A277" s="33" t="s">
        <v>102</v>
      </c>
      <c r="B277" s="1431">
        <f>FWC!N240</f>
        <v>0</v>
      </c>
      <c r="C277" s="1422"/>
      <c r="D277" s="1431">
        <f t="shared" si="70"/>
        <v>0</v>
      </c>
      <c r="E277" s="1422"/>
      <c r="F277" s="1720">
        <f>0.153*B277</f>
        <v>0</v>
      </c>
      <c r="G277" s="1721"/>
      <c r="H277" s="384">
        <f>F277*5</f>
        <v>0</v>
      </c>
      <c r="I277" s="151">
        <v>0</v>
      </c>
      <c r="J277" s="150">
        <f>0*B277</f>
        <v>0</v>
      </c>
      <c r="K277" s="150">
        <f>60*B277</f>
        <v>0</v>
      </c>
      <c r="L277" s="172">
        <f t="shared" si="71"/>
        <v>0</v>
      </c>
      <c r="M277" s="1539">
        <f t="shared" si="72"/>
        <v>0</v>
      </c>
      <c r="N277" s="1540"/>
    </row>
    <row r="278" spans="1:14">
      <c r="A278" s="32" t="str">
        <f>'Ontario Total'!A276</f>
        <v xml:space="preserve">Central Computerized Irrigation Controller </v>
      </c>
      <c r="B278" s="1431">
        <f>FWC!N241</f>
        <v>0</v>
      </c>
      <c r="C278" s="1422"/>
      <c r="D278" s="1444">
        <f t="shared" si="70"/>
        <v>0</v>
      </c>
      <c r="E278" s="1422"/>
      <c r="F278" s="1720">
        <f>0.018*B278</f>
        <v>0</v>
      </c>
      <c r="G278" s="1721"/>
      <c r="H278" s="384">
        <f>F278*10</f>
        <v>0</v>
      </c>
      <c r="I278" s="151">
        <v>0</v>
      </c>
      <c r="J278" s="151">
        <v>0</v>
      </c>
      <c r="K278" s="151">
        <v>0</v>
      </c>
      <c r="L278" s="172">
        <f t="shared" si="71"/>
        <v>0</v>
      </c>
      <c r="M278" s="1539">
        <f t="shared" si="72"/>
        <v>0</v>
      </c>
      <c r="N278" s="1540"/>
    </row>
    <row r="279" spans="1:14" s="57" customFormat="1">
      <c r="A279" s="144" t="str">
        <f>'Ontario Total'!A277</f>
        <v>Laminar Flow Restrictor</v>
      </c>
      <c r="B279" s="1431">
        <f>FWC!N242</f>
        <v>1171</v>
      </c>
      <c r="C279" s="1422"/>
      <c r="D279" s="1445">
        <f t="shared" si="70"/>
        <v>8776144.9829999991</v>
      </c>
      <c r="E279" s="1446"/>
      <c r="F279" s="1723">
        <f>0.023*B279</f>
        <v>26.933</v>
      </c>
      <c r="G279" s="1724"/>
      <c r="H279" s="389">
        <f>F279*10</f>
        <v>269.33</v>
      </c>
      <c r="I279" s="151">
        <v>0</v>
      </c>
      <c r="J279" s="151">
        <v>11710</v>
      </c>
      <c r="K279" s="151">
        <f>B279*10</f>
        <v>11710</v>
      </c>
      <c r="L279" s="170">
        <f t="shared" si="71"/>
        <v>23420</v>
      </c>
      <c r="M279" s="1539">
        <f t="shared" si="72"/>
        <v>1.1563367252543941</v>
      </c>
      <c r="N279" s="1540"/>
    </row>
    <row r="280" spans="1:14" s="121" customFormat="1">
      <c r="A280" s="33" t="str">
        <f>'Ontario Total'!A278</f>
        <v>Air-Cooled Ice Machine</v>
      </c>
      <c r="B280" s="1467">
        <f>FWC!N243</f>
        <v>0</v>
      </c>
      <c r="C280" s="1433"/>
      <c r="D280" s="1432">
        <f t="shared" si="70"/>
        <v>0</v>
      </c>
      <c r="E280" s="1433"/>
      <c r="F280" s="1710">
        <f>0.018*B280</f>
        <v>0</v>
      </c>
      <c r="G280" s="1711"/>
      <c r="H280" s="1307">
        <f>F280*10</f>
        <v>0</v>
      </c>
      <c r="I280" s="173">
        <v>0</v>
      </c>
      <c r="J280" s="173">
        <v>0</v>
      </c>
      <c r="K280" s="173">
        <v>0</v>
      </c>
      <c r="L280" s="174">
        <f t="shared" si="71"/>
        <v>0</v>
      </c>
      <c r="M280" s="1427">
        <f t="shared" si="72"/>
        <v>0</v>
      </c>
      <c r="N280" s="1428"/>
    </row>
    <row r="281" spans="1:14" s="57" customFormat="1" ht="14" thickBot="1">
      <c r="A281" s="144" t="s">
        <v>213</v>
      </c>
      <c r="B281" s="1429">
        <f>FWC!N244</f>
        <v>0</v>
      </c>
      <c r="C281" s="1430"/>
      <c r="D281" s="1737">
        <f>F281*325851</f>
        <v>0</v>
      </c>
      <c r="E281" s="1726"/>
      <c r="F281" s="1728">
        <f>0.018*B281</f>
        <v>0</v>
      </c>
      <c r="G281" s="1729"/>
      <c r="H281" s="389">
        <f>F281*10</f>
        <v>0</v>
      </c>
      <c r="I281" s="151">
        <v>0</v>
      </c>
      <c r="J281" s="151">
        <v>0</v>
      </c>
      <c r="K281" s="151">
        <v>0</v>
      </c>
      <c r="L281" s="170">
        <f>SUM(I281:K281)</f>
        <v>0</v>
      </c>
      <c r="M281" s="1539">
        <f t="shared" si="72"/>
        <v>0</v>
      </c>
      <c r="N281" s="1540"/>
    </row>
    <row r="282" spans="1:14" s="1161" customFormat="1" ht="17" thickBot="1">
      <c r="A282" s="108" t="str">
        <f>'Ontario Total'!A280</f>
        <v>IEUA Locally Implemented Commercial Programs</v>
      </c>
      <c r="B282" s="1567"/>
      <c r="C282" s="1586"/>
      <c r="D282" s="1567"/>
      <c r="E282" s="1586"/>
      <c r="F282" s="1587"/>
      <c r="G282" s="1588"/>
      <c r="H282" s="1301"/>
      <c r="I282" s="109"/>
      <c r="J282" s="109"/>
      <c r="K282" s="109"/>
      <c r="L282" s="1296"/>
      <c r="M282" s="1593"/>
      <c r="N282" s="1542"/>
    </row>
    <row r="283" spans="1:14" hidden="1">
      <c r="A283" s="32" t="str">
        <f>'Ontario Total'!A281</f>
        <v>Fontana Unified School Retrofit Program</v>
      </c>
      <c r="B283" s="1431">
        <f>FWC!N246</f>
        <v>0</v>
      </c>
      <c r="C283" s="1422"/>
      <c r="D283" s="1444">
        <v>0</v>
      </c>
      <c r="E283" s="1422"/>
      <c r="F283" s="1723">
        <v>0</v>
      </c>
      <c r="G283" s="1724"/>
      <c r="H283" s="389">
        <v>0</v>
      </c>
      <c r="I283" s="220">
        <v>0</v>
      </c>
      <c r="J283" s="151">
        <v>0</v>
      </c>
      <c r="K283" s="151">
        <v>0</v>
      </c>
      <c r="L283" s="172">
        <v>0</v>
      </c>
      <c r="M283" s="1990">
        <f>IF(ISERROR(L283/(F283*727)),0,L283/(F283*727))</f>
        <v>0</v>
      </c>
      <c r="N283" s="1991"/>
    </row>
    <row r="284" spans="1:14" s="121" customFormat="1" ht="14" thickBot="1">
      <c r="A284" s="33" t="s">
        <v>165</v>
      </c>
      <c r="B284" s="1467">
        <f>FWC!N247</f>
        <v>0</v>
      </c>
      <c r="C284" s="1433"/>
      <c r="D284" s="1432">
        <f>F284*325851</f>
        <v>0</v>
      </c>
      <c r="E284" s="1433"/>
      <c r="F284" s="1710">
        <v>0</v>
      </c>
      <c r="G284" s="1711"/>
      <c r="H284" s="1307">
        <v>0</v>
      </c>
      <c r="I284" s="173">
        <v>0</v>
      </c>
      <c r="J284" s="173">
        <v>0</v>
      </c>
      <c r="K284" s="173">
        <f>B284*3.25</f>
        <v>0</v>
      </c>
      <c r="L284" s="174">
        <f>SUM(I284:K284)</f>
        <v>0</v>
      </c>
      <c r="M284" s="1427">
        <f>IF(ISERROR(L284/(F284*752)),0,L284/(F284*752))</f>
        <v>0</v>
      </c>
      <c r="N284" s="1428"/>
    </row>
    <row r="285" spans="1:14" ht="14" thickBot="1">
      <c r="A285" s="53" t="s">
        <v>60</v>
      </c>
      <c r="B285" s="1438">
        <f>SUM(B268:C284)</f>
        <v>1193</v>
      </c>
      <c r="C285" s="1621"/>
      <c r="D285" s="1441">
        <f>SUM(D268:E284)</f>
        <v>9080815.6679999996</v>
      </c>
      <c r="E285" s="1621"/>
      <c r="F285" s="1511">
        <f>SUM(F268:G284)</f>
        <v>27.867999999999999</v>
      </c>
      <c r="G285" s="1575"/>
      <c r="H285" s="167">
        <f>SUM(H268:H284)</f>
        <v>288.02999999999997</v>
      </c>
      <c r="I285" s="212">
        <f>SUM(I268:I284)</f>
        <v>0</v>
      </c>
      <c r="J285" s="136">
        <f>SUM(J268:J284)</f>
        <v>11710</v>
      </c>
      <c r="K285" s="136">
        <f>SUM(K268:K284)</f>
        <v>13676</v>
      </c>
      <c r="L285" s="136">
        <f>SUM(L268:L284)</f>
        <v>25386</v>
      </c>
      <c r="M285" s="1442"/>
      <c r="N285" s="1735"/>
    </row>
    <row r="286" spans="1:14" s="1168" customFormat="1" ht="17" thickBot="1">
      <c r="A286" s="1182" t="s">
        <v>17</v>
      </c>
      <c r="B286" s="1416">
        <f>SUM(B262+B266+B285)</f>
        <v>1476</v>
      </c>
      <c r="C286" s="1415"/>
      <c r="D286" s="1416">
        <f>SUM(D262+D266+D285)</f>
        <v>15982046.5821</v>
      </c>
      <c r="E286" s="1415"/>
      <c r="F286" s="1487">
        <f>SUM(F262+F266+F285)</f>
        <v>49.0471</v>
      </c>
      <c r="G286" s="1488"/>
      <c r="H286" s="1298">
        <f>SUM(H262+H266+H285)</f>
        <v>550.83799999999997</v>
      </c>
      <c r="I286" s="1169">
        <f>SUM(I262+I266+I285)</f>
        <v>9924.1299999999992</v>
      </c>
      <c r="J286" s="1169">
        <f>SUM(J262+J266+J285)</f>
        <v>43111</v>
      </c>
      <c r="K286" s="1169">
        <f>SUM(K262+K266+K285)</f>
        <v>54404.13</v>
      </c>
      <c r="L286" s="1169">
        <f>SUM(L262+L266+L285)</f>
        <v>107439.26</v>
      </c>
      <c r="M286" s="1417"/>
      <c r="N286" s="1614"/>
    </row>
    <row r="287" spans="1:14" ht="16">
      <c r="A287" s="60"/>
      <c r="B287" s="61"/>
      <c r="C287" s="61"/>
      <c r="D287" s="61"/>
      <c r="E287" s="61"/>
      <c r="F287" s="441"/>
      <c r="G287" s="441"/>
      <c r="H287" s="441"/>
      <c r="I287" s="62"/>
      <c r="J287" s="62"/>
      <c r="K287" s="62"/>
      <c r="L287" s="62"/>
      <c r="M287" s="64"/>
      <c r="N287" s="65"/>
    </row>
    <row r="288" spans="1:14" ht="16">
      <c r="A288" s="9" t="s">
        <v>18</v>
      </c>
      <c r="B288" s="1419" t="s">
        <v>59</v>
      </c>
      <c r="C288" s="1419"/>
      <c r="D288" s="1419"/>
      <c r="E288" s="1419"/>
      <c r="F288" s="441"/>
      <c r="G288" s="441"/>
      <c r="H288" s="441"/>
      <c r="I288" s="62"/>
      <c r="J288" s="62"/>
      <c r="K288" s="62"/>
      <c r="L288" s="62"/>
      <c r="M288" s="64"/>
      <c r="N288" s="65"/>
    </row>
    <row r="289" spans="1:14" ht="16">
      <c r="A289" s="57"/>
      <c r="B289" s="1420" t="s">
        <v>19</v>
      </c>
      <c r="C289" s="1420"/>
      <c r="D289" s="1420"/>
      <c r="E289" s="1420"/>
      <c r="F289" s="441"/>
      <c r="G289" s="441"/>
      <c r="H289" s="441"/>
      <c r="I289" s="62"/>
      <c r="J289" s="62"/>
      <c r="K289" s="62"/>
      <c r="L289" s="62"/>
      <c r="M289" s="64"/>
      <c r="N289" s="65"/>
    </row>
    <row r="290" spans="1:14" ht="17" thickBot="1">
      <c r="A290" s="57"/>
      <c r="B290" s="1012"/>
      <c r="C290" s="1012"/>
      <c r="D290" s="1012"/>
      <c r="E290" s="1012"/>
      <c r="F290" s="441"/>
      <c r="G290" s="441"/>
      <c r="H290" s="441"/>
      <c r="I290" s="62"/>
      <c r="J290" s="62"/>
      <c r="K290" s="62"/>
      <c r="L290" s="62"/>
      <c r="M290" s="64"/>
      <c r="N290" s="65"/>
    </row>
    <row r="291" spans="1:14" s="363" customFormat="1" ht="16">
      <c r="A291" s="98"/>
      <c r="B291" s="99"/>
      <c r="C291" s="99"/>
      <c r="D291" s="99"/>
      <c r="E291" s="99"/>
      <c r="F291" s="421"/>
      <c r="G291" s="421"/>
      <c r="H291" s="421"/>
      <c r="I291" s="1468" t="s">
        <v>0</v>
      </c>
      <c r="J291" s="1468"/>
      <c r="K291" s="1468"/>
      <c r="L291" s="1468"/>
      <c r="M291" s="99"/>
      <c r="N291" s="101"/>
    </row>
    <row r="292" spans="1:14" ht="16">
      <c r="A292" s="97"/>
      <c r="B292" s="1469" t="s">
        <v>1</v>
      </c>
      <c r="C292" s="1469"/>
      <c r="D292" s="1469" t="s">
        <v>2</v>
      </c>
      <c r="E292" s="1469"/>
      <c r="F292" s="1470" t="s">
        <v>3</v>
      </c>
      <c r="G292" s="1470"/>
      <c r="H292" s="1003" t="s">
        <v>3</v>
      </c>
      <c r="I292" s="127" t="s">
        <v>197</v>
      </c>
      <c r="J292" s="102"/>
      <c r="K292" s="102"/>
      <c r="L292" s="128"/>
      <c r="M292" s="1469" t="s">
        <v>4</v>
      </c>
      <c r="N292" s="1526"/>
    </row>
    <row r="293" spans="1:14" s="121" customFormat="1" ht="19" thickBot="1">
      <c r="A293" s="1345" t="s">
        <v>5</v>
      </c>
      <c r="B293" s="2061" t="s">
        <v>6</v>
      </c>
      <c r="C293" s="2061"/>
      <c r="D293" s="2061" t="s">
        <v>7</v>
      </c>
      <c r="E293" s="2061"/>
      <c r="F293" s="2113" t="s">
        <v>7</v>
      </c>
      <c r="G293" s="2113"/>
      <c r="H293" s="1346" t="s">
        <v>58</v>
      </c>
      <c r="I293" s="1347" t="s">
        <v>196</v>
      </c>
      <c r="J293" s="1348" t="s">
        <v>8</v>
      </c>
      <c r="K293" s="1348" t="s">
        <v>9</v>
      </c>
      <c r="L293" s="1349" t="s">
        <v>10</v>
      </c>
      <c r="M293" s="2061" t="s">
        <v>145</v>
      </c>
      <c r="N293" s="2062"/>
    </row>
    <row r="294" spans="1:14" ht="24" thickBot="1">
      <c r="A294" s="88" t="s">
        <v>185</v>
      </c>
      <c r="B294" s="1764"/>
      <c r="C294" s="1477"/>
      <c r="D294" s="1478"/>
      <c r="E294" s="1479"/>
      <c r="F294" s="1480"/>
      <c r="G294" s="1481"/>
      <c r="H294" s="1020"/>
      <c r="I294" s="7"/>
      <c r="J294" s="7"/>
      <c r="K294" s="7"/>
      <c r="L294" s="8"/>
      <c r="M294" s="1764"/>
      <c r="N294" s="1765"/>
    </row>
    <row r="295" spans="1:14" s="1161" customFormat="1" ht="17" thickBot="1">
      <c r="A295" s="108" t="str">
        <f>'Ontario Total'!A293</f>
        <v>SoCal Water$mart Residential Rebates</v>
      </c>
      <c r="B295" s="1567"/>
      <c r="C295" s="1586"/>
      <c r="D295" s="1567"/>
      <c r="E295" s="1586"/>
      <c r="F295" s="1587"/>
      <c r="G295" s="1588"/>
      <c r="H295" s="1301"/>
      <c r="I295" s="109"/>
      <c r="J295" s="109"/>
      <c r="K295" s="109"/>
      <c r="L295" s="1296"/>
      <c r="M295" s="1617"/>
      <c r="N295" s="1486"/>
    </row>
    <row r="296" spans="1:14">
      <c r="A296" s="32" t="str">
        <f>'Ontario Total'!A294</f>
        <v>High Efficiency Toilets (HET)</v>
      </c>
      <c r="B296" s="1431">
        <f>FWC!N178</f>
        <v>0</v>
      </c>
      <c r="C296" s="1422"/>
      <c r="D296" s="1431">
        <f>F296*325851</f>
        <v>0</v>
      </c>
      <c r="E296" s="1422"/>
      <c r="F296" s="1756">
        <f>0.0425*B296</f>
        <v>0</v>
      </c>
      <c r="G296" s="1757"/>
      <c r="H296" s="941">
        <f>F296*20</f>
        <v>0</v>
      </c>
      <c r="I296" s="130">
        <v>0</v>
      </c>
      <c r="J296" s="131">
        <f>50*B296</f>
        <v>0</v>
      </c>
      <c r="K296" s="131">
        <f>B296*50</f>
        <v>0</v>
      </c>
      <c r="L296" s="132">
        <f>I296+J296+K296</f>
        <v>0</v>
      </c>
      <c r="M296" s="1758">
        <f>IF(ISERROR(L296/(F296*727)),0,L296/(F296*727))</f>
        <v>0</v>
      </c>
      <c r="N296" s="1759"/>
    </row>
    <row r="297" spans="1:14">
      <c r="A297" s="32" t="str">
        <f>'Ontario Total'!A295</f>
        <v>High Efficiency Clothes Washers (HECW)</v>
      </c>
      <c r="B297" s="1431">
        <f>FWC!N179</f>
        <v>125</v>
      </c>
      <c r="C297" s="1422"/>
      <c r="D297" s="1431">
        <f>F297*325851</f>
        <v>1124185.95</v>
      </c>
      <c r="E297" s="1422"/>
      <c r="F297" s="1756">
        <f>0.0276*B297</f>
        <v>3.4499999999999997</v>
      </c>
      <c r="G297" s="1757"/>
      <c r="H297" s="941">
        <f>F297*15</f>
        <v>51.749999999999993</v>
      </c>
      <c r="I297" s="131">
        <f>0*B297</f>
        <v>0</v>
      </c>
      <c r="J297" s="131">
        <f>B297*65</f>
        <v>8125</v>
      </c>
      <c r="K297" s="131">
        <f>B297*85</f>
        <v>10625</v>
      </c>
      <c r="L297" s="132">
        <f>I297+J297+K297</f>
        <v>18750</v>
      </c>
      <c r="M297" s="1758">
        <f t="shared" ref="M297:M303" si="73">IF(ISERROR(L297/(F297*727)),0,L297/(F297*727))</f>
        <v>7.4756294479995224</v>
      </c>
      <c r="N297" s="1759"/>
    </row>
    <row r="298" spans="1:14">
      <c r="A298" s="32" t="str">
        <f>'Ontario Total'!A296</f>
        <v>Rotating Nozzles for Pop-up Spray Heads</v>
      </c>
      <c r="B298" s="1431">
        <f>FWC!N180</f>
        <v>0</v>
      </c>
      <c r="C298" s="1422"/>
      <c r="D298" s="1431">
        <f>F298*325851</f>
        <v>0</v>
      </c>
      <c r="E298" s="1422"/>
      <c r="F298" s="1756">
        <f>0.004*B298</f>
        <v>0</v>
      </c>
      <c r="G298" s="1757"/>
      <c r="H298" s="941">
        <f>F298*5</f>
        <v>0</v>
      </c>
      <c r="I298" s="131">
        <f>0*B298</f>
        <v>0</v>
      </c>
      <c r="J298" s="131">
        <f>1*B298</f>
        <v>0</v>
      </c>
      <c r="K298" s="131">
        <f>B298*4</f>
        <v>0</v>
      </c>
      <c r="L298" s="132">
        <f>I298+J298+K298</f>
        <v>0</v>
      </c>
      <c r="M298" s="1758">
        <f t="shared" si="73"/>
        <v>0</v>
      </c>
      <c r="N298" s="1759"/>
    </row>
    <row r="299" spans="1:14" s="121" customFormat="1" ht="14" thickBot="1">
      <c r="A299" s="33" t="str">
        <f>'Ontario Total'!A297</f>
        <v>Weather based Irrigation Controllers (WBIC)</v>
      </c>
      <c r="B299" s="1467">
        <f>FWC!N181</f>
        <v>1</v>
      </c>
      <c r="C299" s="1433"/>
      <c r="D299" s="1467">
        <f>F299*325851</f>
        <v>105901.575</v>
      </c>
      <c r="E299" s="1433"/>
      <c r="F299" s="1718">
        <f>0.325*B299</f>
        <v>0.32500000000000001</v>
      </c>
      <c r="G299" s="1719"/>
      <c r="H299" s="1306">
        <f>F299*10</f>
        <v>3.25</v>
      </c>
      <c r="I299" s="133">
        <v>0</v>
      </c>
      <c r="J299" s="173">
        <f>B299*70</f>
        <v>70</v>
      </c>
      <c r="K299" s="133">
        <f>B299*80</f>
        <v>80</v>
      </c>
      <c r="L299" s="134">
        <f>I299+J299+K299</f>
        <v>150</v>
      </c>
      <c r="M299" s="1748">
        <f t="shared" si="73"/>
        <v>0.63485345466088239</v>
      </c>
      <c r="N299" s="1815"/>
    </row>
    <row r="300" spans="1:14" s="120" customFormat="1" ht="12.75" hidden="1" customHeight="1" thickBot="1">
      <c r="A300" s="119" t="s">
        <v>183</v>
      </c>
      <c r="B300" s="1431">
        <f>FWC!N182</f>
        <v>0</v>
      </c>
      <c r="C300" s="1422"/>
      <c r="D300" s="1431">
        <f>F300*325851</f>
        <v>0</v>
      </c>
      <c r="E300" s="1422"/>
      <c r="F300" s="1720">
        <f>0.325*B300</f>
        <v>0</v>
      </c>
      <c r="G300" s="1721"/>
      <c r="H300" s="462">
        <f>F300*10</f>
        <v>0</v>
      </c>
      <c r="I300" s="124">
        <v>1</v>
      </c>
      <c r="J300" s="80">
        <f>B300*45</f>
        <v>0</v>
      </c>
      <c r="K300" s="4">
        <f>B300*80</f>
        <v>0</v>
      </c>
      <c r="L300" s="6">
        <f>I300+J300+K300</f>
        <v>1</v>
      </c>
      <c r="M300" s="1758">
        <f t="shared" si="73"/>
        <v>0</v>
      </c>
      <c r="N300" s="1759"/>
    </row>
    <row r="301" spans="1:14" s="1161" customFormat="1" ht="17" thickBot="1">
      <c r="A301" s="108" t="str">
        <f>'Ontario Total'!A299</f>
        <v>IEUA Locally Implemented Residential Programs</v>
      </c>
      <c r="B301" s="1567"/>
      <c r="C301" s="1586"/>
      <c r="D301" s="1567"/>
      <c r="E301" s="1586"/>
      <c r="F301" s="1587"/>
      <c r="G301" s="1588"/>
      <c r="H301" s="1299"/>
      <c r="I301" s="109"/>
      <c r="J301" s="109"/>
      <c r="K301" s="109"/>
      <c r="L301" s="1296"/>
      <c r="M301" s="1617"/>
      <c r="N301" s="1486"/>
    </row>
    <row r="302" spans="1:14" s="121" customFormat="1">
      <c r="A302" s="32" t="s">
        <v>165</v>
      </c>
      <c r="B302" s="1431">
        <f>FWC!N184</f>
        <v>0</v>
      </c>
      <c r="C302" s="1422"/>
      <c r="D302" s="1855">
        <f>F302*325851</f>
        <v>0</v>
      </c>
      <c r="E302" s="1732"/>
      <c r="F302" s="1760">
        <f>0.325*B302</f>
        <v>0</v>
      </c>
      <c r="G302" s="1757"/>
      <c r="H302" s="941">
        <f>F302*10</f>
        <v>0</v>
      </c>
      <c r="I302" s="130">
        <v>0</v>
      </c>
      <c r="J302" s="151">
        <v>0</v>
      </c>
      <c r="K302" s="131">
        <f>B302*3.25</f>
        <v>0</v>
      </c>
      <c r="L302" s="132">
        <v>0</v>
      </c>
      <c r="M302" s="1758">
        <f t="shared" si="73"/>
        <v>0</v>
      </c>
      <c r="N302" s="1759"/>
    </row>
    <row r="303" spans="1:14">
      <c r="A303" s="32" t="s">
        <v>166</v>
      </c>
      <c r="B303" s="1421">
        <f>FWC!N185</f>
        <v>20</v>
      </c>
      <c r="C303" s="1422"/>
      <c r="D303" s="1736">
        <f>F303*325851</f>
        <v>5213616</v>
      </c>
      <c r="E303" s="2111"/>
      <c r="F303" s="2117">
        <v>16</v>
      </c>
      <c r="G303" s="2094"/>
      <c r="H303" s="960">
        <v>140</v>
      </c>
      <c r="I303" s="130">
        <v>9648.09</v>
      </c>
      <c r="J303" s="130">
        <v>1570</v>
      </c>
      <c r="K303" s="130">
        <v>11218.71</v>
      </c>
      <c r="L303" s="132">
        <f>SUM(I303:K303)</f>
        <v>22436.799999999999</v>
      </c>
      <c r="M303" s="1758">
        <f t="shared" si="73"/>
        <v>1.9288858321870701</v>
      </c>
      <c r="N303" s="1759"/>
    </row>
    <row r="304" spans="1:14" s="121" customFormat="1" ht="14" thickBot="1">
      <c r="A304" s="76" t="s">
        <v>201</v>
      </c>
      <c r="B304" s="1435">
        <f>FWC!N186</f>
        <v>2</v>
      </c>
      <c r="C304" s="1433"/>
      <c r="D304" s="1744">
        <f>F304*325851</f>
        <v>45619.139999999992</v>
      </c>
      <c r="E304" s="2129"/>
      <c r="F304" s="1752">
        <f>1000*0.00014</f>
        <v>0.13999999999999999</v>
      </c>
      <c r="G304" s="1753"/>
      <c r="H304" s="1306">
        <f>F304*10</f>
        <v>1.4</v>
      </c>
      <c r="I304" s="133">
        <f>0.25*1000</f>
        <v>250</v>
      </c>
      <c r="J304" s="133">
        <f>0.83*1000</f>
        <v>830</v>
      </c>
      <c r="K304" s="133">
        <f>1*1000</f>
        <v>1000</v>
      </c>
      <c r="L304" s="134">
        <f>SUM(I304:K304)</f>
        <v>2080</v>
      </c>
      <c r="M304" s="1748">
        <f>IF(ISERROR(L304/(F304*727)),0,L304/(F304*727))</f>
        <v>20.436235016702696</v>
      </c>
      <c r="N304" s="1815"/>
    </row>
    <row r="305" spans="1:14" ht="14" thickBot="1">
      <c r="A305" s="53" t="s">
        <v>60</v>
      </c>
      <c r="B305" s="1438">
        <f>SUM(B296:C304)</f>
        <v>148</v>
      </c>
      <c r="C305" s="1609"/>
      <c r="D305" s="1441">
        <f>SUM(D296:E304)</f>
        <v>6489322.665</v>
      </c>
      <c r="E305" s="1609"/>
      <c r="F305" s="1512">
        <f>SUM(F296:G304)</f>
        <v>19.914999999999999</v>
      </c>
      <c r="G305" s="1575"/>
      <c r="H305" s="482">
        <f>SUM(H296:H304)</f>
        <v>196.4</v>
      </c>
      <c r="I305" s="136">
        <f>SUM(I296:I304)</f>
        <v>9899.09</v>
      </c>
      <c r="J305" s="136">
        <f>SUM(J296:J304)</f>
        <v>10595</v>
      </c>
      <c r="K305" s="136">
        <f>SUM(K296:K304)</f>
        <v>22923.71</v>
      </c>
      <c r="L305" s="143">
        <f>SUM(L296:L304)</f>
        <v>43417.8</v>
      </c>
      <c r="M305" s="1440"/>
      <c r="N305" s="1609"/>
    </row>
    <row r="306" spans="1:14" s="1161" customFormat="1" ht="17" thickBot="1">
      <c r="A306" s="108" t="str">
        <f>'Ontario Total'!A304</f>
        <v xml:space="preserve">IEUA High Efficiency Toilet (HET) Installation Prog. </v>
      </c>
      <c r="B306" s="1456"/>
      <c r="C306" s="1586"/>
      <c r="D306" s="1567"/>
      <c r="E306" s="1586"/>
      <c r="F306" s="1484"/>
      <c r="G306" s="1588"/>
      <c r="H306" s="1299"/>
      <c r="I306" s="109"/>
      <c r="J306" s="109"/>
      <c r="K306" s="109"/>
      <c r="L306" s="109"/>
      <c r="M306" s="1485"/>
      <c r="N306" s="1486"/>
    </row>
    <row r="307" spans="1:14">
      <c r="A307" s="32" t="str">
        <f>'Ontario Total'!A305</f>
        <v>IEUA Multi-Family Direct Install Prog. (HET)</v>
      </c>
      <c r="B307" s="1421">
        <f>FWC!N189</f>
        <v>57</v>
      </c>
      <c r="C307" s="1422"/>
      <c r="D307" s="1431">
        <f>F307*325851</f>
        <v>789374.0475000001</v>
      </c>
      <c r="E307" s="1422"/>
      <c r="F307" s="1760">
        <f>0.0425*B307</f>
        <v>2.4225000000000003</v>
      </c>
      <c r="G307" s="1757"/>
      <c r="H307" s="941">
        <f>F307*20</f>
        <v>48.45</v>
      </c>
      <c r="I307" s="131">
        <f>73.34*B307</f>
        <v>4180.38</v>
      </c>
      <c r="J307" s="131">
        <f>35.66*B307</f>
        <v>2032.62</v>
      </c>
      <c r="K307" s="131">
        <f>B307*50</f>
        <v>2850</v>
      </c>
      <c r="L307" s="132">
        <f>I307+J307+K307</f>
        <v>9063</v>
      </c>
      <c r="M307" s="1758">
        <f>IF(ISERROR(L307/(F307*727)),0,L307/(F307*727))</f>
        <v>5.146047414839388</v>
      </c>
      <c r="N307" s="1759"/>
    </row>
    <row r="308" spans="1:14" s="121" customFormat="1" ht="14" thickBot="1">
      <c r="A308" s="33" t="str">
        <f>'Ontario Total'!A306</f>
        <v>IEUA Single-Family Direct Install Prog. (HET)</v>
      </c>
      <c r="B308" s="1435">
        <f>FWC!N190</f>
        <v>54</v>
      </c>
      <c r="C308" s="1433"/>
      <c r="D308" s="1467">
        <f>F308*325851</f>
        <v>747828.04500000016</v>
      </c>
      <c r="E308" s="1433"/>
      <c r="F308" s="1771">
        <f>0.0425*B308</f>
        <v>2.2950000000000004</v>
      </c>
      <c r="G308" s="1719"/>
      <c r="H308" s="1306">
        <f>F308*20</f>
        <v>45.900000000000006</v>
      </c>
      <c r="I308" s="133">
        <f>73.34*B308</f>
        <v>3960.36</v>
      </c>
      <c r="J308" s="133">
        <f>35.66*B308</f>
        <v>1925.6399999999999</v>
      </c>
      <c r="K308" s="133">
        <f>B308*50</f>
        <v>2700</v>
      </c>
      <c r="L308" s="134">
        <f>I308+J308+K308</f>
        <v>8586</v>
      </c>
      <c r="M308" s="1748">
        <f>IF(ISERROR(L308/(F308*727)),0,L308/(F308*727))</f>
        <v>5.1460474148393871</v>
      </c>
      <c r="N308" s="1815"/>
    </row>
    <row r="309" spans="1:14" ht="14" thickBot="1">
      <c r="A309" s="53" t="s">
        <v>60</v>
      </c>
      <c r="B309" s="1438">
        <f>SUM(B307:B308)</f>
        <v>111</v>
      </c>
      <c r="C309" s="1609"/>
      <c r="D309" s="1441">
        <f>SUM(D307:D308)</f>
        <v>1537202.0925000003</v>
      </c>
      <c r="E309" s="1609"/>
      <c r="F309" s="1512">
        <f>SUM(F307)</f>
        <v>2.4225000000000003</v>
      </c>
      <c r="G309" s="1575"/>
      <c r="H309" s="482">
        <f>SUM(H307:H308)</f>
        <v>94.350000000000009</v>
      </c>
      <c r="I309" s="136">
        <f>SUM(I307:I308)</f>
        <v>8140.74</v>
      </c>
      <c r="J309" s="143">
        <f>SUM(J307:J308)</f>
        <v>3958.2599999999998</v>
      </c>
      <c r="K309" s="143">
        <f>SUM(K307:K308)</f>
        <v>5550</v>
      </c>
      <c r="L309" s="136">
        <f>SUM(L307:L308)</f>
        <v>17649</v>
      </c>
      <c r="M309" s="1610"/>
      <c r="N309" s="1611"/>
    </row>
    <row r="310" spans="1:14" s="1161" customFormat="1" ht="17" thickBot="1">
      <c r="A310" s="108" t="str">
        <f>'Ontario Total'!A308</f>
        <v>SoCal Water$mart Commercial Rebates</v>
      </c>
      <c r="B310" s="1456"/>
      <c r="C310" s="1586"/>
      <c r="D310" s="1567"/>
      <c r="E310" s="1586"/>
      <c r="F310" s="1484"/>
      <c r="G310" s="1588"/>
      <c r="H310" s="1299"/>
      <c r="I310" s="109"/>
      <c r="J310" s="109"/>
      <c r="K310" s="109"/>
      <c r="L310" s="1296"/>
      <c r="M310" s="1617"/>
      <c r="N310" s="1486"/>
    </row>
    <row r="311" spans="1:14">
      <c r="A311" s="32" t="str">
        <f>'Ontario Total'!A309</f>
        <v>High Efficiency Toilets (HET)</v>
      </c>
      <c r="B311" s="1421">
        <f>FWC!N193</f>
        <v>0</v>
      </c>
      <c r="C311" s="1422"/>
      <c r="D311" s="1431">
        <f t="shared" ref="D311:D320" si="74">F311*325851</f>
        <v>0</v>
      </c>
      <c r="E311" s="1422"/>
      <c r="F311" s="1760">
        <f>0.0425*B311</f>
        <v>0</v>
      </c>
      <c r="G311" s="1757"/>
      <c r="H311" s="941">
        <f>F311*20</f>
        <v>0</v>
      </c>
      <c r="I311" s="130">
        <v>0</v>
      </c>
      <c r="J311" s="131">
        <f>135*B311</f>
        <v>0</v>
      </c>
      <c r="K311" s="131">
        <f>165*B311</f>
        <v>0</v>
      </c>
      <c r="L311" s="132">
        <f t="shared" ref="L311:L326" si="75">SUM(I311:K311)</f>
        <v>0</v>
      </c>
      <c r="M311" s="1758">
        <f>IF(ISERROR(L311/(F311*727)),0,L311/(F311*727))</f>
        <v>0</v>
      </c>
      <c r="N311" s="1759"/>
    </row>
    <row r="312" spans="1:14">
      <c r="A312" s="32" t="str">
        <f>'Ontario Total'!A310</f>
        <v>Waterless Urinals</v>
      </c>
      <c r="B312" s="1421">
        <f>FWC!N194</f>
        <v>0</v>
      </c>
      <c r="C312" s="1422"/>
      <c r="D312" s="1431">
        <f t="shared" si="74"/>
        <v>0</v>
      </c>
      <c r="E312" s="1422"/>
      <c r="F312" s="1760">
        <f>0.1227*B312</f>
        <v>0</v>
      </c>
      <c r="G312" s="1757"/>
      <c r="H312" s="941">
        <f>F312*20</f>
        <v>0</v>
      </c>
      <c r="I312" s="130">
        <v>0</v>
      </c>
      <c r="J312" s="131">
        <f>0*B312</f>
        <v>0</v>
      </c>
      <c r="K312" s="131">
        <f>400*B312</f>
        <v>0</v>
      </c>
      <c r="L312" s="132">
        <f t="shared" si="75"/>
        <v>0</v>
      </c>
      <c r="M312" s="1758">
        <f t="shared" ref="M312:M326" si="76">IF(ISERROR(L312/(F312*727)),0,L312/(F312*727))</f>
        <v>0</v>
      </c>
      <c r="N312" s="1759"/>
    </row>
    <row r="313" spans="1:14">
      <c r="A313" s="32" t="s">
        <v>204</v>
      </c>
      <c r="B313" s="1421">
        <f>FWC!N195</f>
        <v>0</v>
      </c>
      <c r="C313" s="1422"/>
      <c r="D313" s="1431">
        <f t="shared" si="74"/>
        <v>0</v>
      </c>
      <c r="E313" s="1422"/>
      <c r="F313" s="1760">
        <v>0</v>
      </c>
      <c r="G313" s="1757"/>
      <c r="H313" s="941">
        <f>F313*5</f>
        <v>0</v>
      </c>
      <c r="I313" s="130">
        <v>0</v>
      </c>
      <c r="J313" s="131">
        <f>43.75*B313</f>
        <v>0</v>
      </c>
      <c r="K313" s="131">
        <f>625*B313</f>
        <v>0</v>
      </c>
      <c r="L313" s="132">
        <f t="shared" si="75"/>
        <v>0</v>
      </c>
      <c r="M313" s="1758">
        <f t="shared" si="76"/>
        <v>0</v>
      </c>
      <c r="N313" s="1759"/>
    </row>
    <row r="314" spans="1:14">
      <c r="A314" s="32" t="str">
        <f>'Ontario Total'!A312</f>
        <v>High Efficiency Clothes Washers</v>
      </c>
      <c r="B314" s="1431">
        <f>FWC!N196</f>
        <v>0</v>
      </c>
      <c r="C314" s="1422"/>
      <c r="D314" s="1431">
        <f t="shared" si="74"/>
        <v>0</v>
      </c>
      <c r="E314" s="1422"/>
      <c r="F314" s="1760">
        <f>0.0276*B314</f>
        <v>0</v>
      </c>
      <c r="G314" s="1757"/>
      <c r="H314" s="941">
        <f>F314*10</f>
        <v>0</v>
      </c>
      <c r="I314" s="130">
        <v>0</v>
      </c>
      <c r="J314" s="131">
        <f>100*B314</f>
        <v>0</v>
      </c>
      <c r="K314" s="131">
        <f>80*B314</f>
        <v>0</v>
      </c>
      <c r="L314" s="132">
        <f t="shared" si="75"/>
        <v>0</v>
      </c>
      <c r="M314" s="1758">
        <f t="shared" si="76"/>
        <v>0</v>
      </c>
      <c r="N314" s="1759"/>
    </row>
    <row r="315" spans="1:14" ht="12.75" hidden="1" customHeight="1">
      <c r="A315" s="35" t="s">
        <v>47</v>
      </c>
      <c r="B315" s="1431">
        <f>FWC!N197</f>
        <v>0</v>
      </c>
      <c r="C315" s="1422"/>
      <c r="D315" s="1431">
        <f t="shared" si="74"/>
        <v>0</v>
      </c>
      <c r="E315" s="1422"/>
      <c r="F315" s="1760">
        <f>0.1534*B315</f>
        <v>0</v>
      </c>
      <c r="G315" s="1757"/>
      <c r="H315" s="941">
        <f>F315*5</f>
        <v>0</v>
      </c>
      <c r="I315" s="130">
        <v>0</v>
      </c>
      <c r="J315" s="131">
        <f>0*B315</f>
        <v>0</v>
      </c>
      <c r="K315" s="131">
        <f>150*B315</f>
        <v>0</v>
      </c>
      <c r="L315" s="132">
        <f t="shared" si="75"/>
        <v>0</v>
      </c>
      <c r="M315" s="1758">
        <f t="shared" si="76"/>
        <v>0</v>
      </c>
      <c r="N315" s="1759"/>
    </row>
    <row r="316" spans="1:14">
      <c r="A316" s="32" t="str">
        <f>'Ontario Total'!A314</f>
        <v>Weather based Irrigation Controllers (WBIC)</v>
      </c>
      <c r="B316" s="1467">
        <v>16</v>
      </c>
      <c r="C316" s="1433"/>
      <c r="D316" s="1431">
        <f t="shared" si="74"/>
        <v>1694425.2</v>
      </c>
      <c r="E316" s="1422"/>
      <c r="F316" s="1760">
        <f>0.325*B316</f>
        <v>5.2</v>
      </c>
      <c r="G316" s="1757"/>
      <c r="H316" s="941">
        <f>F316*10</f>
        <v>52</v>
      </c>
      <c r="I316" s="130">
        <v>0</v>
      </c>
      <c r="J316" s="131">
        <v>1945</v>
      </c>
      <c r="K316" s="131">
        <v>7600</v>
      </c>
      <c r="L316" s="132">
        <f t="shared" si="75"/>
        <v>9545</v>
      </c>
      <c r="M316" s="1758">
        <f t="shared" si="76"/>
        <v>2.5248650936408845</v>
      </c>
      <c r="N316" s="1759"/>
    </row>
    <row r="317" spans="1:14" ht="12.75" hidden="1" customHeight="1">
      <c r="A317" s="33" t="s">
        <v>53</v>
      </c>
      <c r="B317" s="1467">
        <f>FWC!N199</f>
        <v>0</v>
      </c>
      <c r="C317" s="1433"/>
      <c r="D317" s="1431">
        <f t="shared" si="74"/>
        <v>0</v>
      </c>
      <c r="E317" s="1422"/>
      <c r="F317" s="1756">
        <f>0.00014*B317</f>
        <v>0</v>
      </c>
      <c r="G317" s="1757"/>
      <c r="H317" s="941">
        <f>F317*10</f>
        <v>0</v>
      </c>
      <c r="I317" s="130">
        <v>0</v>
      </c>
      <c r="J317" s="131">
        <f>0.45*B317</f>
        <v>0</v>
      </c>
      <c r="K317" s="131">
        <f>0.3*B317</f>
        <v>0</v>
      </c>
      <c r="L317" s="132">
        <f t="shared" si="75"/>
        <v>0</v>
      </c>
      <c r="M317" s="1758">
        <f t="shared" si="76"/>
        <v>0</v>
      </c>
      <c r="N317" s="1759"/>
    </row>
    <row r="318" spans="1:14">
      <c r="A318" s="32" t="str">
        <f>'Ontario Total'!A316</f>
        <v>Rotating Nozzles for Pop-up Spray Heads</v>
      </c>
      <c r="B318" s="1467">
        <f>FWC!N200</f>
        <v>0</v>
      </c>
      <c r="C318" s="1433"/>
      <c r="D318" s="1431">
        <f t="shared" si="74"/>
        <v>0</v>
      </c>
      <c r="E318" s="1422"/>
      <c r="F318" s="1756">
        <f>0.004*B318</f>
        <v>0</v>
      </c>
      <c r="G318" s="1757"/>
      <c r="H318" s="941">
        <f>F318*5</f>
        <v>0</v>
      </c>
      <c r="I318" s="130">
        <v>0</v>
      </c>
      <c r="J318" s="131">
        <f>B318*2</f>
        <v>0</v>
      </c>
      <c r="K318" s="131">
        <f>B318*3</f>
        <v>0</v>
      </c>
      <c r="L318" s="132">
        <f t="shared" si="75"/>
        <v>0</v>
      </c>
      <c r="M318" s="1758">
        <f t="shared" si="76"/>
        <v>0</v>
      </c>
      <c r="N318" s="1759"/>
    </row>
    <row r="319" spans="1:14">
      <c r="A319" s="32" t="str">
        <f>'Ontario Total'!A317</f>
        <v>Large Rotary Nozzles</v>
      </c>
      <c r="B319" s="1467">
        <f>FWC!N201</f>
        <v>0</v>
      </c>
      <c r="C319" s="1433"/>
      <c r="D319" s="1431">
        <f t="shared" si="74"/>
        <v>0</v>
      </c>
      <c r="E319" s="1422"/>
      <c r="F319" s="1756">
        <f>0.018*B319</f>
        <v>0</v>
      </c>
      <c r="G319" s="1757"/>
      <c r="H319" s="941">
        <f>F319*10</f>
        <v>0</v>
      </c>
      <c r="I319" s="130">
        <v>0</v>
      </c>
      <c r="J319" s="131">
        <f>0*B319</f>
        <v>0</v>
      </c>
      <c r="K319" s="131">
        <f>13*B319</f>
        <v>0</v>
      </c>
      <c r="L319" s="132">
        <f t="shared" si="75"/>
        <v>0</v>
      </c>
      <c r="M319" s="1758">
        <f t="shared" si="76"/>
        <v>0</v>
      </c>
      <c r="N319" s="1759"/>
    </row>
    <row r="320" spans="1:14" ht="12.75" hidden="1" customHeight="1">
      <c r="A320" s="33" t="s">
        <v>102</v>
      </c>
      <c r="B320" s="1467">
        <f>FWC!N202</f>
        <v>0</v>
      </c>
      <c r="C320" s="1433"/>
      <c r="D320" s="1431">
        <f t="shared" si="74"/>
        <v>0</v>
      </c>
      <c r="E320" s="1422"/>
      <c r="F320" s="1756">
        <f>0.153*B320</f>
        <v>0</v>
      </c>
      <c r="G320" s="1757"/>
      <c r="H320" s="941">
        <f>F320*5</f>
        <v>0</v>
      </c>
      <c r="I320" s="130">
        <v>0</v>
      </c>
      <c r="J320" s="131">
        <f>0*B320</f>
        <v>0</v>
      </c>
      <c r="K320" s="131">
        <f>60*B320</f>
        <v>0</v>
      </c>
      <c r="L320" s="132">
        <f t="shared" si="75"/>
        <v>0</v>
      </c>
      <c r="M320" s="1758">
        <f t="shared" si="76"/>
        <v>0</v>
      </c>
      <c r="N320" s="1759"/>
    </row>
    <row r="321" spans="1:14">
      <c r="A321" s="32" t="str">
        <f>'Ontario Total'!A319</f>
        <v xml:space="preserve">Central Computerized Irrigation Controller </v>
      </c>
      <c r="B321" s="1467">
        <f>FWC!N203</f>
        <v>0</v>
      </c>
      <c r="C321" s="1433"/>
      <c r="D321" s="1444">
        <f>F321*325851</f>
        <v>0</v>
      </c>
      <c r="E321" s="1422"/>
      <c r="F321" s="1756">
        <f>0.018*B321</f>
        <v>0</v>
      </c>
      <c r="G321" s="1757"/>
      <c r="H321" s="941">
        <f>F321*10</f>
        <v>0</v>
      </c>
      <c r="I321" s="130">
        <v>0</v>
      </c>
      <c r="J321" s="130">
        <v>0</v>
      </c>
      <c r="K321" s="130">
        <v>0</v>
      </c>
      <c r="L321" s="132">
        <f t="shared" si="75"/>
        <v>0</v>
      </c>
      <c r="M321" s="1758">
        <f t="shared" si="76"/>
        <v>0</v>
      </c>
      <c r="N321" s="1759"/>
    </row>
    <row r="322" spans="1:14" s="121" customFormat="1">
      <c r="A322" s="33" t="str">
        <f>'Ontario Total'!A320</f>
        <v>Laminar Flow Restrictor</v>
      </c>
      <c r="B322" s="1467">
        <v>65</v>
      </c>
      <c r="C322" s="1433"/>
      <c r="D322" s="1432">
        <f>F322*325851</f>
        <v>487147.24499999994</v>
      </c>
      <c r="E322" s="1433"/>
      <c r="F322" s="1718">
        <f>0.023*B322</f>
        <v>1.4949999999999999</v>
      </c>
      <c r="G322" s="1719"/>
      <c r="H322" s="1306">
        <f>F322*5</f>
        <v>7.4749999999999996</v>
      </c>
      <c r="I322" s="133">
        <v>0</v>
      </c>
      <c r="J322" s="133">
        <v>0</v>
      </c>
      <c r="K322" s="133">
        <f>B322*10</f>
        <v>650</v>
      </c>
      <c r="L322" s="134">
        <f t="shared" si="75"/>
        <v>650</v>
      </c>
      <c r="M322" s="1748">
        <f t="shared" si="76"/>
        <v>0.59805035583996169</v>
      </c>
      <c r="N322" s="1815"/>
    </row>
    <row r="323" spans="1:14" s="57" customFormat="1" ht="14" thickBot="1">
      <c r="A323" s="144" t="str">
        <f>'Ontario Total'!A321</f>
        <v>Air-Cooled Ice Machine</v>
      </c>
      <c r="B323" s="1736">
        <f>FWC!N205</f>
        <v>0</v>
      </c>
      <c r="C323" s="1446"/>
      <c r="D323" s="1445">
        <f>F323*325851</f>
        <v>0</v>
      </c>
      <c r="E323" s="1446"/>
      <c r="F323" s="2093">
        <f>0.018*B323</f>
        <v>0</v>
      </c>
      <c r="G323" s="2094"/>
      <c r="H323" s="960">
        <f>F323*10</f>
        <v>0</v>
      </c>
      <c r="I323" s="130">
        <v>0</v>
      </c>
      <c r="J323" s="130">
        <v>0</v>
      </c>
      <c r="K323" s="130">
        <v>0</v>
      </c>
      <c r="L323" s="135">
        <f t="shared" si="75"/>
        <v>0</v>
      </c>
      <c r="M323" s="1859">
        <f t="shared" si="76"/>
        <v>0</v>
      </c>
      <c r="N323" s="1860"/>
    </row>
    <row r="324" spans="1:14" s="1161" customFormat="1" ht="17" thickBot="1">
      <c r="A324" s="108" t="str">
        <f>'Ontario Total'!A322</f>
        <v>IEUA Locally Implemented Commercial Programs</v>
      </c>
      <c r="B324" s="1567"/>
      <c r="C324" s="1586"/>
      <c r="D324" s="1567"/>
      <c r="E324" s="1586"/>
      <c r="F324" s="1587"/>
      <c r="G324" s="1588"/>
      <c r="H324" s="1299"/>
      <c r="I324" s="109"/>
      <c r="J324" s="109"/>
      <c r="K324" s="109"/>
      <c r="L324" s="1296"/>
      <c r="M324" s="1617"/>
      <c r="N324" s="1486"/>
    </row>
    <row r="325" spans="1:14">
      <c r="A325" s="32" t="str">
        <f>'Ontario Total'!A323</f>
        <v>Fontana Unified School Retrofit Program</v>
      </c>
      <c r="B325" s="1431">
        <v>1764</v>
      </c>
      <c r="C325" s="1422"/>
      <c r="D325" s="1444">
        <f>F325*325851</f>
        <v>49203501</v>
      </c>
      <c r="E325" s="1422"/>
      <c r="F325" s="2093">
        <v>151</v>
      </c>
      <c r="G325" s="2094"/>
      <c r="H325" s="960">
        <v>2880</v>
      </c>
      <c r="I325" s="149">
        <v>206033</v>
      </c>
      <c r="J325" s="130">
        <v>0</v>
      </c>
      <c r="K325" s="130">
        <v>32050</v>
      </c>
      <c r="L325" s="132">
        <f t="shared" si="75"/>
        <v>238083</v>
      </c>
      <c r="M325" s="1758">
        <f t="shared" si="76"/>
        <v>2.1687876331107607</v>
      </c>
      <c r="N325" s="1759"/>
    </row>
    <row r="326" spans="1:14" s="121" customFormat="1" ht="14" thickBot="1">
      <c r="A326" s="33" t="s">
        <v>165</v>
      </c>
      <c r="B326" s="1467">
        <f>FWC!N208</f>
        <v>0</v>
      </c>
      <c r="C326" s="1433"/>
      <c r="D326" s="1432">
        <f>F326*325851</f>
        <v>0</v>
      </c>
      <c r="E326" s="1433"/>
      <c r="F326" s="1718">
        <v>0</v>
      </c>
      <c r="G326" s="1719"/>
      <c r="H326" s="1306">
        <v>0</v>
      </c>
      <c r="I326" s="133">
        <v>0</v>
      </c>
      <c r="J326" s="133">
        <v>0</v>
      </c>
      <c r="K326" s="133">
        <f>B326*3.25</f>
        <v>0</v>
      </c>
      <c r="L326" s="134">
        <f t="shared" si="75"/>
        <v>0</v>
      </c>
      <c r="M326" s="1748">
        <f t="shared" si="76"/>
        <v>0</v>
      </c>
      <c r="N326" s="1815"/>
    </row>
    <row r="327" spans="1:14" ht="14" thickBot="1">
      <c r="A327" s="53" t="s">
        <v>60</v>
      </c>
      <c r="B327" s="1438">
        <f>SUM(B311:C326)</f>
        <v>1845</v>
      </c>
      <c r="C327" s="1621"/>
      <c r="D327" s="1441">
        <f>SUM(D311:E326)</f>
        <v>51385073.445</v>
      </c>
      <c r="E327" s="1621"/>
      <c r="F327" s="1511">
        <f>SUM(F311:G326)</f>
        <v>157.69499999999999</v>
      </c>
      <c r="G327" s="1575"/>
      <c r="H327" s="482">
        <f>SUM(H311:H326)</f>
        <v>2939.4749999999999</v>
      </c>
      <c r="I327" s="136">
        <f>SUM(I311:I326)</f>
        <v>206033</v>
      </c>
      <c r="J327" s="136">
        <f>SUM(J311:J326)</f>
        <v>1945</v>
      </c>
      <c r="K327" s="136">
        <f>SUM(K311:K326)</f>
        <v>40300</v>
      </c>
      <c r="L327" s="136">
        <f>SUM(L311:L326)</f>
        <v>248278</v>
      </c>
      <c r="M327" s="1610"/>
      <c r="N327" s="1611"/>
    </row>
    <row r="328" spans="1:14" s="1168" customFormat="1" ht="17" thickBot="1">
      <c r="A328" s="1182" t="s">
        <v>17</v>
      </c>
      <c r="B328" s="1416">
        <f>SUM(B305+B309+B327)</f>
        <v>2104</v>
      </c>
      <c r="C328" s="1415"/>
      <c r="D328" s="1416">
        <f>SUM(D305+D309+D327)</f>
        <v>59411598.202500001</v>
      </c>
      <c r="E328" s="1415"/>
      <c r="F328" s="1487">
        <f>SUM(F305+F309+F327)</f>
        <v>180.0325</v>
      </c>
      <c r="G328" s="1488"/>
      <c r="H328" s="1293">
        <f>SUM(H305+H309+H327)</f>
        <v>3230.2249999999999</v>
      </c>
      <c r="I328" s="1169">
        <f>SUM(I305+I309+I327)</f>
        <v>224072.83000000002</v>
      </c>
      <c r="J328" s="1169">
        <f>SUM(J305+J309+J327)</f>
        <v>16498.260000000002</v>
      </c>
      <c r="K328" s="1169">
        <f>SUM(K305+K309+K327)</f>
        <v>68773.709999999992</v>
      </c>
      <c r="L328" s="1169">
        <f>SUM(L305+L309+L327)</f>
        <v>309344.8</v>
      </c>
      <c r="M328" s="1631"/>
      <c r="N328" s="1640"/>
    </row>
    <row r="329" spans="1:14" ht="16">
      <c r="A329" s="60"/>
      <c r="B329" s="61"/>
      <c r="C329" s="61"/>
      <c r="D329" s="61"/>
      <c r="E329" s="61"/>
      <c r="F329" s="441"/>
      <c r="G329" s="441"/>
      <c r="H329" s="441"/>
      <c r="I329" s="62"/>
      <c r="J329" s="62"/>
      <c r="K329" s="62"/>
      <c r="L329" s="62"/>
      <c r="M329" s="64"/>
      <c r="N329" s="65"/>
    </row>
    <row r="330" spans="1:14" ht="16">
      <c r="A330" s="9" t="s">
        <v>18</v>
      </c>
      <c r="B330" s="1419" t="s">
        <v>59</v>
      </c>
      <c r="C330" s="1419"/>
      <c r="D330" s="1419"/>
      <c r="E330" s="1419"/>
      <c r="F330" s="441"/>
      <c r="G330" s="441"/>
      <c r="H330" s="441"/>
      <c r="I330" s="62"/>
      <c r="J330" s="62"/>
      <c r="K330" s="62"/>
      <c r="L330" s="62"/>
      <c r="M330" s="64"/>
      <c r="N330" s="65"/>
    </row>
    <row r="331" spans="1:14" ht="16">
      <c r="A331" s="57"/>
      <c r="B331" s="1420" t="s">
        <v>19</v>
      </c>
      <c r="C331" s="1420"/>
      <c r="D331" s="1420"/>
      <c r="E331" s="1420"/>
      <c r="F331" s="441"/>
      <c r="G331" s="441"/>
      <c r="H331" s="441"/>
      <c r="I331" s="62"/>
      <c r="J331" s="62"/>
      <c r="K331" s="62"/>
      <c r="L331" s="62"/>
      <c r="M331" s="64"/>
      <c r="N331" s="65"/>
    </row>
    <row r="332" spans="1:14" ht="17" thickBot="1">
      <c r="A332" s="57"/>
      <c r="B332" s="1012"/>
      <c r="C332" s="1012"/>
      <c r="D332" s="1012"/>
      <c r="E332" s="1012"/>
      <c r="F332" s="441"/>
      <c r="G332" s="441"/>
      <c r="H332" s="441"/>
      <c r="I332" s="62"/>
      <c r="J332" s="62"/>
      <c r="K332" s="62"/>
      <c r="L332" s="62"/>
      <c r="M332" s="64"/>
      <c r="N332" s="65"/>
    </row>
    <row r="333" spans="1:14" s="363" customFormat="1" ht="16">
      <c r="A333" s="98"/>
      <c r="B333" s="99"/>
      <c r="C333" s="99"/>
      <c r="D333" s="99"/>
      <c r="E333" s="99"/>
      <c r="F333" s="421"/>
      <c r="G333" s="421"/>
      <c r="H333" s="421"/>
      <c r="I333" s="1468" t="s">
        <v>0</v>
      </c>
      <c r="J333" s="1468"/>
      <c r="K333" s="1468"/>
      <c r="L333" s="1468"/>
      <c r="M333" s="99"/>
      <c r="N333" s="101"/>
    </row>
    <row r="334" spans="1:14" ht="16">
      <c r="A334" s="97"/>
      <c r="B334" s="1469" t="s">
        <v>1</v>
      </c>
      <c r="C334" s="1469"/>
      <c r="D334" s="1469" t="s">
        <v>2</v>
      </c>
      <c r="E334" s="1469"/>
      <c r="F334" s="1470" t="s">
        <v>3</v>
      </c>
      <c r="G334" s="1470"/>
      <c r="H334" s="1003" t="s">
        <v>3</v>
      </c>
      <c r="I334" s="127" t="s">
        <v>195</v>
      </c>
      <c r="J334" s="102"/>
      <c r="K334" s="102"/>
      <c r="L334" s="128"/>
      <c r="M334" s="1469" t="s">
        <v>4</v>
      </c>
      <c r="N334" s="1526"/>
    </row>
    <row r="335" spans="1:14" s="121" customFormat="1" ht="19" thickBot="1">
      <c r="A335" s="1345" t="s">
        <v>5</v>
      </c>
      <c r="B335" s="2061" t="s">
        <v>6</v>
      </c>
      <c r="C335" s="2061"/>
      <c r="D335" s="2061" t="s">
        <v>7</v>
      </c>
      <c r="E335" s="2061"/>
      <c r="F335" s="2113" t="s">
        <v>7</v>
      </c>
      <c r="G335" s="2113"/>
      <c r="H335" s="1346" t="s">
        <v>58</v>
      </c>
      <c r="I335" s="1347" t="s">
        <v>196</v>
      </c>
      <c r="J335" s="1348" t="s">
        <v>8</v>
      </c>
      <c r="K335" s="1348" t="s">
        <v>9</v>
      </c>
      <c r="L335" s="1349" t="s">
        <v>10</v>
      </c>
      <c r="M335" s="2061" t="s">
        <v>145</v>
      </c>
      <c r="N335" s="2062"/>
    </row>
    <row r="336" spans="1:14" ht="24" thickBot="1">
      <c r="A336" s="88" t="s">
        <v>180</v>
      </c>
      <c r="B336" s="1764"/>
      <c r="C336" s="1477"/>
      <c r="D336" s="1478"/>
      <c r="E336" s="1479"/>
      <c r="F336" s="1480"/>
      <c r="G336" s="1481"/>
      <c r="H336" s="1020"/>
      <c r="I336" s="7"/>
      <c r="J336" s="7"/>
      <c r="K336" s="7"/>
      <c r="L336" s="8"/>
      <c r="M336" s="1764"/>
      <c r="N336" s="1765"/>
    </row>
    <row r="337" spans="1:14" s="1161" customFormat="1" ht="17" thickBot="1">
      <c r="A337" s="108" t="s">
        <v>48</v>
      </c>
      <c r="B337" s="1567"/>
      <c r="C337" s="1586"/>
      <c r="D337" s="1567"/>
      <c r="E337" s="1586"/>
      <c r="F337" s="1587"/>
      <c r="G337" s="1588"/>
      <c r="H337" s="1301"/>
      <c r="I337" s="109"/>
      <c r="J337" s="109"/>
      <c r="K337" s="109"/>
      <c r="L337" s="1296"/>
      <c r="M337" s="1617"/>
      <c r="N337" s="1486"/>
    </row>
    <row r="338" spans="1:14">
      <c r="A338" s="32" t="s">
        <v>33</v>
      </c>
      <c r="B338" s="1431">
        <f>FWC!N147</f>
        <v>149</v>
      </c>
      <c r="C338" s="1422"/>
      <c r="D338" s="1431">
        <f t="shared" ref="D338:D343" si="77">F338*325851</f>
        <v>1340029.6524</v>
      </c>
      <c r="E338" s="1422"/>
      <c r="F338" s="1756">
        <f>0.0276*B338</f>
        <v>4.1124000000000001</v>
      </c>
      <c r="G338" s="1757"/>
      <c r="H338" s="941">
        <f>F338*15</f>
        <v>61.686</v>
      </c>
      <c r="I338" s="131">
        <f>0*B338</f>
        <v>0</v>
      </c>
      <c r="J338" s="131">
        <v>0</v>
      </c>
      <c r="K338" s="131">
        <f>B338*85</f>
        <v>12665</v>
      </c>
      <c r="L338" s="132">
        <f>I338+J338+K338</f>
        <v>12665</v>
      </c>
      <c r="M338" s="1758">
        <f>L338/(F338*681)</f>
        <v>4.5223350145778793</v>
      </c>
      <c r="N338" s="1759"/>
    </row>
    <row r="339" spans="1:14">
      <c r="A339" s="32" t="s">
        <v>56</v>
      </c>
      <c r="B339" s="1431">
        <f>FWC!N148</f>
        <v>65</v>
      </c>
      <c r="C339" s="1422"/>
      <c r="D339" s="1431">
        <f t="shared" si="77"/>
        <v>84721.260000000009</v>
      </c>
      <c r="E339" s="1422"/>
      <c r="F339" s="1756">
        <f>0.004*B339</f>
        <v>0.26</v>
      </c>
      <c r="G339" s="1757"/>
      <c r="H339" s="941">
        <f>F339*5</f>
        <v>1.3</v>
      </c>
      <c r="I339" s="131">
        <f>0*B339</f>
        <v>0</v>
      </c>
      <c r="J339" s="131">
        <f>2*B339</f>
        <v>130</v>
      </c>
      <c r="K339" s="131">
        <f>B339*3</f>
        <v>195</v>
      </c>
      <c r="L339" s="132">
        <f>I339+J339+K339</f>
        <v>325</v>
      </c>
      <c r="M339" s="1758">
        <f>L339/(F339*681)</f>
        <v>1.8355359765051396</v>
      </c>
      <c r="N339" s="1759"/>
    </row>
    <row r="340" spans="1:14">
      <c r="A340" s="78" t="s">
        <v>30</v>
      </c>
      <c r="B340" s="1431">
        <f>FWC!N149</f>
        <v>3</v>
      </c>
      <c r="C340" s="1422"/>
      <c r="D340" s="1431">
        <f t="shared" si="77"/>
        <v>317704.72500000003</v>
      </c>
      <c r="E340" s="1422"/>
      <c r="F340" s="1756">
        <f>0.325*B340</f>
        <v>0.97500000000000009</v>
      </c>
      <c r="G340" s="1757"/>
      <c r="H340" s="941">
        <f>F340*10</f>
        <v>9.75</v>
      </c>
      <c r="I340" s="131">
        <v>0</v>
      </c>
      <c r="J340" s="150">
        <f>B340*45</f>
        <v>135</v>
      </c>
      <c r="K340" s="131">
        <f>B340*80</f>
        <v>240</v>
      </c>
      <c r="L340" s="132">
        <f>I340+J340+K340</f>
        <v>375</v>
      </c>
      <c r="M340" s="1758">
        <f>L340/(F340*681)</f>
        <v>0.56478030046311978</v>
      </c>
      <c r="N340" s="1759"/>
    </row>
    <row r="341" spans="1:14" s="120" customFormat="1" ht="12.75" hidden="1" customHeight="1">
      <c r="A341" s="119" t="s">
        <v>183</v>
      </c>
      <c r="B341" s="1431">
        <f>FWC!N150</f>
        <v>0</v>
      </c>
      <c r="C341" s="1422"/>
      <c r="D341" s="1431">
        <f t="shared" si="77"/>
        <v>0</v>
      </c>
      <c r="E341" s="1422"/>
      <c r="F341" s="1760">
        <f>0.325*B341</f>
        <v>0</v>
      </c>
      <c r="G341" s="1757"/>
      <c r="H341" s="941">
        <f>F341*10</f>
        <v>0</v>
      </c>
      <c r="I341" s="131">
        <v>1</v>
      </c>
      <c r="J341" s="150">
        <f>B341*45</f>
        <v>0</v>
      </c>
      <c r="K341" s="131">
        <f>B341*80</f>
        <v>0</v>
      </c>
      <c r="L341" s="132">
        <f>I341+J341+K341</f>
        <v>1</v>
      </c>
      <c r="M341" s="1758" t="e">
        <f>L341/(F341*681)</f>
        <v>#DIV/0!</v>
      </c>
      <c r="N341" s="1759"/>
    </row>
    <row r="342" spans="1:14" s="121" customFormat="1">
      <c r="A342" s="76" t="s">
        <v>165</v>
      </c>
      <c r="B342" s="1431">
        <f>FWC!N151</f>
        <v>0</v>
      </c>
      <c r="C342" s="1422"/>
      <c r="D342" s="1431">
        <f t="shared" si="77"/>
        <v>0</v>
      </c>
      <c r="E342" s="1422"/>
      <c r="F342" s="1760">
        <f>0.325*B342</f>
        <v>0</v>
      </c>
      <c r="G342" s="1757"/>
      <c r="H342" s="941">
        <f>F342*10</f>
        <v>0</v>
      </c>
      <c r="I342" s="131">
        <v>0</v>
      </c>
      <c r="J342" s="150">
        <v>0</v>
      </c>
      <c r="K342" s="131">
        <v>0</v>
      </c>
      <c r="L342" s="132">
        <v>0</v>
      </c>
      <c r="M342" s="1758">
        <v>0</v>
      </c>
      <c r="N342" s="1759"/>
    </row>
    <row r="343" spans="1:14" ht="14" thickBot="1">
      <c r="A343" s="76" t="s">
        <v>166</v>
      </c>
      <c r="B343" s="1736">
        <v>22</v>
      </c>
      <c r="C343" s="1446"/>
      <c r="D343" s="1737">
        <f t="shared" si="77"/>
        <v>5865318</v>
      </c>
      <c r="E343" s="2112"/>
      <c r="F343" s="1752">
        <v>18</v>
      </c>
      <c r="G343" s="1753"/>
      <c r="H343" s="944">
        <f>F343*10</f>
        <v>180</v>
      </c>
      <c r="I343" s="133">
        <v>0</v>
      </c>
      <c r="J343" s="106">
        <v>14499</v>
      </c>
      <c r="K343" s="106">
        <v>12310</v>
      </c>
      <c r="L343" s="641">
        <f>SUM(J343:K343)</f>
        <v>26809</v>
      </c>
      <c r="M343" s="1758">
        <f>L343/(F343*681)</f>
        <v>2.1870615108500573</v>
      </c>
      <c r="N343" s="1759"/>
    </row>
    <row r="344" spans="1:14" s="121" customFormat="1" ht="14" thickBot="1">
      <c r="A344" s="53" t="s">
        <v>60</v>
      </c>
      <c r="B344" s="2050">
        <f>SUM(B338:C343)</f>
        <v>239</v>
      </c>
      <c r="C344" s="1608"/>
      <c r="D344" s="1931">
        <f>SUM(D338:E343)</f>
        <v>7607773.6374000004</v>
      </c>
      <c r="E344" s="1608"/>
      <c r="F344" s="2096">
        <f>SUM(F338:G343)</f>
        <v>23.3474</v>
      </c>
      <c r="G344" s="2083"/>
      <c r="H344" s="1350">
        <f>SUM(H338:H343)</f>
        <v>252.73599999999999</v>
      </c>
      <c r="I344" s="540">
        <f>SUM(I338:I343)</f>
        <v>1</v>
      </c>
      <c r="J344" s="540">
        <f>SUM(J338:J343)</f>
        <v>14764</v>
      </c>
      <c r="K344" s="540">
        <f>SUM(K338:K343)</f>
        <v>25410</v>
      </c>
      <c r="L344" s="540">
        <f>SUM(L338:L343)</f>
        <v>40175</v>
      </c>
      <c r="M344" s="1610"/>
      <c r="N344" s="1611"/>
    </row>
    <row r="345" spans="1:14" s="1161" customFormat="1" ht="17" thickBot="1">
      <c r="A345" s="108" t="s">
        <v>146</v>
      </c>
      <c r="B345" s="1567"/>
      <c r="C345" s="1586"/>
      <c r="D345" s="1567"/>
      <c r="E345" s="1586"/>
      <c r="F345" s="1484"/>
      <c r="G345" s="1588"/>
      <c r="H345" s="1301"/>
      <c r="I345" s="161"/>
      <c r="J345" s="161"/>
      <c r="K345" s="161"/>
      <c r="L345" s="162"/>
      <c r="M345" s="1617"/>
      <c r="N345" s="1486"/>
    </row>
    <row r="346" spans="1:14">
      <c r="A346" s="76" t="s">
        <v>146</v>
      </c>
      <c r="B346" s="1431">
        <f>FWC!N155</f>
        <v>18</v>
      </c>
      <c r="C346" s="1422"/>
      <c r="D346" s="1431">
        <f>F346*325851</f>
        <v>249276.01500000001</v>
      </c>
      <c r="E346" s="1422"/>
      <c r="F346" s="1760">
        <f>0.0425*B346</f>
        <v>0.76500000000000001</v>
      </c>
      <c r="G346" s="1757"/>
      <c r="H346" s="941">
        <f>F346*20</f>
        <v>15.3</v>
      </c>
      <c r="I346" s="131">
        <f>73.34*B346</f>
        <v>1320.1200000000001</v>
      </c>
      <c r="J346" s="131">
        <f>35.66*B346</f>
        <v>641.87999999999988</v>
      </c>
      <c r="K346" s="131">
        <f>B346*50</f>
        <v>900</v>
      </c>
      <c r="L346" s="132">
        <f>I346+J346+K346</f>
        <v>2862</v>
      </c>
      <c r="M346" s="1758">
        <f>L346/(F346*681)</f>
        <v>5.4936512049753823</v>
      </c>
      <c r="N346" s="1759"/>
    </row>
    <row r="347" spans="1:14" ht="14" thickBot="1">
      <c r="A347" s="76" t="s">
        <v>181</v>
      </c>
      <c r="B347" s="1431">
        <f>FWC!N156</f>
        <v>1130</v>
      </c>
      <c r="C347" s="1422"/>
      <c r="D347" s="1431">
        <f>F347*325851</f>
        <v>15648994.275000002</v>
      </c>
      <c r="E347" s="1422"/>
      <c r="F347" s="1760">
        <f>0.0425*B347</f>
        <v>48.025000000000006</v>
      </c>
      <c r="G347" s="1757"/>
      <c r="H347" s="941">
        <f>F347*20</f>
        <v>960.50000000000011</v>
      </c>
      <c r="I347" s="131">
        <f>73.34*B347</f>
        <v>82874.2</v>
      </c>
      <c r="J347" s="131">
        <f>35.66*B347</f>
        <v>40295.799999999996</v>
      </c>
      <c r="K347" s="131">
        <f>B347*50</f>
        <v>56500</v>
      </c>
      <c r="L347" s="132">
        <f>I347+J347+K347</f>
        <v>179670</v>
      </c>
      <c r="M347" s="1758">
        <f>L347/(F347*681)</f>
        <v>5.4936512049753814</v>
      </c>
      <c r="N347" s="1759"/>
    </row>
    <row r="348" spans="1:14" s="121" customFormat="1" ht="14" thickBot="1">
      <c r="A348" s="53" t="s">
        <v>60</v>
      </c>
      <c r="B348" s="2050">
        <f>SUM(B346:B347)</f>
        <v>1148</v>
      </c>
      <c r="C348" s="1608"/>
      <c r="D348" s="1931">
        <f>SUM(D346:D347)</f>
        <v>15898270.290000003</v>
      </c>
      <c r="E348" s="1608"/>
      <c r="F348" s="2096">
        <f>SUM(F346)</f>
        <v>0.76500000000000001</v>
      </c>
      <c r="G348" s="2083"/>
      <c r="H348" s="1350">
        <f>SUM(H346:H347)</f>
        <v>975.80000000000007</v>
      </c>
      <c r="I348" s="540">
        <f>SUM(I346:I347)</f>
        <v>84194.319999999992</v>
      </c>
      <c r="J348" s="1351">
        <f>SUM(J346:J347)</f>
        <v>40937.679999999993</v>
      </c>
      <c r="K348" s="1351">
        <f>SUM(K346:K347)</f>
        <v>57400</v>
      </c>
      <c r="L348" s="540">
        <f>SUM(L346:L347)</f>
        <v>182532</v>
      </c>
      <c r="M348" s="1610"/>
      <c r="N348" s="1611"/>
    </row>
    <row r="349" spans="1:14" s="1161" customFormat="1" ht="17" thickBot="1">
      <c r="A349" s="108" t="s">
        <v>50</v>
      </c>
      <c r="B349" s="1567"/>
      <c r="C349" s="1586"/>
      <c r="D349" s="1567"/>
      <c r="E349" s="1586"/>
      <c r="F349" s="1484"/>
      <c r="G349" s="1588"/>
      <c r="H349" s="1301"/>
      <c r="I349" s="161"/>
      <c r="J349" s="161"/>
      <c r="K349" s="161"/>
      <c r="L349" s="162"/>
      <c r="M349" s="1617"/>
      <c r="N349" s="1486"/>
    </row>
    <row r="350" spans="1:14">
      <c r="A350" s="32" t="s">
        <v>29</v>
      </c>
      <c r="B350" s="1431">
        <f>FWC!N158</f>
        <v>0</v>
      </c>
      <c r="C350" s="1422"/>
      <c r="D350" s="1431">
        <f t="shared" ref="D350:D355" si="78">F350*325851</f>
        <v>0</v>
      </c>
      <c r="E350" s="1422"/>
      <c r="F350" s="1760">
        <f>0.0425*B350</f>
        <v>0</v>
      </c>
      <c r="G350" s="1757"/>
      <c r="H350" s="941">
        <f>F350*20</f>
        <v>0</v>
      </c>
      <c r="I350" s="131">
        <v>0</v>
      </c>
      <c r="J350" s="131">
        <f>135*B350</f>
        <v>0</v>
      </c>
      <c r="K350" s="131">
        <f>165*B350</f>
        <v>0</v>
      </c>
      <c r="L350" s="132">
        <f t="shared" ref="L350:L357" si="79">SUM(I350:K350)</f>
        <v>0</v>
      </c>
      <c r="M350" s="1758">
        <v>0</v>
      </c>
      <c r="N350" s="1759"/>
    </row>
    <row r="351" spans="1:14">
      <c r="A351" s="32" t="s">
        <v>51</v>
      </c>
      <c r="B351" s="1431">
        <f>FWC!N159</f>
        <v>0</v>
      </c>
      <c r="C351" s="1422"/>
      <c r="D351" s="1431">
        <f t="shared" si="78"/>
        <v>0</v>
      </c>
      <c r="E351" s="1422"/>
      <c r="F351" s="1760">
        <f>0.1227*B351</f>
        <v>0</v>
      </c>
      <c r="G351" s="1757"/>
      <c r="H351" s="941">
        <f>F351*20</f>
        <v>0</v>
      </c>
      <c r="I351" s="131">
        <v>0</v>
      </c>
      <c r="J351" s="131">
        <f>0*B351</f>
        <v>0</v>
      </c>
      <c r="K351" s="131">
        <f>400*B351</f>
        <v>0</v>
      </c>
      <c r="L351" s="132">
        <f t="shared" si="79"/>
        <v>0</v>
      </c>
      <c r="M351" s="1758">
        <v>0</v>
      </c>
      <c r="N351" s="1759"/>
    </row>
    <row r="352" spans="1:14">
      <c r="A352" s="34" t="s">
        <v>20</v>
      </c>
      <c r="B352" s="1431">
        <f>FWC!N160</f>
        <v>0</v>
      </c>
      <c r="C352" s="1422"/>
      <c r="D352" s="1431">
        <f t="shared" si="78"/>
        <v>0</v>
      </c>
      <c r="E352" s="1422"/>
      <c r="F352" s="1760">
        <v>0</v>
      </c>
      <c r="G352" s="1757"/>
      <c r="H352" s="941">
        <f>F352*5</f>
        <v>0</v>
      </c>
      <c r="I352" s="131">
        <v>0</v>
      </c>
      <c r="J352" s="131">
        <f>43.75*B352</f>
        <v>0</v>
      </c>
      <c r="K352" s="131">
        <f>625*B352</f>
        <v>0</v>
      </c>
      <c r="L352" s="132">
        <f t="shared" si="79"/>
        <v>0</v>
      </c>
      <c r="M352" s="1758">
        <v>0</v>
      </c>
      <c r="N352" s="1759"/>
    </row>
    <row r="353" spans="1:14">
      <c r="A353" s="34" t="s">
        <v>13</v>
      </c>
      <c r="B353" s="1431">
        <f>FWC!N161</f>
        <v>0</v>
      </c>
      <c r="C353" s="1422"/>
      <c r="D353" s="1431">
        <f t="shared" si="78"/>
        <v>0</v>
      </c>
      <c r="E353" s="1422"/>
      <c r="F353" s="1760">
        <f>0.0276*B353</f>
        <v>0</v>
      </c>
      <c r="G353" s="1757"/>
      <c r="H353" s="941">
        <f>F353*10</f>
        <v>0</v>
      </c>
      <c r="I353" s="131">
        <v>0</v>
      </c>
      <c r="J353" s="131">
        <f>100*B353</f>
        <v>0</v>
      </c>
      <c r="K353" s="131">
        <f>80*B353</f>
        <v>0</v>
      </c>
      <c r="L353" s="132">
        <f t="shared" si="79"/>
        <v>0</v>
      </c>
      <c r="M353" s="1758">
        <v>0</v>
      </c>
      <c r="N353" s="1759"/>
    </row>
    <row r="354" spans="1:14" hidden="1">
      <c r="A354" s="35" t="s">
        <v>47</v>
      </c>
      <c r="B354" s="1431">
        <f>FWC!N162</f>
        <v>0</v>
      </c>
      <c r="C354" s="1422"/>
      <c r="D354" s="1431">
        <f t="shared" si="78"/>
        <v>0</v>
      </c>
      <c r="E354" s="1422"/>
      <c r="F354" s="1760">
        <f>0.1534*B354</f>
        <v>0</v>
      </c>
      <c r="G354" s="1757"/>
      <c r="H354" s="941">
        <f>F354*5</f>
        <v>0</v>
      </c>
      <c r="I354" s="131">
        <v>0</v>
      </c>
      <c r="J354" s="131">
        <f>0*B354</f>
        <v>0</v>
      </c>
      <c r="K354" s="131">
        <f>150*B354</f>
        <v>0</v>
      </c>
      <c r="L354" s="132">
        <f t="shared" si="79"/>
        <v>0</v>
      </c>
      <c r="M354" s="1758">
        <v>0</v>
      </c>
      <c r="N354" s="1759"/>
    </row>
    <row r="355" spans="1:14">
      <c r="A355" s="76" t="s">
        <v>30</v>
      </c>
      <c r="B355" s="1431">
        <f>FWC!N164</f>
        <v>6</v>
      </c>
      <c r="C355" s="1422"/>
      <c r="D355" s="1431">
        <f t="shared" si="78"/>
        <v>635409.45000000007</v>
      </c>
      <c r="E355" s="1422"/>
      <c r="F355" s="1760">
        <f>0.325*B355</f>
        <v>1.9500000000000002</v>
      </c>
      <c r="G355" s="1757"/>
      <c r="H355" s="941">
        <f>F355*10</f>
        <v>19.5</v>
      </c>
      <c r="I355" s="131">
        <v>0</v>
      </c>
      <c r="J355" s="131">
        <v>2134</v>
      </c>
      <c r="K355" s="131">
        <v>5025</v>
      </c>
      <c r="L355" s="132">
        <f t="shared" si="79"/>
        <v>7159</v>
      </c>
      <c r="M355" s="1758">
        <f>L355/(F355*681)</f>
        <v>5.3910162280206331</v>
      </c>
      <c r="N355" s="1759"/>
    </row>
    <row r="356" spans="1:14" hidden="1">
      <c r="A356" s="33" t="s">
        <v>53</v>
      </c>
      <c r="B356" s="1431">
        <v>0</v>
      </c>
      <c r="C356" s="1422"/>
      <c r="D356" s="1431">
        <v>0</v>
      </c>
      <c r="E356" s="1422"/>
      <c r="F356" s="1760">
        <v>0</v>
      </c>
      <c r="G356" s="1757"/>
      <c r="H356" s="941">
        <v>0</v>
      </c>
      <c r="I356" s="131">
        <v>0</v>
      </c>
      <c r="J356" s="131">
        <v>0</v>
      </c>
      <c r="K356" s="131">
        <v>0</v>
      </c>
      <c r="L356" s="132">
        <v>0</v>
      </c>
      <c r="M356" s="1758">
        <v>0</v>
      </c>
      <c r="N356" s="1759"/>
    </row>
    <row r="357" spans="1:14">
      <c r="A357" s="33" t="s">
        <v>56</v>
      </c>
      <c r="B357" s="1431">
        <f>FWC!N166</f>
        <v>2000</v>
      </c>
      <c r="C357" s="1422"/>
      <c r="D357" s="1431">
        <f t="shared" ref="D357:D362" si="80">F357*325851</f>
        <v>2606808</v>
      </c>
      <c r="E357" s="1422"/>
      <c r="F357" s="1760">
        <f>0.004*B357</f>
        <v>8</v>
      </c>
      <c r="G357" s="1757"/>
      <c r="H357" s="941">
        <f>F357*5</f>
        <v>40</v>
      </c>
      <c r="I357" s="131">
        <v>0</v>
      </c>
      <c r="J357" s="131">
        <f>B357*2</f>
        <v>4000</v>
      </c>
      <c r="K357" s="131">
        <f>B357*3</f>
        <v>6000</v>
      </c>
      <c r="L357" s="132">
        <f t="shared" si="79"/>
        <v>10000</v>
      </c>
      <c r="M357" s="1758">
        <v>0</v>
      </c>
      <c r="N357" s="1759"/>
    </row>
    <row r="358" spans="1:14">
      <c r="A358" s="76" t="s">
        <v>123</v>
      </c>
      <c r="B358" s="1431">
        <f>FWC!N167</f>
        <v>0</v>
      </c>
      <c r="C358" s="1422"/>
      <c r="D358" s="1431">
        <f t="shared" si="80"/>
        <v>0</v>
      </c>
      <c r="E358" s="1422"/>
      <c r="F358" s="1760">
        <f>0.018*B358</f>
        <v>0</v>
      </c>
      <c r="G358" s="1757"/>
      <c r="H358" s="941">
        <f>F358*10</f>
        <v>0</v>
      </c>
      <c r="I358" s="131">
        <v>0</v>
      </c>
      <c r="J358" s="131">
        <f>0*B358</f>
        <v>0</v>
      </c>
      <c r="K358" s="131">
        <f>13*B358</f>
        <v>0</v>
      </c>
      <c r="L358" s="132">
        <f>SUM(I358:K358)</f>
        <v>0</v>
      </c>
      <c r="M358" s="1758">
        <v>0</v>
      </c>
      <c r="N358" s="1759"/>
    </row>
    <row r="359" spans="1:14" ht="12.75" hidden="1" customHeight="1">
      <c r="A359" s="33" t="s">
        <v>102</v>
      </c>
      <c r="B359" s="1431">
        <f>FWC!N167</f>
        <v>0</v>
      </c>
      <c r="C359" s="1422"/>
      <c r="D359" s="1431">
        <f t="shared" si="80"/>
        <v>0</v>
      </c>
      <c r="E359" s="1422"/>
      <c r="F359" s="1760">
        <f>0.153*B359</f>
        <v>0</v>
      </c>
      <c r="G359" s="1757"/>
      <c r="H359" s="941">
        <f>F359*5</f>
        <v>0</v>
      </c>
      <c r="I359" s="131">
        <v>0</v>
      </c>
      <c r="J359" s="131">
        <f>0*B359</f>
        <v>0</v>
      </c>
      <c r="K359" s="131">
        <f>60*B359</f>
        <v>0</v>
      </c>
      <c r="L359" s="132">
        <f>SUM(I359:K359)</f>
        <v>0</v>
      </c>
      <c r="M359" s="1758">
        <v>0</v>
      </c>
      <c r="N359" s="1759"/>
    </row>
    <row r="360" spans="1:14">
      <c r="A360" s="33" t="s">
        <v>167</v>
      </c>
      <c r="B360" s="1736">
        <v>2124</v>
      </c>
      <c r="C360" s="1446"/>
      <c r="D360" s="1736">
        <f t="shared" si="80"/>
        <v>12708189</v>
      </c>
      <c r="E360" s="1446"/>
      <c r="F360" s="2117">
        <v>39</v>
      </c>
      <c r="G360" s="2094"/>
      <c r="H360" s="960">
        <v>635</v>
      </c>
      <c r="I360" s="149">
        <v>339942.09</v>
      </c>
      <c r="J360" s="130">
        <v>0</v>
      </c>
      <c r="K360" s="130">
        <v>51978</v>
      </c>
      <c r="L360" s="135">
        <f>SUM(I360:K360)</f>
        <v>391920.09</v>
      </c>
      <c r="M360" s="1758">
        <f>L360/(F360*681)</f>
        <v>14.756583079182199</v>
      </c>
      <c r="N360" s="1759"/>
    </row>
    <row r="361" spans="1:14">
      <c r="A361" s="33" t="s">
        <v>165</v>
      </c>
      <c r="B361" s="1431">
        <v>0</v>
      </c>
      <c r="C361" s="1422"/>
      <c r="D361" s="1431">
        <v>0</v>
      </c>
      <c r="E361" s="1422"/>
      <c r="F361" s="1760">
        <v>0</v>
      </c>
      <c r="G361" s="1757"/>
      <c r="H361" s="941">
        <v>0</v>
      </c>
      <c r="I361" s="131">
        <v>0</v>
      </c>
      <c r="J361" s="131">
        <v>0</v>
      </c>
      <c r="K361" s="131">
        <v>0</v>
      </c>
      <c r="L361" s="132">
        <v>0</v>
      </c>
      <c r="M361" s="1758">
        <v>0</v>
      </c>
      <c r="N361" s="1759"/>
    </row>
    <row r="362" spans="1:14" ht="14" thickBot="1">
      <c r="A362" s="78" t="s">
        <v>184</v>
      </c>
      <c r="B362" s="1444">
        <f>FWC!N171</f>
        <v>0</v>
      </c>
      <c r="C362" s="1422"/>
      <c r="D362" s="1431">
        <f t="shared" si="80"/>
        <v>0</v>
      </c>
      <c r="E362" s="1422"/>
      <c r="F362" s="1760">
        <f>0.018*B362</f>
        <v>0</v>
      </c>
      <c r="G362" s="1757"/>
      <c r="H362" s="941">
        <f>F362*10</f>
        <v>0</v>
      </c>
      <c r="I362" s="131">
        <v>0</v>
      </c>
      <c r="J362" s="131">
        <v>0</v>
      </c>
      <c r="K362" s="131">
        <v>0</v>
      </c>
      <c r="L362" s="132">
        <v>0</v>
      </c>
      <c r="M362" s="1758">
        <v>0</v>
      </c>
      <c r="N362" s="1759"/>
    </row>
    <row r="363" spans="1:14" s="121" customFormat="1" ht="14" thickBot="1">
      <c r="A363" s="53" t="s">
        <v>60</v>
      </c>
      <c r="B363" s="2050">
        <f>SUM(B350:C362)</f>
        <v>4130</v>
      </c>
      <c r="C363" s="1608"/>
      <c r="D363" s="1931">
        <f>SUM(D350:E362)</f>
        <v>15950406.449999999</v>
      </c>
      <c r="E363" s="1608"/>
      <c r="F363" s="2096">
        <f>SUM(F350:G362)</f>
        <v>48.95</v>
      </c>
      <c r="G363" s="2083"/>
      <c r="H363" s="1350">
        <f>SUM(H350:H362)</f>
        <v>694.5</v>
      </c>
      <c r="I363" s="540">
        <f>SUM(I350:I362)</f>
        <v>339942.09</v>
      </c>
      <c r="J363" s="540">
        <f>SUM(J350:J362)</f>
        <v>6134</v>
      </c>
      <c r="K363" s="540">
        <f>SUM(K350:K362)</f>
        <v>63003</v>
      </c>
      <c r="L363" s="540">
        <f>SUM(L350:L362)</f>
        <v>409079.09</v>
      </c>
      <c r="M363" s="1610"/>
      <c r="N363" s="1611"/>
    </row>
    <row r="364" spans="1:14" s="1168" customFormat="1" ht="17" thickBot="1">
      <c r="A364" s="1182" t="s">
        <v>17</v>
      </c>
      <c r="B364" s="1416">
        <f>SUM(B344+B348+B363)</f>
        <v>5517</v>
      </c>
      <c r="C364" s="1415"/>
      <c r="D364" s="1612">
        <f>SUM(D344+D348+D363)</f>
        <v>39456450.377400003</v>
      </c>
      <c r="E364" s="1415"/>
      <c r="F364" s="1487">
        <f>SUM(F344+F348+F363)</f>
        <v>73.062399999999997</v>
      </c>
      <c r="G364" s="1488"/>
      <c r="H364" s="1293">
        <f>SUM(H344+H348+H363)</f>
        <v>1923.0360000000001</v>
      </c>
      <c r="I364" s="1169">
        <f>SUM(I344+I348+I363)</f>
        <v>424137.41000000003</v>
      </c>
      <c r="J364" s="1169">
        <f>SUM(J344+J348+J363)</f>
        <v>61835.679999999993</v>
      </c>
      <c r="K364" s="1169">
        <f>SUM(K344+K348+K363)</f>
        <v>145813</v>
      </c>
      <c r="L364" s="1169">
        <f>SUM(L344+L348+L363)</f>
        <v>631786.09000000008</v>
      </c>
      <c r="M364" s="1631"/>
      <c r="N364" s="1640"/>
    </row>
    <row r="365" spans="1:14" ht="16">
      <c r="A365" s="60"/>
      <c r="B365" s="61"/>
      <c r="C365" s="61"/>
      <c r="D365" s="61"/>
      <c r="E365" s="61"/>
      <c r="F365" s="441"/>
      <c r="G365" s="441"/>
      <c r="H365" s="441"/>
      <c r="I365" s="62"/>
      <c r="J365" s="62"/>
      <c r="K365" s="62"/>
      <c r="L365" s="62"/>
      <c r="M365" s="64"/>
      <c r="N365" s="65"/>
    </row>
    <row r="366" spans="1:14" ht="16">
      <c r="A366" s="9" t="s">
        <v>18</v>
      </c>
      <c r="B366" s="1419" t="s">
        <v>59</v>
      </c>
      <c r="C366" s="1419"/>
      <c r="D366" s="1419"/>
      <c r="E366" s="1419"/>
      <c r="F366" s="441"/>
      <c r="G366" s="441"/>
      <c r="H366" s="441"/>
      <c r="I366" s="62"/>
      <c r="J366" s="62"/>
      <c r="K366" s="62"/>
      <c r="L366" s="62"/>
      <c r="M366" s="64"/>
      <c r="N366" s="65"/>
    </row>
    <row r="367" spans="1:14" ht="16">
      <c r="A367" s="57"/>
      <c r="B367" s="1420" t="s">
        <v>19</v>
      </c>
      <c r="C367" s="1420"/>
      <c r="D367" s="1420"/>
      <c r="E367" s="1420"/>
      <c r="F367" s="441"/>
      <c r="G367" s="441"/>
      <c r="H367" s="441"/>
      <c r="I367" s="62"/>
      <c r="J367" s="62"/>
      <c r="K367" s="62"/>
      <c r="L367" s="62"/>
      <c r="M367" s="64"/>
      <c r="N367" s="65"/>
    </row>
    <row r="368" spans="1:14" ht="17" thickBot="1">
      <c r="A368" s="57"/>
      <c r="B368" s="1012"/>
      <c r="C368" s="1012"/>
      <c r="D368" s="1012"/>
      <c r="E368" s="1012"/>
      <c r="F368" s="441"/>
      <c r="G368" s="441"/>
      <c r="H368" s="441"/>
      <c r="I368" s="62"/>
      <c r="J368" s="62"/>
      <c r="K368" s="62"/>
      <c r="L368" s="62"/>
      <c r="M368" s="64"/>
      <c r="N368" s="65"/>
    </row>
    <row r="369" spans="1:14" s="363" customFormat="1" ht="16">
      <c r="A369" s="98"/>
      <c r="B369" s="99"/>
      <c r="C369" s="99"/>
      <c r="D369" s="99"/>
      <c r="E369" s="99"/>
      <c r="F369" s="421"/>
      <c r="G369" s="421"/>
      <c r="H369" s="421"/>
      <c r="I369" s="1468" t="s">
        <v>0</v>
      </c>
      <c r="J369" s="1468"/>
      <c r="K369" s="1468"/>
      <c r="L369" s="1468"/>
      <c r="M369" s="99"/>
      <c r="N369" s="101"/>
    </row>
    <row r="370" spans="1:14" ht="16">
      <c r="A370" s="97"/>
      <c r="B370" s="1469" t="s">
        <v>1</v>
      </c>
      <c r="C370" s="1469"/>
      <c r="D370" s="1469" t="s">
        <v>2</v>
      </c>
      <c r="E370" s="1469"/>
      <c r="F370" s="1470" t="s">
        <v>3</v>
      </c>
      <c r="G370" s="1470"/>
      <c r="H370" s="1003" t="s">
        <v>3</v>
      </c>
      <c r="I370" s="127" t="s">
        <v>195</v>
      </c>
      <c r="J370" s="102"/>
      <c r="K370" s="102"/>
      <c r="L370" s="128"/>
      <c r="M370" s="1469" t="s">
        <v>4</v>
      </c>
      <c r="N370" s="1526"/>
    </row>
    <row r="371" spans="1:14" ht="19" thickBot="1">
      <c r="A371" s="103" t="s">
        <v>5</v>
      </c>
      <c r="B371" s="1473" t="s">
        <v>6</v>
      </c>
      <c r="C371" s="1473"/>
      <c r="D371" s="1473" t="s">
        <v>7</v>
      </c>
      <c r="E371" s="1473"/>
      <c r="F371" s="1474" t="s">
        <v>7</v>
      </c>
      <c r="G371" s="1474"/>
      <c r="H371" s="1006" t="s">
        <v>58</v>
      </c>
      <c r="I371" s="1007" t="s">
        <v>196</v>
      </c>
      <c r="J371" s="1005" t="s">
        <v>8</v>
      </c>
      <c r="K371" s="1005" t="s">
        <v>9</v>
      </c>
      <c r="L371" s="401" t="s">
        <v>10</v>
      </c>
      <c r="M371" s="1473" t="s">
        <v>145</v>
      </c>
      <c r="N371" s="1475"/>
    </row>
    <row r="372" spans="1:14" s="121" customFormat="1" ht="24" thickBot="1">
      <c r="A372" s="88" t="s">
        <v>163</v>
      </c>
      <c r="B372" s="2127"/>
      <c r="C372" s="2086"/>
      <c r="D372" s="2087"/>
      <c r="E372" s="2088"/>
      <c r="F372" s="2089"/>
      <c r="G372" s="2090"/>
      <c r="H372" s="1339"/>
      <c r="I372" s="1352"/>
      <c r="J372" s="1352"/>
      <c r="K372" s="1352"/>
      <c r="L372" s="1353"/>
      <c r="M372" s="2127"/>
      <c r="N372" s="2128"/>
    </row>
    <row r="373" spans="1:14" s="1161" customFormat="1" ht="17" thickBot="1">
      <c r="A373" s="108" t="s">
        <v>48</v>
      </c>
      <c r="B373" s="1567"/>
      <c r="C373" s="1586"/>
      <c r="D373" s="1567"/>
      <c r="E373" s="1586"/>
      <c r="F373" s="1587"/>
      <c r="G373" s="1588"/>
      <c r="H373" s="1301"/>
      <c r="I373" s="109"/>
      <c r="J373" s="109"/>
      <c r="K373" s="109"/>
      <c r="L373" s="1296"/>
      <c r="M373" s="1617"/>
      <c r="N373" s="1486"/>
    </row>
    <row r="374" spans="1:14">
      <c r="A374" s="32" t="s">
        <v>29</v>
      </c>
      <c r="B374" s="1431">
        <f>FWC!N117</f>
        <v>7</v>
      </c>
      <c r="C374" s="1422"/>
      <c r="D374" s="1431">
        <f>F374*325851</f>
        <v>96940.672500000015</v>
      </c>
      <c r="E374" s="1422"/>
      <c r="F374" s="1756">
        <f>0.0425*B374</f>
        <v>0.29750000000000004</v>
      </c>
      <c r="G374" s="1757"/>
      <c r="H374" s="941">
        <f>F374*20</f>
        <v>5.9500000000000011</v>
      </c>
      <c r="I374" s="131">
        <v>0</v>
      </c>
      <c r="J374" s="131">
        <f>35*B374</f>
        <v>245</v>
      </c>
      <c r="K374" s="131">
        <f>B374*50</f>
        <v>350</v>
      </c>
      <c r="L374" s="132">
        <f t="shared" ref="L374:L379" si="81">I374+J374+K374</f>
        <v>595</v>
      </c>
      <c r="M374" s="1758">
        <f>L374/(F374*498.5)</f>
        <v>4.0120361083249749</v>
      </c>
      <c r="N374" s="1759"/>
    </row>
    <row r="375" spans="1:14">
      <c r="A375" s="32" t="s">
        <v>33</v>
      </c>
      <c r="B375" s="1431">
        <f>FWC!N118</f>
        <v>293</v>
      </c>
      <c r="C375" s="1422"/>
      <c r="D375" s="1431">
        <f>F375*325851</f>
        <v>2635091.8668</v>
      </c>
      <c r="E375" s="1422"/>
      <c r="F375" s="1756">
        <f>0.0276*B375</f>
        <v>8.0868000000000002</v>
      </c>
      <c r="G375" s="1757"/>
      <c r="H375" s="941">
        <f>F375*15</f>
        <v>121.30200000000001</v>
      </c>
      <c r="I375" s="131">
        <f>0*B375</f>
        <v>0</v>
      </c>
      <c r="J375" s="131">
        <v>0</v>
      </c>
      <c r="K375" s="131">
        <f>B375*85</f>
        <v>24905</v>
      </c>
      <c r="L375" s="132">
        <f t="shared" si="81"/>
        <v>24905</v>
      </c>
      <c r="M375" s="1758">
        <f>L375/(F375*498.5)</f>
        <v>6.1779541523120081</v>
      </c>
      <c r="N375" s="1759"/>
    </row>
    <row r="376" spans="1:14">
      <c r="A376" s="32" t="s">
        <v>56</v>
      </c>
      <c r="B376" s="1431">
        <f>FWC!N119</f>
        <v>112</v>
      </c>
      <c r="C376" s="1422"/>
      <c r="D376" s="1431">
        <f>F376*325851</f>
        <v>145981.24799999999</v>
      </c>
      <c r="E376" s="1422"/>
      <c r="F376" s="1756">
        <f>0.004*B376</f>
        <v>0.44800000000000001</v>
      </c>
      <c r="G376" s="1757"/>
      <c r="H376" s="941">
        <f>F376*5</f>
        <v>2.2400000000000002</v>
      </c>
      <c r="I376" s="131">
        <f>0*B376</f>
        <v>0</v>
      </c>
      <c r="J376" s="131">
        <f>2*B376</f>
        <v>224</v>
      </c>
      <c r="K376" s="131">
        <f>B376*3</f>
        <v>336</v>
      </c>
      <c r="L376" s="132">
        <f t="shared" si="81"/>
        <v>560</v>
      </c>
      <c r="M376" s="1758">
        <v>0</v>
      </c>
      <c r="N376" s="1759"/>
    </row>
    <row r="377" spans="1:14">
      <c r="A377" s="78" t="s">
        <v>30</v>
      </c>
      <c r="B377" s="1431">
        <f>FWC!N120</f>
        <v>4</v>
      </c>
      <c r="C377" s="1422"/>
      <c r="D377" s="1431">
        <f>F377*325851</f>
        <v>423606.3</v>
      </c>
      <c r="E377" s="1422"/>
      <c r="F377" s="1756">
        <f>0.325*B377</f>
        <v>1.3</v>
      </c>
      <c r="G377" s="1757"/>
      <c r="H377" s="941">
        <f>F377*10</f>
        <v>13</v>
      </c>
      <c r="I377" s="131">
        <v>0</v>
      </c>
      <c r="J377" s="150">
        <f>B377*45</f>
        <v>180</v>
      </c>
      <c r="K377" s="131">
        <f>B377*80</f>
        <v>320</v>
      </c>
      <c r="L377" s="132">
        <f t="shared" si="81"/>
        <v>500</v>
      </c>
      <c r="M377" s="1758">
        <f>0</f>
        <v>0</v>
      </c>
      <c r="N377" s="1759"/>
    </row>
    <row r="378" spans="1:14">
      <c r="A378" s="76" t="s">
        <v>175</v>
      </c>
      <c r="B378" s="1431">
        <v>1</v>
      </c>
      <c r="C378" s="1422"/>
      <c r="D378" s="1467">
        <f>F378*325900</f>
        <v>19162.919999999998</v>
      </c>
      <c r="E378" s="1433"/>
      <c r="F378" s="1718">
        <f>0.00014*420</f>
        <v>5.8799999999999998E-2</v>
      </c>
      <c r="G378" s="1719"/>
      <c r="H378" s="944">
        <f>F378*10</f>
        <v>0.58799999999999997</v>
      </c>
      <c r="I378" s="133">
        <v>0</v>
      </c>
      <c r="J378" s="133">
        <f>420*0.45</f>
        <v>189</v>
      </c>
      <c r="K378" s="133">
        <f>420*0.3</f>
        <v>126</v>
      </c>
      <c r="L378" s="132">
        <f t="shared" si="81"/>
        <v>315</v>
      </c>
      <c r="M378" s="1758">
        <f>L378/(F378*498.5)</f>
        <v>10.746525290156184</v>
      </c>
      <c r="N378" s="1759"/>
    </row>
    <row r="379" spans="1:14" ht="14" thickBot="1">
      <c r="A379" s="76" t="s">
        <v>166</v>
      </c>
      <c r="B379" s="1431">
        <f>FWC!N123</f>
        <v>5</v>
      </c>
      <c r="C379" s="1422"/>
      <c r="D379" s="1744">
        <f>F379*325900</f>
        <v>977700</v>
      </c>
      <c r="E379" s="1745"/>
      <c r="F379" s="1762">
        <v>3</v>
      </c>
      <c r="G379" s="1763"/>
      <c r="H379" s="944">
        <f>F379*10</f>
        <v>30</v>
      </c>
      <c r="I379" s="133">
        <v>0</v>
      </c>
      <c r="J379" s="133">
        <v>1818.72</v>
      </c>
      <c r="K379" s="133">
        <v>2251.04</v>
      </c>
      <c r="L379" s="132">
        <f t="shared" si="81"/>
        <v>4069.76</v>
      </c>
      <c r="M379" s="1758">
        <f>L379/(F379*498.5)</f>
        <v>2.7213373453694416</v>
      </c>
      <c r="N379" s="1759"/>
    </row>
    <row r="380" spans="1:14" ht="14" thickBot="1">
      <c r="A380" s="53" t="s">
        <v>60</v>
      </c>
      <c r="B380" s="1438">
        <f>SUM(B374:C379)</f>
        <v>422</v>
      </c>
      <c r="C380" s="1609"/>
      <c r="D380" s="1440">
        <f>SUM(D374:E379)</f>
        <v>4298483.0072999997</v>
      </c>
      <c r="E380" s="1621"/>
      <c r="F380" s="1511">
        <f>SUM(F374:G379)</f>
        <v>13.1911</v>
      </c>
      <c r="G380" s="1575"/>
      <c r="H380" s="167">
        <f>SUM(H374:H379)</f>
        <v>173.08</v>
      </c>
      <c r="I380" s="136">
        <f>SUM(I374:I379)</f>
        <v>0</v>
      </c>
      <c r="J380" s="136">
        <f>SUM(J374:J379)</f>
        <v>2656.7200000000003</v>
      </c>
      <c r="K380" s="136">
        <f>SUM(K374:K379)</f>
        <v>28288.04</v>
      </c>
      <c r="L380" s="136">
        <f>SUM(L374:L379)</f>
        <v>30944.760000000002</v>
      </c>
      <c r="M380" s="1610"/>
      <c r="N380" s="1611"/>
    </row>
    <row r="381" spans="1:14" s="1161" customFormat="1" ht="17" thickBot="1">
      <c r="A381" s="108" t="s">
        <v>146</v>
      </c>
      <c r="B381" s="1567"/>
      <c r="C381" s="1586"/>
      <c r="D381" s="1567"/>
      <c r="E381" s="1586"/>
      <c r="F381" s="1587"/>
      <c r="G381" s="1588"/>
      <c r="H381" s="1145"/>
      <c r="I381" s="161"/>
      <c r="J381" s="161"/>
      <c r="K381" s="161"/>
      <c r="L381" s="162"/>
      <c r="M381" s="1617"/>
      <c r="N381" s="1486"/>
    </row>
    <row r="382" spans="1:14" ht="14" thickBot="1">
      <c r="A382" s="76" t="s">
        <v>146</v>
      </c>
      <c r="B382" s="1431">
        <f>FWC!N126</f>
        <v>3</v>
      </c>
      <c r="C382" s="1422"/>
      <c r="D382" s="1431">
        <f>F382*325851</f>
        <v>41546.002500000002</v>
      </c>
      <c r="E382" s="1422"/>
      <c r="F382" s="1756">
        <f>0.0425*B382</f>
        <v>0.1275</v>
      </c>
      <c r="G382" s="1757"/>
      <c r="H382" s="941">
        <f>F382*20</f>
        <v>2.5499999999999998</v>
      </c>
      <c r="I382" s="131">
        <f>73.34*B382</f>
        <v>220.02</v>
      </c>
      <c r="J382" s="131">
        <f>35.66*B382</f>
        <v>106.97999999999999</v>
      </c>
      <c r="K382" s="131">
        <f>B382*50</f>
        <v>150</v>
      </c>
      <c r="L382" s="132">
        <f>I382+J382+K382</f>
        <v>477</v>
      </c>
      <c r="M382" s="1758">
        <v>0</v>
      </c>
      <c r="N382" s="1759"/>
    </row>
    <row r="383" spans="1:14" ht="14" thickBot="1">
      <c r="A383" s="53" t="s">
        <v>60</v>
      </c>
      <c r="B383" s="1438">
        <f>SUM(B382)</f>
        <v>3</v>
      </c>
      <c r="C383" s="1609"/>
      <c r="D383" s="1440">
        <f>SUM(D382)</f>
        <v>41546.002500000002</v>
      </c>
      <c r="E383" s="1621"/>
      <c r="F383" s="1511">
        <f>SUM(F382)</f>
        <v>0.1275</v>
      </c>
      <c r="G383" s="1575"/>
      <c r="H383" s="167">
        <f>SUM(H382)</f>
        <v>2.5499999999999998</v>
      </c>
      <c r="I383" s="136">
        <f>SUM(I382)</f>
        <v>220.02</v>
      </c>
      <c r="J383" s="143">
        <f>SUM(J382)</f>
        <v>106.97999999999999</v>
      </c>
      <c r="K383" s="143">
        <f>SUM(K382)</f>
        <v>150</v>
      </c>
      <c r="L383" s="136">
        <f>SUM(L382)</f>
        <v>477</v>
      </c>
      <c r="M383" s="1610"/>
      <c r="N383" s="1611"/>
    </row>
    <row r="384" spans="1:14" s="1161" customFormat="1" ht="17" thickBot="1">
      <c r="A384" s="108" t="s">
        <v>50</v>
      </c>
      <c r="B384" s="1567"/>
      <c r="C384" s="1586"/>
      <c r="D384" s="1567"/>
      <c r="E384" s="1586"/>
      <c r="F384" s="1587"/>
      <c r="G384" s="1588"/>
      <c r="H384" s="1145"/>
      <c r="I384" s="161"/>
      <c r="J384" s="161"/>
      <c r="K384" s="161"/>
      <c r="L384" s="162"/>
      <c r="M384" s="1617"/>
      <c r="N384" s="1486"/>
    </row>
    <row r="385" spans="1:14">
      <c r="A385" s="32" t="s">
        <v>29</v>
      </c>
      <c r="B385" s="1431">
        <f>FWC!N129</f>
        <v>0</v>
      </c>
      <c r="C385" s="1422"/>
      <c r="D385" s="1431">
        <f t="shared" ref="D385:D391" si="82">F385*325851</f>
        <v>0</v>
      </c>
      <c r="E385" s="1422"/>
      <c r="F385" s="1756">
        <f>0.0425*B385</f>
        <v>0</v>
      </c>
      <c r="G385" s="1757"/>
      <c r="H385" s="941">
        <f>F385*20</f>
        <v>0</v>
      </c>
      <c r="I385" s="131">
        <v>0</v>
      </c>
      <c r="J385" s="131">
        <f>135*B385</f>
        <v>0</v>
      </c>
      <c r="K385" s="131">
        <f>165*B385</f>
        <v>0</v>
      </c>
      <c r="L385" s="132">
        <f t="shared" ref="L385:L392" si="83">SUM(I385:K385)</f>
        <v>0</v>
      </c>
      <c r="M385" s="1758">
        <v>0</v>
      </c>
      <c r="N385" s="1759"/>
    </row>
    <row r="386" spans="1:14">
      <c r="A386" s="32" t="s">
        <v>51</v>
      </c>
      <c r="B386" s="1431">
        <f>FWC!N130</f>
        <v>0</v>
      </c>
      <c r="C386" s="1422"/>
      <c r="D386" s="1431">
        <f t="shared" si="82"/>
        <v>0</v>
      </c>
      <c r="E386" s="1422"/>
      <c r="F386" s="1756">
        <f>0.1227*B386</f>
        <v>0</v>
      </c>
      <c r="G386" s="1757"/>
      <c r="H386" s="941">
        <f>F386*20</f>
        <v>0</v>
      </c>
      <c r="I386" s="131">
        <v>0</v>
      </c>
      <c r="J386" s="131">
        <f>0*B386</f>
        <v>0</v>
      </c>
      <c r="K386" s="131">
        <f>400*B386</f>
        <v>0</v>
      </c>
      <c r="L386" s="132">
        <f t="shared" si="83"/>
        <v>0</v>
      </c>
      <c r="M386" s="1758">
        <v>0</v>
      </c>
      <c r="N386" s="1759"/>
    </row>
    <row r="387" spans="1:14">
      <c r="A387" s="34" t="s">
        <v>20</v>
      </c>
      <c r="B387" s="1431">
        <f>FWC!N131</f>
        <v>0</v>
      </c>
      <c r="C387" s="1422"/>
      <c r="D387" s="1431">
        <f t="shared" si="82"/>
        <v>0</v>
      </c>
      <c r="E387" s="1422"/>
      <c r="F387" s="1756">
        <v>0</v>
      </c>
      <c r="G387" s="1757"/>
      <c r="H387" s="941">
        <f>F387*5</f>
        <v>0</v>
      </c>
      <c r="I387" s="131">
        <v>0</v>
      </c>
      <c r="J387" s="131">
        <f>43.75*B387</f>
        <v>0</v>
      </c>
      <c r="K387" s="131">
        <f>625*B387</f>
        <v>0</v>
      </c>
      <c r="L387" s="132">
        <f t="shared" si="83"/>
        <v>0</v>
      </c>
      <c r="M387" s="1758">
        <v>0</v>
      </c>
      <c r="N387" s="1759"/>
    </row>
    <row r="388" spans="1:14" hidden="1">
      <c r="A388" s="34" t="s">
        <v>13</v>
      </c>
      <c r="B388" s="1431">
        <f>FWC!N132</f>
        <v>0</v>
      </c>
      <c r="C388" s="1422"/>
      <c r="D388" s="1431">
        <f t="shared" si="82"/>
        <v>0</v>
      </c>
      <c r="E388" s="1422"/>
      <c r="F388" s="1756">
        <f>0.0276*B388</f>
        <v>0</v>
      </c>
      <c r="G388" s="1757"/>
      <c r="H388" s="941">
        <f>F388*10</f>
        <v>0</v>
      </c>
      <c r="I388" s="131">
        <v>0</v>
      </c>
      <c r="J388" s="131">
        <f>100*B388</f>
        <v>0</v>
      </c>
      <c r="K388" s="131">
        <f>80*B388</f>
        <v>0</v>
      </c>
      <c r="L388" s="132">
        <f t="shared" si="83"/>
        <v>0</v>
      </c>
      <c r="M388" s="1758">
        <v>0</v>
      </c>
      <c r="N388" s="1759"/>
    </row>
    <row r="389" spans="1:14" hidden="1">
      <c r="A389" s="35" t="s">
        <v>47</v>
      </c>
      <c r="B389" s="1431">
        <f>FWC!N133</f>
        <v>0</v>
      </c>
      <c r="C389" s="1422"/>
      <c r="D389" s="1431">
        <f t="shared" si="82"/>
        <v>0</v>
      </c>
      <c r="E389" s="1422"/>
      <c r="F389" s="1756">
        <f>0.1534*B389</f>
        <v>0</v>
      </c>
      <c r="G389" s="1757"/>
      <c r="H389" s="941">
        <f>F389*5</f>
        <v>0</v>
      </c>
      <c r="I389" s="131">
        <v>0</v>
      </c>
      <c r="J389" s="131">
        <f>0*B389</f>
        <v>0</v>
      </c>
      <c r="K389" s="131">
        <f>150*B389</f>
        <v>0</v>
      </c>
      <c r="L389" s="132">
        <f t="shared" si="83"/>
        <v>0</v>
      </c>
      <c r="M389" s="1758">
        <v>0</v>
      </c>
      <c r="N389" s="1759"/>
    </row>
    <row r="390" spans="1:14">
      <c r="A390" s="76" t="s">
        <v>30</v>
      </c>
      <c r="B390" s="1431">
        <f>FWC!N134</f>
        <v>0</v>
      </c>
      <c r="C390" s="1422"/>
      <c r="D390" s="1431">
        <f t="shared" si="82"/>
        <v>0</v>
      </c>
      <c r="E390" s="1422"/>
      <c r="F390" s="1756">
        <f>0.325*B390</f>
        <v>0</v>
      </c>
      <c r="G390" s="1757"/>
      <c r="H390" s="941">
        <f>F390*10</f>
        <v>0</v>
      </c>
      <c r="I390" s="131">
        <v>0</v>
      </c>
      <c r="J390" s="131">
        <f>0*B390</f>
        <v>0</v>
      </c>
      <c r="K390" s="131">
        <f>669*B390</f>
        <v>0</v>
      </c>
      <c r="L390" s="132">
        <f t="shared" si="83"/>
        <v>0</v>
      </c>
      <c r="M390" s="1758">
        <v>0</v>
      </c>
      <c r="N390" s="1759"/>
    </row>
    <row r="391" spans="1:14">
      <c r="A391" s="33" t="s">
        <v>53</v>
      </c>
      <c r="B391" s="1431">
        <f>FWC!N135</f>
        <v>0</v>
      </c>
      <c r="C391" s="1422"/>
      <c r="D391" s="1431">
        <f t="shared" si="82"/>
        <v>0</v>
      </c>
      <c r="E391" s="1422"/>
      <c r="F391" s="1756">
        <f>0.00014*B391</f>
        <v>0</v>
      </c>
      <c r="G391" s="1757"/>
      <c r="H391" s="941">
        <f>F391*10</f>
        <v>0</v>
      </c>
      <c r="I391" s="131">
        <v>0</v>
      </c>
      <c r="J391" s="131">
        <f>0.45*B391</f>
        <v>0</v>
      </c>
      <c r="K391" s="131">
        <f>0.3*B391</f>
        <v>0</v>
      </c>
      <c r="L391" s="132">
        <f t="shared" si="83"/>
        <v>0</v>
      </c>
      <c r="M391" s="1758">
        <v>0</v>
      </c>
      <c r="N391" s="1759"/>
    </row>
    <row r="392" spans="1:14">
      <c r="A392" s="33" t="s">
        <v>56</v>
      </c>
      <c r="B392" s="1431">
        <f>FWC!N136</f>
        <v>0</v>
      </c>
      <c r="C392" s="1422"/>
      <c r="D392" s="1431">
        <f>F392*325851</f>
        <v>0</v>
      </c>
      <c r="E392" s="1422"/>
      <c r="F392" s="1756">
        <f>0.004*B392</f>
        <v>0</v>
      </c>
      <c r="G392" s="1757"/>
      <c r="H392" s="941">
        <f>F392*5</f>
        <v>0</v>
      </c>
      <c r="I392" s="131">
        <v>0</v>
      </c>
      <c r="J392" s="131">
        <f>0*B392</f>
        <v>0</v>
      </c>
      <c r="K392" s="131">
        <f>4*B392</f>
        <v>0</v>
      </c>
      <c r="L392" s="132">
        <f t="shared" si="83"/>
        <v>0</v>
      </c>
      <c r="M392" s="1758">
        <v>0</v>
      </c>
      <c r="N392" s="1759"/>
    </row>
    <row r="393" spans="1:14">
      <c r="A393" s="76" t="s">
        <v>123</v>
      </c>
      <c r="B393" s="1431">
        <f>FWC!N137</f>
        <v>0</v>
      </c>
      <c r="C393" s="1422"/>
      <c r="D393" s="1431">
        <f>F393*325851</f>
        <v>0</v>
      </c>
      <c r="E393" s="1422"/>
      <c r="F393" s="1756">
        <f>0.018*B393</f>
        <v>0</v>
      </c>
      <c r="G393" s="1757"/>
      <c r="H393" s="941">
        <f>F393*10</f>
        <v>0</v>
      </c>
      <c r="I393" s="131">
        <v>0</v>
      </c>
      <c r="J393" s="131">
        <f>0*B393</f>
        <v>0</v>
      </c>
      <c r="K393" s="131">
        <f>13*B393</f>
        <v>0</v>
      </c>
      <c r="L393" s="132">
        <f>SUM(I393:K393)</f>
        <v>0</v>
      </c>
      <c r="M393" s="1758">
        <v>0</v>
      </c>
      <c r="N393" s="1759"/>
    </row>
    <row r="394" spans="1:14" hidden="1">
      <c r="A394" s="33" t="s">
        <v>102</v>
      </c>
      <c r="B394" s="1431">
        <f>FWC!N138</f>
        <v>0</v>
      </c>
      <c r="C394" s="1422"/>
      <c r="D394" s="1431">
        <f>F394*325851</f>
        <v>0</v>
      </c>
      <c r="E394" s="1422"/>
      <c r="F394" s="1756">
        <f>0.153*B394</f>
        <v>0</v>
      </c>
      <c r="G394" s="1757"/>
      <c r="H394" s="941">
        <f>F394*5</f>
        <v>0</v>
      </c>
      <c r="I394" s="131">
        <v>0</v>
      </c>
      <c r="J394" s="131">
        <f>0*B394</f>
        <v>0</v>
      </c>
      <c r="K394" s="131">
        <f>60*B394</f>
        <v>0</v>
      </c>
      <c r="L394" s="132">
        <f>SUM(I394:K394)</f>
        <v>0</v>
      </c>
      <c r="M394" s="1758">
        <v>0</v>
      </c>
      <c r="N394" s="1759"/>
    </row>
    <row r="395" spans="1:14" ht="14" thickBot="1">
      <c r="A395" s="33" t="s">
        <v>167</v>
      </c>
      <c r="B395" s="1431">
        <v>1899</v>
      </c>
      <c r="C395" s="1422"/>
      <c r="D395" s="1431">
        <f>F395*325900</f>
        <v>28679200</v>
      </c>
      <c r="E395" s="1422"/>
      <c r="F395" s="2118">
        <v>88</v>
      </c>
      <c r="G395" s="1763"/>
      <c r="H395" s="941">
        <v>709</v>
      </c>
      <c r="I395" s="169">
        <v>321643</v>
      </c>
      <c r="J395" s="131">
        <v>0</v>
      </c>
      <c r="K395" s="131">
        <v>33900</v>
      </c>
      <c r="L395" s="132">
        <f>SUM(I395:K395)</f>
        <v>355543</v>
      </c>
      <c r="M395" s="1758">
        <f>L395/(F395*498.5)</f>
        <v>8.1048372389896972</v>
      </c>
      <c r="N395" s="1759"/>
    </row>
    <row r="396" spans="1:14" ht="14" thickBot="1">
      <c r="A396" s="53" t="s">
        <v>60</v>
      </c>
      <c r="B396" s="1438">
        <f>SUM(B385:C395)</f>
        <v>1899</v>
      </c>
      <c r="C396" s="1609"/>
      <c r="D396" s="1440">
        <f>SUM(D385:E395)</f>
        <v>28679200</v>
      </c>
      <c r="E396" s="1621"/>
      <c r="F396" s="1511">
        <f>SUM(F385:G395)</f>
        <v>88</v>
      </c>
      <c r="G396" s="1575"/>
      <c r="H396" s="167">
        <f>SUM(H385:H395)</f>
        <v>709</v>
      </c>
      <c r="I396" s="136">
        <f>SUM(I385:I395)</f>
        <v>321643</v>
      </c>
      <c r="J396" s="136">
        <f>SUM(J385:J395)</f>
        <v>0</v>
      </c>
      <c r="K396" s="136">
        <f>SUM(K385:K395)</f>
        <v>33900</v>
      </c>
      <c r="L396" s="136">
        <f>SUM(L385:L395)</f>
        <v>355543</v>
      </c>
      <c r="M396" s="1610"/>
      <c r="N396" s="1611"/>
    </row>
    <row r="397" spans="1:14" s="1168" customFormat="1" ht="17" thickBot="1">
      <c r="A397" s="1182" t="s">
        <v>17</v>
      </c>
      <c r="B397" s="1416">
        <f>SUM(B380+B383+B396)</f>
        <v>2324</v>
      </c>
      <c r="C397" s="1415"/>
      <c r="D397" s="1416">
        <f>SUM(D380+D383+D396)</f>
        <v>33019229.009800002</v>
      </c>
      <c r="E397" s="1415"/>
      <c r="F397" s="1487">
        <f>SUM(F380+F383+F396)</f>
        <v>101.3186</v>
      </c>
      <c r="G397" s="1488"/>
      <c r="H397" s="1201">
        <f>SUM(H380+H383+H396)</f>
        <v>884.63</v>
      </c>
      <c r="I397" s="1169">
        <f>SUM(I380+I383+I396)</f>
        <v>321863.02</v>
      </c>
      <c r="J397" s="1169">
        <f>SUM(J380+J383+J396)</f>
        <v>2763.7000000000003</v>
      </c>
      <c r="K397" s="1169">
        <f>SUM(K380+K383+K396)</f>
        <v>62338.04</v>
      </c>
      <c r="L397" s="1169">
        <f>SUM(L380+L383+L396)</f>
        <v>386964.76</v>
      </c>
      <c r="M397" s="1631"/>
      <c r="N397" s="1640"/>
    </row>
    <row r="398" spans="1:14" ht="16">
      <c r="A398" s="60"/>
      <c r="B398" s="61"/>
      <c r="C398" s="61"/>
      <c r="D398" s="61"/>
      <c r="E398" s="61"/>
      <c r="F398" s="441"/>
      <c r="G398" s="441"/>
      <c r="H398" s="441"/>
      <c r="I398" s="62"/>
      <c r="J398" s="62"/>
      <c r="K398" s="62"/>
      <c r="L398" s="62"/>
      <c r="M398" s="64"/>
      <c r="N398" s="65"/>
    </row>
    <row r="399" spans="1:14" ht="16">
      <c r="A399" s="9" t="s">
        <v>18</v>
      </c>
      <c r="B399" s="1419" t="s">
        <v>59</v>
      </c>
      <c r="C399" s="1419"/>
      <c r="D399" s="1419"/>
      <c r="E399" s="1419"/>
      <c r="F399" s="441"/>
      <c r="G399" s="441"/>
      <c r="H399" s="441"/>
      <c r="I399" s="62"/>
      <c r="J399" s="62"/>
      <c r="K399" s="62"/>
      <c r="L399" s="62"/>
      <c r="M399" s="64"/>
      <c r="N399" s="65"/>
    </row>
    <row r="400" spans="1:14" ht="16">
      <c r="A400" s="57"/>
      <c r="B400" s="1420" t="s">
        <v>19</v>
      </c>
      <c r="C400" s="1420"/>
      <c r="D400" s="1420"/>
      <c r="E400" s="1420"/>
      <c r="F400" s="441"/>
      <c r="G400" s="441"/>
      <c r="H400" s="441"/>
      <c r="I400" s="62"/>
      <c r="J400" s="62"/>
      <c r="K400" s="62"/>
      <c r="L400" s="62"/>
      <c r="M400" s="64"/>
      <c r="N400" s="65"/>
    </row>
    <row r="401" spans="1:14" ht="17" thickBot="1">
      <c r="A401" s="57"/>
      <c r="B401" s="1012"/>
      <c r="C401" s="1012"/>
      <c r="D401" s="1012"/>
      <c r="E401" s="1012"/>
      <c r="F401" s="441"/>
      <c r="G401" s="441"/>
      <c r="H401" s="441"/>
      <c r="I401" s="62"/>
      <c r="J401" s="62"/>
      <c r="K401" s="62"/>
      <c r="L401" s="62"/>
      <c r="M401" s="64"/>
      <c r="N401" s="65"/>
    </row>
    <row r="402" spans="1:14" s="363" customFormat="1" ht="16">
      <c r="A402" s="98"/>
      <c r="B402" s="99"/>
      <c r="C402" s="99"/>
      <c r="D402" s="99"/>
      <c r="E402" s="99"/>
      <c r="F402" s="421"/>
      <c r="G402" s="421"/>
      <c r="H402" s="421"/>
      <c r="I402" s="1468" t="s">
        <v>0</v>
      </c>
      <c r="J402" s="1468"/>
      <c r="K402" s="1468"/>
      <c r="L402" s="1468"/>
      <c r="M402" s="99"/>
      <c r="N402" s="101"/>
    </row>
    <row r="403" spans="1:14" ht="16">
      <c r="A403" s="97"/>
      <c r="B403" s="1469" t="s">
        <v>1</v>
      </c>
      <c r="C403" s="1469"/>
      <c r="D403" s="1469" t="s">
        <v>2</v>
      </c>
      <c r="E403" s="1469"/>
      <c r="F403" s="1470" t="s">
        <v>3</v>
      </c>
      <c r="G403" s="1470"/>
      <c r="H403" s="1003" t="s">
        <v>3</v>
      </c>
      <c r="I403" s="127" t="s">
        <v>195</v>
      </c>
      <c r="J403" s="102"/>
      <c r="K403" s="102"/>
      <c r="L403" s="128"/>
      <c r="M403" s="1469" t="s">
        <v>4</v>
      </c>
      <c r="N403" s="1526"/>
    </row>
    <row r="404" spans="1:14" ht="19" thickBot="1">
      <c r="A404" s="103" t="s">
        <v>5</v>
      </c>
      <c r="B404" s="1473" t="s">
        <v>6</v>
      </c>
      <c r="C404" s="1473"/>
      <c r="D404" s="1473" t="s">
        <v>7</v>
      </c>
      <c r="E404" s="1473"/>
      <c r="F404" s="1474" t="s">
        <v>7</v>
      </c>
      <c r="G404" s="1474"/>
      <c r="H404" s="1006" t="s">
        <v>58</v>
      </c>
      <c r="I404" s="1007" t="s">
        <v>196</v>
      </c>
      <c r="J404" s="1005" t="s">
        <v>8</v>
      </c>
      <c r="K404" s="1005" t="s">
        <v>9</v>
      </c>
      <c r="L404" s="401" t="s">
        <v>10</v>
      </c>
      <c r="M404" s="1473" t="s">
        <v>145</v>
      </c>
      <c r="N404" s="1475"/>
    </row>
    <row r="405" spans="1:14" ht="24" thickBot="1">
      <c r="A405" s="88" t="s">
        <v>144</v>
      </c>
      <c r="B405" s="1764"/>
      <c r="C405" s="1477"/>
      <c r="D405" s="1478"/>
      <c r="E405" s="1479"/>
      <c r="F405" s="1480"/>
      <c r="G405" s="1481"/>
      <c r="H405" s="1020"/>
      <c r="I405" s="7"/>
      <c r="J405" s="7"/>
      <c r="K405" s="7"/>
      <c r="L405" s="8"/>
      <c r="M405" s="1764"/>
      <c r="N405" s="1765"/>
    </row>
    <row r="406" spans="1:14" s="1161" customFormat="1" ht="17" thickBot="1">
      <c r="A406" s="108" t="s">
        <v>48</v>
      </c>
      <c r="B406" s="1567"/>
      <c r="C406" s="1586"/>
      <c r="D406" s="1567"/>
      <c r="E406" s="1586"/>
      <c r="F406" s="1587"/>
      <c r="G406" s="1588"/>
      <c r="H406" s="1145"/>
      <c r="I406" s="109"/>
      <c r="J406" s="109"/>
      <c r="K406" s="109"/>
      <c r="L406" s="1141"/>
      <c r="M406" s="1617"/>
      <c r="N406" s="1486"/>
    </row>
    <row r="407" spans="1:14" hidden="1">
      <c r="A407" s="32" t="s">
        <v>28</v>
      </c>
      <c r="B407" s="1431">
        <f>FWC!N79</f>
        <v>0</v>
      </c>
      <c r="C407" s="1422"/>
      <c r="D407" s="1431">
        <f t="shared" ref="D407:D413" si="84">F407*325851</f>
        <v>0</v>
      </c>
      <c r="E407" s="1422"/>
      <c r="F407" s="1720">
        <f>0.0379*B407</f>
        <v>0</v>
      </c>
      <c r="G407" s="1721"/>
      <c r="H407" s="384">
        <f>F407*20</f>
        <v>0</v>
      </c>
      <c r="I407" s="4">
        <v>0</v>
      </c>
      <c r="J407" s="4">
        <f>0*B407</f>
        <v>0</v>
      </c>
      <c r="K407" s="4">
        <f>60*B407</f>
        <v>0</v>
      </c>
      <c r="L407" s="6">
        <f t="shared" ref="L407:L413" si="85">I407+J407+K407</f>
        <v>0</v>
      </c>
      <c r="M407" s="1758">
        <f>0</f>
        <v>0</v>
      </c>
      <c r="N407" s="1759"/>
    </row>
    <row r="408" spans="1:14">
      <c r="A408" s="32" t="s">
        <v>29</v>
      </c>
      <c r="B408" s="1431">
        <f>FWC!N80</f>
        <v>42</v>
      </c>
      <c r="C408" s="1422"/>
      <c r="D408" s="1431">
        <f t="shared" si="84"/>
        <v>581644.03500000003</v>
      </c>
      <c r="E408" s="1422"/>
      <c r="F408" s="1756">
        <f>0.0425*B408</f>
        <v>1.7850000000000001</v>
      </c>
      <c r="G408" s="1757"/>
      <c r="H408" s="941">
        <f>F408*20</f>
        <v>35.700000000000003</v>
      </c>
      <c r="I408" s="131">
        <v>0</v>
      </c>
      <c r="J408" s="131">
        <f>35*B408</f>
        <v>1470</v>
      </c>
      <c r="K408" s="131">
        <f>B408*50</f>
        <v>2100</v>
      </c>
      <c r="L408" s="132">
        <f t="shared" si="85"/>
        <v>3570</v>
      </c>
      <c r="M408" s="1758">
        <f>L408/(F408*498.5)</f>
        <v>4.012036108324974</v>
      </c>
      <c r="N408" s="1759"/>
    </row>
    <row r="409" spans="1:14">
      <c r="A409" s="32" t="s">
        <v>33</v>
      </c>
      <c r="B409" s="1431">
        <f>FWC!N81</f>
        <v>84</v>
      </c>
      <c r="C409" s="1422"/>
      <c r="D409" s="1431">
        <f t="shared" si="84"/>
        <v>755452.9584</v>
      </c>
      <c r="E409" s="1422"/>
      <c r="F409" s="1756">
        <f>0.0276*B409</f>
        <v>2.3184</v>
      </c>
      <c r="G409" s="1757"/>
      <c r="H409" s="941">
        <f>F409*15</f>
        <v>34.776000000000003</v>
      </c>
      <c r="I409" s="131">
        <f>0*B409</f>
        <v>0</v>
      </c>
      <c r="J409" s="131">
        <f>50*B409</f>
        <v>4200</v>
      </c>
      <c r="K409" s="131">
        <f>B409*110</f>
        <v>9240</v>
      </c>
      <c r="L409" s="132">
        <f t="shared" si="85"/>
        <v>13440</v>
      </c>
      <c r="M409" s="1758">
        <f>L409/(F409*498.5)</f>
        <v>11.629090169057898</v>
      </c>
      <c r="N409" s="1759"/>
    </row>
    <row r="410" spans="1:14">
      <c r="A410" s="32" t="s">
        <v>56</v>
      </c>
      <c r="B410" s="1431">
        <f>FWC!N82</f>
        <v>0</v>
      </c>
      <c r="C410" s="1422"/>
      <c r="D410" s="1431">
        <f t="shared" si="84"/>
        <v>0</v>
      </c>
      <c r="E410" s="1422"/>
      <c r="F410" s="1756">
        <f>0.004*B410</f>
        <v>0</v>
      </c>
      <c r="G410" s="1757"/>
      <c r="H410" s="941">
        <f>F410*5</f>
        <v>0</v>
      </c>
      <c r="I410" s="131">
        <f>0*B410</f>
        <v>0</v>
      </c>
      <c r="J410" s="131">
        <f>2*B410</f>
        <v>0</v>
      </c>
      <c r="K410" s="131">
        <f>B410*4</f>
        <v>0</v>
      </c>
      <c r="L410" s="132">
        <f t="shared" si="85"/>
        <v>0</v>
      </c>
      <c r="M410" s="1758">
        <v>0</v>
      </c>
      <c r="N410" s="1759"/>
    </row>
    <row r="411" spans="1:14">
      <c r="A411" s="78" t="s">
        <v>30</v>
      </c>
      <c r="B411" s="1431">
        <f>FWC!N83</f>
        <v>1</v>
      </c>
      <c r="C411" s="1422"/>
      <c r="D411" s="1431">
        <f t="shared" si="84"/>
        <v>105901.575</v>
      </c>
      <c r="E411" s="1422"/>
      <c r="F411" s="1756">
        <f>0.325*B411</f>
        <v>0.32500000000000001</v>
      </c>
      <c r="G411" s="1757"/>
      <c r="H411" s="941">
        <f>F411*10</f>
        <v>3.25</v>
      </c>
      <c r="I411" s="131">
        <v>0</v>
      </c>
      <c r="J411" s="150">
        <f>B411*45</f>
        <v>45</v>
      </c>
      <c r="K411" s="131">
        <f>B411*80</f>
        <v>80</v>
      </c>
      <c r="L411" s="132">
        <f t="shared" si="85"/>
        <v>125</v>
      </c>
      <c r="M411" s="1758">
        <f>0</f>
        <v>0</v>
      </c>
      <c r="N411" s="1759"/>
    </row>
    <row r="412" spans="1:14">
      <c r="A412" s="76" t="s">
        <v>92</v>
      </c>
      <c r="B412" s="1431">
        <f>FWC!N84</f>
        <v>0</v>
      </c>
      <c r="C412" s="1422"/>
      <c r="D412" s="1467">
        <f t="shared" si="84"/>
        <v>55472.87423999999</v>
      </c>
      <c r="E412" s="1433"/>
      <c r="F412" s="1718">
        <f>0.00014*1216</f>
        <v>0.17023999999999997</v>
      </c>
      <c r="G412" s="1719"/>
      <c r="H412" s="944">
        <f>F412*10</f>
        <v>1.7023999999999997</v>
      </c>
      <c r="I412" s="133">
        <v>0</v>
      </c>
      <c r="J412" s="133">
        <v>2000</v>
      </c>
      <c r="K412" s="133">
        <f>B412*0</f>
        <v>0</v>
      </c>
      <c r="L412" s="134">
        <f t="shared" si="85"/>
        <v>2000</v>
      </c>
      <c r="M412" s="1758">
        <f>L412/(F412*498.5)</f>
        <v>23.566941425781103</v>
      </c>
      <c r="N412" s="1759"/>
    </row>
    <row r="413" spans="1:14" ht="14" thickBot="1">
      <c r="A413" s="76" t="s">
        <v>153</v>
      </c>
      <c r="B413" s="1431">
        <f>FWC!N85</f>
        <v>2</v>
      </c>
      <c r="C413" s="1422"/>
      <c r="D413" s="1467">
        <f t="shared" si="84"/>
        <v>178963.88621999999</v>
      </c>
      <c r="E413" s="1433"/>
      <c r="F413" s="1718">
        <f>0.00014*3923</f>
        <v>0.54921999999999993</v>
      </c>
      <c r="G413" s="1719"/>
      <c r="H413" s="944">
        <f>F413*10</f>
        <v>5.4921999999999995</v>
      </c>
      <c r="I413" s="133">
        <v>0</v>
      </c>
      <c r="J413" s="133">
        <f>0.45*3923</f>
        <v>1765.3500000000001</v>
      </c>
      <c r="K413" s="133">
        <f>3923*0.3</f>
        <v>1176.8999999999999</v>
      </c>
      <c r="L413" s="134">
        <f t="shared" si="85"/>
        <v>2942.25</v>
      </c>
      <c r="M413" s="1758">
        <f>L413/(F413*498.5)</f>
        <v>10.746525290156184</v>
      </c>
      <c r="N413" s="1759"/>
    </row>
    <row r="414" spans="1:14" ht="14" thickBot="1">
      <c r="A414" s="53" t="s">
        <v>60</v>
      </c>
      <c r="B414" s="1438">
        <f>SUM(B407:C413)</f>
        <v>129</v>
      </c>
      <c r="C414" s="1621"/>
      <c r="D414" s="1441">
        <f>SUM(D407:E413)</f>
        <v>1677435.32886</v>
      </c>
      <c r="E414" s="1609"/>
      <c r="F414" s="1512">
        <f>SUM(F407:G413)</f>
        <v>5.1478600000000005</v>
      </c>
      <c r="G414" s="1575"/>
      <c r="H414" s="167">
        <f>SUM(H407:H413)</f>
        <v>80.920599999999993</v>
      </c>
      <c r="I414" s="143">
        <f>SUM(I407:I413)</f>
        <v>0</v>
      </c>
      <c r="J414" s="143">
        <f>SUM(J407:J413)</f>
        <v>9480.35</v>
      </c>
      <c r="K414" s="143">
        <f>SUM(K407:K413)</f>
        <v>12596.9</v>
      </c>
      <c r="L414" s="152">
        <f>SUM(L407:L413)</f>
        <v>22077.25</v>
      </c>
      <c r="M414" s="1610"/>
      <c r="N414" s="1611"/>
    </row>
    <row r="415" spans="1:14" s="1161" customFormat="1" ht="17" thickBot="1">
      <c r="A415" s="108" t="s">
        <v>146</v>
      </c>
      <c r="B415" s="1567"/>
      <c r="C415" s="1586"/>
      <c r="D415" s="1567"/>
      <c r="E415" s="1586"/>
      <c r="F415" s="1587"/>
      <c r="G415" s="1588"/>
      <c r="H415" s="1145"/>
      <c r="I415" s="161"/>
      <c r="J415" s="161"/>
      <c r="K415" s="161"/>
      <c r="L415" s="162"/>
      <c r="M415" s="1617"/>
      <c r="N415" s="1486"/>
    </row>
    <row r="416" spans="1:14" ht="14" thickBot="1">
      <c r="A416" s="76" t="s">
        <v>146</v>
      </c>
      <c r="B416" s="1431">
        <f>FWC!N88</f>
        <v>11</v>
      </c>
      <c r="C416" s="1422"/>
      <c r="D416" s="1431">
        <f>F416*325851</f>
        <v>152335.3425</v>
      </c>
      <c r="E416" s="1422"/>
      <c r="F416" s="2119">
        <f>0.0425*B416</f>
        <v>0.46750000000000003</v>
      </c>
      <c r="G416" s="2120"/>
      <c r="H416" s="970">
        <f>F416*20</f>
        <v>9.3500000000000014</v>
      </c>
      <c r="I416" s="131">
        <f>73.34*B416</f>
        <v>806.74</v>
      </c>
      <c r="J416" s="131">
        <f>35.66*B416</f>
        <v>392.26</v>
      </c>
      <c r="K416" s="131">
        <f>B416*165</f>
        <v>1815</v>
      </c>
      <c r="L416" s="132">
        <f>I416+J416+K416</f>
        <v>3014</v>
      </c>
      <c r="M416" s="1758">
        <f>L416/(F416*498.5)</f>
        <v>12.932916396247565</v>
      </c>
      <c r="N416" s="1759"/>
    </row>
    <row r="417" spans="1:14" ht="14" thickBot="1">
      <c r="A417" s="53" t="s">
        <v>60</v>
      </c>
      <c r="B417" s="1438">
        <f>SUM(B416)</f>
        <v>11</v>
      </c>
      <c r="C417" s="1621"/>
      <c r="D417" s="1441">
        <f>SUM(D416)</f>
        <v>152335.3425</v>
      </c>
      <c r="E417" s="1609"/>
      <c r="F417" s="1511">
        <f>SUM(F416)</f>
        <v>0.46750000000000003</v>
      </c>
      <c r="G417" s="1575"/>
      <c r="H417" s="167">
        <f>SUM(H416)</f>
        <v>9.3500000000000014</v>
      </c>
      <c r="I417" s="136">
        <f>SUM(I416)</f>
        <v>806.74</v>
      </c>
      <c r="J417" s="143">
        <f>SUM(J416)</f>
        <v>392.26</v>
      </c>
      <c r="K417" s="143">
        <f>SUM(K416)</f>
        <v>1815</v>
      </c>
      <c r="L417" s="136">
        <f>SUM(L416)</f>
        <v>3014</v>
      </c>
      <c r="M417" s="1610"/>
      <c r="N417" s="1611"/>
    </row>
    <row r="418" spans="1:14" s="1161" customFormat="1" ht="17" thickBot="1">
      <c r="A418" s="108" t="s">
        <v>50</v>
      </c>
      <c r="B418" s="1567"/>
      <c r="C418" s="1586"/>
      <c r="D418" s="1567"/>
      <c r="E418" s="1586"/>
      <c r="F418" s="1587"/>
      <c r="G418" s="1588"/>
      <c r="H418" s="1145"/>
      <c r="I418" s="161"/>
      <c r="J418" s="161"/>
      <c r="K418" s="161"/>
      <c r="L418" s="162"/>
      <c r="M418" s="1617"/>
      <c r="N418" s="1486"/>
    </row>
    <row r="419" spans="1:14" hidden="1">
      <c r="A419" s="34" t="s">
        <v>26</v>
      </c>
      <c r="B419" s="1431">
        <f>FWC!N91</f>
        <v>0</v>
      </c>
      <c r="C419" s="1422"/>
      <c r="D419" s="1431">
        <f t="shared" ref="D419:D427" si="86">F419*325851</f>
        <v>0</v>
      </c>
      <c r="E419" s="1422"/>
      <c r="F419" s="1720">
        <f>0.0379*B419</f>
        <v>0</v>
      </c>
      <c r="G419" s="1721"/>
      <c r="H419" s="384">
        <f>F419*20</f>
        <v>0</v>
      </c>
      <c r="I419" s="131">
        <v>0</v>
      </c>
      <c r="J419" s="131">
        <f>35.66*B419</f>
        <v>0</v>
      </c>
      <c r="K419" s="131">
        <f>135*B419</f>
        <v>0</v>
      </c>
      <c r="L419" s="132">
        <f>SUM(I419:K419)</f>
        <v>0</v>
      </c>
      <c r="M419" s="1758">
        <v>0</v>
      </c>
      <c r="N419" s="1759"/>
    </row>
    <row r="420" spans="1:14">
      <c r="A420" s="34" t="s">
        <v>25</v>
      </c>
      <c r="B420" s="1431">
        <f>FWC!N92</f>
        <v>0</v>
      </c>
      <c r="C420" s="1422"/>
      <c r="D420" s="1431">
        <f t="shared" si="86"/>
        <v>0</v>
      </c>
      <c r="E420" s="1422"/>
      <c r="F420" s="1756">
        <f>0.0379*B420</f>
        <v>0</v>
      </c>
      <c r="G420" s="1757"/>
      <c r="H420" s="941">
        <f>F420*20</f>
        <v>0</v>
      </c>
      <c r="I420" s="131">
        <v>0</v>
      </c>
      <c r="J420" s="131">
        <f>0*B420</f>
        <v>0</v>
      </c>
      <c r="K420" s="131">
        <f>60*B420</f>
        <v>0</v>
      </c>
      <c r="L420" s="132">
        <f t="shared" ref="L420:L428" si="87">SUM(I420:K420)</f>
        <v>0</v>
      </c>
      <c r="M420" s="1758">
        <v>0</v>
      </c>
      <c r="N420" s="1759"/>
    </row>
    <row r="421" spans="1:14">
      <c r="A421" s="32" t="s">
        <v>29</v>
      </c>
      <c r="B421" s="1431">
        <f>FWC!N93</f>
        <v>0</v>
      </c>
      <c r="C421" s="1422"/>
      <c r="D421" s="1431">
        <f t="shared" si="86"/>
        <v>0</v>
      </c>
      <c r="E421" s="1422"/>
      <c r="F421" s="1756">
        <f>0.0425*B421</f>
        <v>0</v>
      </c>
      <c r="G421" s="1757"/>
      <c r="H421" s="941">
        <f>F421*20</f>
        <v>0</v>
      </c>
      <c r="I421" s="131">
        <v>0</v>
      </c>
      <c r="J421" s="131">
        <f>135*B421</f>
        <v>0</v>
      </c>
      <c r="K421" s="131">
        <f>165*B421</f>
        <v>0</v>
      </c>
      <c r="L421" s="132">
        <f t="shared" si="87"/>
        <v>0</v>
      </c>
      <c r="M421" s="1758">
        <v>0</v>
      </c>
      <c r="N421" s="1759"/>
    </row>
    <row r="422" spans="1:14">
      <c r="A422" s="32" t="s">
        <v>51</v>
      </c>
      <c r="B422" s="1431">
        <f>FWC!N94</f>
        <v>40</v>
      </c>
      <c r="C422" s="1422"/>
      <c r="D422" s="1431">
        <f t="shared" si="86"/>
        <v>1599276.7080000001</v>
      </c>
      <c r="E422" s="1422"/>
      <c r="F422" s="1756">
        <f>0.1227*B422</f>
        <v>4.9080000000000004</v>
      </c>
      <c r="G422" s="1757"/>
      <c r="H422" s="941">
        <f>F422*20</f>
        <v>98.160000000000011</v>
      </c>
      <c r="I422" s="131">
        <v>0</v>
      </c>
      <c r="J422" s="131">
        <f>0*B422</f>
        <v>0</v>
      </c>
      <c r="K422" s="131">
        <f>400*B422</f>
        <v>16000</v>
      </c>
      <c r="L422" s="132">
        <f t="shared" si="87"/>
        <v>16000</v>
      </c>
      <c r="M422" s="1758">
        <f>L422/(F422*498.5)</f>
        <v>6.5395861586389152</v>
      </c>
      <c r="N422" s="1759"/>
    </row>
    <row r="423" spans="1:14" hidden="1">
      <c r="A423" s="34" t="s">
        <v>20</v>
      </c>
      <c r="B423" s="1431">
        <f>FWC!N95</f>
        <v>0</v>
      </c>
      <c r="C423" s="1422"/>
      <c r="D423" s="1431">
        <f t="shared" si="86"/>
        <v>0</v>
      </c>
      <c r="E423" s="1422"/>
      <c r="F423" s="1756">
        <f>0.644*B423</f>
        <v>0</v>
      </c>
      <c r="G423" s="1757"/>
      <c r="H423" s="941">
        <f>F423*5</f>
        <v>0</v>
      </c>
      <c r="I423" s="131">
        <v>0</v>
      </c>
      <c r="J423" s="131">
        <f>43.75*B423</f>
        <v>0</v>
      </c>
      <c r="K423" s="131">
        <f>625*B423</f>
        <v>0</v>
      </c>
      <c r="L423" s="132">
        <f t="shared" si="87"/>
        <v>0</v>
      </c>
      <c r="M423" s="1758">
        <v>0</v>
      </c>
      <c r="N423" s="1759"/>
    </row>
    <row r="424" spans="1:14">
      <c r="A424" s="34" t="s">
        <v>13</v>
      </c>
      <c r="B424" s="1431">
        <f>FWC!N96</f>
        <v>1</v>
      </c>
      <c r="C424" s="1422"/>
      <c r="D424" s="1431">
        <f t="shared" si="86"/>
        <v>8993.4876000000004</v>
      </c>
      <c r="E424" s="1422"/>
      <c r="F424" s="1756">
        <f>0.0276*B424</f>
        <v>2.76E-2</v>
      </c>
      <c r="G424" s="1757"/>
      <c r="H424" s="941">
        <f>F424*10</f>
        <v>0.27600000000000002</v>
      </c>
      <c r="I424" s="131">
        <v>0</v>
      </c>
      <c r="J424" s="131">
        <f>100*B424</f>
        <v>100</v>
      </c>
      <c r="K424" s="131">
        <f>80*B424</f>
        <v>80</v>
      </c>
      <c r="L424" s="132">
        <f t="shared" si="87"/>
        <v>180</v>
      </c>
      <c r="M424" s="1758">
        <f>L424/(F424*498.5)</f>
        <v>13.082726440190136</v>
      </c>
      <c r="N424" s="1759"/>
    </row>
    <row r="425" spans="1:14">
      <c r="A425" s="35" t="s">
        <v>47</v>
      </c>
      <c r="B425" s="1431">
        <f>FWC!N97</f>
        <v>0</v>
      </c>
      <c r="C425" s="1422"/>
      <c r="D425" s="1431">
        <f t="shared" si="86"/>
        <v>0</v>
      </c>
      <c r="E425" s="1422"/>
      <c r="F425" s="1756">
        <f>0.1534*B425</f>
        <v>0</v>
      </c>
      <c r="G425" s="1757"/>
      <c r="H425" s="941">
        <f>F425*5</f>
        <v>0</v>
      </c>
      <c r="I425" s="131">
        <v>0</v>
      </c>
      <c r="J425" s="131">
        <f>0*B425</f>
        <v>0</v>
      </c>
      <c r="K425" s="131">
        <f>150*B425</f>
        <v>0</v>
      </c>
      <c r="L425" s="132">
        <f t="shared" si="87"/>
        <v>0</v>
      </c>
      <c r="M425" s="1758">
        <v>0</v>
      </c>
      <c r="N425" s="1759"/>
    </row>
    <row r="426" spans="1:14">
      <c r="A426" s="76" t="s">
        <v>30</v>
      </c>
      <c r="B426" s="1431">
        <f>FWC!N98</f>
        <v>0</v>
      </c>
      <c r="C426" s="1422"/>
      <c r="D426" s="1431">
        <f t="shared" si="86"/>
        <v>0</v>
      </c>
      <c r="E426" s="1422"/>
      <c r="F426" s="1756">
        <f>0.325*B426</f>
        <v>0</v>
      </c>
      <c r="G426" s="1757"/>
      <c r="H426" s="941">
        <f>F426*10</f>
        <v>0</v>
      </c>
      <c r="I426" s="131">
        <v>0</v>
      </c>
      <c r="J426" s="131">
        <f>0*B426</f>
        <v>0</v>
      </c>
      <c r="K426" s="131">
        <f>669*B426</f>
        <v>0</v>
      </c>
      <c r="L426" s="132">
        <f t="shared" si="87"/>
        <v>0</v>
      </c>
      <c r="M426" s="1758">
        <v>0</v>
      </c>
      <c r="N426" s="1759"/>
    </row>
    <row r="427" spans="1:14">
      <c r="A427" s="33" t="s">
        <v>53</v>
      </c>
      <c r="B427" s="1431">
        <f>FWC!N99</f>
        <v>0</v>
      </c>
      <c r="C427" s="1422"/>
      <c r="D427" s="1431">
        <f t="shared" si="86"/>
        <v>0</v>
      </c>
      <c r="E427" s="1422"/>
      <c r="F427" s="1756">
        <f>0.00014*B427</f>
        <v>0</v>
      </c>
      <c r="G427" s="1757"/>
      <c r="H427" s="941">
        <f>F427*10</f>
        <v>0</v>
      </c>
      <c r="I427" s="131">
        <v>0</v>
      </c>
      <c r="J427" s="131">
        <f>0.45*B427</f>
        <v>0</v>
      </c>
      <c r="K427" s="131">
        <f>0.3*B427</f>
        <v>0</v>
      </c>
      <c r="L427" s="132">
        <f t="shared" si="87"/>
        <v>0</v>
      </c>
      <c r="M427" s="1758">
        <v>0</v>
      </c>
      <c r="N427" s="1759"/>
    </row>
    <row r="428" spans="1:14">
      <c r="A428" s="33" t="s">
        <v>56</v>
      </c>
      <c r="B428" s="1431">
        <f>FWC!N100</f>
        <v>0</v>
      </c>
      <c r="C428" s="1422"/>
      <c r="D428" s="1431">
        <f>F428*325851</f>
        <v>0</v>
      </c>
      <c r="E428" s="1422"/>
      <c r="F428" s="1756">
        <f>0.004*B428</f>
        <v>0</v>
      </c>
      <c r="G428" s="1757"/>
      <c r="H428" s="941">
        <f>F428*5</f>
        <v>0</v>
      </c>
      <c r="I428" s="131">
        <v>0</v>
      </c>
      <c r="J428" s="131">
        <f>0*B428</f>
        <v>0</v>
      </c>
      <c r="K428" s="131">
        <f>4*B428</f>
        <v>0</v>
      </c>
      <c r="L428" s="132">
        <f t="shared" si="87"/>
        <v>0</v>
      </c>
      <c r="M428" s="1758">
        <v>0</v>
      </c>
      <c r="N428" s="1759"/>
    </row>
    <row r="429" spans="1:14" hidden="1">
      <c r="A429" s="76" t="s">
        <v>123</v>
      </c>
      <c r="B429" s="1431">
        <f>FWC!N101</f>
        <v>0</v>
      </c>
      <c r="C429" s="1422"/>
      <c r="D429" s="1431">
        <f>F429*325851</f>
        <v>0</v>
      </c>
      <c r="E429" s="1422"/>
      <c r="F429" s="1756">
        <f>0.018*B429</f>
        <v>0</v>
      </c>
      <c r="G429" s="1757"/>
      <c r="H429" s="941">
        <f>F429*10</f>
        <v>0</v>
      </c>
      <c r="I429" s="131">
        <v>0</v>
      </c>
      <c r="J429" s="131">
        <f>0*B429</f>
        <v>0</v>
      </c>
      <c r="K429" s="131">
        <f>13*B429</f>
        <v>0</v>
      </c>
      <c r="L429" s="132">
        <f>SUM(I429:K429)</f>
        <v>0</v>
      </c>
      <c r="M429" s="1758">
        <v>0</v>
      </c>
      <c r="N429" s="1759"/>
    </row>
    <row r="430" spans="1:14" ht="14" thickBot="1">
      <c r="A430" s="33" t="s">
        <v>102</v>
      </c>
      <c r="B430" s="1431">
        <f>FWC!N102</f>
        <v>1</v>
      </c>
      <c r="C430" s="1422"/>
      <c r="D430" s="1431">
        <f>F430*325851</f>
        <v>49855.203000000001</v>
      </c>
      <c r="E430" s="1422"/>
      <c r="F430" s="2118">
        <f>0.153*B430</f>
        <v>0.153</v>
      </c>
      <c r="G430" s="1763"/>
      <c r="H430" s="941">
        <f>F430*5</f>
        <v>0.76500000000000001</v>
      </c>
      <c r="I430" s="131">
        <v>0</v>
      </c>
      <c r="J430" s="131">
        <f>0*B430</f>
        <v>0</v>
      </c>
      <c r="K430" s="131">
        <f>60*B430</f>
        <v>60</v>
      </c>
      <c r="L430" s="132">
        <f>SUM(I430:K430)</f>
        <v>60</v>
      </c>
      <c r="M430" s="1758">
        <f>L430/(F430*498.5)</f>
        <v>0.78667374673038726</v>
      </c>
      <c r="N430" s="1759"/>
    </row>
    <row r="431" spans="1:14" ht="14" thickBot="1">
      <c r="A431" s="53" t="s">
        <v>60</v>
      </c>
      <c r="B431" s="1438">
        <f>SUM(B419:C430)</f>
        <v>42</v>
      </c>
      <c r="C431" s="1609"/>
      <c r="D431" s="1440">
        <f>SUM(D419:E430)</f>
        <v>1658125.3986000002</v>
      </c>
      <c r="E431" s="1621"/>
      <c r="F431" s="1511">
        <f>SUM(F419:G430)</f>
        <v>5.0885999999999996</v>
      </c>
      <c r="G431" s="1575"/>
      <c r="H431" s="167">
        <f>SUM(H419:H430)</f>
        <v>99.201000000000008</v>
      </c>
      <c r="I431" s="136">
        <f>SUM(I419:I430)</f>
        <v>0</v>
      </c>
      <c r="J431" s="143">
        <f>SUM(J419:J430)</f>
        <v>100</v>
      </c>
      <c r="K431" s="143">
        <f>SUM(K419:K430)</f>
        <v>16140</v>
      </c>
      <c r="L431" s="136">
        <f>SUM(L419:L430)</f>
        <v>16240</v>
      </c>
      <c r="M431" s="1610"/>
      <c r="N431" s="1611"/>
    </row>
    <row r="432" spans="1:14" s="91" customFormat="1" ht="17" hidden="1" thickBot="1">
      <c r="A432" s="87" t="s">
        <v>54</v>
      </c>
      <c r="B432" s="1998"/>
      <c r="C432" s="1999"/>
      <c r="D432" s="92"/>
      <c r="E432" s="93"/>
      <c r="F432" s="425"/>
      <c r="G432" s="428"/>
      <c r="H432" s="428"/>
      <c r="I432" s="171"/>
      <c r="J432" s="171"/>
      <c r="K432" s="171"/>
      <c r="L432" s="531"/>
      <c r="M432" s="95"/>
      <c r="N432" s="96"/>
    </row>
    <row r="433" spans="1:14" hidden="1">
      <c r="A433" s="1" t="s">
        <v>29</v>
      </c>
      <c r="B433" s="1431">
        <f>FWC!N105</f>
        <v>0</v>
      </c>
      <c r="C433" s="1422"/>
      <c r="D433" s="1431">
        <f t="shared" ref="D433:D438" si="88">F433*325851</f>
        <v>0</v>
      </c>
      <c r="E433" s="1422"/>
      <c r="F433" s="1720">
        <f>0.0425*B433</f>
        <v>0</v>
      </c>
      <c r="G433" s="1721"/>
      <c r="H433" s="384">
        <f>F433*20</f>
        <v>0</v>
      </c>
      <c r="I433" s="131">
        <v>0</v>
      </c>
      <c r="J433" s="131">
        <f>35.66*B433</f>
        <v>0</v>
      </c>
      <c r="K433" s="131">
        <f>0*B433</f>
        <v>0</v>
      </c>
      <c r="L433" s="132">
        <f t="shared" ref="L433:L438" si="89">SUM(I433:K433)</f>
        <v>0</v>
      </c>
      <c r="M433" s="1758">
        <v>0</v>
      </c>
      <c r="N433" s="1759"/>
    </row>
    <row r="434" spans="1:14" hidden="1">
      <c r="A434" s="2" t="s">
        <v>51</v>
      </c>
      <c r="B434" s="1431">
        <f>FWC!N106</f>
        <v>0</v>
      </c>
      <c r="C434" s="1422"/>
      <c r="D434" s="1431">
        <f t="shared" si="88"/>
        <v>0</v>
      </c>
      <c r="E434" s="1422"/>
      <c r="F434" s="1720">
        <f>0.125*B434</f>
        <v>0</v>
      </c>
      <c r="G434" s="1721"/>
      <c r="H434" s="384">
        <f>F434*20</f>
        <v>0</v>
      </c>
      <c r="I434" s="131">
        <v>0</v>
      </c>
      <c r="J434" s="131">
        <f>0*B434</f>
        <v>0</v>
      </c>
      <c r="K434" s="131">
        <f>0*B434</f>
        <v>0</v>
      </c>
      <c r="L434" s="132">
        <f t="shared" si="89"/>
        <v>0</v>
      </c>
      <c r="M434" s="1758">
        <v>0</v>
      </c>
      <c r="N434" s="1759"/>
    </row>
    <row r="435" spans="1:14" hidden="1">
      <c r="A435" s="2" t="s">
        <v>15</v>
      </c>
      <c r="B435" s="1431">
        <f>FWC!N107</f>
        <v>0</v>
      </c>
      <c r="C435" s="1422"/>
      <c r="D435" s="1431">
        <f t="shared" si="88"/>
        <v>0</v>
      </c>
      <c r="E435" s="1422"/>
      <c r="F435" s="1720">
        <f>0.1534*B435</f>
        <v>0</v>
      </c>
      <c r="G435" s="1721"/>
      <c r="H435" s="384">
        <f>F435*5</f>
        <v>0</v>
      </c>
      <c r="I435" s="131">
        <v>0</v>
      </c>
      <c r="J435" s="131">
        <f>0*B435</f>
        <v>0</v>
      </c>
      <c r="K435" s="131">
        <f>0*B435</f>
        <v>0</v>
      </c>
      <c r="L435" s="132">
        <f t="shared" si="89"/>
        <v>0</v>
      </c>
      <c r="M435" s="1758">
        <v>0</v>
      </c>
      <c r="N435" s="1759"/>
    </row>
    <row r="436" spans="1:14" hidden="1">
      <c r="A436" s="2" t="s">
        <v>30</v>
      </c>
      <c r="B436" s="1431">
        <f>FWC!N108</f>
        <v>0</v>
      </c>
      <c r="C436" s="1422"/>
      <c r="D436" s="1431">
        <f t="shared" si="88"/>
        <v>0</v>
      </c>
      <c r="E436" s="1422"/>
      <c r="F436" s="1720">
        <f>0.609*B436</f>
        <v>0</v>
      </c>
      <c r="G436" s="1721"/>
      <c r="H436" s="384">
        <f>F436*10</f>
        <v>0</v>
      </c>
      <c r="I436" s="131">
        <v>0</v>
      </c>
      <c r="J436" s="131">
        <f>0*B436</f>
        <v>0</v>
      </c>
      <c r="K436" s="131">
        <f>0*B436</f>
        <v>0</v>
      </c>
      <c r="L436" s="132">
        <f t="shared" si="89"/>
        <v>0</v>
      </c>
      <c r="M436" s="1758">
        <v>0</v>
      </c>
      <c r="N436" s="1759"/>
    </row>
    <row r="437" spans="1:14" hidden="1">
      <c r="A437" s="2" t="s">
        <v>55</v>
      </c>
      <c r="B437" s="1431">
        <f>FWC!N109</f>
        <v>0</v>
      </c>
      <c r="C437" s="1422"/>
      <c r="D437" s="1431">
        <f t="shared" si="88"/>
        <v>0</v>
      </c>
      <c r="E437" s="1422"/>
      <c r="F437" s="1710">
        <f>0.992*B437</f>
        <v>0</v>
      </c>
      <c r="G437" s="1711"/>
      <c r="H437" s="384">
        <f>F437*10</f>
        <v>0</v>
      </c>
      <c r="I437" s="131">
        <v>0</v>
      </c>
      <c r="J437" s="131">
        <f>0*B437</f>
        <v>0</v>
      </c>
      <c r="K437" s="131">
        <f>10454.17*B437</f>
        <v>0</v>
      </c>
      <c r="L437" s="132">
        <f t="shared" si="89"/>
        <v>0</v>
      </c>
      <c r="M437" s="1758" t="e">
        <f>L437/(F437*498.5)</f>
        <v>#DIV/0!</v>
      </c>
      <c r="N437" s="1759"/>
    </row>
    <row r="438" spans="1:14" ht="14" hidden="1" thickBot="1">
      <c r="A438" s="75" t="s">
        <v>53</v>
      </c>
      <c r="B438" s="1431">
        <f>FWC!N110</f>
        <v>0</v>
      </c>
      <c r="C438" s="1422"/>
      <c r="D438" s="1431">
        <f t="shared" si="88"/>
        <v>0</v>
      </c>
      <c r="E438" s="1422"/>
      <c r="F438" s="1720">
        <f>0.00014*B438</f>
        <v>0</v>
      </c>
      <c r="G438" s="1721"/>
      <c r="H438" s="384">
        <f>F438*10</f>
        <v>0</v>
      </c>
      <c r="I438" s="131">
        <v>0</v>
      </c>
      <c r="J438" s="131">
        <f>0.3*B438</f>
        <v>0</v>
      </c>
      <c r="K438" s="131">
        <f>0.75*B438</f>
        <v>0</v>
      </c>
      <c r="L438" s="132">
        <f t="shared" si="89"/>
        <v>0</v>
      </c>
      <c r="M438" s="1758">
        <v>0</v>
      </c>
      <c r="N438" s="1759"/>
    </row>
    <row r="439" spans="1:14" ht="14" hidden="1" thickBot="1">
      <c r="A439" s="53" t="s">
        <v>60</v>
      </c>
      <c r="B439" s="1438">
        <f>SUM(B433:C438)</f>
        <v>0</v>
      </c>
      <c r="C439" s="1609"/>
      <c r="D439" s="1438">
        <f>SUM(D433:E438)</f>
        <v>0</v>
      </c>
      <c r="E439" s="1609"/>
      <c r="F439" s="1618">
        <f>SUM(F433:G438)</f>
        <v>0</v>
      </c>
      <c r="G439" s="1575"/>
      <c r="H439" s="167">
        <f>SUM(H433:H438)</f>
        <v>0</v>
      </c>
      <c r="I439" s="136">
        <f>SUM(I433:I438)</f>
        <v>0</v>
      </c>
      <c r="J439" s="136">
        <f>SUM(J433:J438)</f>
        <v>0</v>
      </c>
      <c r="K439" s="136">
        <f>SUM(K433:K438)</f>
        <v>0</v>
      </c>
      <c r="L439" s="136">
        <f>SUM(L433:L438)</f>
        <v>0</v>
      </c>
      <c r="M439" s="1657"/>
      <c r="N439" s="1622"/>
    </row>
    <row r="440" spans="1:14" s="1168" customFormat="1" ht="17" thickBot="1">
      <c r="A440" s="1182" t="s">
        <v>17</v>
      </c>
      <c r="B440" s="1416">
        <f>SUM(B414+B417+B431+B439)</f>
        <v>182</v>
      </c>
      <c r="C440" s="1415"/>
      <c r="D440" s="1416">
        <f>SUM(D414+D417+D431+D439)</f>
        <v>3487896.06996</v>
      </c>
      <c r="E440" s="1415"/>
      <c r="F440" s="1487">
        <f>SUM(F414+F417+F431+F439)</f>
        <v>10.70396</v>
      </c>
      <c r="G440" s="1488"/>
      <c r="H440" s="1201">
        <f>SUM(H414+H417+H431+H439)</f>
        <v>189.47160000000002</v>
      </c>
      <c r="I440" s="1169">
        <f>SUM(I414+I417+I431+I439)</f>
        <v>806.74</v>
      </c>
      <c r="J440" s="1169">
        <f>SUM(J414+J417+J431+J439)</f>
        <v>9972.61</v>
      </c>
      <c r="K440" s="1169">
        <f>SUM(K414+K417+K431+K439)</f>
        <v>30551.9</v>
      </c>
      <c r="L440" s="1169">
        <f>SUM(L414+L417+L431+L439)</f>
        <v>41331.25</v>
      </c>
      <c r="M440" s="1631"/>
      <c r="N440" s="1640"/>
    </row>
    <row r="441" spans="1:14" ht="16">
      <c r="A441" s="60"/>
      <c r="B441" s="61"/>
      <c r="C441" s="61"/>
      <c r="D441" s="61"/>
      <c r="E441" s="61"/>
      <c r="F441" s="441"/>
      <c r="G441" s="441"/>
      <c r="H441" s="441"/>
      <c r="I441" s="62"/>
      <c r="J441" s="62"/>
      <c r="K441" s="62"/>
      <c r="L441" s="62"/>
      <c r="M441" s="64"/>
      <c r="N441" s="65"/>
    </row>
    <row r="442" spans="1:14" ht="16">
      <c r="A442" s="9" t="s">
        <v>18</v>
      </c>
      <c r="B442" s="1419" t="s">
        <v>59</v>
      </c>
      <c r="C442" s="1419"/>
      <c r="D442" s="1419"/>
      <c r="E442" s="1419"/>
      <c r="F442" s="441"/>
      <c r="G442" s="441"/>
      <c r="H442" s="441"/>
      <c r="I442" s="62"/>
      <c r="J442" s="62"/>
      <c r="K442" s="62"/>
      <c r="L442" s="62"/>
      <c r="M442" s="64"/>
      <c r="N442" s="65"/>
    </row>
    <row r="443" spans="1:14" ht="16">
      <c r="A443" s="57"/>
      <c r="B443" s="1420" t="s">
        <v>19</v>
      </c>
      <c r="C443" s="1420"/>
      <c r="D443" s="1420"/>
      <c r="E443" s="1420"/>
      <c r="F443" s="441"/>
      <c r="G443" s="441"/>
      <c r="H443" s="441"/>
      <c r="I443" s="62"/>
      <c r="J443" s="62"/>
      <c r="K443" s="62"/>
      <c r="L443" s="62"/>
      <c r="M443" s="64"/>
      <c r="N443" s="65"/>
    </row>
    <row r="444" spans="1:14" ht="17" thickBot="1">
      <c r="A444" s="57"/>
      <c r="B444" s="1012"/>
      <c r="C444" s="1012"/>
      <c r="D444" s="1012"/>
      <c r="E444" s="1012"/>
      <c r="F444" s="441"/>
      <c r="G444" s="441"/>
      <c r="H444" s="441"/>
      <c r="I444" s="62"/>
      <c r="J444" s="62"/>
      <c r="K444" s="62"/>
      <c r="L444" s="62"/>
      <c r="M444" s="64"/>
      <c r="N444" s="65"/>
    </row>
    <row r="445" spans="1:14" s="363" customFormat="1" ht="16">
      <c r="A445" s="98"/>
      <c r="B445" s="99"/>
      <c r="C445" s="99"/>
      <c r="D445" s="99"/>
      <c r="E445" s="99"/>
      <c r="F445" s="421"/>
      <c r="G445" s="421"/>
      <c r="H445" s="421"/>
      <c r="I445" s="1468" t="s">
        <v>0</v>
      </c>
      <c r="J445" s="1468"/>
      <c r="K445" s="1468"/>
      <c r="L445" s="1468"/>
      <c r="M445" s="99"/>
      <c r="N445" s="101"/>
    </row>
    <row r="446" spans="1:14" ht="16">
      <c r="A446" s="97"/>
      <c r="B446" s="1469" t="s">
        <v>1</v>
      </c>
      <c r="C446" s="1469"/>
      <c r="D446" s="1469" t="s">
        <v>2</v>
      </c>
      <c r="E446" s="1469"/>
      <c r="F446" s="1470" t="s">
        <v>3</v>
      </c>
      <c r="G446" s="1470"/>
      <c r="H446" s="1003" t="s">
        <v>3</v>
      </c>
      <c r="I446" s="127" t="s">
        <v>195</v>
      </c>
      <c r="J446" s="102"/>
      <c r="K446" s="102"/>
      <c r="L446" s="128"/>
      <c r="M446" s="1469" t="s">
        <v>4</v>
      </c>
      <c r="N446" s="1526"/>
    </row>
    <row r="447" spans="1:14" ht="19" thickBot="1">
      <c r="A447" s="103" t="s">
        <v>5</v>
      </c>
      <c r="B447" s="1473" t="s">
        <v>6</v>
      </c>
      <c r="C447" s="1473"/>
      <c r="D447" s="1473" t="s">
        <v>7</v>
      </c>
      <c r="E447" s="1473"/>
      <c r="F447" s="1474" t="s">
        <v>7</v>
      </c>
      <c r="G447" s="1474"/>
      <c r="H447" s="1006" t="s">
        <v>58</v>
      </c>
      <c r="I447" s="1007" t="s">
        <v>196</v>
      </c>
      <c r="J447" s="1005" t="s">
        <v>8</v>
      </c>
      <c r="K447" s="1005" t="s">
        <v>9</v>
      </c>
      <c r="L447" s="401" t="s">
        <v>10</v>
      </c>
      <c r="M447" s="1473" t="s">
        <v>145</v>
      </c>
      <c r="N447" s="1475"/>
    </row>
    <row r="448" spans="1:14" ht="24" thickBot="1">
      <c r="A448" s="88" t="s">
        <v>131</v>
      </c>
      <c r="B448" s="1764"/>
      <c r="C448" s="1477"/>
      <c r="D448" s="1478"/>
      <c r="E448" s="1479"/>
      <c r="F448" s="1480"/>
      <c r="G448" s="1481"/>
      <c r="H448" s="1020"/>
      <c r="I448" s="7"/>
      <c r="J448" s="7"/>
      <c r="K448" s="7"/>
      <c r="L448" s="8"/>
      <c r="M448" s="1764"/>
      <c r="N448" s="1765"/>
    </row>
    <row r="449" spans="1:14" s="1161" customFormat="1" ht="17" thickBot="1">
      <c r="A449" s="108" t="s">
        <v>48</v>
      </c>
      <c r="B449" s="1567"/>
      <c r="C449" s="1586"/>
      <c r="D449" s="1567"/>
      <c r="E449" s="1586"/>
      <c r="F449" s="1587"/>
      <c r="G449" s="1588"/>
      <c r="H449" s="1145"/>
      <c r="I449" s="109"/>
      <c r="J449" s="109"/>
      <c r="K449" s="109"/>
      <c r="L449" s="1141"/>
      <c r="M449" s="1617"/>
      <c r="N449" s="1486"/>
    </row>
    <row r="450" spans="1:14">
      <c r="A450" s="32" t="s">
        <v>28</v>
      </c>
      <c r="B450" s="1431">
        <f>FWC!N41</f>
        <v>0</v>
      </c>
      <c r="C450" s="1422"/>
      <c r="D450" s="1431">
        <f t="shared" ref="D450:D456" si="90">F450*325851</f>
        <v>0</v>
      </c>
      <c r="E450" s="1422"/>
      <c r="F450" s="1756">
        <f>0.0379*B450</f>
        <v>0</v>
      </c>
      <c r="G450" s="1757"/>
      <c r="H450" s="941">
        <f>F450*20</f>
        <v>0</v>
      </c>
      <c r="I450" s="131">
        <v>0</v>
      </c>
      <c r="J450" s="131">
        <f>0*B450</f>
        <v>0</v>
      </c>
      <c r="K450" s="131">
        <f>60*B450</f>
        <v>0</v>
      </c>
      <c r="L450" s="132">
        <f t="shared" ref="L450:L456" si="91">I450+J450+K450</f>
        <v>0</v>
      </c>
      <c r="M450" s="1758">
        <f>0</f>
        <v>0</v>
      </c>
      <c r="N450" s="1759"/>
    </row>
    <row r="451" spans="1:14">
      <c r="A451" s="32" t="s">
        <v>29</v>
      </c>
      <c r="B451" s="1431">
        <f>FWC!N42</f>
        <v>1043</v>
      </c>
      <c r="C451" s="1422"/>
      <c r="D451" s="1431">
        <f t="shared" si="90"/>
        <v>14444160.202500001</v>
      </c>
      <c r="E451" s="1422"/>
      <c r="F451" s="1756">
        <f>0.0425*B451</f>
        <v>44.327500000000001</v>
      </c>
      <c r="G451" s="1757"/>
      <c r="H451" s="941">
        <f>F451*20</f>
        <v>886.55</v>
      </c>
      <c r="I451" s="131">
        <v>0</v>
      </c>
      <c r="J451" s="131">
        <f>0*B451</f>
        <v>0</v>
      </c>
      <c r="K451" s="131">
        <f>B451*165</f>
        <v>172095</v>
      </c>
      <c r="L451" s="132">
        <f t="shared" si="91"/>
        <v>172095</v>
      </c>
      <c r="M451" s="1758">
        <f>L451/(F451*498.5)</f>
        <v>7.7880700926308331</v>
      </c>
      <c r="N451" s="1759"/>
    </row>
    <row r="452" spans="1:14">
      <c r="A452" s="32" t="s">
        <v>33</v>
      </c>
      <c r="B452" s="1431">
        <f>FWC!N43</f>
        <v>202</v>
      </c>
      <c r="C452" s="1422"/>
      <c r="D452" s="1431">
        <f t="shared" si="90"/>
        <v>1816684.4952</v>
      </c>
      <c r="E452" s="1422"/>
      <c r="F452" s="1756">
        <f>0.0276*B452</f>
        <v>5.5751999999999997</v>
      </c>
      <c r="G452" s="1757"/>
      <c r="H452" s="941">
        <f>F452*15</f>
        <v>83.628</v>
      </c>
      <c r="I452" s="131">
        <f>0*B452</f>
        <v>0</v>
      </c>
      <c r="J452" s="131">
        <f>0*B452</f>
        <v>0</v>
      </c>
      <c r="K452" s="131">
        <f>B452*110</f>
        <v>22220</v>
      </c>
      <c r="L452" s="132">
        <f t="shared" si="91"/>
        <v>22220</v>
      </c>
      <c r="M452" s="1758">
        <f>L452/(F452*498.5)</f>
        <v>7.994999491227305</v>
      </c>
      <c r="N452" s="1759"/>
    </row>
    <row r="453" spans="1:14">
      <c r="A453" s="32" t="s">
        <v>56</v>
      </c>
      <c r="B453" s="1431">
        <f>FWC!N44</f>
        <v>62</v>
      </c>
      <c r="C453" s="1422"/>
      <c r="D453" s="1431">
        <f t="shared" si="90"/>
        <v>80811.047999999995</v>
      </c>
      <c r="E453" s="1422"/>
      <c r="F453" s="1756">
        <f>0.004*B453</f>
        <v>0.248</v>
      </c>
      <c r="G453" s="1757"/>
      <c r="H453" s="941">
        <f>F453*5</f>
        <v>1.24</v>
      </c>
      <c r="I453" s="131">
        <f>0*B453</f>
        <v>0</v>
      </c>
      <c r="J453" s="131">
        <f>0*B453</f>
        <v>0</v>
      </c>
      <c r="K453" s="131">
        <f>B453*4</f>
        <v>248</v>
      </c>
      <c r="L453" s="132">
        <f t="shared" si="91"/>
        <v>248</v>
      </c>
      <c r="M453" s="1758">
        <f>L453/(F453*498.5)</f>
        <v>2.0060180541624875</v>
      </c>
      <c r="N453" s="1759"/>
    </row>
    <row r="454" spans="1:14">
      <c r="A454" s="78" t="s">
        <v>30</v>
      </c>
      <c r="B454" s="1431">
        <f>FWC!N45</f>
        <v>0</v>
      </c>
      <c r="C454" s="1422"/>
      <c r="D454" s="1431">
        <f t="shared" si="90"/>
        <v>0</v>
      </c>
      <c r="E454" s="1422"/>
      <c r="F454" s="1756">
        <f>0.325*B454</f>
        <v>0</v>
      </c>
      <c r="G454" s="1757"/>
      <c r="H454" s="941">
        <f>F454*10</f>
        <v>0</v>
      </c>
      <c r="I454" s="131">
        <v>0</v>
      </c>
      <c r="J454" s="131">
        <f>0*B454</f>
        <v>0</v>
      </c>
      <c r="K454" s="131">
        <f>B454*80</f>
        <v>0</v>
      </c>
      <c r="L454" s="132">
        <f t="shared" si="91"/>
        <v>0</v>
      </c>
      <c r="M454" s="1758">
        <f>0</f>
        <v>0</v>
      </c>
      <c r="N454" s="1759"/>
    </row>
    <row r="455" spans="1:14">
      <c r="A455" s="33" t="s">
        <v>110</v>
      </c>
      <c r="B455" s="1467">
        <f>FWC!N46</f>
        <v>3</v>
      </c>
      <c r="C455" s="1433"/>
      <c r="D455" s="1467">
        <f t="shared" si="90"/>
        <v>168289.00745999996</v>
      </c>
      <c r="E455" s="1433"/>
      <c r="F455" s="1718">
        <f>0.00014*3689</f>
        <v>0.51645999999999992</v>
      </c>
      <c r="G455" s="1719"/>
      <c r="H455" s="944">
        <f>F455*10</f>
        <v>5.1645999999999992</v>
      </c>
      <c r="I455" s="133">
        <v>0</v>
      </c>
      <c r="J455" s="133">
        <v>4800</v>
      </c>
      <c r="K455" s="133">
        <f>B455*0</f>
        <v>0</v>
      </c>
      <c r="L455" s="134">
        <f t="shared" si="91"/>
        <v>4800</v>
      </c>
      <c r="M455" s="1758">
        <f>L455/(F455*498.5)</f>
        <v>18.644012430739927</v>
      </c>
      <c r="N455" s="1759"/>
    </row>
    <row r="456" spans="1:14" ht="14" thickBot="1">
      <c r="A456" s="33" t="s">
        <v>111</v>
      </c>
      <c r="B456" s="1435">
        <f>FWC!N47</f>
        <v>8</v>
      </c>
      <c r="C456" s="1433"/>
      <c r="D456" s="1432">
        <f t="shared" si="90"/>
        <v>226270.93439999997</v>
      </c>
      <c r="E456" s="1433"/>
      <c r="F456" s="1718">
        <f>0.00014*4960</f>
        <v>0.69439999999999991</v>
      </c>
      <c r="G456" s="1719"/>
      <c r="H456" s="944">
        <f>F456*10</f>
        <v>6.9439999999999991</v>
      </c>
      <c r="I456" s="133">
        <v>0</v>
      </c>
      <c r="J456" s="133">
        <f>0.3*4960</f>
        <v>1488</v>
      </c>
      <c r="K456" s="133">
        <f>4960*0.3</f>
        <v>1488</v>
      </c>
      <c r="L456" s="134">
        <f t="shared" si="91"/>
        <v>2976</v>
      </c>
      <c r="M456" s="1758">
        <f>L456/(F456*498.5)</f>
        <v>8.5972202321249469</v>
      </c>
      <c r="N456" s="1759"/>
    </row>
    <row r="457" spans="1:14" ht="14" thickBot="1">
      <c r="A457" s="53" t="s">
        <v>60</v>
      </c>
      <c r="B457" s="1438">
        <f>SUM(B450:C456)</f>
        <v>1318</v>
      </c>
      <c r="C457" s="1609"/>
      <c r="D457" s="1440">
        <f>SUM(D450:E456)</f>
        <v>16736215.687560001</v>
      </c>
      <c r="E457" s="1609"/>
      <c r="F457" s="1512">
        <f>SUM(F450:G456)</f>
        <v>51.361560000000004</v>
      </c>
      <c r="G457" s="1575"/>
      <c r="H457" s="482">
        <f>SUM(H450:H456)</f>
        <v>983.52659999999992</v>
      </c>
      <c r="I457" s="143">
        <f>SUM(I450:I456)</f>
        <v>0</v>
      </c>
      <c r="J457" s="143">
        <f>SUM(J450:J456)</f>
        <v>6288</v>
      </c>
      <c r="K457" s="143">
        <f>SUM(K450:K456)</f>
        <v>196051</v>
      </c>
      <c r="L457" s="152">
        <f>SUM(L450:L456)</f>
        <v>202339</v>
      </c>
      <c r="M457" s="1610"/>
      <c r="N457" s="1611"/>
    </row>
    <row r="458" spans="1:14" s="1161" customFormat="1" ht="17" thickBot="1">
      <c r="A458" s="108" t="s">
        <v>146</v>
      </c>
      <c r="B458" s="1456"/>
      <c r="C458" s="1586"/>
      <c r="D458" s="1457"/>
      <c r="E458" s="1586"/>
      <c r="F458" s="1484"/>
      <c r="G458" s="1588"/>
      <c r="H458" s="1142"/>
      <c r="I458" s="161"/>
      <c r="J458" s="161"/>
      <c r="K458" s="161"/>
      <c r="L458" s="162"/>
      <c r="M458" s="1617"/>
      <c r="N458" s="1486"/>
    </row>
    <row r="459" spans="1:14" ht="14" thickBot="1">
      <c r="A459" s="76" t="s">
        <v>146</v>
      </c>
      <c r="B459" s="1421">
        <f>FWC!N50</f>
        <v>229</v>
      </c>
      <c r="C459" s="1422"/>
      <c r="D459" s="1444">
        <f>F459*325851</f>
        <v>3171344.8574999999</v>
      </c>
      <c r="E459" s="1422"/>
      <c r="F459" s="1760">
        <f>0.0425*B459</f>
        <v>9.7324999999999999</v>
      </c>
      <c r="G459" s="1757"/>
      <c r="H459" s="941">
        <f>F459*20</f>
        <v>194.65</v>
      </c>
      <c r="I459" s="131">
        <f>73.34*B459</f>
        <v>16794.86</v>
      </c>
      <c r="J459" s="131">
        <f>35.66*B459</f>
        <v>8166.1399999999994</v>
      </c>
      <c r="K459" s="131">
        <f>B459*165</f>
        <v>37785</v>
      </c>
      <c r="L459" s="132">
        <f>I459+J459+K459</f>
        <v>62746</v>
      </c>
      <c r="M459" s="1758">
        <f>L459/(F459*498.5)</f>
        <v>12.932916396247567</v>
      </c>
      <c r="N459" s="1759"/>
    </row>
    <row r="460" spans="1:14" ht="14" thickBot="1">
      <c r="A460" s="53" t="s">
        <v>60</v>
      </c>
      <c r="B460" s="1438">
        <f>SUM(B459)</f>
        <v>229</v>
      </c>
      <c r="C460" s="1609"/>
      <c r="D460" s="1440">
        <f>SUM(D459)</f>
        <v>3171344.8574999999</v>
      </c>
      <c r="E460" s="1609"/>
      <c r="F460" s="1512">
        <f>SUM(F459)</f>
        <v>9.7324999999999999</v>
      </c>
      <c r="G460" s="1575"/>
      <c r="H460" s="482">
        <f>SUM(H459)</f>
        <v>194.65</v>
      </c>
      <c r="I460" s="136">
        <f>SUM(I459)</f>
        <v>16794.86</v>
      </c>
      <c r="J460" s="143">
        <f>SUM(J459)</f>
        <v>8166.1399999999994</v>
      </c>
      <c r="K460" s="143">
        <f>SUM(K459)</f>
        <v>37785</v>
      </c>
      <c r="L460" s="136">
        <f>SUM(L459)</f>
        <v>62746</v>
      </c>
      <c r="M460" s="1610"/>
      <c r="N460" s="1611"/>
    </row>
    <row r="461" spans="1:14" s="1161" customFormat="1" ht="17" thickBot="1">
      <c r="A461" s="108" t="s">
        <v>50</v>
      </c>
      <c r="B461" s="1456"/>
      <c r="C461" s="1586"/>
      <c r="D461" s="1457"/>
      <c r="E461" s="1586"/>
      <c r="F461" s="1484"/>
      <c r="G461" s="1588"/>
      <c r="H461" s="1142"/>
      <c r="I461" s="161"/>
      <c r="J461" s="161"/>
      <c r="K461" s="161"/>
      <c r="L461" s="162"/>
      <c r="M461" s="1617"/>
      <c r="N461" s="1486"/>
    </row>
    <row r="462" spans="1:14">
      <c r="A462" s="34" t="s">
        <v>26</v>
      </c>
      <c r="B462" s="1421">
        <f>FWC!N53</f>
        <v>0</v>
      </c>
      <c r="C462" s="1422"/>
      <c r="D462" s="1444">
        <f t="shared" ref="D462:D470" si="92">F462*325851</f>
        <v>0</v>
      </c>
      <c r="E462" s="1422"/>
      <c r="F462" s="1760">
        <f>0.0379*B462</f>
        <v>0</v>
      </c>
      <c r="G462" s="1757"/>
      <c r="H462" s="941">
        <f>F462*20</f>
        <v>0</v>
      </c>
      <c r="I462" s="131">
        <v>0</v>
      </c>
      <c r="J462" s="131">
        <f>35.66*B462</f>
        <v>0</v>
      </c>
      <c r="K462" s="131">
        <f>135*B462</f>
        <v>0</v>
      </c>
      <c r="L462" s="132">
        <f>SUM(I462:K462)</f>
        <v>0</v>
      </c>
      <c r="M462" s="1758">
        <v>0</v>
      </c>
      <c r="N462" s="1759"/>
    </row>
    <row r="463" spans="1:14">
      <c r="A463" s="34" t="s">
        <v>25</v>
      </c>
      <c r="B463" s="1421">
        <f>FWC!N54</f>
        <v>0</v>
      </c>
      <c r="C463" s="1422"/>
      <c r="D463" s="1444">
        <f t="shared" si="92"/>
        <v>0</v>
      </c>
      <c r="E463" s="1422"/>
      <c r="F463" s="1760">
        <f>0.0379*B463</f>
        <v>0</v>
      </c>
      <c r="G463" s="1757"/>
      <c r="H463" s="941">
        <f>F463*20</f>
        <v>0</v>
      </c>
      <c r="I463" s="131">
        <v>0</v>
      </c>
      <c r="J463" s="131">
        <f>0*B463</f>
        <v>0</v>
      </c>
      <c r="K463" s="131">
        <f>60*B463</f>
        <v>0</v>
      </c>
      <c r="L463" s="132">
        <f t="shared" ref="L463:L471" si="93">SUM(I463:K463)</f>
        <v>0</v>
      </c>
      <c r="M463" s="1758">
        <v>0</v>
      </c>
      <c r="N463" s="1759"/>
    </row>
    <row r="464" spans="1:14">
      <c r="A464" s="32" t="s">
        <v>29</v>
      </c>
      <c r="B464" s="1421">
        <f>FWC!N55</f>
        <v>81</v>
      </c>
      <c r="C464" s="1422"/>
      <c r="D464" s="1444">
        <f t="shared" si="92"/>
        <v>1121742.0675000001</v>
      </c>
      <c r="E464" s="1422"/>
      <c r="F464" s="1760">
        <f>0.0425*B464</f>
        <v>3.4425000000000003</v>
      </c>
      <c r="G464" s="1757"/>
      <c r="H464" s="941">
        <f>F464*20</f>
        <v>68.850000000000009</v>
      </c>
      <c r="I464" s="131">
        <v>0</v>
      </c>
      <c r="J464" s="131">
        <f>135*B464</f>
        <v>10935</v>
      </c>
      <c r="K464" s="131">
        <f>165*B464</f>
        <v>13365</v>
      </c>
      <c r="L464" s="132">
        <f t="shared" si="93"/>
        <v>24300</v>
      </c>
      <c r="M464" s="1758">
        <f>L464/(F464*498.5)</f>
        <v>14.160127441146971</v>
      </c>
      <c r="N464" s="1759"/>
    </row>
    <row r="465" spans="1:14">
      <c r="A465" s="32" t="s">
        <v>51</v>
      </c>
      <c r="B465" s="1421">
        <f>FWC!N56</f>
        <v>58</v>
      </c>
      <c r="C465" s="1422"/>
      <c r="D465" s="1444">
        <f t="shared" si="92"/>
        <v>2318951.2266000002</v>
      </c>
      <c r="E465" s="1422"/>
      <c r="F465" s="1760">
        <f>0.1227*B465</f>
        <v>7.1166</v>
      </c>
      <c r="G465" s="1757"/>
      <c r="H465" s="941">
        <f>F465*20</f>
        <v>142.33199999999999</v>
      </c>
      <c r="I465" s="131">
        <v>0</v>
      </c>
      <c r="J465" s="131">
        <f>0*B465</f>
        <v>0</v>
      </c>
      <c r="K465" s="131">
        <f>400*B465</f>
        <v>23200</v>
      </c>
      <c r="L465" s="132">
        <f t="shared" si="93"/>
        <v>23200</v>
      </c>
      <c r="M465" s="1758">
        <f>L465/(F465*498.5)</f>
        <v>6.5395861586389152</v>
      </c>
      <c r="N465" s="1759"/>
    </row>
    <row r="466" spans="1:14">
      <c r="A466" s="34" t="s">
        <v>20</v>
      </c>
      <c r="B466" s="1421">
        <f>FWC!N57</f>
        <v>0</v>
      </c>
      <c r="C466" s="1422"/>
      <c r="D466" s="1444">
        <f t="shared" si="92"/>
        <v>0</v>
      </c>
      <c r="E466" s="1422"/>
      <c r="F466" s="1760">
        <f>0.644*B466</f>
        <v>0</v>
      </c>
      <c r="G466" s="1757"/>
      <c r="H466" s="941">
        <f>F466*5</f>
        <v>0</v>
      </c>
      <c r="I466" s="131">
        <v>0</v>
      </c>
      <c r="J466" s="131">
        <f>43.75*B466</f>
        <v>0</v>
      </c>
      <c r="K466" s="131">
        <f>625*B466</f>
        <v>0</v>
      </c>
      <c r="L466" s="132">
        <f t="shared" si="93"/>
        <v>0</v>
      </c>
      <c r="M466" s="1758">
        <v>0</v>
      </c>
      <c r="N466" s="1759"/>
    </row>
    <row r="467" spans="1:14">
      <c r="A467" s="34" t="s">
        <v>13</v>
      </c>
      <c r="B467" s="1421">
        <f>FWC!N58</f>
        <v>6</v>
      </c>
      <c r="C467" s="1422"/>
      <c r="D467" s="1444">
        <f t="shared" si="92"/>
        <v>53960.925600000002</v>
      </c>
      <c r="E467" s="1422"/>
      <c r="F467" s="1760">
        <f>0.0276*B467</f>
        <v>0.1656</v>
      </c>
      <c r="G467" s="1757"/>
      <c r="H467" s="941">
        <f>F467*10</f>
        <v>1.6559999999999999</v>
      </c>
      <c r="I467" s="131">
        <v>0</v>
      </c>
      <c r="J467" s="131">
        <f>100*B467</f>
        <v>600</v>
      </c>
      <c r="K467" s="131">
        <f>80*B467</f>
        <v>480</v>
      </c>
      <c r="L467" s="132">
        <f t="shared" si="93"/>
        <v>1080</v>
      </c>
      <c r="M467" s="1758">
        <f>L467/(F467*498.5)</f>
        <v>13.082726440190136</v>
      </c>
      <c r="N467" s="1759"/>
    </row>
    <row r="468" spans="1:14">
      <c r="A468" s="35" t="s">
        <v>47</v>
      </c>
      <c r="B468" s="1421">
        <f>FWC!N59</f>
        <v>1</v>
      </c>
      <c r="C468" s="1422"/>
      <c r="D468" s="1444">
        <f t="shared" si="92"/>
        <v>49985.543400000002</v>
      </c>
      <c r="E468" s="1422"/>
      <c r="F468" s="1760">
        <f>0.1534*B468</f>
        <v>0.15340000000000001</v>
      </c>
      <c r="G468" s="1757"/>
      <c r="H468" s="941">
        <f>F468*5</f>
        <v>0.76700000000000002</v>
      </c>
      <c r="I468" s="131">
        <v>0</v>
      </c>
      <c r="J468" s="131">
        <f>0*B468</f>
        <v>0</v>
      </c>
      <c r="K468" s="131">
        <f>150*B468</f>
        <v>150</v>
      </c>
      <c r="L468" s="132">
        <f t="shared" si="93"/>
        <v>150</v>
      </c>
      <c r="M468" s="1758">
        <f>L468/(F468*498.5)</f>
        <v>1.9615561155435013</v>
      </c>
      <c r="N468" s="1759"/>
    </row>
    <row r="469" spans="1:14">
      <c r="A469" s="76" t="s">
        <v>30</v>
      </c>
      <c r="B469" s="1421">
        <f>FWC!N60</f>
        <v>0</v>
      </c>
      <c r="C469" s="1422"/>
      <c r="D469" s="1444">
        <f t="shared" si="92"/>
        <v>0</v>
      </c>
      <c r="E469" s="1422"/>
      <c r="F469" s="1760">
        <f>0.325*B469</f>
        <v>0</v>
      </c>
      <c r="G469" s="1757"/>
      <c r="H469" s="941">
        <f>F469*10</f>
        <v>0</v>
      </c>
      <c r="I469" s="131">
        <v>0</v>
      </c>
      <c r="J469" s="131">
        <f>0*B469</f>
        <v>0</v>
      </c>
      <c r="K469" s="131">
        <f>669*B469</f>
        <v>0</v>
      </c>
      <c r="L469" s="132">
        <f t="shared" si="93"/>
        <v>0</v>
      </c>
      <c r="M469" s="1758">
        <v>0</v>
      </c>
      <c r="N469" s="1759"/>
    </row>
    <row r="470" spans="1:14">
      <c r="A470" s="33" t="s">
        <v>53</v>
      </c>
      <c r="B470" s="1421">
        <f>FWC!N61</f>
        <v>0</v>
      </c>
      <c r="C470" s="1422"/>
      <c r="D470" s="1444">
        <f t="shared" si="92"/>
        <v>0</v>
      </c>
      <c r="E470" s="1422"/>
      <c r="F470" s="1760">
        <f>0.00014*B470</f>
        <v>0</v>
      </c>
      <c r="G470" s="1757"/>
      <c r="H470" s="941">
        <f>F470*10</f>
        <v>0</v>
      </c>
      <c r="I470" s="131">
        <v>0</v>
      </c>
      <c r="J470" s="131">
        <f>0.3*B470</f>
        <v>0</v>
      </c>
      <c r="K470" s="131">
        <f>0.3*B470</f>
        <v>0</v>
      </c>
      <c r="L470" s="132">
        <f t="shared" si="93"/>
        <v>0</v>
      </c>
      <c r="M470" s="1758">
        <v>0</v>
      </c>
      <c r="N470" s="1759"/>
    </row>
    <row r="471" spans="1:14">
      <c r="A471" s="33" t="s">
        <v>56</v>
      </c>
      <c r="B471" s="1421">
        <f>FWC!N62</f>
        <v>0</v>
      </c>
      <c r="C471" s="1422"/>
      <c r="D471" s="1444">
        <f>F471*325851</f>
        <v>0</v>
      </c>
      <c r="E471" s="1422"/>
      <c r="F471" s="1760">
        <f>0.004*B471</f>
        <v>0</v>
      </c>
      <c r="G471" s="1757"/>
      <c r="H471" s="941">
        <f>F471*5</f>
        <v>0</v>
      </c>
      <c r="I471" s="131">
        <v>0</v>
      </c>
      <c r="J471" s="131">
        <f>0*B471</f>
        <v>0</v>
      </c>
      <c r="K471" s="131">
        <f>4*B471</f>
        <v>0</v>
      </c>
      <c r="L471" s="132">
        <f t="shared" si="93"/>
        <v>0</v>
      </c>
      <c r="M471" s="1758">
        <v>0</v>
      </c>
      <c r="N471" s="1759"/>
    </row>
    <row r="472" spans="1:14">
      <c r="A472" s="76" t="s">
        <v>123</v>
      </c>
      <c r="B472" s="1421">
        <f>FWC!N63</f>
        <v>120</v>
      </c>
      <c r="C472" s="1422"/>
      <c r="D472" s="1444">
        <f>F472*325851</f>
        <v>703838.15999999992</v>
      </c>
      <c r="E472" s="1422"/>
      <c r="F472" s="1760">
        <f>0.018*B472</f>
        <v>2.1599999999999997</v>
      </c>
      <c r="G472" s="1757"/>
      <c r="H472" s="941">
        <f>F472*10</f>
        <v>21.599999999999998</v>
      </c>
      <c r="I472" s="131">
        <v>0</v>
      </c>
      <c r="J472" s="131">
        <f>0*B472</f>
        <v>0</v>
      </c>
      <c r="K472" s="131">
        <f>13*B472</f>
        <v>1560</v>
      </c>
      <c r="L472" s="132">
        <f>SUM(I472:K472)</f>
        <v>1560</v>
      </c>
      <c r="M472" s="1758">
        <f>L472/(F472*498.5)</f>
        <v>1.4487908168951302</v>
      </c>
      <c r="N472" s="1759"/>
    </row>
    <row r="473" spans="1:14" ht="14" thickBot="1">
      <c r="A473" s="33" t="s">
        <v>102</v>
      </c>
      <c r="B473" s="1421">
        <f>FWC!N64</f>
        <v>0</v>
      </c>
      <c r="C473" s="1422"/>
      <c r="D473" s="1444">
        <f>F473*325851</f>
        <v>0</v>
      </c>
      <c r="E473" s="1422"/>
      <c r="F473" s="1766">
        <f>0.153*B473</f>
        <v>0</v>
      </c>
      <c r="G473" s="1763"/>
      <c r="H473" s="941">
        <f>F473*5</f>
        <v>0</v>
      </c>
      <c r="I473" s="131">
        <v>0</v>
      </c>
      <c r="J473" s="131">
        <f>0*B473</f>
        <v>0</v>
      </c>
      <c r="K473" s="131">
        <f>60*B473</f>
        <v>0</v>
      </c>
      <c r="L473" s="132">
        <f>SUM(I473:K473)</f>
        <v>0</v>
      </c>
      <c r="M473" s="1758">
        <v>0</v>
      </c>
      <c r="N473" s="1759"/>
    </row>
    <row r="474" spans="1:14" ht="14" thickBot="1">
      <c r="A474" s="53" t="s">
        <v>60</v>
      </c>
      <c r="B474" s="1438">
        <f>SUM(B462:C473)</f>
        <v>266</v>
      </c>
      <c r="C474" s="1609"/>
      <c r="D474" s="1440">
        <f>SUM(D462:E473)</f>
        <v>4248477.9231000002</v>
      </c>
      <c r="E474" s="1609"/>
      <c r="F474" s="1512">
        <f>SUM(F462:G473)</f>
        <v>13.0381</v>
      </c>
      <c r="G474" s="1575"/>
      <c r="H474" s="482">
        <f>SUM(H462:H473)</f>
        <v>235.20500000000001</v>
      </c>
      <c r="I474" s="136">
        <f>SUM(I462:I473)</f>
        <v>0</v>
      </c>
      <c r="J474" s="143">
        <f>SUM(J462:J473)</f>
        <v>11535</v>
      </c>
      <c r="K474" s="143">
        <f>SUM(K462:K473)</f>
        <v>38755</v>
      </c>
      <c r="L474" s="136">
        <f>SUM(L462:L473)</f>
        <v>50290</v>
      </c>
      <c r="M474" s="1610"/>
      <c r="N474" s="1611"/>
    </row>
    <row r="475" spans="1:14" s="1161" customFormat="1" ht="17" thickBot="1">
      <c r="A475" s="108" t="s">
        <v>54</v>
      </c>
      <c r="B475" s="1457"/>
      <c r="C475" s="1913"/>
      <c r="D475" s="1148"/>
      <c r="E475" s="1142"/>
      <c r="F475" s="1158"/>
      <c r="G475" s="1145"/>
      <c r="H475" s="1142"/>
      <c r="I475" s="161"/>
      <c r="J475" s="161"/>
      <c r="K475" s="161"/>
      <c r="L475" s="162"/>
      <c r="M475" s="1154"/>
      <c r="N475" s="1155"/>
    </row>
    <row r="476" spans="1:14">
      <c r="A476" s="36" t="s">
        <v>29</v>
      </c>
      <c r="B476" s="1767">
        <f>FWC!N67</f>
        <v>0</v>
      </c>
      <c r="C476" s="2121"/>
      <c r="D476" s="1855">
        <f t="shared" ref="D476:D481" si="94">F476*325851</f>
        <v>0</v>
      </c>
      <c r="E476" s="1732"/>
      <c r="F476" s="1760">
        <f>0.0425*B476</f>
        <v>0</v>
      </c>
      <c r="G476" s="1757"/>
      <c r="H476" s="941">
        <f>F476*20</f>
        <v>0</v>
      </c>
      <c r="I476" s="131">
        <v>0</v>
      </c>
      <c r="J476" s="131">
        <f>35.66*B476</f>
        <v>0</v>
      </c>
      <c r="K476" s="131">
        <f>0*B476</f>
        <v>0</v>
      </c>
      <c r="L476" s="132">
        <f t="shared" ref="L476:L481" si="95">SUM(I476:K476)</f>
        <v>0</v>
      </c>
      <c r="M476" s="1758">
        <v>0</v>
      </c>
      <c r="N476" s="1759"/>
    </row>
    <row r="477" spans="1:14">
      <c r="A477" s="34" t="s">
        <v>51</v>
      </c>
      <c r="B477" s="1444">
        <f>FWC!N68</f>
        <v>0</v>
      </c>
      <c r="C477" s="1422"/>
      <c r="D477" s="1431">
        <f t="shared" si="94"/>
        <v>0</v>
      </c>
      <c r="E477" s="1422"/>
      <c r="F477" s="1760">
        <f>0.125*B477</f>
        <v>0</v>
      </c>
      <c r="G477" s="1757"/>
      <c r="H477" s="941">
        <f>F477*20</f>
        <v>0</v>
      </c>
      <c r="I477" s="131">
        <v>0</v>
      </c>
      <c r="J477" s="131">
        <f>0*B477</f>
        <v>0</v>
      </c>
      <c r="K477" s="131">
        <f>0*B477</f>
        <v>0</v>
      </c>
      <c r="L477" s="132">
        <f t="shared" si="95"/>
        <v>0</v>
      </c>
      <c r="M477" s="1758">
        <v>0</v>
      </c>
      <c r="N477" s="1759"/>
    </row>
    <row r="478" spans="1:14">
      <c r="A478" s="34" t="s">
        <v>15</v>
      </c>
      <c r="B478" s="1444">
        <f>FWC!N69</f>
        <v>0</v>
      </c>
      <c r="C478" s="1422"/>
      <c r="D478" s="1431">
        <f t="shared" si="94"/>
        <v>0</v>
      </c>
      <c r="E478" s="1422"/>
      <c r="F478" s="1760">
        <f>0.1534*B478</f>
        <v>0</v>
      </c>
      <c r="G478" s="1757"/>
      <c r="H478" s="941">
        <f>F478*5</f>
        <v>0</v>
      </c>
      <c r="I478" s="131">
        <v>0</v>
      </c>
      <c r="J478" s="131">
        <f>0*B478</f>
        <v>0</v>
      </c>
      <c r="K478" s="131">
        <f>0*B478</f>
        <v>0</v>
      </c>
      <c r="L478" s="132">
        <f t="shared" si="95"/>
        <v>0</v>
      </c>
      <c r="M478" s="1758">
        <v>0</v>
      </c>
      <c r="N478" s="1759"/>
    </row>
    <row r="479" spans="1:14">
      <c r="A479" s="34" t="s">
        <v>30</v>
      </c>
      <c r="B479" s="1444">
        <f>FWC!N70</f>
        <v>0</v>
      </c>
      <c r="C479" s="1422"/>
      <c r="D479" s="1431">
        <f t="shared" si="94"/>
        <v>0</v>
      </c>
      <c r="E479" s="1422"/>
      <c r="F479" s="1760">
        <f>0.609*B479</f>
        <v>0</v>
      </c>
      <c r="G479" s="1757"/>
      <c r="H479" s="941">
        <f>F479*10</f>
        <v>0</v>
      </c>
      <c r="I479" s="131">
        <v>0</v>
      </c>
      <c r="J479" s="131">
        <f>0*B479</f>
        <v>0</v>
      </c>
      <c r="K479" s="131">
        <f>0*B479</f>
        <v>0</v>
      </c>
      <c r="L479" s="132">
        <f t="shared" si="95"/>
        <v>0</v>
      </c>
      <c r="M479" s="1758">
        <v>0</v>
      </c>
      <c r="N479" s="1759"/>
    </row>
    <row r="480" spans="1:14">
      <c r="A480" s="34" t="s">
        <v>55</v>
      </c>
      <c r="B480" s="1444">
        <f>FWC!N71</f>
        <v>9</v>
      </c>
      <c r="C480" s="1422"/>
      <c r="D480" s="1431">
        <f t="shared" si="94"/>
        <v>2909197.7280000001</v>
      </c>
      <c r="E480" s="1422"/>
      <c r="F480" s="1771">
        <f>0.992*B480</f>
        <v>8.9280000000000008</v>
      </c>
      <c r="G480" s="1719"/>
      <c r="H480" s="941">
        <f>F480*10</f>
        <v>89.28</v>
      </c>
      <c r="I480" s="131">
        <v>0</v>
      </c>
      <c r="J480" s="131">
        <f>0*B480</f>
        <v>0</v>
      </c>
      <c r="K480" s="131">
        <f>10454.17*B480</f>
        <v>94087.53</v>
      </c>
      <c r="L480" s="132">
        <f t="shared" si="95"/>
        <v>94087.53</v>
      </c>
      <c r="M480" s="1758">
        <f>L480/(F480*498.5)</f>
        <v>21.140376775487752</v>
      </c>
      <c r="N480" s="1759"/>
    </row>
    <row r="481" spans="1:14" s="66" customFormat="1" ht="14" thickBot="1">
      <c r="A481" s="47" t="s">
        <v>53</v>
      </c>
      <c r="B481" s="1444">
        <f>FWC!N72</f>
        <v>0</v>
      </c>
      <c r="C481" s="1422"/>
      <c r="D481" s="1431">
        <f t="shared" si="94"/>
        <v>0</v>
      </c>
      <c r="E481" s="1422"/>
      <c r="F481" s="1760">
        <f>0.00014*B481</f>
        <v>0</v>
      </c>
      <c r="G481" s="1757"/>
      <c r="H481" s="941">
        <f>F481*10</f>
        <v>0</v>
      </c>
      <c r="I481" s="131">
        <v>0</v>
      </c>
      <c r="J481" s="131">
        <f>0.3*B481</f>
        <v>0</v>
      </c>
      <c r="K481" s="131">
        <f>0.75*B481</f>
        <v>0</v>
      </c>
      <c r="L481" s="132">
        <f t="shared" si="95"/>
        <v>0</v>
      </c>
      <c r="M481" s="1758">
        <v>0</v>
      </c>
      <c r="N481" s="1759"/>
    </row>
    <row r="482" spans="1:14" s="66" customFormat="1" ht="14" thickBot="1">
      <c r="A482" s="53" t="s">
        <v>60</v>
      </c>
      <c r="B482" s="1438">
        <f>SUM(B476:C481)</f>
        <v>9</v>
      </c>
      <c r="C482" s="1609"/>
      <c r="D482" s="1440">
        <f>SUM(D476:E481)</f>
        <v>2909197.7280000001</v>
      </c>
      <c r="E482" s="1609"/>
      <c r="F482" s="1512">
        <f>SUM(F476:G481)</f>
        <v>8.9280000000000008</v>
      </c>
      <c r="G482" s="1575"/>
      <c r="H482" s="482">
        <f>SUM(H476:H481)</f>
        <v>89.28</v>
      </c>
      <c r="I482" s="136">
        <f>SUM(I476:I481)</f>
        <v>0</v>
      </c>
      <c r="J482" s="136">
        <f>SUM(J476:J481)</f>
        <v>0</v>
      </c>
      <c r="K482" s="136">
        <f>SUM(K476:K481)</f>
        <v>94087.53</v>
      </c>
      <c r="L482" s="136">
        <f>SUM(L476:L481)</f>
        <v>94087.53</v>
      </c>
      <c r="M482" s="1657"/>
      <c r="N482" s="1622"/>
    </row>
    <row r="483" spans="1:14" s="1202" customFormat="1" ht="17" thickBot="1">
      <c r="A483" s="1182" t="s">
        <v>17</v>
      </c>
      <c r="B483" s="1416">
        <f>SUM(B457+B460+B474+B482)</f>
        <v>1822</v>
      </c>
      <c r="C483" s="1415"/>
      <c r="D483" s="1416">
        <f>SUM(D457+D460+D474+D482)</f>
        <v>27065236.196160004</v>
      </c>
      <c r="E483" s="1415"/>
      <c r="F483" s="1487">
        <f>SUM(F457+F460+F474+F482)</f>
        <v>83.060159999999996</v>
      </c>
      <c r="G483" s="1488"/>
      <c r="H483" s="1164">
        <f>SUM(H457+H460+H474+H482)</f>
        <v>1502.6615999999999</v>
      </c>
      <c r="I483" s="1169">
        <f>SUM(I457+I460+I474+I482)</f>
        <v>16794.86</v>
      </c>
      <c r="J483" s="1169">
        <f>SUM(J457+J460+J474+J482)</f>
        <v>25989.14</v>
      </c>
      <c r="K483" s="1169">
        <f>SUM(K457+K460+K474+K482)</f>
        <v>366678.53</v>
      </c>
      <c r="L483" s="1169">
        <f>SUM(L457+L460+L474+L482)</f>
        <v>409462.53</v>
      </c>
      <c r="M483" s="1631"/>
      <c r="N483" s="1640"/>
    </row>
    <row r="484" spans="1:14" s="66" customFormat="1" ht="16">
      <c r="A484" s="60"/>
      <c r="B484" s="61"/>
      <c r="C484" s="61"/>
      <c r="D484" s="61"/>
      <c r="E484" s="61"/>
      <c r="F484" s="441"/>
      <c r="G484" s="441"/>
      <c r="H484" s="441"/>
      <c r="I484" s="62"/>
      <c r="J484" s="62"/>
      <c r="K484" s="62"/>
      <c r="L484" s="62"/>
      <c r="M484" s="64"/>
      <c r="N484" s="65"/>
    </row>
    <row r="485" spans="1:14" s="66" customFormat="1" ht="16">
      <c r="A485" s="9" t="s">
        <v>18</v>
      </c>
      <c r="B485" s="1419" t="s">
        <v>59</v>
      </c>
      <c r="C485" s="1419"/>
      <c r="D485" s="1419"/>
      <c r="E485" s="1419"/>
      <c r="F485" s="441"/>
      <c r="G485" s="441"/>
      <c r="H485" s="441"/>
      <c r="I485" s="62"/>
      <c r="J485" s="62"/>
      <c r="K485" s="62"/>
      <c r="L485" s="62"/>
      <c r="M485" s="64"/>
      <c r="N485" s="65"/>
    </row>
    <row r="486" spans="1:14" s="66" customFormat="1" ht="16">
      <c r="A486" s="57"/>
      <c r="B486" s="1420" t="s">
        <v>19</v>
      </c>
      <c r="C486" s="1420"/>
      <c r="D486" s="1420"/>
      <c r="E486" s="1420"/>
      <c r="F486" s="441"/>
      <c r="G486" s="441"/>
      <c r="H486" s="441"/>
      <c r="I486" s="62"/>
      <c r="J486" s="62"/>
      <c r="K486" s="62"/>
      <c r="L486" s="62"/>
      <c r="M486" s="64"/>
      <c r="N486" s="65"/>
    </row>
    <row r="487" spans="1:14" s="66" customFormat="1" ht="17" thickBot="1">
      <c r="A487" s="57"/>
      <c r="B487" s="1012"/>
      <c r="C487" s="1012"/>
      <c r="D487" s="1012"/>
      <c r="E487" s="1012"/>
      <c r="F487" s="441"/>
      <c r="G487" s="441"/>
      <c r="H487" s="441"/>
      <c r="I487" s="62"/>
      <c r="J487" s="62"/>
      <c r="K487" s="62"/>
      <c r="L487" s="62"/>
      <c r="M487" s="64"/>
      <c r="N487" s="65"/>
    </row>
    <row r="488" spans="1:14" s="363" customFormat="1" ht="16">
      <c r="A488" s="98"/>
      <c r="B488" s="99"/>
      <c r="C488" s="99"/>
      <c r="D488" s="99"/>
      <c r="E488" s="99"/>
      <c r="F488" s="421"/>
      <c r="G488" s="421"/>
      <c r="H488" s="421"/>
      <c r="I488" s="1468" t="s">
        <v>0</v>
      </c>
      <c r="J488" s="1468"/>
      <c r="K488" s="1468"/>
      <c r="L488" s="1468"/>
      <c r="M488" s="99"/>
      <c r="N488" s="101"/>
    </row>
    <row r="489" spans="1:14" ht="16">
      <c r="A489" s="97"/>
      <c r="B489" s="1469" t="s">
        <v>1</v>
      </c>
      <c r="C489" s="1469"/>
      <c r="D489" s="1469" t="s">
        <v>2</v>
      </c>
      <c r="E489" s="1469"/>
      <c r="F489" s="1470" t="s">
        <v>3</v>
      </c>
      <c r="G489" s="1470"/>
      <c r="H489" s="1003" t="s">
        <v>3</v>
      </c>
      <c r="I489" s="127" t="s">
        <v>195</v>
      </c>
      <c r="J489" s="102"/>
      <c r="K489" s="102"/>
      <c r="L489" s="128"/>
      <c r="M489" s="1469" t="s">
        <v>4</v>
      </c>
      <c r="N489" s="1526"/>
    </row>
    <row r="490" spans="1:14" ht="19" thickBot="1">
      <c r="A490" s="103" t="s">
        <v>5</v>
      </c>
      <c r="B490" s="1473" t="s">
        <v>6</v>
      </c>
      <c r="C490" s="1473"/>
      <c r="D490" s="1473" t="s">
        <v>7</v>
      </c>
      <c r="E490" s="1473"/>
      <c r="F490" s="1474" t="s">
        <v>7</v>
      </c>
      <c r="G490" s="1474"/>
      <c r="H490" s="1006" t="s">
        <v>58</v>
      </c>
      <c r="I490" s="1007" t="s">
        <v>196</v>
      </c>
      <c r="J490" s="1005" t="s">
        <v>8</v>
      </c>
      <c r="K490" s="1005" t="s">
        <v>9</v>
      </c>
      <c r="L490" s="401" t="s">
        <v>10</v>
      </c>
      <c r="M490" s="1473" t="s">
        <v>145</v>
      </c>
      <c r="N490" s="1475"/>
    </row>
    <row r="491" spans="1:14" ht="24" thickBot="1">
      <c r="A491" s="88" t="s">
        <v>132</v>
      </c>
      <c r="B491" s="1764"/>
      <c r="C491" s="1477"/>
      <c r="D491" s="1478"/>
      <c r="E491" s="1479"/>
      <c r="F491" s="1480"/>
      <c r="G491" s="1481"/>
      <c r="H491" s="1020"/>
      <c r="I491" s="7"/>
      <c r="J491" s="7"/>
      <c r="K491" s="7"/>
      <c r="L491" s="8"/>
      <c r="M491" s="1764"/>
      <c r="N491" s="1765"/>
    </row>
    <row r="492" spans="1:14" s="1161" customFormat="1" ht="17" thickBot="1">
      <c r="A492" s="108" t="s">
        <v>48</v>
      </c>
      <c r="B492" s="1567"/>
      <c r="C492" s="1586"/>
      <c r="D492" s="1567"/>
      <c r="E492" s="1586"/>
      <c r="F492" s="1587"/>
      <c r="G492" s="1588"/>
      <c r="H492" s="1145"/>
      <c r="I492" s="109"/>
      <c r="J492" s="109"/>
      <c r="K492" s="109"/>
      <c r="L492" s="1141"/>
      <c r="M492" s="1617"/>
      <c r="N492" s="1486"/>
    </row>
    <row r="493" spans="1:14">
      <c r="A493" s="32" t="s">
        <v>28</v>
      </c>
      <c r="B493" s="1431">
        <f>FWC!N6</f>
        <v>5</v>
      </c>
      <c r="C493" s="1422"/>
      <c r="D493" s="1431">
        <f t="shared" ref="D493:D499" si="96">F493*325851</f>
        <v>61748.764499999997</v>
      </c>
      <c r="E493" s="1422"/>
      <c r="F493" s="1756">
        <f>0.0379*B493</f>
        <v>0.1895</v>
      </c>
      <c r="G493" s="1757"/>
      <c r="H493" s="941">
        <f>F493*20</f>
        <v>3.79</v>
      </c>
      <c r="I493" s="131">
        <v>0</v>
      </c>
      <c r="J493" s="131">
        <f>0*B493</f>
        <v>0</v>
      </c>
      <c r="K493" s="131">
        <f>60*B493</f>
        <v>300</v>
      </c>
      <c r="L493" s="132">
        <f t="shared" ref="L493:L499" si="97">I493+J493+K493</f>
        <v>300</v>
      </c>
      <c r="M493" s="1758">
        <f t="shared" ref="M493:M499" si="98">L493/(F493*427)</f>
        <v>3.7075256591671661</v>
      </c>
      <c r="N493" s="1759"/>
    </row>
    <row r="494" spans="1:14">
      <c r="A494" s="32" t="s">
        <v>29</v>
      </c>
      <c r="B494" s="1431">
        <f>FWC!N7</f>
        <v>4</v>
      </c>
      <c r="C494" s="1422"/>
      <c r="D494" s="1431">
        <f t="shared" si="96"/>
        <v>55394.670000000006</v>
      </c>
      <c r="E494" s="1422"/>
      <c r="F494" s="1756">
        <f>0.0425*B494</f>
        <v>0.17</v>
      </c>
      <c r="G494" s="1757"/>
      <c r="H494" s="941">
        <f>F494*20</f>
        <v>3.4000000000000004</v>
      </c>
      <c r="I494" s="131">
        <v>0</v>
      </c>
      <c r="J494" s="131">
        <f>0*B494</f>
        <v>0</v>
      </c>
      <c r="K494" s="131">
        <f>B494*165</f>
        <v>660</v>
      </c>
      <c r="L494" s="132">
        <f t="shared" si="97"/>
        <v>660</v>
      </c>
      <c r="M494" s="1758">
        <f t="shared" si="98"/>
        <v>9.0921614547458329</v>
      </c>
      <c r="N494" s="1759"/>
    </row>
    <row r="495" spans="1:14">
      <c r="A495" s="32" t="s">
        <v>33</v>
      </c>
      <c r="B495" s="1431">
        <f>FWC!N8</f>
        <v>156</v>
      </c>
      <c r="C495" s="1422"/>
      <c r="D495" s="1431">
        <f t="shared" si="96"/>
        <v>1402984.0656000001</v>
      </c>
      <c r="E495" s="1422"/>
      <c r="F495" s="1756">
        <f>0.0276*B495</f>
        <v>4.3056000000000001</v>
      </c>
      <c r="G495" s="1757"/>
      <c r="H495" s="941">
        <f>F495*15</f>
        <v>64.584000000000003</v>
      </c>
      <c r="I495" s="131">
        <f>0*B495</f>
        <v>0</v>
      </c>
      <c r="J495" s="131">
        <f>0*B495</f>
        <v>0</v>
      </c>
      <c r="K495" s="131">
        <f>B495*110</f>
        <v>17160</v>
      </c>
      <c r="L495" s="132">
        <f t="shared" si="97"/>
        <v>17160</v>
      </c>
      <c r="M495" s="1758">
        <f t="shared" si="98"/>
        <v>9.3337406238332825</v>
      </c>
      <c r="N495" s="1759"/>
    </row>
    <row r="496" spans="1:14">
      <c r="A496" s="32" t="s">
        <v>56</v>
      </c>
      <c r="B496" s="1431">
        <f>FWC!N9</f>
        <v>21</v>
      </c>
      <c r="C496" s="1422"/>
      <c r="D496" s="1431">
        <f>F496*325851</f>
        <v>27371.484</v>
      </c>
      <c r="E496" s="1422"/>
      <c r="F496" s="1756">
        <f>0.004*B496</f>
        <v>8.4000000000000005E-2</v>
      </c>
      <c r="G496" s="1757"/>
      <c r="H496" s="941">
        <f>F496*5</f>
        <v>0.42000000000000004</v>
      </c>
      <c r="I496" s="131">
        <f>0*B496</f>
        <v>0</v>
      </c>
      <c r="J496" s="131">
        <f>0*B496</f>
        <v>0</v>
      </c>
      <c r="K496" s="131">
        <f>B496*4</f>
        <v>84</v>
      </c>
      <c r="L496" s="132">
        <f>I496+J496+K496</f>
        <v>84</v>
      </c>
      <c r="M496" s="1758">
        <f>L496/(F496*427)</f>
        <v>2.3419203747072599</v>
      </c>
      <c r="N496" s="1759"/>
    </row>
    <row r="497" spans="1:14">
      <c r="A497" s="78" t="s">
        <v>30</v>
      </c>
      <c r="B497" s="1431">
        <f>FWC!N10</f>
        <v>1</v>
      </c>
      <c r="C497" s="1422"/>
      <c r="D497" s="1431">
        <f t="shared" si="96"/>
        <v>105901.575</v>
      </c>
      <c r="E497" s="1422"/>
      <c r="F497" s="1756">
        <f>0.325*B497</f>
        <v>0.32500000000000001</v>
      </c>
      <c r="G497" s="1757"/>
      <c r="H497" s="941">
        <f>F497*10</f>
        <v>3.25</v>
      </c>
      <c r="I497" s="131">
        <v>0</v>
      </c>
      <c r="J497" s="131">
        <f>160*B497</f>
        <v>160</v>
      </c>
      <c r="K497" s="131">
        <f>B497*80</f>
        <v>80</v>
      </c>
      <c r="L497" s="132">
        <f t="shared" si="97"/>
        <v>240</v>
      </c>
      <c r="M497" s="1758">
        <f t="shared" si="98"/>
        <v>1.7294181228607457</v>
      </c>
      <c r="N497" s="1759"/>
    </row>
    <row r="498" spans="1:14">
      <c r="A498" s="33" t="s">
        <v>92</v>
      </c>
      <c r="B498" s="1431">
        <f>FWC!N11</f>
        <v>1</v>
      </c>
      <c r="C498" s="1422"/>
      <c r="D498" s="1431">
        <f t="shared" si="96"/>
        <v>55472.87423999999</v>
      </c>
      <c r="E498" s="1422"/>
      <c r="F498" s="1718">
        <f>0.00014*1216</f>
        <v>0.17023999999999997</v>
      </c>
      <c r="G498" s="1719"/>
      <c r="H498" s="941">
        <f>F498*10</f>
        <v>1.7023999999999997</v>
      </c>
      <c r="I498" s="131">
        <v>0</v>
      </c>
      <c r="J498" s="131">
        <f>2*1216</f>
        <v>2432</v>
      </c>
      <c r="K498" s="131">
        <f>B498*0</f>
        <v>0</v>
      </c>
      <c r="L498" s="132">
        <f t="shared" si="97"/>
        <v>2432</v>
      </c>
      <c r="M498" s="1758">
        <f t="shared" si="98"/>
        <v>33.456005352960858</v>
      </c>
      <c r="N498" s="1759"/>
    </row>
    <row r="499" spans="1:14" ht="14" thickBot="1">
      <c r="A499" s="33" t="s">
        <v>93</v>
      </c>
      <c r="B499" s="1431">
        <f>FWC!N12</f>
        <v>2</v>
      </c>
      <c r="C499" s="1422"/>
      <c r="D499" s="1431">
        <f t="shared" si="96"/>
        <v>79377.303599999999</v>
      </c>
      <c r="E499" s="1422"/>
      <c r="F499" s="1756">
        <f>0.00014*1740</f>
        <v>0.24359999999999998</v>
      </c>
      <c r="G499" s="1757"/>
      <c r="H499" s="941">
        <f>F499*10</f>
        <v>2.4359999999999999</v>
      </c>
      <c r="I499" s="131">
        <v>0</v>
      </c>
      <c r="J499" s="131">
        <f>0.3*1740</f>
        <v>522</v>
      </c>
      <c r="K499" s="131">
        <f>0.3*1740</f>
        <v>522</v>
      </c>
      <c r="L499" s="132">
        <f t="shared" si="97"/>
        <v>1044</v>
      </c>
      <c r="M499" s="1758">
        <f t="shared" si="98"/>
        <v>10.036801605888257</v>
      </c>
      <c r="N499" s="1759"/>
    </row>
    <row r="500" spans="1:14" ht="14" thickBot="1">
      <c r="A500" s="53" t="s">
        <v>60</v>
      </c>
      <c r="B500" s="1438">
        <f>SUM(B493:C499)</f>
        <v>190</v>
      </c>
      <c r="C500" s="1609"/>
      <c r="D500" s="1440">
        <f>SUM(D493:E499)</f>
        <v>1788250.73694</v>
      </c>
      <c r="E500" s="1609"/>
      <c r="F500" s="1512">
        <f>SUM(F493:G499)</f>
        <v>5.4879399999999992</v>
      </c>
      <c r="G500" s="1575"/>
      <c r="H500" s="167">
        <f>SUM(H493:H499)</f>
        <v>79.582400000000007</v>
      </c>
      <c r="I500" s="143">
        <f>SUM(I493:I499)</f>
        <v>0</v>
      </c>
      <c r="J500" s="143">
        <f>SUM(J493:J499)</f>
        <v>3114</v>
      </c>
      <c r="K500" s="143">
        <f>SUM(K493:K499)</f>
        <v>18806</v>
      </c>
      <c r="L500" s="152">
        <f>SUM(L493:L499)</f>
        <v>21920</v>
      </c>
      <c r="M500" s="1657"/>
      <c r="N500" s="1622"/>
    </row>
    <row r="501" spans="1:14" s="1161" customFormat="1" ht="17" thickBot="1">
      <c r="A501" s="1244" t="s">
        <v>147</v>
      </c>
      <c r="B501" s="1456"/>
      <c r="C501" s="1586"/>
      <c r="D501" s="1457"/>
      <c r="E501" s="1586"/>
      <c r="F501" s="1484"/>
      <c r="G501" s="1588"/>
      <c r="H501" s="1145"/>
      <c r="I501" s="161"/>
      <c r="J501" s="161"/>
      <c r="K501" s="161"/>
      <c r="L501" s="162"/>
      <c r="M501" s="1617"/>
      <c r="N501" s="1486"/>
    </row>
    <row r="502" spans="1:14" ht="14" thickBot="1">
      <c r="A502" s="76" t="s">
        <v>147</v>
      </c>
      <c r="B502" s="1421">
        <f>FWC!N15</f>
        <v>780</v>
      </c>
      <c r="C502" s="1422"/>
      <c r="D502" s="1444">
        <f>F502*325851</f>
        <v>9632807.2620000001</v>
      </c>
      <c r="E502" s="1422"/>
      <c r="F502" s="1760">
        <f>0.0379*B502</f>
        <v>29.562000000000001</v>
      </c>
      <c r="G502" s="1757"/>
      <c r="H502" s="941">
        <f>F502*20</f>
        <v>591.24</v>
      </c>
      <c r="I502" s="131">
        <f>73.34*B502</f>
        <v>57205.200000000004</v>
      </c>
      <c r="J502" s="131">
        <f>35.66*B502</f>
        <v>27814.799999999996</v>
      </c>
      <c r="K502" s="131">
        <f>B502*60</f>
        <v>46800</v>
      </c>
      <c r="L502" s="132">
        <f>I502+J502+K502</f>
        <v>131820</v>
      </c>
      <c r="M502" s="1758">
        <f>L502/(F502*427)</f>
        <v>10.442863939987518</v>
      </c>
      <c r="N502" s="1759"/>
    </row>
    <row r="503" spans="1:14" ht="14" thickBot="1">
      <c r="A503" s="53" t="s">
        <v>60</v>
      </c>
      <c r="B503" s="1438">
        <f>SUM(B502)</f>
        <v>780</v>
      </c>
      <c r="C503" s="1609"/>
      <c r="D503" s="1440">
        <f>SUM(D502)</f>
        <v>9632807.2620000001</v>
      </c>
      <c r="E503" s="1609"/>
      <c r="F503" s="1512">
        <f>SUM(F502)</f>
        <v>29.562000000000001</v>
      </c>
      <c r="G503" s="1575"/>
      <c r="H503" s="167">
        <f>SUM(H502)</f>
        <v>591.24</v>
      </c>
      <c r="I503" s="136">
        <f>SUM(I502)</f>
        <v>57205.200000000004</v>
      </c>
      <c r="J503" s="136">
        <f>SUM(J502)</f>
        <v>27814.799999999996</v>
      </c>
      <c r="K503" s="136">
        <f>SUM(K502)</f>
        <v>46800</v>
      </c>
      <c r="L503" s="136">
        <f>SUM(L502)</f>
        <v>131820</v>
      </c>
      <c r="M503" s="1657"/>
      <c r="N503" s="1622"/>
    </row>
    <row r="504" spans="1:14" s="1161" customFormat="1" ht="17" thickBot="1">
      <c r="A504" s="108" t="s">
        <v>50</v>
      </c>
      <c r="B504" s="1456"/>
      <c r="C504" s="1586"/>
      <c r="D504" s="1457"/>
      <c r="E504" s="1586"/>
      <c r="F504" s="1484"/>
      <c r="G504" s="1588"/>
      <c r="H504" s="1145"/>
      <c r="I504" s="161"/>
      <c r="J504" s="161"/>
      <c r="K504" s="161"/>
      <c r="L504" s="162"/>
      <c r="M504" s="1617"/>
      <c r="N504" s="1486"/>
    </row>
    <row r="505" spans="1:14">
      <c r="A505" s="34" t="s">
        <v>26</v>
      </c>
      <c r="B505" s="1421">
        <f>FWC!N18</f>
        <v>0</v>
      </c>
      <c r="C505" s="1422"/>
      <c r="D505" s="1444">
        <f t="shared" ref="D505:D513" si="99">F505*325851</f>
        <v>0</v>
      </c>
      <c r="E505" s="1422"/>
      <c r="F505" s="1760">
        <f>0.0379*B505</f>
        <v>0</v>
      </c>
      <c r="G505" s="1757"/>
      <c r="H505" s="941">
        <f>F505*20</f>
        <v>0</v>
      </c>
      <c r="I505" s="131">
        <v>0</v>
      </c>
      <c r="J505" s="131">
        <f>35.66*B505</f>
        <v>0</v>
      </c>
      <c r="K505" s="131">
        <f>135*B505</f>
        <v>0</v>
      </c>
      <c r="L505" s="132">
        <f>SUM(I505:K505)</f>
        <v>0</v>
      </c>
      <c r="M505" s="1758">
        <v>0</v>
      </c>
      <c r="N505" s="1759"/>
    </row>
    <row r="506" spans="1:14">
      <c r="A506" s="34" t="s">
        <v>25</v>
      </c>
      <c r="B506" s="1421">
        <f>FWC!N19</f>
        <v>0</v>
      </c>
      <c r="C506" s="1422"/>
      <c r="D506" s="1444">
        <f t="shared" si="99"/>
        <v>0</v>
      </c>
      <c r="E506" s="1422"/>
      <c r="F506" s="1760">
        <f>0.0379*B506</f>
        <v>0</v>
      </c>
      <c r="G506" s="1757"/>
      <c r="H506" s="941">
        <f>F506*20</f>
        <v>0</v>
      </c>
      <c r="I506" s="131">
        <v>0</v>
      </c>
      <c r="J506" s="131">
        <f>0*B506</f>
        <v>0</v>
      </c>
      <c r="K506" s="131">
        <f>135*B506</f>
        <v>0</v>
      </c>
      <c r="L506" s="132">
        <f t="shared" ref="L506:L521" si="100">SUM(I506:K506)</f>
        <v>0</v>
      </c>
      <c r="M506" s="1758">
        <v>0</v>
      </c>
      <c r="N506" s="1759"/>
    </row>
    <row r="507" spans="1:14">
      <c r="A507" s="32" t="s">
        <v>29</v>
      </c>
      <c r="B507" s="1421">
        <f>FWC!N20</f>
        <v>0</v>
      </c>
      <c r="C507" s="1422"/>
      <c r="D507" s="1444">
        <f t="shared" si="99"/>
        <v>0</v>
      </c>
      <c r="E507" s="1422"/>
      <c r="F507" s="1760">
        <f>0.0425*B507</f>
        <v>0</v>
      </c>
      <c r="G507" s="1757"/>
      <c r="H507" s="941">
        <f>F507*20</f>
        <v>0</v>
      </c>
      <c r="I507" s="131">
        <v>0</v>
      </c>
      <c r="J507" s="131">
        <f>135*B507</f>
        <v>0</v>
      </c>
      <c r="K507" s="131">
        <f>165*B507</f>
        <v>0</v>
      </c>
      <c r="L507" s="132">
        <f t="shared" si="100"/>
        <v>0</v>
      </c>
      <c r="M507" s="1758">
        <v>0</v>
      </c>
      <c r="N507" s="1759"/>
    </row>
    <row r="508" spans="1:14">
      <c r="A508" s="32" t="s">
        <v>51</v>
      </c>
      <c r="B508" s="1421">
        <f>FWC!N21</f>
        <v>10</v>
      </c>
      <c r="C508" s="1422"/>
      <c r="D508" s="1444">
        <f t="shared" si="99"/>
        <v>399819.17700000003</v>
      </c>
      <c r="E508" s="1422"/>
      <c r="F508" s="1760">
        <f>0.1227*B508</f>
        <v>1.2270000000000001</v>
      </c>
      <c r="G508" s="1757"/>
      <c r="H508" s="941">
        <f>F508*20</f>
        <v>24.540000000000003</v>
      </c>
      <c r="I508" s="131">
        <v>0</v>
      </c>
      <c r="J508" s="131">
        <f>0*B508</f>
        <v>0</v>
      </c>
      <c r="K508" s="131">
        <f>400*B508</f>
        <v>4000</v>
      </c>
      <c r="L508" s="132">
        <f t="shared" si="100"/>
        <v>4000</v>
      </c>
      <c r="M508" s="1758">
        <f>L508/(F508*427)</f>
        <v>7.6346222484344244</v>
      </c>
      <c r="N508" s="1759"/>
    </row>
    <row r="509" spans="1:14">
      <c r="A509" s="34" t="s">
        <v>20</v>
      </c>
      <c r="B509" s="1421">
        <f>FWC!N22</f>
        <v>1</v>
      </c>
      <c r="C509" s="1422"/>
      <c r="D509" s="1444">
        <f t="shared" si="99"/>
        <v>209848.04399999999</v>
      </c>
      <c r="E509" s="1422"/>
      <c r="F509" s="1760">
        <f>0.644*B509</f>
        <v>0.64400000000000002</v>
      </c>
      <c r="G509" s="1757"/>
      <c r="H509" s="941">
        <f>F509*5</f>
        <v>3.22</v>
      </c>
      <c r="I509" s="131">
        <v>0</v>
      </c>
      <c r="J509" s="131">
        <f>175*B509</f>
        <v>175</v>
      </c>
      <c r="K509" s="131">
        <f>625*B509</f>
        <v>625</v>
      </c>
      <c r="L509" s="132">
        <f t="shared" si="100"/>
        <v>800</v>
      </c>
      <c r="M509" s="1758">
        <f>L509/(F509*427)</f>
        <v>2.9092178567792049</v>
      </c>
      <c r="N509" s="1759"/>
    </row>
    <row r="510" spans="1:14">
      <c r="A510" s="34" t="s">
        <v>13</v>
      </c>
      <c r="B510" s="1421">
        <f>FWC!N23</f>
        <v>12</v>
      </c>
      <c r="C510" s="1422"/>
      <c r="D510" s="1444">
        <f t="shared" si="99"/>
        <v>107921.8512</v>
      </c>
      <c r="E510" s="1422"/>
      <c r="F510" s="1760">
        <f>0.0276*B510</f>
        <v>0.33119999999999999</v>
      </c>
      <c r="G510" s="1757"/>
      <c r="H510" s="941">
        <f>F510*15</f>
        <v>4.968</v>
      </c>
      <c r="I510" s="131">
        <v>0</v>
      </c>
      <c r="J510" s="131">
        <f>290*B510</f>
        <v>3480</v>
      </c>
      <c r="K510" s="131">
        <f>130*B510</f>
        <v>1560</v>
      </c>
      <c r="L510" s="132">
        <f t="shared" si="100"/>
        <v>5040</v>
      </c>
      <c r="M510" s="1758">
        <f>L510/(F510*427)</f>
        <v>35.637918745545257</v>
      </c>
      <c r="N510" s="1759"/>
    </row>
    <row r="511" spans="1:14">
      <c r="A511" s="35" t="s">
        <v>47</v>
      </c>
      <c r="B511" s="1421">
        <f>FWC!N24</f>
        <v>0</v>
      </c>
      <c r="C511" s="1422"/>
      <c r="D511" s="1444">
        <f t="shared" si="99"/>
        <v>0</v>
      </c>
      <c r="E511" s="1422"/>
      <c r="F511" s="1760">
        <f>0.1534*B511</f>
        <v>0</v>
      </c>
      <c r="G511" s="1757"/>
      <c r="H511" s="941">
        <f>F511*5</f>
        <v>0</v>
      </c>
      <c r="I511" s="131">
        <v>0</v>
      </c>
      <c r="J511" s="131">
        <f>0*B511</f>
        <v>0</v>
      </c>
      <c r="K511" s="131">
        <f>150*B511</f>
        <v>0</v>
      </c>
      <c r="L511" s="132">
        <f t="shared" si="100"/>
        <v>0</v>
      </c>
      <c r="M511" s="1758">
        <v>0</v>
      </c>
      <c r="N511" s="1759"/>
    </row>
    <row r="512" spans="1:14">
      <c r="A512" s="76" t="s">
        <v>30</v>
      </c>
      <c r="B512" s="1421">
        <f>FWC!N25</f>
        <v>3</v>
      </c>
      <c r="C512" s="1422"/>
      <c r="D512" s="1444">
        <f t="shared" si="99"/>
        <v>317704.72500000003</v>
      </c>
      <c r="E512" s="1422"/>
      <c r="F512" s="1760">
        <f>0.325*B512</f>
        <v>0.97500000000000009</v>
      </c>
      <c r="G512" s="1757"/>
      <c r="H512" s="941">
        <f>F512*10</f>
        <v>9.75</v>
      </c>
      <c r="I512" s="131">
        <v>0</v>
      </c>
      <c r="J512" s="131">
        <f>0*B512</f>
        <v>0</v>
      </c>
      <c r="K512" s="131">
        <f>630*B512</f>
        <v>1890</v>
      </c>
      <c r="L512" s="132">
        <f t="shared" si="100"/>
        <v>1890</v>
      </c>
      <c r="M512" s="1758">
        <f>L512/(F512*427)</f>
        <v>4.539722572509457</v>
      </c>
      <c r="N512" s="1759"/>
    </row>
    <row r="513" spans="1:14">
      <c r="A513" s="33" t="s">
        <v>53</v>
      </c>
      <c r="B513" s="1421">
        <f>FWC!N26</f>
        <v>0</v>
      </c>
      <c r="C513" s="1422"/>
      <c r="D513" s="1444">
        <f t="shared" si="99"/>
        <v>0</v>
      </c>
      <c r="E513" s="1422"/>
      <c r="F513" s="1760">
        <f>0.00014*B513</f>
        <v>0</v>
      </c>
      <c r="G513" s="1757"/>
      <c r="H513" s="941">
        <f>F513*10</f>
        <v>0</v>
      </c>
      <c r="I513" s="131">
        <v>0</v>
      </c>
      <c r="J513" s="131">
        <f>0.3*B513</f>
        <v>0</v>
      </c>
      <c r="K513" s="131">
        <f>0.3*B513</f>
        <v>0</v>
      </c>
      <c r="L513" s="132">
        <f t="shared" si="100"/>
        <v>0</v>
      </c>
      <c r="M513" s="1758">
        <v>0</v>
      </c>
      <c r="N513" s="1759"/>
    </row>
    <row r="514" spans="1:14" ht="14" thickBot="1">
      <c r="A514" s="33" t="s">
        <v>56</v>
      </c>
      <c r="B514" s="1421">
        <f>FWC!N29</f>
        <v>0</v>
      </c>
      <c r="C514" s="1422"/>
      <c r="D514" s="1444">
        <f>F514*325851</f>
        <v>0</v>
      </c>
      <c r="E514" s="1422"/>
      <c r="F514" s="1760">
        <f>0.004*B514</f>
        <v>0</v>
      </c>
      <c r="G514" s="1757"/>
      <c r="H514" s="941">
        <f>F514*5</f>
        <v>0</v>
      </c>
      <c r="I514" s="131">
        <v>0</v>
      </c>
      <c r="J514" s="131">
        <f>0*B514</f>
        <v>0</v>
      </c>
      <c r="K514" s="131">
        <f>4*B514</f>
        <v>0</v>
      </c>
      <c r="L514" s="132">
        <f t="shared" si="100"/>
        <v>0</v>
      </c>
      <c r="M514" s="1758">
        <v>0</v>
      </c>
      <c r="N514" s="1759"/>
    </row>
    <row r="515" spans="1:14" ht="14" thickBot="1">
      <c r="A515" s="53" t="s">
        <v>60</v>
      </c>
      <c r="B515" s="1438">
        <f>SUM(B505:C514)</f>
        <v>26</v>
      </c>
      <c r="C515" s="1609"/>
      <c r="D515" s="1440">
        <f>SUM(D505:E514)</f>
        <v>1035293.7972000001</v>
      </c>
      <c r="E515" s="1609"/>
      <c r="F515" s="1512">
        <f>SUM(F505:G514)</f>
        <v>3.1772</v>
      </c>
      <c r="G515" s="1575"/>
      <c r="H515" s="167">
        <f>SUM(H505:H514)</f>
        <v>42.478000000000002</v>
      </c>
      <c r="I515" s="136">
        <f>SUM(I505:I514)</f>
        <v>0</v>
      </c>
      <c r="J515" s="136">
        <f>SUM(J505:J514)</f>
        <v>3655</v>
      </c>
      <c r="K515" s="136">
        <f>SUM(K505:K514)</f>
        <v>8075</v>
      </c>
      <c r="L515" s="136">
        <f>SUM(L505:L514)</f>
        <v>11730</v>
      </c>
      <c r="M515" s="1657"/>
      <c r="N515" s="1622"/>
    </row>
    <row r="516" spans="1:14" s="1161" customFormat="1" ht="17" thickBot="1">
      <c r="A516" s="108" t="s">
        <v>54</v>
      </c>
      <c r="B516" s="1456"/>
      <c r="C516" s="1913"/>
      <c r="D516" s="1141"/>
      <c r="E516" s="1142"/>
      <c r="F516" s="1158"/>
      <c r="G516" s="1145"/>
      <c r="H516" s="1145"/>
      <c r="I516" s="161"/>
      <c r="J516" s="161"/>
      <c r="K516" s="161"/>
      <c r="L516" s="162"/>
      <c r="M516" s="1154"/>
      <c r="N516" s="1155"/>
    </row>
    <row r="517" spans="1:14">
      <c r="A517" s="36" t="s">
        <v>29</v>
      </c>
      <c r="B517" s="1731">
        <f>FWC!N30</f>
        <v>0</v>
      </c>
      <c r="C517" s="1915"/>
      <c r="D517" s="1767">
        <f>F517*325851</f>
        <v>0</v>
      </c>
      <c r="E517" s="1732"/>
      <c r="F517" s="1760">
        <f>0.0425*B517</f>
        <v>0</v>
      </c>
      <c r="G517" s="1757"/>
      <c r="H517" s="941">
        <f>F517*20</f>
        <v>0</v>
      </c>
      <c r="I517" s="131">
        <v>0</v>
      </c>
      <c r="J517" s="131">
        <f>35.66*B517</f>
        <v>0</v>
      </c>
      <c r="K517" s="131">
        <f>630*B517</f>
        <v>0</v>
      </c>
      <c r="L517" s="132">
        <f t="shared" si="100"/>
        <v>0</v>
      </c>
      <c r="M517" s="1758">
        <v>0</v>
      </c>
      <c r="N517" s="1759"/>
    </row>
    <row r="518" spans="1:14">
      <c r="A518" s="34" t="s">
        <v>51</v>
      </c>
      <c r="B518" s="1421">
        <f>FWC!N31</f>
        <v>0</v>
      </c>
      <c r="C518" s="1422"/>
      <c r="D518" s="1444">
        <f>F518*325851</f>
        <v>0</v>
      </c>
      <c r="E518" s="1422"/>
      <c r="F518" s="1760">
        <f>0.1227*B518</f>
        <v>0</v>
      </c>
      <c r="G518" s="1757"/>
      <c r="H518" s="941">
        <f>F518*20</f>
        <v>0</v>
      </c>
      <c r="I518" s="131">
        <v>0</v>
      </c>
      <c r="J518" s="131">
        <f>0*B518</f>
        <v>0</v>
      </c>
      <c r="K518" s="131">
        <f>1225*B518</f>
        <v>0</v>
      </c>
      <c r="L518" s="132">
        <f t="shared" si="100"/>
        <v>0</v>
      </c>
      <c r="M518" s="1758">
        <v>0</v>
      </c>
      <c r="N518" s="1759"/>
    </row>
    <row r="519" spans="1:14">
      <c r="A519" s="34" t="s">
        <v>15</v>
      </c>
      <c r="B519" s="1421">
        <f>FWC!N32</f>
        <v>0</v>
      </c>
      <c r="C519" s="1422"/>
      <c r="D519" s="1444">
        <f>F519*325851</f>
        <v>0</v>
      </c>
      <c r="E519" s="1422"/>
      <c r="F519" s="1760">
        <f>0.1534*B519</f>
        <v>0</v>
      </c>
      <c r="G519" s="1757"/>
      <c r="H519" s="941">
        <f>F519*5</f>
        <v>0</v>
      </c>
      <c r="I519" s="131">
        <v>0</v>
      </c>
      <c r="J519" s="131">
        <f>0*B519</f>
        <v>0</v>
      </c>
      <c r="K519" s="131">
        <f>380*B519</f>
        <v>0</v>
      </c>
      <c r="L519" s="132">
        <f t="shared" si="100"/>
        <v>0</v>
      </c>
      <c r="M519" s="1758">
        <v>0</v>
      </c>
      <c r="N519" s="1759"/>
    </row>
    <row r="520" spans="1:14">
      <c r="A520" s="34" t="s">
        <v>30</v>
      </c>
      <c r="B520" s="1421">
        <f>FWC!N33</f>
        <v>0</v>
      </c>
      <c r="C520" s="1422"/>
      <c r="D520" s="1444">
        <f>F520*325851</f>
        <v>0</v>
      </c>
      <c r="E520" s="1422"/>
      <c r="F520" s="1760">
        <f>0.466*B520</f>
        <v>0</v>
      </c>
      <c r="G520" s="1757"/>
      <c r="H520" s="941">
        <f>F520*10</f>
        <v>0</v>
      </c>
      <c r="I520" s="131">
        <v>0</v>
      </c>
      <c r="J520" s="131">
        <f>0*B520</f>
        <v>0</v>
      </c>
      <c r="K520" s="131">
        <f>1004*B520</f>
        <v>0</v>
      </c>
      <c r="L520" s="132">
        <f t="shared" si="100"/>
        <v>0</v>
      </c>
      <c r="M520" s="1758">
        <v>0</v>
      </c>
      <c r="N520" s="1759"/>
    </row>
    <row r="521" spans="1:14" ht="14" thickBot="1">
      <c r="A521" s="37" t="s">
        <v>55</v>
      </c>
      <c r="B521" s="1421">
        <f>FWC!N34</f>
        <v>0</v>
      </c>
      <c r="C521" s="1422"/>
      <c r="D521" s="1444">
        <f>F521*325851</f>
        <v>0</v>
      </c>
      <c r="E521" s="1422"/>
      <c r="F521" s="1771">
        <f>0.823*B521</f>
        <v>0</v>
      </c>
      <c r="G521" s="1719"/>
      <c r="H521" s="941">
        <f>F521*10</f>
        <v>0</v>
      </c>
      <c r="I521" s="131">
        <v>0</v>
      </c>
      <c r="J521" s="131">
        <f>0*B521</f>
        <v>0</v>
      </c>
      <c r="K521" s="131">
        <f>3124*B521</f>
        <v>0</v>
      </c>
      <c r="L521" s="132">
        <f t="shared" si="100"/>
        <v>0</v>
      </c>
      <c r="M521" s="1758">
        <v>0</v>
      </c>
      <c r="N521" s="1759"/>
    </row>
    <row r="522" spans="1:14" ht="14" thickBot="1">
      <c r="A522" s="53" t="s">
        <v>60</v>
      </c>
      <c r="B522" s="1438">
        <f>SUM(B517:C521)</f>
        <v>0</v>
      </c>
      <c r="C522" s="1609"/>
      <c r="D522" s="1440">
        <f>SUM(D517:E521)</f>
        <v>0</v>
      </c>
      <c r="E522" s="1609"/>
      <c r="F522" s="1512">
        <f>SUM(F517:G521)</f>
        <v>0</v>
      </c>
      <c r="G522" s="1575"/>
      <c r="H522" s="167">
        <f>SUM(H517:H521)</f>
        <v>0</v>
      </c>
      <c r="I522" s="136">
        <f>SUM(I517:I521)</f>
        <v>0</v>
      </c>
      <c r="J522" s="136">
        <f>SUM(J517:J521)</f>
        <v>0</v>
      </c>
      <c r="K522" s="136">
        <f>SUM(K517:K521)</f>
        <v>0</v>
      </c>
      <c r="L522" s="136">
        <f>SUM(L517:L521)</f>
        <v>0</v>
      </c>
      <c r="M522" s="1657">
        <f>SUM(M517:N521)</f>
        <v>0</v>
      </c>
      <c r="N522" s="1622"/>
    </row>
    <row r="523" spans="1:14" s="1168" customFormat="1" ht="17" thickBot="1">
      <c r="A523" s="1182" t="s">
        <v>17</v>
      </c>
      <c r="B523" s="1416">
        <f>SUM(B500+B503+B515+B522)</f>
        <v>996</v>
      </c>
      <c r="C523" s="1415"/>
      <c r="D523" s="1416">
        <f>SUM(D500+D503+D515+D522)</f>
        <v>12456351.79614</v>
      </c>
      <c r="E523" s="1415"/>
      <c r="F523" s="1487">
        <f>SUM(F500+F503+F515+F522)</f>
        <v>38.227139999999999</v>
      </c>
      <c r="G523" s="1488"/>
      <c r="H523" s="1201">
        <f>SUM(H500+H503+H515+H522)</f>
        <v>713.30039999999997</v>
      </c>
      <c r="I523" s="1169">
        <f>SUM(I500+I503+I515+I522)</f>
        <v>57205.200000000004</v>
      </c>
      <c r="J523" s="1169">
        <f>SUM(J500+J503+J515+J522)</f>
        <v>34583.799999999996</v>
      </c>
      <c r="K523" s="1169">
        <f>SUM(K500+K503+K515+K522)</f>
        <v>73681</v>
      </c>
      <c r="L523" s="1169">
        <f>SUM(L500+L503+L515+L522)</f>
        <v>165470</v>
      </c>
      <c r="M523" s="1631"/>
      <c r="N523" s="1640"/>
    </row>
    <row r="524" spans="1:14" ht="16">
      <c r="A524" s="60"/>
      <c r="B524" s="61"/>
      <c r="C524" s="61"/>
      <c r="D524" s="61"/>
      <c r="E524" s="61"/>
      <c r="F524" s="441"/>
      <c r="G524" s="441"/>
      <c r="H524" s="441"/>
      <c r="I524" s="62"/>
      <c r="J524" s="62"/>
      <c r="K524" s="62"/>
      <c r="L524" s="62"/>
      <c r="M524" s="64"/>
      <c r="N524" s="65"/>
    </row>
    <row r="525" spans="1:14" ht="16">
      <c r="A525" s="9" t="s">
        <v>18</v>
      </c>
      <c r="B525" s="1419" t="s">
        <v>59</v>
      </c>
      <c r="C525" s="1419"/>
      <c r="D525" s="1419"/>
      <c r="E525" s="1419"/>
      <c r="F525" s="441"/>
      <c r="G525" s="441"/>
      <c r="H525" s="441"/>
      <c r="I525" s="62"/>
      <c r="J525" s="62"/>
      <c r="K525" s="62"/>
      <c r="L525" s="62"/>
      <c r="M525" s="64"/>
      <c r="N525" s="65"/>
    </row>
    <row r="526" spans="1:14" ht="16">
      <c r="A526" s="57"/>
      <c r="B526" s="1420" t="s">
        <v>19</v>
      </c>
      <c r="C526" s="1420"/>
      <c r="D526" s="1420"/>
      <c r="E526" s="1420"/>
      <c r="F526" s="441"/>
      <c r="G526" s="441"/>
      <c r="H526" s="441"/>
      <c r="I526" s="62"/>
      <c r="J526" s="62"/>
      <c r="K526" s="62"/>
      <c r="L526" s="62"/>
      <c r="M526" s="64"/>
      <c r="N526" s="65"/>
    </row>
    <row r="527" spans="1:14" ht="17" thickBot="1">
      <c r="A527" s="57"/>
      <c r="B527" s="1012"/>
      <c r="C527" s="1012"/>
      <c r="D527" s="1012"/>
      <c r="E527" s="1012"/>
      <c r="F527" s="441"/>
      <c r="G527" s="441"/>
      <c r="H527" s="441"/>
      <c r="I527" s="62"/>
      <c r="J527" s="62"/>
      <c r="K527" s="62"/>
      <c r="L527" s="62"/>
      <c r="M527" s="64"/>
      <c r="N527" s="65"/>
    </row>
    <row r="528" spans="1:14" s="363" customFormat="1" ht="16">
      <c r="A528" s="98"/>
      <c r="B528" s="99"/>
      <c r="C528" s="99"/>
      <c r="D528" s="99"/>
      <c r="E528" s="99"/>
      <c r="F528" s="421"/>
      <c r="G528" s="421"/>
      <c r="H528" s="421"/>
      <c r="I528" s="1468" t="s">
        <v>0</v>
      </c>
      <c r="J528" s="1468"/>
      <c r="K528" s="1468"/>
      <c r="L528" s="1468"/>
      <c r="M528" s="99"/>
      <c r="N528" s="101"/>
    </row>
    <row r="529" spans="1:14" ht="16">
      <c r="A529" s="97"/>
      <c r="B529" s="1469" t="s">
        <v>1</v>
      </c>
      <c r="C529" s="1469"/>
      <c r="D529" s="1469" t="s">
        <v>2</v>
      </c>
      <c r="E529" s="1469"/>
      <c r="F529" s="1470" t="s">
        <v>3</v>
      </c>
      <c r="G529" s="1470"/>
      <c r="H529" s="1003" t="s">
        <v>3</v>
      </c>
      <c r="I529" s="127" t="s">
        <v>195</v>
      </c>
      <c r="J529" s="102"/>
      <c r="K529" s="102"/>
      <c r="L529" s="128"/>
      <c r="M529" s="1469" t="s">
        <v>4</v>
      </c>
      <c r="N529" s="1526"/>
    </row>
    <row r="530" spans="1:14" ht="19" thickBot="1">
      <c r="A530" s="103" t="s">
        <v>5</v>
      </c>
      <c r="B530" s="1473" t="s">
        <v>6</v>
      </c>
      <c r="C530" s="1473"/>
      <c r="D530" s="1473" t="s">
        <v>7</v>
      </c>
      <c r="E530" s="1473"/>
      <c r="F530" s="1474" t="s">
        <v>7</v>
      </c>
      <c r="G530" s="1474"/>
      <c r="H530" s="1006" t="s">
        <v>58</v>
      </c>
      <c r="I530" s="1007" t="s">
        <v>196</v>
      </c>
      <c r="J530" s="1005" t="s">
        <v>8</v>
      </c>
      <c r="K530" s="1005" t="s">
        <v>9</v>
      </c>
      <c r="L530" s="401" t="s">
        <v>10</v>
      </c>
      <c r="M530" s="1473" t="s">
        <v>145</v>
      </c>
      <c r="N530" s="1475"/>
    </row>
    <row r="531" spans="1:14" ht="24" thickBot="1">
      <c r="A531" s="88" t="s">
        <v>133</v>
      </c>
      <c r="B531" s="1920"/>
      <c r="C531" s="1923"/>
      <c r="D531" s="1924"/>
      <c r="E531" s="1925"/>
      <c r="F531" s="2124"/>
      <c r="G531" s="2125"/>
      <c r="H531" s="1039"/>
      <c r="I531" s="58"/>
      <c r="J531" s="58"/>
      <c r="K531" s="58"/>
      <c r="L531" s="59"/>
      <c r="M531" s="1920"/>
      <c r="N531" s="1921"/>
    </row>
    <row r="532" spans="1:14" s="1161" customFormat="1" ht="17" thickBot="1">
      <c r="A532" s="110" t="s">
        <v>61</v>
      </c>
      <c r="B532" s="1456"/>
      <c r="C532" s="1586"/>
      <c r="D532" s="1567"/>
      <c r="E532" s="1586"/>
      <c r="F532" s="1587"/>
      <c r="G532" s="1588"/>
      <c r="H532" s="1145"/>
      <c r="I532" s="109"/>
      <c r="J532" s="109"/>
      <c r="K532" s="109"/>
      <c r="L532" s="1141"/>
      <c r="M532" s="1617"/>
      <c r="N532" s="1486"/>
    </row>
    <row r="533" spans="1:14">
      <c r="A533" s="1" t="s">
        <v>28</v>
      </c>
      <c r="B533" s="1421">
        <f>[1]FWC!$N$4</f>
        <v>10</v>
      </c>
      <c r="C533" s="1422"/>
      <c r="D533" s="1431">
        <f>F533*325851</f>
        <v>113070.29700000001</v>
      </c>
      <c r="E533" s="1422"/>
      <c r="F533" s="1756">
        <f>0.0347*B533</f>
        <v>0.34700000000000003</v>
      </c>
      <c r="G533" s="1757"/>
      <c r="H533" s="941">
        <f>F533*20</f>
        <v>6.94</v>
      </c>
      <c r="I533" s="131">
        <v>0</v>
      </c>
      <c r="J533" s="131">
        <v>0</v>
      </c>
      <c r="K533" s="131">
        <f>60*B533</f>
        <v>600</v>
      </c>
      <c r="L533" s="132">
        <f>I533+J533+K533</f>
        <v>600</v>
      </c>
      <c r="M533" s="1758">
        <f>L533/(F533*427)</f>
        <v>4.0494300427214869</v>
      </c>
      <c r="N533" s="1759"/>
    </row>
    <row r="534" spans="1:14">
      <c r="A534" s="2" t="s">
        <v>29</v>
      </c>
      <c r="B534" s="1421">
        <f>[1]FWC!$N$5</f>
        <v>2</v>
      </c>
      <c r="C534" s="1422"/>
      <c r="D534" s="1431">
        <f t="shared" ref="D534:D551" si="101">F534*325851</f>
        <v>27697.335000000003</v>
      </c>
      <c r="E534" s="1422"/>
      <c r="F534" s="1756">
        <f>0.0425*B534</f>
        <v>8.5000000000000006E-2</v>
      </c>
      <c r="G534" s="1757"/>
      <c r="H534" s="941">
        <f>F534*20</f>
        <v>1.7000000000000002</v>
      </c>
      <c r="I534" s="131">
        <v>0</v>
      </c>
      <c r="J534" s="131">
        <v>0</v>
      </c>
      <c r="K534" s="131">
        <f>B534*265</f>
        <v>530</v>
      </c>
      <c r="L534" s="132">
        <f>I534+J534+K534</f>
        <v>530</v>
      </c>
      <c r="M534" s="1758">
        <f>L534/(F534*427)</f>
        <v>14.602562336409973</v>
      </c>
      <c r="N534" s="1759"/>
    </row>
    <row r="535" spans="1:14">
      <c r="A535" s="2" t="s">
        <v>33</v>
      </c>
      <c r="B535" s="1421">
        <f>[1]FWC!$N$7</f>
        <v>154</v>
      </c>
      <c r="C535" s="1422"/>
      <c r="D535" s="1431">
        <f>F535*325851</f>
        <v>4245317.1683999998</v>
      </c>
      <c r="E535" s="1422"/>
      <c r="F535" s="1756">
        <f>0.0846*B535</f>
        <v>13.0284</v>
      </c>
      <c r="G535" s="1757"/>
      <c r="H535" s="941">
        <f>F535*15</f>
        <v>195.42599999999999</v>
      </c>
      <c r="I535" s="131">
        <v>0</v>
      </c>
      <c r="J535" s="131">
        <v>0</v>
      </c>
      <c r="K535" s="131">
        <f>B535*110</f>
        <v>16940</v>
      </c>
      <c r="L535" s="132">
        <f>I535+J535+K535</f>
        <v>16940</v>
      </c>
      <c r="M535" s="1758">
        <f>L535/(F535*427)</f>
        <v>3.0450501325980923</v>
      </c>
      <c r="N535" s="1759"/>
    </row>
    <row r="536" spans="1:14">
      <c r="A536" s="5" t="s">
        <v>24</v>
      </c>
      <c r="B536" s="1421">
        <f>[1]FWC!$N$8</f>
        <v>0</v>
      </c>
      <c r="C536" s="1422"/>
      <c r="D536" s="1431">
        <f>F536*325851</f>
        <v>0</v>
      </c>
      <c r="E536" s="1422"/>
      <c r="F536" s="1756">
        <f>0.004*B536</f>
        <v>0</v>
      </c>
      <c r="G536" s="1757"/>
      <c r="H536" s="941">
        <f>F536*5</f>
        <v>0</v>
      </c>
      <c r="I536" s="131">
        <v>0</v>
      </c>
      <c r="J536" s="131">
        <v>0</v>
      </c>
      <c r="K536" s="131">
        <f>B536*4</f>
        <v>0</v>
      </c>
      <c r="L536" s="132">
        <f>I536+J536+K536</f>
        <v>0</v>
      </c>
      <c r="M536" s="1758">
        <v>0</v>
      </c>
      <c r="N536" s="1759"/>
    </row>
    <row r="537" spans="1:14">
      <c r="A537" s="69" t="s">
        <v>72</v>
      </c>
      <c r="B537" s="1421">
        <f>[1]FWC!$N$10</f>
        <v>0</v>
      </c>
      <c r="C537" s="1422"/>
      <c r="D537" s="1431">
        <f>F537*325851</f>
        <v>0</v>
      </c>
      <c r="E537" s="1422"/>
      <c r="F537" s="1756">
        <f>0.65*B537</f>
        <v>0</v>
      </c>
      <c r="G537" s="1757"/>
      <c r="H537" s="941">
        <f>F537*10</f>
        <v>0</v>
      </c>
      <c r="I537" s="131">
        <v>0</v>
      </c>
      <c r="J537" s="131">
        <f>160*B537</f>
        <v>0</v>
      </c>
      <c r="K537" s="131">
        <f>80*B537</f>
        <v>0</v>
      </c>
      <c r="L537" s="132">
        <f>K537+J537+I537</f>
        <v>0</v>
      </c>
      <c r="M537" s="1758">
        <v>0</v>
      </c>
      <c r="N537" s="1759"/>
    </row>
    <row r="538" spans="1:14" ht="14" thickBot="1">
      <c r="A538" s="689" t="s">
        <v>73</v>
      </c>
      <c r="B538" s="1421">
        <f>[1]FWC!$N$11</f>
        <v>9</v>
      </c>
      <c r="C538" s="1422"/>
      <c r="D538" s="1431">
        <f>F538*325851</f>
        <v>1906228.35</v>
      </c>
      <c r="E538" s="1422"/>
      <c r="F538" s="1756">
        <f>0.65*B538</f>
        <v>5.8500000000000005</v>
      </c>
      <c r="G538" s="1757"/>
      <c r="H538" s="941">
        <f>F538*10</f>
        <v>58.500000000000007</v>
      </c>
      <c r="I538" s="131">
        <v>0</v>
      </c>
      <c r="J538" s="131">
        <v>0</v>
      </c>
      <c r="K538" s="131">
        <f>240*B538</f>
        <v>2160</v>
      </c>
      <c r="L538" s="132">
        <f>K538+J538+I538</f>
        <v>2160</v>
      </c>
      <c r="M538" s="1758">
        <f>L538/(F538*427)</f>
        <v>0.86470906143037285</v>
      </c>
      <c r="N538" s="1759"/>
    </row>
    <row r="539" spans="1:14" ht="14" thickBot="1">
      <c r="A539" s="256" t="s">
        <v>60</v>
      </c>
      <c r="B539" s="1438">
        <f>SUM(B533:C538)</f>
        <v>175</v>
      </c>
      <c r="C539" s="1621"/>
      <c r="D539" s="1441">
        <f>SUM(D534:E538)</f>
        <v>6179242.8533999994</v>
      </c>
      <c r="E539" s="1621"/>
      <c r="F539" s="1511">
        <f>SUM(F534:G538)</f>
        <v>18.9634</v>
      </c>
      <c r="G539" s="1575"/>
      <c r="H539" s="612">
        <f>SUM(H533:H538)</f>
        <v>262.56599999999997</v>
      </c>
      <c r="I539" s="143">
        <f>SUM(I534:I538)</f>
        <v>0</v>
      </c>
      <c r="J539" s="143">
        <f>SUM(J534:J538)</f>
        <v>0</v>
      </c>
      <c r="K539" s="143">
        <f>SUM(K534:K538)</f>
        <v>19630</v>
      </c>
      <c r="L539" s="152">
        <f>SUM(L534:L538)</f>
        <v>19630</v>
      </c>
      <c r="M539" s="1657"/>
      <c r="N539" s="1622"/>
    </row>
    <row r="540" spans="1:14" s="1161" customFormat="1" ht="17" thickBot="1">
      <c r="A540" s="1251" t="s">
        <v>147</v>
      </c>
      <c r="B540" s="1456"/>
      <c r="C540" s="1586"/>
      <c r="D540" s="1567"/>
      <c r="E540" s="1586"/>
      <c r="F540" s="1587"/>
      <c r="G540" s="1588"/>
      <c r="H540" s="1145"/>
      <c r="I540" s="161"/>
      <c r="J540" s="161"/>
      <c r="K540" s="161"/>
      <c r="L540" s="162"/>
      <c r="M540" s="1617"/>
      <c r="N540" s="1486"/>
    </row>
    <row r="541" spans="1:14" ht="14" thickBot="1">
      <c r="A541" s="2" t="s">
        <v>31</v>
      </c>
      <c r="B541" s="1421">
        <f>[1]FWC!$N$6</f>
        <v>2717</v>
      </c>
      <c r="C541" s="1422"/>
      <c r="D541" s="1431">
        <f t="shared" si="101"/>
        <v>30721199.694899999</v>
      </c>
      <c r="E541" s="1422"/>
      <c r="F541" s="1756">
        <f>0.0347*B541</f>
        <v>94.279899999999998</v>
      </c>
      <c r="G541" s="1757"/>
      <c r="H541" s="941">
        <f>F541*20</f>
        <v>1885.598</v>
      </c>
      <c r="I541" s="131">
        <f>73.34*B541</f>
        <v>199264.78</v>
      </c>
      <c r="J541" s="131">
        <f>35.66*B541</f>
        <v>96888.219999999987</v>
      </c>
      <c r="K541" s="131">
        <f>B541*60</f>
        <v>163020</v>
      </c>
      <c r="L541" s="132">
        <f>I541+J541+K541</f>
        <v>459173</v>
      </c>
      <c r="M541" s="1758">
        <f>L541/(F541*427)</f>
        <v>11.405894620332189</v>
      </c>
      <c r="N541" s="1759"/>
    </row>
    <row r="542" spans="1:14" ht="14" thickBot="1">
      <c r="A542" s="256" t="s">
        <v>60</v>
      </c>
      <c r="B542" s="1438">
        <f>SUM(B541)</f>
        <v>2717</v>
      </c>
      <c r="C542" s="1621"/>
      <c r="D542" s="1441">
        <f>SUM(D541)</f>
        <v>30721199.694899999</v>
      </c>
      <c r="E542" s="1609"/>
      <c r="F542" s="1512">
        <f>SUM(F541)</f>
        <v>94.279899999999998</v>
      </c>
      <c r="G542" s="1575"/>
      <c r="H542" s="612">
        <f>SUM(H541)</f>
        <v>1885.598</v>
      </c>
      <c r="I542" s="136">
        <f>SUM(I541)</f>
        <v>199264.78</v>
      </c>
      <c r="J542" s="136">
        <f>SUM(J541)</f>
        <v>96888.219999999987</v>
      </c>
      <c r="K542" s="136">
        <f>SUM(K541)</f>
        <v>163020</v>
      </c>
      <c r="L542" s="136">
        <f>SUM(L541)</f>
        <v>459173</v>
      </c>
      <c r="M542" s="1657"/>
      <c r="N542" s="1622"/>
    </row>
    <row r="543" spans="1:14" s="1161" customFormat="1" ht="17" thickBot="1">
      <c r="A543" s="110" t="s">
        <v>50</v>
      </c>
      <c r="B543" s="1456"/>
      <c r="C543" s="1586"/>
      <c r="D543" s="1567"/>
      <c r="E543" s="1586"/>
      <c r="F543" s="1587"/>
      <c r="G543" s="1588"/>
      <c r="H543" s="1145"/>
      <c r="I543" s="161"/>
      <c r="J543" s="161"/>
      <c r="K543" s="161"/>
      <c r="L543" s="162"/>
      <c r="M543" s="1617"/>
      <c r="N543" s="1486"/>
    </row>
    <row r="544" spans="1:14">
      <c r="A544" s="1" t="s">
        <v>26</v>
      </c>
      <c r="B544" s="1421">
        <f>[1]FWC!$N$13</f>
        <v>0</v>
      </c>
      <c r="C544" s="1422"/>
      <c r="D544" s="1431">
        <f t="shared" si="101"/>
        <v>0</v>
      </c>
      <c r="E544" s="1422"/>
      <c r="F544" s="1756">
        <f>0.0278*B544</f>
        <v>0</v>
      </c>
      <c r="G544" s="1757"/>
      <c r="H544" s="941">
        <f>F544*20</f>
        <v>0</v>
      </c>
      <c r="I544" s="131">
        <v>0</v>
      </c>
      <c r="J544" s="131">
        <f>15*B544</f>
        <v>0</v>
      </c>
      <c r="K544" s="131">
        <f>135*B544</f>
        <v>0</v>
      </c>
      <c r="L544" s="132">
        <f>SUM(I544:K544)</f>
        <v>0</v>
      </c>
      <c r="M544" s="1758">
        <v>0</v>
      </c>
      <c r="N544" s="1759"/>
    </row>
    <row r="545" spans="1:14">
      <c r="A545" s="2" t="s">
        <v>25</v>
      </c>
      <c r="B545" s="1421">
        <f>[1]FWC!$N$14</f>
        <v>0</v>
      </c>
      <c r="C545" s="1422"/>
      <c r="D545" s="1431">
        <f t="shared" si="101"/>
        <v>0</v>
      </c>
      <c r="E545" s="1422"/>
      <c r="F545" s="1756">
        <f>0.0347*B545</f>
        <v>0</v>
      </c>
      <c r="G545" s="1757"/>
      <c r="H545" s="941">
        <f>F545*20</f>
        <v>0</v>
      </c>
      <c r="I545" s="131">
        <v>0</v>
      </c>
      <c r="J545" s="131">
        <f>15*B545</f>
        <v>0</v>
      </c>
      <c r="K545" s="131">
        <f>135*B545</f>
        <v>0</v>
      </c>
      <c r="L545" s="132">
        <f t="shared" ref="L545:L551" si="102">SUM(I545:K545)</f>
        <v>0</v>
      </c>
      <c r="M545" s="1758">
        <v>0</v>
      </c>
      <c r="N545" s="1759"/>
    </row>
    <row r="546" spans="1:14">
      <c r="A546" s="2" t="s">
        <v>32</v>
      </c>
      <c r="B546" s="1421">
        <f>[1]FWC!$N$15</f>
        <v>1</v>
      </c>
      <c r="C546" s="1422"/>
      <c r="D546" s="1431">
        <f t="shared" si="101"/>
        <v>13848.667500000001</v>
      </c>
      <c r="E546" s="1422"/>
      <c r="F546" s="1756">
        <f>0.0425*B546</f>
        <v>4.2500000000000003E-2</v>
      </c>
      <c r="G546" s="1757"/>
      <c r="H546" s="941">
        <f>F546*20</f>
        <v>0.85000000000000009</v>
      </c>
      <c r="I546" s="131">
        <v>0</v>
      </c>
      <c r="J546" s="131">
        <f>45*B546</f>
        <v>45</v>
      </c>
      <c r="K546" s="131">
        <f>165*B546</f>
        <v>165</v>
      </c>
      <c r="L546" s="132">
        <f t="shared" si="102"/>
        <v>210</v>
      </c>
      <c r="M546" s="1758">
        <f>L546/(F546*427)</f>
        <v>11.571841851494696</v>
      </c>
      <c r="N546" s="1759"/>
    </row>
    <row r="547" spans="1:14">
      <c r="A547" s="2" t="s">
        <v>27</v>
      </c>
      <c r="B547" s="1421">
        <f>[1]FWC!$N$16</f>
        <v>45</v>
      </c>
      <c r="C547" s="1422"/>
      <c r="D547" s="1431">
        <f t="shared" si="101"/>
        <v>1796253.6375</v>
      </c>
      <c r="E547" s="1422"/>
      <c r="F547" s="1756">
        <f>0.1225*B547</f>
        <v>5.5125000000000002</v>
      </c>
      <c r="G547" s="1757"/>
      <c r="H547" s="941">
        <f>F547*20</f>
        <v>110.25</v>
      </c>
      <c r="I547" s="131">
        <v>0</v>
      </c>
      <c r="J547" s="131">
        <v>0</v>
      </c>
      <c r="K547" s="131">
        <f>400*B547</f>
        <v>18000</v>
      </c>
      <c r="L547" s="132">
        <f t="shared" si="102"/>
        <v>18000</v>
      </c>
      <c r="M547" s="1758">
        <f>L547/(F547*427)</f>
        <v>7.6470869378196245</v>
      </c>
      <c r="N547" s="1759"/>
    </row>
    <row r="548" spans="1:14">
      <c r="A548" s="2" t="s">
        <v>20</v>
      </c>
      <c r="B548" s="1421">
        <f>[1]FWC!$N$17</f>
        <v>0</v>
      </c>
      <c r="C548" s="1422"/>
      <c r="D548" s="1431">
        <f t="shared" si="101"/>
        <v>0</v>
      </c>
      <c r="E548" s="1422"/>
      <c r="F548" s="1756">
        <f>0.644*B548</f>
        <v>0</v>
      </c>
      <c r="G548" s="1757"/>
      <c r="H548" s="941">
        <f>F548*5</f>
        <v>0</v>
      </c>
      <c r="I548" s="131">
        <v>0</v>
      </c>
      <c r="J548" s="131">
        <v>0</v>
      </c>
      <c r="K548" s="131">
        <f>625*B548</f>
        <v>0</v>
      </c>
      <c r="L548" s="132">
        <f t="shared" si="102"/>
        <v>0</v>
      </c>
      <c r="M548" s="1758">
        <v>0</v>
      </c>
      <c r="N548" s="1759"/>
    </row>
    <row r="549" spans="1:14">
      <c r="A549" s="2" t="s">
        <v>33</v>
      </c>
      <c r="B549" s="1421">
        <f>[1]FWC!$N$18</f>
        <v>8</v>
      </c>
      <c r="C549" s="1422"/>
      <c r="D549" s="1431">
        <f t="shared" si="101"/>
        <v>220535.95679999999</v>
      </c>
      <c r="E549" s="1422"/>
      <c r="F549" s="1756">
        <f>0.0846*B549</f>
        <v>0.67679999999999996</v>
      </c>
      <c r="G549" s="1757"/>
      <c r="H549" s="941">
        <f>F549*15</f>
        <v>10.151999999999999</v>
      </c>
      <c r="I549" s="131">
        <v>0</v>
      </c>
      <c r="J549" s="131">
        <f>70*B549</f>
        <v>560</v>
      </c>
      <c r="K549" s="131">
        <f>130*B549</f>
        <v>1040</v>
      </c>
      <c r="L549" s="132">
        <f t="shared" si="102"/>
        <v>1600</v>
      </c>
      <c r="M549" s="1758">
        <f>L549/(F549*427)</f>
        <v>5.5364547865419862</v>
      </c>
      <c r="N549" s="1759"/>
    </row>
    <row r="550" spans="1:14">
      <c r="A550" s="5" t="s">
        <v>15</v>
      </c>
      <c r="B550" s="1421">
        <f>[1]FWC!$N$19</f>
        <v>0</v>
      </c>
      <c r="C550" s="1422"/>
      <c r="D550" s="1431">
        <f t="shared" si="101"/>
        <v>0</v>
      </c>
      <c r="E550" s="1422"/>
      <c r="F550" s="1756">
        <f>0.1534*B550</f>
        <v>0</v>
      </c>
      <c r="G550" s="1757"/>
      <c r="H550" s="941">
        <f>F550*5</f>
        <v>0</v>
      </c>
      <c r="I550" s="131">
        <v>0</v>
      </c>
      <c r="J550" s="131">
        <v>0</v>
      </c>
      <c r="K550" s="131">
        <f>150*B550</f>
        <v>0</v>
      </c>
      <c r="L550" s="132">
        <f t="shared" si="102"/>
        <v>0</v>
      </c>
      <c r="M550" s="1758">
        <v>0</v>
      </c>
      <c r="N550" s="1759"/>
    </row>
    <row r="551" spans="1:14" ht="14" thickBot="1">
      <c r="A551" s="689" t="s">
        <v>89</v>
      </c>
      <c r="B551" s="1421">
        <f>[1]FWC!$N$20</f>
        <v>0</v>
      </c>
      <c r="C551" s="1422"/>
      <c r="D551" s="1431">
        <f t="shared" si="101"/>
        <v>0</v>
      </c>
      <c r="E551" s="1422"/>
      <c r="F551" s="1756">
        <f>0.65*B551</f>
        <v>0</v>
      </c>
      <c r="G551" s="1757"/>
      <c r="H551" s="941">
        <f>F551*10</f>
        <v>0</v>
      </c>
      <c r="I551" s="131">
        <v>0</v>
      </c>
      <c r="J551" s="131">
        <v>0</v>
      </c>
      <c r="K551" s="131">
        <f>630*B551</f>
        <v>0</v>
      </c>
      <c r="L551" s="132">
        <f t="shared" si="102"/>
        <v>0</v>
      </c>
      <c r="M551" s="1758">
        <v>0</v>
      </c>
      <c r="N551" s="1759"/>
    </row>
    <row r="552" spans="1:14" ht="14" thickBot="1">
      <c r="A552" s="256" t="s">
        <v>60</v>
      </c>
      <c r="B552" s="1438">
        <f>SUM(B544:C551)</f>
        <v>54</v>
      </c>
      <c r="C552" s="1609"/>
      <c r="D552" s="1441">
        <f>SUM(D544:E551)</f>
        <v>2030638.2618</v>
      </c>
      <c r="E552" s="1609"/>
      <c r="F552" s="1512">
        <f>SUM(F544:G551)</f>
        <v>6.2318000000000007</v>
      </c>
      <c r="G552" s="1575"/>
      <c r="H552" s="619">
        <f>SUM(H544:H551)</f>
        <v>121.252</v>
      </c>
      <c r="I552" s="136">
        <f>SUM(I544:I551)</f>
        <v>0</v>
      </c>
      <c r="J552" s="136">
        <f>SUM(J544:J551)</f>
        <v>605</v>
      </c>
      <c r="K552" s="136">
        <f>SUM(K544:K551)</f>
        <v>19205</v>
      </c>
      <c r="L552" s="136">
        <f>SUM(L544:L551)</f>
        <v>19810</v>
      </c>
      <c r="M552" s="1657"/>
      <c r="N552" s="1622"/>
    </row>
    <row r="553" spans="1:14" s="1161" customFormat="1" ht="17" thickBot="1">
      <c r="A553" s="1183" t="s">
        <v>17</v>
      </c>
      <c r="B553" s="1665">
        <f>B539+B542+B552</f>
        <v>2946</v>
      </c>
      <c r="C553" s="1664"/>
      <c r="D553" s="1665">
        <f>D539+D542+D552</f>
        <v>38931080.810099997</v>
      </c>
      <c r="E553" s="1664"/>
      <c r="F553" s="1666">
        <f>F539+F542+F552</f>
        <v>119.47510000000001</v>
      </c>
      <c r="G553" s="1667"/>
      <c r="H553" s="1187">
        <f>H539+H542+H552</f>
        <v>2269.4159999999997</v>
      </c>
      <c r="I553" s="1185">
        <f>I539+I542+I552</f>
        <v>199264.78</v>
      </c>
      <c r="J553" s="1185">
        <f>J539+J542+J552</f>
        <v>97493.219999999987</v>
      </c>
      <c r="K553" s="1185">
        <f>K539+K542+K552</f>
        <v>201855</v>
      </c>
      <c r="L553" s="1185">
        <f>L539+L542+L552</f>
        <v>498613</v>
      </c>
      <c r="M553" s="1668"/>
      <c r="N553" s="1669"/>
    </row>
    <row r="555" spans="1:14" ht="15">
      <c r="A555" s="9" t="s">
        <v>18</v>
      </c>
      <c r="B555" s="1419" t="s">
        <v>59</v>
      </c>
      <c r="C555" s="1489"/>
      <c r="D555" s="1489"/>
      <c r="E555" s="1733"/>
    </row>
    <row r="556" spans="1:14">
      <c r="B556" s="1420" t="s">
        <v>19</v>
      </c>
      <c r="C556" s="1420"/>
      <c r="D556" s="1420"/>
      <c r="E556" s="1420"/>
    </row>
    <row r="557" spans="1:14" ht="14" thickBot="1">
      <c r="B557" s="1012"/>
      <c r="C557" s="1012"/>
      <c r="D557" s="1012"/>
      <c r="E557" s="1012"/>
    </row>
    <row r="558" spans="1:14" s="363" customFormat="1" ht="16">
      <c r="A558" s="98"/>
      <c r="B558" s="99"/>
      <c r="C558" s="99"/>
      <c r="D558" s="99"/>
      <c r="E558" s="99"/>
      <c r="F558" s="421"/>
      <c r="G558" s="421"/>
      <c r="H558" s="421"/>
      <c r="I558" s="1468" t="s">
        <v>0</v>
      </c>
      <c r="J558" s="1468"/>
      <c r="K558" s="1468"/>
      <c r="L558" s="1468"/>
      <c r="M558" s="99"/>
      <c r="N558" s="101"/>
    </row>
    <row r="559" spans="1:14" ht="16">
      <c r="A559" s="97"/>
      <c r="B559" s="1469" t="s">
        <v>1</v>
      </c>
      <c r="C559" s="1469"/>
      <c r="D559" s="1469" t="s">
        <v>2</v>
      </c>
      <c r="E559" s="1469"/>
      <c r="F559" s="1470" t="s">
        <v>3</v>
      </c>
      <c r="G559" s="1470"/>
      <c r="H559" s="1003" t="s">
        <v>3</v>
      </c>
      <c r="I559" s="127" t="s">
        <v>195</v>
      </c>
      <c r="J559" s="102"/>
      <c r="K559" s="102"/>
      <c r="L559" s="128"/>
      <c r="M559" s="1469" t="s">
        <v>4</v>
      </c>
      <c r="N559" s="1526"/>
    </row>
    <row r="560" spans="1:14" ht="19" thickBot="1">
      <c r="A560" s="103" t="s">
        <v>5</v>
      </c>
      <c r="B560" s="1473" t="s">
        <v>6</v>
      </c>
      <c r="C560" s="1473"/>
      <c r="D560" s="1473" t="s">
        <v>7</v>
      </c>
      <c r="E560" s="1473"/>
      <c r="F560" s="1474" t="s">
        <v>7</v>
      </c>
      <c r="G560" s="1474"/>
      <c r="H560" s="1006" t="s">
        <v>58</v>
      </c>
      <c r="I560" s="1007" t="s">
        <v>196</v>
      </c>
      <c r="J560" s="1005" t="s">
        <v>8</v>
      </c>
      <c r="K560" s="1005" t="s">
        <v>9</v>
      </c>
      <c r="L560" s="401" t="s">
        <v>10</v>
      </c>
      <c r="M560" s="1473" t="s">
        <v>145</v>
      </c>
      <c r="N560" s="1475"/>
    </row>
    <row r="561" spans="1:14" ht="24" thickBot="1">
      <c r="A561" s="88" t="s">
        <v>134</v>
      </c>
      <c r="B561" s="1764"/>
      <c r="C561" s="1477"/>
      <c r="D561" s="1478"/>
      <c r="E561" s="1479"/>
      <c r="F561" s="1480"/>
      <c r="G561" s="1481"/>
      <c r="H561" s="1020"/>
      <c r="I561" s="7"/>
      <c r="J561" s="7"/>
      <c r="K561" s="7"/>
      <c r="L561" s="8"/>
      <c r="M561" s="1764"/>
      <c r="N561" s="1765"/>
    </row>
    <row r="562" spans="1:14" s="1161" customFormat="1" ht="17" thickBot="1">
      <c r="A562" s="108" t="s">
        <v>61</v>
      </c>
      <c r="B562" s="1567"/>
      <c r="C562" s="1586"/>
      <c r="D562" s="1567"/>
      <c r="E562" s="1586"/>
      <c r="F562" s="1587"/>
      <c r="G562" s="1588"/>
      <c r="H562" s="1145"/>
      <c r="I562" s="109"/>
      <c r="J562" s="109"/>
      <c r="K562" s="109"/>
      <c r="L562" s="1141"/>
      <c r="M562" s="1617"/>
      <c r="N562" s="1486"/>
    </row>
    <row r="563" spans="1:14">
      <c r="A563" s="68" t="s">
        <v>62</v>
      </c>
      <c r="B563" s="1788">
        <v>0</v>
      </c>
      <c r="C563" s="1743"/>
      <c r="D563" s="1431">
        <f>F563*325851</f>
        <v>0</v>
      </c>
      <c r="E563" s="1422"/>
      <c r="F563" s="1756">
        <f>0.0347*B563</f>
        <v>0</v>
      </c>
      <c r="G563" s="1757"/>
      <c r="H563" s="941">
        <f>F563*20</f>
        <v>0</v>
      </c>
      <c r="I563" s="131">
        <v>0</v>
      </c>
      <c r="J563" s="131">
        <v>0</v>
      </c>
      <c r="K563" s="131">
        <v>0</v>
      </c>
      <c r="L563" s="132">
        <v>0</v>
      </c>
      <c r="M563" s="1758">
        <v>0</v>
      </c>
      <c r="N563" s="1759"/>
    </row>
    <row r="564" spans="1:14">
      <c r="A564" s="68" t="s">
        <v>63</v>
      </c>
      <c r="B564" s="1788">
        <v>0</v>
      </c>
      <c r="C564" s="1743"/>
      <c r="D564" s="1431">
        <f>F564*325851</f>
        <v>0</v>
      </c>
      <c r="E564" s="1422"/>
      <c r="F564" s="1756">
        <f>0.0347*B564</f>
        <v>0</v>
      </c>
      <c r="G564" s="1757"/>
      <c r="H564" s="941">
        <f>F564*20</f>
        <v>0</v>
      </c>
      <c r="I564" s="131">
        <v>0</v>
      </c>
      <c r="J564" s="131">
        <v>0</v>
      </c>
      <c r="K564" s="131">
        <v>0</v>
      </c>
      <c r="L564" s="132">
        <f>I564+J564+K564</f>
        <v>0</v>
      </c>
      <c r="M564" s="1758">
        <v>0</v>
      </c>
      <c r="N564" s="1759"/>
    </row>
    <row r="565" spans="1:14">
      <c r="A565" s="68" t="s">
        <v>64</v>
      </c>
      <c r="B565" s="1788">
        <v>28</v>
      </c>
      <c r="C565" s="1743"/>
      <c r="D565" s="1431">
        <f>F565*325851</f>
        <v>316596.83160000003</v>
      </c>
      <c r="E565" s="1422"/>
      <c r="F565" s="1756">
        <f>0.0347*B565</f>
        <v>0.97160000000000002</v>
      </c>
      <c r="G565" s="1757"/>
      <c r="H565" s="941">
        <f>F565*20</f>
        <v>19.432000000000002</v>
      </c>
      <c r="I565" s="131">
        <v>0</v>
      </c>
      <c r="J565" s="131">
        <f>B565*1</f>
        <v>28</v>
      </c>
      <c r="K565" s="131">
        <f>B565*60</f>
        <v>1680</v>
      </c>
      <c r="L565" s="132">
        <f>I565+J565+K565</f>
        <v>1708</v>
      </c>
      <c r="M565" s="1758">
        <f>L565/(F565*427)</f>
        <v>4.1169205434335119</v>
      </c>
      <c r="N565" s="1759"/>
    </row>
    <row r="566" spans="1:14" ht="14" thickBot="1">
      <c r="A566" s="2" t="s">
        <v>13</v>
      </c>
      <c r="B566" s="1788">
        <v>151</v>
      </c>
      <c r="C566" s="1743"/>
      <c r="D566" s="1431">
        <f>F566*325851</f>
        <v>1358016.6276</v>
      </c>
      <c r="E566" s="1422"/>
      <c r="F566" s="1756">
        <f>0.0276*B566</f>
        <v>4.1676000000000002</v>
      </c>
      <c r="G566" s="1757"/>
      <c r="H566" s="941">
        <f>F566*15</f>
        <v>62.514000000000003</v>
      </c>
      <c r="I566" s="131">
        <v>0</v>
      </c>
      <c r="J566" s="131">
        <f>B566*1</f>
        <v>151</v>
      </c>
      <c r="K566" s="131">
        <f>B566*110</f>
        <v>16610</v>
      </c>
      <c r="L566" s="132">
        <f>I566+J566+K566</f>
        <v>16761</v>
      </c>
      <c r="M566" s="1758">
        <f>L566/(F566*427)</f>
        <v>9.4185928113226751</v>
      </c>
      <c r="N566" s="1759"/>
    </row>
    <row r="567" spans="1:14" ht="14" thickBot="1">
      <c r="A567" s="53" t="s">
        <v>60</v>
      </c>
      <c r="B567" s="1438">
        <f>SUM(B563:C566)</f>
        <v>179</v>
      </c>
      <c r="C567" s="1609"/>
      <c r="D567" s="1441">
        <f>SUM(D563:E566)</f>
        <v>1674613.4591999999</v>
      </c>
      <c r="E567" s="1609"/>
      <c r="F567" s="1512">
        <f>SUM(F563:G566)</f>
        <v>5.1392000000000007</v>
      </c>
      <c r="G567" s="1575"/>
      <c r="H567" s="167">
        <f>SUM(H563:H566)</f>
        <v>81.945999999999998</v>
      </c>
      <c r="I567" s="136">
        <f>SUM(I563:I566)</f>
        <v>0</v>
      </c>
      <c r="J567" s="136">
        <f>SUM(J563:J566)</f>
        <v>179</v>
      </c>
      <c r="K567" s="136">
        <f>SUM(K563:K566)</f>
        <v>18290</v>
      </c>
      <c r="L567" s="136">
        <f>SUM(L563:L566)</f>
        <v>18469</v>
      </c>
      <c r="M567" s="1657"/>
      <c r="N567" s="1622"/>
    </row>
    <row r="568" spans="1:14" s="1161" customFormat="1" ht="17" thickBot="1">
      <c r="A568" s="1244" t="s">
        <v>147</v>
      </c>
      <c r="B568" s="1567"/>
      <c r="C568" s="1586"/>
      <c r="D568" s="1567"/>
      <c r="E568" s="1586"/>
      <c r="F568" s="1587"/>
      <c r="G568" s="1588"/>
      <c r="H568" s="1145"/>
      <c r="I568" s="161"/>
      <c r="J568" s="161"/>
      <c r="K568" s="161"/>
      <c r="L568" s="162"/>
      <c r="M568" s="1617"/>
      <c r="N568" s="1486"/>
    </row>
    <row r="569" spans="1:14" ht="14" thickBot="1">
      <c r="A569" s="2" t="s">
        <v>11</v>
      </c>
      <c r="B569" s="1431">
        <v>1170</v>
      </c>
      <c r="C569" s="1422"/>
      <c r="D569" s="1431">
        <f>F569*325851</f>
        <v>13229224.749000002</v>
      </c>
      <c r="E569" s="1422"/>
      <c r="F569" s="1756">
        <f>0.0347*B569</f>
        <v>40.599000000000004</v>
      </c>
      <c r="G569" s="1757"/>
      <c r="H569" s="941">
        <f>F569*20</f>
        <v>811.98</v>
      </c>
      <c r="I569" s="131">
        <v>0</v>
      </c>
      <c r="J569" s="131">
        <f>B569*105</f>
        <v>122850</v>
      </c>
      <c r="K569" s="131">
        <f>B569*60</f>
        <v>70200</v>
      </c>
      <c r="L569" s="132">
        <f>I569+J569+K569</f>
        <v>193050</v>
      </c>
      <c r="M569" s="1758">
        <f>L569/(F569*427)</f>
        <v>11.135932617484089</v>
      </c>
      <c r="N569" s="1759"/>
    </row>
    <row r="570" spans="1:14" ht="14" thickBot="1">
      <c r="A570" s="53" t="s">
        <v>60</v>
      </c>
      <c r="B570" s="1438">
        <f>SUM(B569)</f>
        <v>1170</v>
      </c>
      <c r="C570" s="1609"/>
      <c r="D570" s="1438">
        <f>SUM(D569)</f>
        <v>13229224.749000002</v>
      </c>
      <c r="E570" s="1609"/>
      <c r="F570" s="1512">
        <f>SUM(F569)</f>
        <v>40.599000000000004</v>
      </c>
      <c r="G570" s="1575"/>
      <c r="H570" s="167">
        <f>SUM(H569)</f>
        <v>811.98</v>
      </c>
      <c r="I570" s="136">
        <f>SUM(I569)</f>
        <v>0</v>
      </c>
      <c r="J570" s="136">
        <f>SUM(J569)</f>
        <v>122850</v>
      </c>
      <c r="K570" s="136">
        <f>SUM(K569)</f>
        <v>70200</v>
      </c>
      <c r="L570" s="136">
        <f>SUM(L569)</f>
        <v>193050</v>
      </c>
      <c r="M570" s="1657"/>
      <c r="N570" s="1622"/>
    </row>
    <row r="571" spans="1:14" s="1161" customFormat="1" ht="17" thickBot="1">
      <c r="A571" s="108" t="s">
        <v>50</v>
      </c>
      <c r="B571" s="1567"/>
      <c r="C571" s="1586"/>
      <c r="D571" s="1567"/>
      <c r="E571" s="1586"/>
      <c r="F571" s="1587"/>
      <c r="G571" s="1588"/>
      <c r="H571" s="1145"/>
      <c r="I571" s="161"/>
      <c r="J571" s="161"/>
      <c r="K571" s="161"/>
      <c r="L571" s="162"/>
      <c r="M571" s="1617"/>
      <c r="N571" s="1486"/>
    </row>
    <row r="572" spans="1:14">
      <c r="A572" s="36" t="s">
        <v>66</v>
      </c>
      <c r="B572" s="1696">
        <v>178</v>
      </c>
      <c r="C572" s="1743"/>
      <c r="D572" s="1431">
        <f t="shared" ref="D572:D577" si="103">F572*325851</f>
        <v>2012651.2866000002</v>
      </c>
      <c r="E572" s="1422"/>
      <c r="F572" s="1756">
        <f>0.0347*B572</f>
        <v>6.1766000000000005</v>
      </c>
      <c r="G572" s="1757"/>
      <c r="H572" s="941">
        <f>F572*20</f>
        <v>123.53200000000001</v>
      </c>
      <c r="I572" s="131">
        <v>0</v>
      </c>
      <c r="J572" s="131">
        <f>B572*1</f>
        <v>178</v>
      </c>
      <c r="K572" s="131">
        <f>B572*60</f>
        <v>10680</v>
      </c>
      <c r="L572" s="132">
        <v>0</v>
      </c>
      <c r="M572" s="1788"/>
      <c r="N572" s="1789"/>
    </row>
    <row r="573" spans="1:14">
      <c r="A573" s="34" t="s">
        <v>68</v>
      </c>
      <c r="B573" s="1696">
        <v>0</v>
      </c>
      <c r="C573" s="1743"/>
      <c r="D573" s="1431">
        <f t="shared" si="103"/>
        <v>0</v>
      </c>
      <c r="E573" s="1422"/>
      <c r="F573" s="1756">
        <f>0.644*B573</f>
        <v>0</v>
      </c>
      <c r="G573" s="1757"/>
      <c r="H573" s="941">
        <f>F573*5</f>
        <v>0</v>
      </c>
      <c r="I573" s="131">
        <v>0</v>
      </c>
      <c r="J573" s="131">
        <v>0</v>
      </c>
      <c r="K573" s="131">
        <v>0</v>
      </c>
      <c r="L573" s="132">
        <v>0</v>
      </c>
      <c r="M573" s="1758">
        <v>0</v>
      </c>
      <c r="N573" s="1759"/>
    </row>
    <row r="574" spans="1:14">
      <c r="A574" s="34" t="s">
        <v>13</v>
      </c>
      <c r="B574" s="1696">
        <v>18</v>
      </c>
      <c r="C574" s="1743"/>
      <c r="D574" s="1431">
        <f t="shared" si="103"/>
        <v>161882.77679999999</v>
      </c>
      <c r="E574" s="1422"/>
      <c r="F574" s="1756">
        <f>0.0276*B574</f>
        <v>0.49680000000000002</v>
      </c>
      <c r="G574" s="1757"/>
      <c r="H574" s="941">
        <f>F574*15</f>
        <v>7.452</v>
      </c>
      <c r="I574" s="131">
        <v>0</v>
      </c>
      <c r="J574" s="131">
        <v>0</v>
      </c>
      <c r="K574" s="131">
        <f>B574*250</f>
        <v>4500</v>
      </c>
      <c r="L574" s="132">
        <f>I574+J574+K574</f>
        <v>4500</v>
      </c>
      <c r="M574" s="1758">
        <f>L574/(F574*427)</f>
        <v>21.213046872348368</v>
      </c>
      <c r="N574" s="1759"/>
    </row>
    <row r="575" spans="1:14">
      <c r="A575" s="35" t="s">
        <v>15</v>
      </c>
      <c r="B575" s="1696">
        <v>0</v>
      </c>
      <c r="C575" s="1743"/>
      <c r="D575" s="1431">
        <f t="shared" si="103"/>
        <v>0</v>
      </c>
      <c r="E575" s="1422"/>
      <c r="F575" s="1756">
        <f>0.1534*B575</f>
        <v>0</v>
      </c>
      <c r="G575" s="1757"/>
      <c r="H575" s="941">
        <f>F575*5</f>
        <v>0</v>
      </c>
      <c r="I575" s="131">
        <v>0</v>
      </c>
      <c r="J575" s="131">
        <v>0</v>
      </c>
      <c r="K575" s="131">
        <v>0</v>
      </c>
      <c r="L575" s="132">
        <f>I575+J575+K575</f>
        <v>0</v>
      </c>
      <c r="M575" s="1758">
        <v>0</v>
      </c>
      <c r="N575" s="1759"/>
    </row>
    <row r="576" spans="1:14">
      <c r="A576" s="35" t="s">
        <v>16</v>
      </c>
      <c r="B576" s="1696">
        <v>0</v>
      </c>
      <c r="C576" s="1743"/>
      <c r="D576" s="1431">
        <f t="shared" si="103"/>
        <v>0</v>
      </c>
      <c r="E576" s="1422"/>
      <c r="F576" s="1756">
        <f>0.004*B576</f>
        <v>0</v>
      </c>
      <c r="G576" s="1757"/>
      <c r="H576" s="941">
        <f>F576*5</f>
        <v>0</v>
      </c>
      <c r="I576" s="131">
        <v>0</v>
      </c>
      <c r="J576" s="131">
        <v>0</v>
      </c>
      <c r="K576" s="131">
        <v>0</v>
      </c>
      <c r="L576" s="132">
        <f>I576+J576+K576</f>
        <v>0</v>
      </c>
      <c r="M576" s="1758">
        <v>0</v>
      </c>
      <c r="N576" s="1759"/>
    </row>
    <row r="577" spans="1:14" ht="14" thickBot="1">
      <c r="A577" s="47" t="s">
        <v>89</v>
      </c>
      <c r="B577" s="1696">
        <v>0</v>
      </c>
      <c r="C577" s="1743"/>
      <c r="D577" s="1431">
        <f t="shared" si="103"/>
        <v>0</v>
      </c>
      <c r="E577" s="1422"/>
      <c r="F577" s="2118">
        <f>0.65*B577</f>
        <v>0</v>
      </c>
      <c r="G577" s="1763"/>
      <c r="H577" s="941">
        <f>F577*10</f>
        <v>0</v>
      </c>
      <c r="I577" s="131">
        <v>0</v>
      </c>
      <c r="J577" s="131">
        <v>0</v>
      </c>
      <c r="K577" s="131">
        <v>0</v>
      </c>
      <c r="L577" s="132">
        <f>I577+J577+K577</f>
        <v>0</v>
      </c>
      <c r="M577" s="1758">
        <v>0</v>
      </c>
      <c r="N577" s="1759"/>
    </row>
    <row r="578" spans="1:14" ht="14" thickBot="1">
      <c r="A578" s="53" t="s">
        <v>60</v>
      </c>
      <c r="B578" s="1438">
        <f>SUM(B572:C577)</f>
        <v>196</v>
      </c>
      <c r="C578" s="1621"/>
      <c r="D578" s="1441">
        <f>SUM(D572:E577)</f>
        <v>2174534.0634000003</v>
      </c>
      <c r="E578" s="1621"/>
      <c r="F578" s="1511">
        <f>SUM(F572:G577)</f>
        <v>6.6734000000000009</v>
      </c>
      <c r="G578" s="1575"/>
      <c r="H578" s="448">
        <f>SUM(H572:H577)</f>
        <v>130.98400000000001</v>
      </c>
      <c r="I578" s="152">
        <f>SUM(I572:I577)</f>
        <v>0</v>
      </c>
      <c r="J578" s="378">
        <f>SUM(J572:J577)</f>
        <v>178</v>
      </c>
      <c r="K578" s="378">
        <f>SUM(K572:K577)</f>
        <v>15180</v>
      </c>
      <c r="L578" s="143">
        <f>SUM(L572:L577)</f>
        <v>4500</v>
      </c>
      <c r="M578" s="1657"/>
      <c r="N578" s="1622"/>
    </row>
    <row r="579" spans="1:14" s="1161" customFormat="1" ht="17" thickBot="1">
      <c r="A579" s="1182" t="s">
        <v>17</v>
      </c>
      <c r="B579" s="1416">
        <f>SUM(B578,B570,B567)</f>
        <v>1545</v>
      </c>
      <c r="C579" s="1682"/>
      <c r="D579" s="1416">
        <f>SUM(D578,D570,D567)</f>
        <v>17078372.271600001</v>
      </c>
      <c r="E579" s="1682"/>
      <c r="F579" s="1487">
        <f>SUM(F578,F570,F567)</f>
        <v>52.411600000000007</v>
      </c>
      <c r="G579" s="1488"/>
      <c r="H579" s="1164">
        <f>SUM(H578,H570,H567)</f>
        <v>1024.9100000000001</v>
      </c>
      <c r="I579" s="1175">
        <f>SUM(I578,I570,I567)</f>
        <v>0</v>
      </c>
      <c r="J579" s="1175">
        <f>SUM(J578,J570,J567)</f>
        <v>123207</v>
      </c>
      <c r="K579" s="1175">
        <f>SUM(K578,K570,K567)</f>
        <v>103670</v>
      </c>
      <c r="L579" s="1175">
        <f>SUM(L578,L570,L567)</f>
        <v>216019</v>
      </c>
      <c r="M579" s="1672"/>
      <c r="N579" s="1673"/>
    </row>
    <row r="581" spans="1:14" ht="14" thickBot="1"/>
    <row r="582" spans="1:14" ht="24" thickBot="1">
      <c r="A582" s="88" t="s">
        <v>135</v>
      </c>
      <c r="B582" s="1764"/>
      <c r="C582" s="1477"/>
      <c r="D582" s="1478"/>
      <c r="E582" s="1479"/>
      <c r="F582" s="1480"/>
      <c r="G582" s="1481"/>
      <c r="H582" s="434"/>
      <c r="I582" s="7"/>
      <c r="J582" s="7"/>
      <c r="K582" s="7"/>
      <c r="L582" s="8"/>
      <c r="M582" s="1764"/>
      <c r="N582" s="1765"/>
    </row>
    <row r="583" spans="1:14" s="1161" customFormat="1" ht="17" thickBot="1">
      <c r="A583" s="108" t="s">
        <v>61</v>
      </c>
      <c r="B583" s="1567"/>
      <c r="C583" s="1586"/>
      <c r="D583" s="1567"/>
      <c r="E583" s="1586"/>
      <c r="F583" s="1587"/>
      <c r="G583" s="1588"/>
      <c r="H583" s="1145"/>
      <c r="I583" s="109"/>
      <c r="J583" s="109"/>
      <c r="K583" s="109"/>
      <c r="L583" s="1141"/>
      <c r="M583" s="1617"/>
      <c r="N583" s="1486"/>
    </row>
    <row r="584" spans="1:14">
      <c r="A584" s="672" t="s">
        <v>62</v>
      </c>
      <c r="B584" s="2126">
        <v>0</v>
      </c>
      <c r="C584" s="1915"/>
      <c r="D584" s="1855">
        <f>F584*325851</f>
        <v>0</v>
      </c>
      <c r="E584" s="1732"/>
      <c r="F584" s="2122">
        <f>0.0347*B584</f>
        <v>0</v>
      </c>
      <c r="G584" s="2123"/>
      <c r="H584" s="979">
        <f>F584*20</f>
        <v>0</v>
      </c>
      <c r="I584" s="147">
        <v>0</v>
      </c>
      <c r="J584" s="147">
        <v>0</v>
      </c>
      <c r="K584" s="147">
        <v>0</v>
      </c>
      <c r="L584" s="670">
        <v>0</v>
      </c>
      <c r="M584" s="1792">
        <v>0</v>
      </c>
      <c r="N584" s="1793"/>
    </row>
    <row r="585" spans="1:14">
      <c r="A585" s="68" t="s">
        <v>63</v>
      </c>
      <c r="B585" s="2000">
        <v>735</v>
      </c>
      <c r="C585" s="1743"/>
      <c r="D585" s="1431">
        <f>F585*325851</f>
        <v>8310666.8295</v>
      </c>
      <c r="E585" s="1422"/>
      <c r="F585" s="1756">
        <f>0.0347*B585</f>
        <v>25.5045</v>
      </c>
      <c r="G585" s="1757"/>
      <c r="H585" s="941">
        <f>F585*20</f>
        <v>510.09000000000003</v>
      </c>
      <c r="I585" s="131">
        <v>0</v>
      </c>
      <c r="J585" s="131">
        <f>B585*11</f>
        <v>8085</v>
      </c>
      <c r="K585" s="131">
        <f>B585*60</f>
        <v>44100</v>
      </c>
      <c r="L585" s="132">
        <f>I585+J585+K585</f>
        <v>52185</v>
      </c>
      <c r="M585" s="1758">
        <f>L585/(F585*427)</f>
        <v>4.7918255505537592</v>
      </c>
      <c r="N585" s="1759"/>
    </row>
    <row r="586" spans="1:14">
      <c r="A586" s="68" t="s">
        <v>64</v>
      </c>
      <c r="B586" s="2000">
        <v>43</v>
      </c>
      <c r="C586" s="1743"/>
      <c r="D586" s="1431">
        <f>F586*325851</f>
        <v>486202.27710000001</v>
      </c>
      <c r="E586" s="1422"/>
      <c r="F586" s="1756">
        <f>0.0347*B586</f>
        <v>1.4921</v>
      </c>
      <c r="G586" s="1757"/>
      <c r="H586" s="941">
        <f>F586*20</f>
        <v>29.841999999999999</v>
      </c>
      <c r="I586" s="131">
        <v>0</v>
      </c>
      <c r="J586" s="131">
        <f>B586*1</f>
        <v>43</v>
      </c>
      <c r="K586" s="131">
        <f>B586*60</f>
        <v>2580</v>
      </c>
      <c r="L586" s="132">
        <f>I586+J586+K586</f>
        <v>2623</v>
      </c>
      <c r="M586" s="1758">
        <f>L586/(F586*427)</f>
        <v>4.1169205434335119</v>
      </c>
      <c r="N586" s="1759"/>
    </row>
    <row r="587" spans="1:14">
      <c r="A587" s="2" t="s">
        <v>13</v>
      </c>
      <c r="B587" s="2000">
        <v>189</v>
      </c>
      <c r="C587" s="1743"/>
      <c r="D587" s="1431">
        <f>F587*325851</f>
        <v>1699769.1564</v>
      </c>
      <c r="E587" s="1422"/>
      <c r="F587" s="1756">
        <f>0.0276*B587</f>
        <v>5.2164000000000001</v>
      </c>
      <c r="G587" s="1757"/>
      <c r="H587" s="941">
        <f>F587*15</f>
        <v>78.246000000000009</v>
      </c>
      <c r="I587" s="131">
        <v>0</v>
      </c>
      <c r="J587" s="131">
        <f>B587*1</f>
        <v>189</v>
      </c>
      <c r="K587" s="131">
        <f>B587*110</f>
        <v>20790</v>
      </c>
      <c r="L587" s="132">
        <f>I587+J587+K587</f>
        <v>20979</v>
      </c>
      <c r="M587" s="1758">
        <f>L587/(F587*427)</f>
        <v>9.4185928113226769</v>
      </c>
      <c r="N587" s="1759"/>
    </row>
    <row r="588" spans="1:14" ht="14" thickBot="1">
      <c r="A588" s="673" t="s">
        <v>14</v>
      </c>
      <c r="B588" s="2000">
        <v>3</v>
      </c>
      <c r="C588" s="1743"/>
      <c r="D588" s="1431">
        <f>46.8*B588*365</f>
        <v>51245.999999999993</v>
      </c>
      <c r="E588" s="1422"/>
      <c r="F588" s="1756">
        <f>D588/325900</f>
        <v>0.15724455354403188</v>
      </c>
      <c r="G588" s="1757"/>
      <c r="H588" s="941">
        <f>F588*5</f>
        <v>0.78622276772015942</v>
      </c>
      <c r="I588" s="131">
        <v>0</v>
      </c>
      <c r="J588" s="131">
        <v>1219</v>
      </c>
      <c r="K588" s="131">
        <v>0</v>
      </c>
      <c r="L588" s="132">
        <f>I588+J588+K588</f>
        <v>1219</v>
      </c>
      <c r="M588" s="1758">
        <f>L588/(F588*427)</f>
        <v>18.155165774748081</v>
      </c>
      <c r="N588" s="1759"/>
    </row>
    <row r="589" spans="1:14" ht="14" thickBot="1">
      <c r="A589" s="256" t="s">
        <v>60</v>
      </c>
      <c r="B589" s="1438">
        <f>SUM(B584:C588)</f>
        <v>970</v>
      </c>
      <c r="C589" s="1621"/>
      <c r="D589" s="1441">
        <f>SUM(D584:E588)</f>
        <v>10547884.263</v>
      </c>
      <c r="E589" s="1621"/>
      <c r="F589" s="1511">
        <f>SUM(F584:G588)</f>
        <v>32.370244553544033</v>
      </c>
      <c r="G589" s="1575"/>
      <c r="H589" s="612">
        <f>SUM(H584:H588)</f>
        <v>618.96422276772012</v>
      </c>
      <c r="I589" s="136">
        <f>SUM(I584:I588)</f>
        <v>0</v>
      </c>
      <c r="J589" s="136">
        <f>SUM(J584:J588)</f>
        <v>9536</v>
      </c>
      <c r="K589" s="136">
        <f>SUM(K584:K588)</f>
        <v>67470</v>
      </c>
      <c r="L589" s="136">
        <f>SUM(L584:L588)</f>
        <v>77006</v>
      </c>
      <c r="M589" s="1657"/>
      <c r="N589" s="1622"/>
    </row>
    <row r="590" spans="1:14" s="1161" customFormat="1" ht="17" thickBot="1">
      <c r="A590" s="1251" t="s">
        <v>147</v>
      </c>
      <c r="B590" s="1456"/>
      <c r="C590" s="1586"/>
      <c r="D590" s="1567"/>
      <c r="E590" s="1586"/>
      <c r="F590" s="1587"/>
      <c r="G590" s="1588"/>
      <c r="H590" s="1145"/>
      <c r="I590" s="161"/>
      <c r="J590" s="161"/>
      <c r="K590" s="161"/>
      <c r="L590" s="162"/>
      <c r="M590" s="1617"/>
      <c r="N590" s="1486"/>
    </row>
    <row r="591" spans="1:14" ht="14" thickBot="1">
      <c r="A591" s="2" t="s">
        <v>11</v>
      </c>
      <c r="B591" s="1421">
        <v>1070</v>
      </c>
      <c r="C591" s="1422"/>
      <c r="D591" s="1431">
        <f>F591*325851</f>
        <v>12098521.779000001</v>
      </c>
      <c r="E591" s="1422"/>
      <c r="F591" s="1756">
        <f>0.0347*B591</f>
        <v>37.129000000000005</v>
      </c>
      <c r="G591" s="1757"/>
      <c r="H591" s="941">
        <f>F591*20</f>
        <v>742.58000000000015</v>
      </c>
      <c r="I591" s="131">
        <v>0</v>
      </c>
      <c r="J591" s="131">
        <f>B591*105</f>
        <v>112350</v>
      </c>
      <c r="K591" s="131">
        <f>B591*60</f>
        <v>64200</v>
      </c>
      <c r="L591" s="132">
        <f>I591+J591+K591</f>
        <v>176550</v>
      </c>
      <c r="M591" s="1758">
        <f>L591/(F591*427)</f>
        <v>11.135932617484087</v>
      </c>
      <c r="N591" s="1759"/>
    </row>
    <row r="592" spans="1:14" ht="14" thickBot="1">
      <c r="A592" s="256" t="s">
        <v>60</v>
      </c>
      <c r="B592" s="1438">
        <f>SUM(B591)</f>
        <v>1070</v>
      </c>
      <c r="C592" s="1621"/>
      <c r="D592" s="1441">
        <f>SUM(D591)</f>
        <v>12098521.779000001</v>
      </c>
      <c r="E592" s="1621"/>
      <c r="F592" s="1511">
        <f>SUM(F591)</f>
        <v>37.129000000000005</v>
      </c>
      <c r="G592" s="1575"/>
      <c r="H592" s="612">
        <f>SUM(H591)</f>
        <v>742.58000000000015</v>
      </c>
      <c r="I592" s="136">
        <f>SUM(I591)</f>
        <v>0</v>
      </c>
      <c r="J592" s="136">
        <f>SUM(J591)</f>
        <v>112350</v>
      </c>
      <c r="K592" s="136">
        <f>SUM(K591)</f>
        <v>64200</v>
      </c>
      <c r="L592" s="136">
        <f>SUM(L591)</f>
        <v>176550</v>
      </c>
      <c r="M592" s="1657"/>
      <c r="N592" s="1622"/>
    </row>
    <row r="593" spans="1:14" s="1161" customFormat="1" ht="15" customHeight="1" thickBot="1">
      <c r="A593" s="110" t="s">
        <v>50</v>
      </c>
      <c r="B593" s="1456"/>
      <c r="C593" s="1586"/>
      <c r="D593" s="1567"/>
      <c r="E593" s="1586"/>
      <c r="F593" s="1587"/>
      <c r="G593" s="1588"/>
      <c r="H593" s="1145"/>
      <c r="I593" s="161"/>
      <c r="J593" s="161"/>
      <c r="K593" s="161"/>
      <c r="L593" s="162"/>
      <c r="M593" s="1617"/>
      <c r="N593" s="1486"/>
    </row>
    <row r="594" spans="1:14">
      <c r="A594" s="1" t="s">
        <v>66</v>
      </c>
      <c r="B594" s="2000">
        <v>0</v>
      </c>
      <c r="C594" s="1743"/>
      <c r="D594" s="1431">
        <f t="shared" ref="D594:D599" si="104">F594*325851</f>
        <v>0</v>
      </c>
      <c r="E594" s="1422"/>
      <c r="F594" s="1756">
        <f>0.0347*B594</f>
        <v>0</v>
      </c>
      <c r="G594" s="1757"/>
      <c r="H594" s="941">
        <f>F594*20</f>
        <v>0</v>
      </c>
      <c r="I594" s="131">
        <v>0</v>
      </c>
      <c r="J594" s="131">
        <v>0</v>
      </c>
      <c r="K594" s="131">
        <v>0</v>
      </c>
      <c r="L594" s="132">
        <v>0</v>
      </c>
      <c r="M594" s="1758">
        <v>0</v>
      </c>
      <c r="N594" s="1759"/>
    </row>
    <row r="595" spans="1:14">
      <c r="A595" s="2" t="s">
        <v>68</v>
      </c>
      <c r="B595" s="2000">
        <v>2</v>
      </c>
      <c r="C595" s="1743"/>
      <c r="D595" s="1431">
        <f t="shared" si="104"/>
        <v>419696.08799999999</v>
      </c>
      <c r="E595" s="1422"/>
      <c r="F595" s="1756">
        <f>0.644*B595</f>
        <v>1.288</v>
      </c>
      <c r="G595" s="1757"/>
      <c r="H595" s="941">
        <f>F595*5</f>
        <v>6.44</v>
      </c>
      <c r="I595" s="131">
        <v>0</v>
      </c>
      <c r="J595" s="131">
        <v>0</v>
      </c>
      <c r="K595" s="131">
        <f>B595*500</f>
        <v>1000</v>
      </c>
      <c r="L595" s="132">
        <f>I595+J595+K595</f>
        <v>1000</v>
      </c>
      <c r="M595" s="1758">
        <f>L595/(F595*427)</f>
        <v>1.8182611604870031</v>
      </c>
      <c r="N595" s="1759"/>
    </row>
    <row r="596" spans="1:14">
      <c r="A596" s="2" t="s">
        <v>13</v>
      </c>
      <c r="B596" s="2000">
        <v>2</v>
      </c>
      <c r="C596" s="1743"/>
      <c r="D596" s="1431">
        <f t="shared" si="104"/>
        <v>17986.975200000001</v>
      </c>
      <c r="E596" s="1422"/>
      <c r="F596" s="1756">
        <f>0.0276*B596</f>
        <v>5.5199999999999999E-2</v>
      </c>
      <c r="G596" s="1757"/>
      <c r="H596" s="941">
        <f>F596*15</f>
        <v>0.82799999999999996</v>
      </c>
      <c r="I596" s="131">
        <v>0</v>
      </c>
      <c r="J596" s="131">
        <v>0</v>
      </c>
      <c r="K596" s="131">
        <f>B596*250</f>
        <v>500</v>
      </c>
      <c r="L596" s="132">
        <f>I596+J596+K596</f>
        <v>500</v>
      </c>
      <c r="M596" s="1758">
        <f>L596/(F596*427)</f>
        <v>21.213046872348368</v>
      </c>
      <c r="N596" s="1759"/>
    </row>
    <row r="597" spans="1:14">
      <c r="A597" s="5" t="s">
        <v>15</v>
      </c>
      <c r="B597" s="2000">
        <v>0</v>
      </c>
      <c r="C597" s="1743"/>
      <c r="D597" s="1431">
        <f t="shared" si="104"/>
        <v>0</v>
      </c>
      <c r="E597" s="1422"/>
      <c r="F597" s="1756">
        <f>0.1534*B597</f>
        <v>0</v>
      </c>
      <c r="G597" s="1757"/>
      <c r="H597" s="941">
        <f>F597*5</f>
        <v>0</v>
      </c>
      <c r="I597" s="131">
        <v>0</v>
      </c>
      <c r="J597" s="131">
        <v>0</v>
      </c>
      <c r="K597" s="131">
        <v>0</v>
      </c>
      <c r="L597" s="132">
        <f>I597+J597+K597</f>
        <v>0</v>
      </c>
      <c r="M597" s="1758">
        <v>0</v>
      </c>
      <c r="N597" s="1759"/>
    </row>
    <row r="598" spans="1:14">
      <c r="A598" s="5" t="s">
        <v>16</v>
      </c>
      <c r="B598" s="2000">
        <v>0</v>
      </c>
      <c r="C598" s="1743"/>
      <c r="D598" s="1431">
        <f t="shared" si="104"/>
        <v>0</v>
      </c>
      <c r="E598" s="1422"/>
      <c r="F598" s="1756">
        <f>0.004*B598</f>
        <v>0</v>
      </c>
      <c r="G598" s="1757"/>
      <c r="H598" s="941">
        <f>F598*5</f>
        <v>0</v>
      </c>
      <c r="I598" s="131">
        <v>0</v>
      </c>
      <c r="J598" s="131">
        <v>0</v>
      </c>
      <c r="K598" s="131">
        <v>0</v>
      </c>
      <c r="L598" s="132">
        <f>I598+J598+K598</f>
        <v>0</v>
      </c>
      <c r="M598" s="1758">
        <v>0</v>
      </c>
      <c r="N598" s="1759"/>
    </row>
    <row r="599" spans="1:14" ht="14" thickBot="1">
      <c r="A599" s="674" t="s">
        <v>69</v>
      </c>
      <c r="B599" s="2000">
        <v>0</v>
      </c>
      <c r="C599" s="1743"/>
      <c r="D599" s="1431">
        <f t="shared" si="104"/>
        <v>0</v>
      </c>
      <c r="E599" s="1422"/>
      <c r="F599" s="1756">
        <f>3.2*B599</f>
        <v>0</v>
      </c>
      <c r="G599" s="1757"/>
      <c r="H599" s="941">
        <f>F599*5</f>
        <v>0</v>
      </c>
      <c r="I599" s="131">
        <v>0</v>
      </c>
      <c r="J599" s="131">
        <v>0</v>
      </c>
      <c r="K599" s="131">
        <v>0</v>
      </c>
      <c r="L599" s="132">
        <v>0</v>
      </c>
      <c r="M599" s="1758">
        <v>0</v>
      </c>
      <c r="N599" s="1759"/>
    </row>
    <row r="600" spans="1:14" ht="14" thickBot="1">
      <c r="A600" s="256" t="s">
        <v>60</v>
      </c>
      <c r="B600" s="1438">
        <f>SUM(B594:C599)</f>
        <v>4</v>
      </c>
      <c r="C600" s="1609"/>
      <c r="D600" s="1440">
        <f>SUM(D593:E599)</f>
        <v>437683.06319999998</v>
      </c>
      <c r="E600" s="1621"/>
      <c r="F600" s="1511">
        <f>SUM(F593:G599)</f>
        <v>1.3431999999999999</v>
      </c>
      <c r="G600" s="1512"/>
      <c r="H600" s="621">
        <f>SUM(H594:H599)</f>
        <v>7.2680000000000007</v>
      </c>
      <c r="I600" s="378">
        <f>SUM(I594:I599)</f>
        <v>0</v>
      </c>
      <c r="J600" s="152">
        <f>SUM(J594:J599)</f>
        <v>0</v>
      </c>
      <c r="K600" s="378">
        <f>SUM(K594:K599)</f>
        <v>1500</v>
      </c>
      <c r="L600" s="143">
        <f>SUM(L594:L599)</f>
        <v>1500</v>
      </c>
      <c r="M600" s="1657"/>
      <c r="N600" s="1622"/>
    </row>
    <row r="601" spans="1:14" s="1161" customFormat="1" ht="17" thickBot="1">
      <c r="A601" s="1183" t="s">
        <v>17</v>
      </c>
      <c r="B601" s="1665">
        <f>SUM(B600,B592,B589)</f>
        <v>2044</v>
      </c>
      <c r="C601" s="1684"/>
      <c r="D601" s="1665">
        <f>SUM(D600,D592,D589)</f>
        <v>23084089.1052</v>
      </c>
      <c r="E601" s="1684"/>
      <c r="F601" s="1666">
        <f>SUM(F600,F592,F589)</f>
        <v>70.842444553544041</v>
      </c>
      <c r="G601" s="1667"/>
      <c r="H601" s="1187">
        <f>SUM(H600,H592,H589)</f>
        <v>1368.8122227677204</v>
      </c>
      <c r="I601" s="1188">
        <f>SUM(I600,I592,I589)</f>
        <v>0</v>
      </c>
      <c r="J601" s="1188">
        <f>SUM(J600,J592,J589)</f>
        <v>121886</v>
      </c>
      <c r="K601" s="1188">
        <f>SUM(K600,K592,K589)</f>
        <v>133170</v>
      </c>
      <c r="L601" s="1188">
        <f>SUM(L600,L592,L589)</f>
        <v>255056</v>
      </c>
      <c r="M601" s="1668"/>
      <c r="N601" s="1669"/>
    </row>
    <row r="603" spans="1:14" ht="15">
      <c r="A603" s="9" t="s">
        <v>18</v>
      </c>
      <c r="B603" s="1419" t="s">
        <v>59</v>
      </c>
      <c r="C603" s="1489"/>
      <c r="D603" s="1489"/>
      <c r="E603" s="1733"/>
    </row>
    <row r="604" spans="1:14">
      <c r="B604" s="1420" t="s">
        <v>19</v>
      </c>
      <c r="C604" s="1420"/>
      <c r="D604" s="1420"/>
      <c r="E604" s="1420"/>
    </row>
    <row r="605" spans="1:14" ht="14" thickBot="1">
      <c r="B605" s="1012"/>
      <c r="C605" s="1012"/>
      <c r="D605" s="1012"/>
      <c r="E605" s="1012"/>
    </row>
    <row r="606" spans="1:14" s="363" customFormat="1" ht="16">
      <c r="A606" s="98"/>
      <c r="B606" s="99"/>
      <c r="C606" s="99"/>
      <c r="D606" s="99"/>
      <c r="E606" s="99"/>
      <c r="F606" s="421"/>
      <c r="G606" s="421"/>
      <c r="H606" s="421"/>
      <c r="I606" s="1468" t="s">
        <v>0</v>
      </c>
      <c r="J606" s="1468"/>
      <c r="K606" s="1468"/>
      <c r="L606" s="1468"/>
      <c r="M606" s="99"/>
      <c r="N606" s="101"/>
    </row>
    <row r="607" spans="1:14" ht="16">
      <c r="A607" s="97"/>
      <c r="B607" s="1469" t="s">
        <v>1</v>
      </c>
      <c r="C607" s="1469"/>
      <c r="D607" s="1469" t="s">
        <v>2</v>
      </c>
      <c r="E607" s="1469"/>
      <c r="F607" s="1470" t="s">
        <v>3</v>
      </c>
      <c r="G607" s="1470"/>
      <c r="H607" s="1003" t="s">
        <v>3</v>
      </c>
      <c r="I607" s="127" t="s">
        <v>195</v>
      </c>
      <c r="J607" s="102"/>
      <c r="K607" s="102"/>
      <c r="L607" s="128"/>
      <c r="M607" s="1469" t="s">
        <v>4</v>
      </c>
      <c r="N607" s="1526"/>
    </row>
    <row r="608" spans="1:14" ht="19" thickBot="1">
      <c r="A608" s="103" t="s">
        <v>5</v>
      </c>
      <c r="B608" s="1473" t="s">
        <v>6</v>
      </c>
      <c r="C608" s="1473"/>
      <c r="D608" s="1473" t="s">
        <v>7</v>
      </c>
      <c r="E608" s="1473"/>
      <c r="F608" s="1474" t="s">
        <v>7</v>
      </c>
      <c r="G608" s="1474"/>
      <c r="H608" s="1006" t="s">
        <v>58</v>
      </c>
      <c r="I608" s="1007" t="s">
        <v>196</v>
      </c>
      <c r="J608" s="1005" t="s">
        <v>8</v>
      </c>
      <c r="K608" s="1005" t="s">
        <v>9</v>
      </c>
      <c r="L608" s="401" t="s">
        <v>10</v>
      </c>
      <c r="M608" s="1473" t="s">
        <v>145</v>
      </c>
      <c r="N608" s="1475"/>
    </row>
    <row r="609" spans="1:14" ht="24" thickBot="1">
      <c r="A609" s="88" t="s">
        <v>136</v>
      </c>
      <c r="B609" s="1751"/>
      <c r="C609" s="1477"/>
      <c r="D609" s="1478"/>
      <c r="E609" s="1479"/>
      <c r="F609" s="1480"/>
      <c r="G609" s="1481"/>
      <c r="H609" s="1020"/>
      <c r="I609" s="7"/>
      <c r="J609" s="7"/>
      <c r="K609" s="7"/>
      <c r="L609" s="8"/>
      <c r="M609" s="1764"/>
      <c r="N609" s="1765"/>
    </row>
    <row r="610" spans="1:14" s="1161" customFormat="1" ht="17" thickBot="1">
      <c r="A610" s="108" t="s">
        <v>61</v>
      </c>
      <c r="B610" s="1457"/>
      <c r="C610" s="1586"/>
      <c r="D610" s="1567"/>
      <c r="E610" s="1586"/>
      <c r="F610" s="1587"/>
      <c r="G610" s="1588"/>
      <c r="H610" s="1145"/>
      <c r="I610" s="109"/>
      <c r="J610" s="109"/>
      <c r="K610" s="109"/>
      <c r="L610" s="1141"/>
      <c r="M610" s="1617"/>
      <c r="N610" s="1486"/>
    </row>
    <row r="611" spans="1:14">
      <c r="A611" s="122" t="s">
        <v>62</v>
      </c>
      <c r="B611" s="1696">
        <v>0</v>
      </c>
      <c r="C611" s="1743"/>
      <c r="D611" s="1431">
        <f>F611*325851</f>
        <v>0</v>
      </c>
      <c r="E611" s="1422"/>
      <c r="F611" s="1756">
        <f>0.0347*B611</f>
        <v>0</v>
      </c>
      <c r="G611" s="1757"/>
      <c r="H611" s="941">
        <f>F611*20</f>
        <v>0</v>
      </c>
      <c r="I611" s="131">
        <v>0</v>
      </c>
      <c r="J611" s="131">
        <v>0</v>
      </c>
      <c r="K611" s="131">
        <v>0</v>
      </c>
      <c r="L611" s="132">
        <f>I611+J611+K611</f>
        <v>0</v>
      </c>
      <c r="M611" s="1758">
        <v>0</v>
      </c>
      <c r="N611" s="1759"/>
    </row>
    <row r="612" spans="1:14">
      <c r="A612" s="32" t="s">
        <v>63</v>
      </c>
      <c r="B612" s="1444">
        <v>1489</v>
      </c>
      <c r="C612" s="1422"/>
      <c r="D612" s="1431">
        <f>F612*325851</f>
        <v>16836167.223300003</v>
      </c>
      <c r="E612" s="1422"/>
      <c r="F612" s="1756">
        <f>0.0347*B612</f>
        <v>51.668300000000002</v>
      </c>
      <c r="G612" s="1757"/>
      <c r="H612" s="941">
        <f>F612*20</f>
        <v>1033.366</v>
      </c>
      <c r="I612" s="131">
        <v>0</v>
      </c>
      <c r="J612" s="131">
        <v>16379</v>
      </c>
      <c r="K612" s="131">
        <v>89340</v>
      </c>
      <c r="L612" s="132">
        <f>I612+J612+K612</f>
        <v>105719</v>
      </c>
      <c r="M612" s="1788">
        <v>5.4</v>
      </c>
      <c r="N612" s="1789"/>
    </row>
    <row r="613" spans="1:14">
      <c r="A613" s="32" t="s">
        <v>64</v>
      </c>
      <c r="B613" s="1696">
        <v>112</v>
      </c>
      <c r="C613" s="1743"/>
      <c r="D613" s="1431">
        <f>F613*325851</f>
        <v>1266387.3264000001</v>
      </c>
      <c r="E613" s="1422"/>
      <c r="F613" s="1756">
        <f>0.0347*B613</f>
        <v>3.8864000000000001</v>
      </c>
      <c r="G613" s="1757"/>
      <c r="H613" s="941">
        <f>F613*20</f>
        <v>77.728000000000009</v>
      </c>
      <c r="I613" s="131">
        <v>0</v>
      </c>
      <c r="J613" s="131">
        <v>112</v>
      </c>
      <c r="K613" s="131">
        <v>6720</v>
      </c>
      <c r="L613" s="132">
        <f>I613+J613+K613</f>
        <v>6832</v>
      </c>
      <c r="M613" s="1788">
        <v>4.5999999999999996</v>
      </c>
      <c r="N613" s="1789"/>
    </row>
    <row r="614" spans="1:14">
      <c r="A614" s="34" t="s">
        <v>13</v>
      </c>
      <c r="B614" s="1696">
        <v>241</v>
      </c>
      <c r="C614" s="1743"/>
      <c r="D614" s="1431">
        <f>F614*325851</f>
        <v>2167430.5115999999</v>
      </c>
      <c r="E614" s="1422"/>
      <c r="F614" s="1756">
        <f>0.0276*B614</f>
        <v>6.6516000000000002</v>
      </c>
      <c r="G614" s="1757"/>
      <c r="H614" s="941">
        <f>F614*15</f>
        <v>99.774000000000001</v>
      </c>
      <c r="I614" s="131">
        <v>0</v>
      </c>
      <c r="J614" s="131">
        <v>241</v>
      </c>
      <c r="K614" s="131">
        <v>26510</v>
      </c>
      <c r="L614" s="132">
        <f>I614+J614+K614</f>
        <v>26751</v>
      </c>
      <c r="M614" s="1788">
        <v>5.7</v>
      </c>
      <c r="N614" s="1789"/>
    </row>
    <row r="615" spans="1:14" ht="14" thickBot="1">
      <c r="A615" s="327" t="s">
        <v>14</v>
      </c>
      <c r="B615" s="1696">
        <v>15</v>
      </c>
      <c r="C615" s="1743"/>
      <c r="D615" s="1431">
        <v>802854</v>
      </c>
      <c r="E615" s="1422"/>
      <c r="F615" s="1756">
        <v>2.46</v>
      </c>
      <c r="G615" s="1757"/>
      <c r="H615" s="941">
        <f>F615*5</f>
        <v>12.3</v>
      </c>
      <c r="I615" s="131">
        <v>0</v>
      </c>
      <c r="J615" s="131">
        <v>795</v>
      </c>
      <c r="K615" s="131">
        <v>0</v>
      </c>
      <c r="L615" s="132">
        <f>I615+J615+K615</f>
        <v>795</v>
      </c>
      <c r="M615" s="1788">
        <v>2.4</v>
      </c>
      <c r="N615" s="1789"/>
    </row>
    <row r="616" spans="1:14" ht="14" thickBot="1">
      <c r="A616" s="53" t="s">
        <v>60</v>
      </c>
      <c r="B616" s="1440">
        <f>SUM(B611:C615)</f>
        <v>1857</v>
      </c>
      <c r="C616" s="1621"/>
      <c r="D616" s="1441">
        <f>SUM(D611:E615)</f>
        <v>21072839.061300002</v>
      </c>
      <c r="E616" s="1609"/>
      <c r="F616" s="1512">
        <f>SUM(F611:G615)</f>
        <v>64.666300000000007</v>
      </c>
      <c r="G616" s="1575"/>
      <c r="H616" s="482">
        <f>SUM(H611:H615)</f>
        <v>1223.1679999999999</v>
      </c>
      <c r="I616" s="136">
        <f>SUM(I611:I615)</f>
        <v>0</v>
      </c>
      <c r="J616" s="136">
        <f>SUM(J611:J615)</f>
        <v>17527</v>
      </c>
      <c r="K616" s="136">
        <f>SUM(K611:K615)</f>
        <v>122570</v>
      </c>
      <c r="L616" s="136">
        <f>SUM(L611:L615)</f>
        <v>140097</v>
      </c>
      <c r="M616" s="1657"/>
      <c r="N616" s="1622"/>
    </row>
    <row r="617" spans="1:14" s="1161" customFormat="1" ht="17" thickBot="1">
      <c r="A617" s="1244" t="s">
        <v>147</v>
      </c>
      <c r="B617" s="1457"/>
      <c r="C617" s="1586"/>
      <c r="D617" s="1567"/>
      <c r="E617" s="1586"/>
      <c r="F617" s="1484"/>
      <c r="G617" s="1588"/>
      <c r="H617" s="1142"/>
      <c r="I617" s="161"/>
      <c r="J617" s="161"/>
      <c r="K617" s="161"/>
      <c r="L617" s="162"/>
      <c r="M617" s="1617"/>
      <c r="N617" s="1486"/>
    </row>
    <row r="618" spans="1:14" ht="14" thickBot="1">
      <c r="A618" s="34" t="s">
        <v>11</v>
      </c>
      <c r="B618" s="1444">
        <v>1140</v>
      </c>
      <c r="C618" s="1422"/>
      <c r="D618" s="1431">
        <f>F618*325851</f>
        <v>12890013.857999999</v>
      </c>
      <c r="E618" s="1422"/>
      <c r="F618" s="1760">
        <f>0.0347*B618</f>
        <v>39.558</v>
      </c>
      <c r="G618" s="1757"/>
      <c r="H618" s="941">
        <f>F618*20</f>
        <v>791.16</v>
      </c>
      <c r="I618" s="131">
        <v>0</v>
      </c>
      <c r="J618" s="131">
        <v>38760</v>
      </c>
      <c r="K618" s="131">
        <v>68400</v>
      </c>
      <c r="L618" s="132">
        <f>I618+J618+K618</f>
        <v>107160</v>
      </c>
      <c r="M618" s="1788">
        <v>4.2</v>
      </c>
      <c r="N618" s="1789"/>
    </row>
    <row r="619" spans="1:14" ht="14" thickBot="1">
      <c r="A619" s="53" t="s">
        <v>60</v>
      </c>
      <c r="B619" s="1438">
        <f>SUM(B618)</f>
        <v>1140</v>
      </c>
      <c r="C619" s="1439"/>
      <c r="D619" s="1440">
        <f>SUM(D618)</f>
        <v>12890013.857999999</v>
      </c>
      <c r="E619" s="1439"/>
      <c r="F619" s="1512">
        <f>SUM(F618)</f>
        <v>39.558</v>
      </c>
      <c r="G619" s="1575"/>
      <c r="H619" s="482">
        <f>SUM(H618)</f>
        <v>791.16</v>
      </c>
      <c r="I619" s="136">
        <f>SUM(I618)</f>
        <v>0</v>
      </c>
      <c r="J619" s="136">
        <f>SUM(J618)</f>
        <v>38760</v>
      </c>
      <c r="K619" s="136">
        <f>SUM(K618)</f>
        <v>68400</v>
      </c>
      <c r="L619" s="136">
        <f>SUM(L618)</f>
        <v>107160</v>
      </c>
      <c r="M619" s="1657"/>
      <c r="N619" s="1790"/>
    </row>
    <row r="620" spans="1:14" s="1161" customFormat="1" ht="17" thickBot="1">
      <c r="A620" s="108" t="s">
        <v>50</v>
      </c>
      <c r="B620" s="1457"/>
      <c r="C620" s="1586"/>
      <c r="D620" s="1567"/>
      <c r="E620" s="1586"/>
      <c r="F620" s="1484"/>
      <c r="G620" s="1588"/>
      <c r="H620" s="1142"/>
      <c r="I620" s="161"/>
      <c r="J620" s="161"/>
      <c r="K620" s="161"/>
      <c r="L620" s="162"/>
      <c r="M620" s="1617"/>
      <c r="N620" s="1486"/>
    </row>
    <row r="621" spans="1:14">
      <c r="A621" s="34" t="s">
        <v>13</v>
      </c>
      <c r="B621" s="1696">
        <v>8</v>
      </c>
      <c r="C621" s="1743"/>
      <c r="D621" s="1431">
        <f>F621*325851</f>
        <v>71947.900800000003</v>
      </c>
      <c r="E621" s="1422"/>
      <c r="F621" s="1760">
        <f>0.0276*B621</f>
        <v>0.2208</v>
      </c>
      <c r="G621" s="1757"/>
      <c r="H621" s="941">
        <f>F621*15</f>
        <v>3.3119999999999998</v>
      </c>
      <c r="I621" s="131">
        <v>0</v>
      </c>
      <c r="J621" s="131">
        <v>0</v>
      </c>
      <c r="K621" s="131">
        <v>2000</v>
      </c>
      <c r="L621" s="132">
        <f>I621+J621+K621</f>
        <v>2000</v>
      </c>
      <c r="M621" s="1788">
        <v>5.3</v>
      </c>
      <c r="N621" s="1789"/>
    </row>
    <row r="622" spans="1:14">
      <c r="A622" s="35" t="s">
        <v>75</v>
      </c>
      <c r="B622" s="1696">
        <v>98</v>
      </c>
      <c r="C622" s="1743"/>
      <c r="D622" s="1431">
        <f>F622*325851</f>
        <v>4898583.2532000002</v>
      </c>
      <c r="E622" s="1422"/>
      <c r="F622" s="1760">
        <f>0.1534*B622</f>
        <v>15.033200000000001</v>
      </c>
      <c r="G622" s="1757"/>
      <c r="H622" s="941">
        <f>F622*5</f>
        <v>75.165999999999997</v>
      </c>
      <c r="I622" s="131">
        <v>0</v>
      </c>
      <c r="J622" s="131">
        <v>9800</v>
      </c>
      <c r="K622" s="131">
        <v>9800</v>
      </c>
      <c r="L622" s="132">
        <f>I622+J622+K622</f>
        <v>19600</v>
      </c>
      <c r="M622" s="1788">
        <v>3.1</v>
      </c>
      <c r="N622" s="1789"/>
    </row>
    <row r="623" spans="1:14">
      <c r="A623" s="35" t="s">
        <v>71</v>
      </c>
      <c r="B623" s="1696">
        <v>2</v>
      </c>
      <c r="C623" s="1743"/>
      <c r="D623" s="1431">
        <f>F623*325851</f>
        <v>99971.086800000005</v>
      </c>
      <c r="E623" s="1422"/>
      <c r="F623" s="1760">
        <f>0.1534*B623</f>
        <v>0.30680000000000002</v>
      </c>
      <c r="G623" s="1757"/>
      <c r="H623" s="941">
        <f>F623*5</f>
        <v>1.534</v>
      </c>
      <c r="I623" s="131">
        <v>0</v>
      </c>
      <c r="J623" s="131">
        <v>0</v>
      </c>
      <c r="K623" s="131">
        <v>200</v>
      </c>
      <c r="L623" s="132">
        <f>I623+J623+K623</f>
        <v>200</v>
      </c>
      <c r="M623" s="1788">
        <v>1.6</v>
      </c>
      <c r="N623" s="1789"/>
    </row>
    <row r="624" spans="1:14" ht="14" thickBot="1">
      <c r="A624" s="35" t="s">
        <v>16</v>
      </c>
      <c r="B624" s="1696">
        <v>0</v>
      </c>
      <c r="C624" s="1743"/>
      <c r="D624" s="1431">
        <f>F624*325851</f>
        <v>0</v>
      </c>
      <c r="E624" s="1422"/>
      <c r="F624" s="1760">
        <f>0.004*B624</f>
        <v>0</v>
      </c>
      <c r="G624" s="1757"/>
      <c r="H624" s="941">
        <f>F624*5</f>
        <v>0</v>
      </c>
      <c r="I624" s="131">
        <v>0</v>
      </c>
      <c r="J624" s="131">
        <v>0</v>
      </c>
      <c r="K624" s="131">
        <v>0</v>
      </c>
      <c r="L624" s="132">
        <f>I624+J624+K624</f>
        <v>0</v>
      </c>
      <c r="M624" s="1758">
        <v>0</v>
      </c>
      <c r="N624" s="1759"/>
    </row>
    <row r="625" spans="1:14" ht="14" thickBot="1">
      <c r="A625" s="53" t="s">
        <v>60</v>
      </c>
      <c r="B625" s="1440">
        <f>SUM(B621:C624)</f>
        <v>108</v>
      </c>
      <c r="C625" s="1609"/>
      <c r="D625" s="1438">
        <f>SUM(D621:E624)</f>
        <v>5070502.2407999998</v>
      </c>
      <c r="E625" s="1609"/>
      <c r="F625" s="1512">
        <f>SUM(F621:G624)</f>
        <v>15.560800000000002</v>
      </c>
      <c r="G625" s="1575"/>
      <c r="H625" s="466">
        <f>SUM(H621:H624)</f>
        <v>80.012</v>
      </c>
      <c r="I625" s="378">
        <f>SUM(I621:I624)</f>
        <v>0</v>
      </c>
      <c r="J625" s="378">
        <f>SUM(J621:J624)</f>
        <v>9800</v>
      </c>
      <c r="K625" s="378">
        <f>SUM(K621:K624)</f>
        <v>12000</v>
      </c>
      <c r="L625" s="143">
        <f>SUM(L621:L624)</f>
        <v>21800</v>
      </c>
      <c r="M625" s="1657"/>
      <c r="N625" s="1622"/>
    </row>
    <row r="626" spans="1:14" s="1161" customFormat="1" ht="17" thickBot="1">
      <c r="A626" s="1186" t="s">
        <v>17</v>
      </c>
      <c r="B626" s="1663">
        <f>SUM(B625,B619,B616)</f>
        <v>3105</v>
      </c>
      <c r="C626" s="1684"/>
      <c r="D626" s="1665">
        <f>SUM(D625,D619,D616)</f>
        <v>39033355.160099998</v>
      </c>
      <c r="E626" s="1684"/>
      <c r="F626" s="1666">
        <f>SUM(F625,F619,F616)</f>
        <v>119.7851</v>
      </c>
      <c r="G626" s="1667"/>
      <c r="H626" s="1187">
        <f>SUM(H625,H619,H616)</f>
        <v>2094.34</v>
      </c>
      <c r="I626" s="1188">
        <f>SUM(I625,I619,I616)</f>
        <v>0</v>
      </c>
      <c r="J626" s="1188">
        <f>SUM(J625,J619,J616)</f>
        <v>66087</v>
      </c>
      <c r="K626" s="1188">
        <f>SUM(K625,K619,K616)</f>
        <v>202970</v>
      </c>
      <c r="L626" s="1188">
        <f>SUM(L625,L619,L616)</f>
        <v>269057</v>
      </c>
      <c r="M626" s="1668"/>
      <c r="N626" s="1669"/>
    </row>
    <row r="627" spans="1:14">
      <c r="A627" s="747"/>
      <c r="B627" s="20"/>
      <c r="C627" s="20"/>
      <c r="D627" s="20"/>
      <c r="E627" s="20"/>
      <c r="F627" s="422"/>
      <c r="G627" s="422"/>
      <c r="H627" s="422"/>
      <c r="I627" s="20"/>
      <c r="J627" s="21"/>
      <c r="K627" s="21"/>
      <c r="L627" s="21"/>
      <c r="M627" s="18"/>
      <c r="N627" s="18"/>
    </row>
    <row r="628" spans="1:14" ht="14" thickBot="1">
      <c r="A628" s="748"/>
      <c r="B628" s="20"/>
      <c r="C628" s="20"/>
      <c r="D628" s="20"/>
      <c r="E628" s="20"/>
      <c r="F628" s="422"/>
      <c r="G628" s="422"/>
      <c r="H628" s="422"/>
      <c r="I628" s="20"/>
      <c r="J628" s="21"/>
      <c r="K628" s="21"/>
      <c r="L628" s="21"/>
      <c r="M628" s="18"/>
      <c r="N628" s="18"/>
    </row>
    <row r="629" spans="1:14" ht="24" thickBot="1">
      <c r="A629" s="88" t="s">
        <v>137</v>
      </c>
      <c r="B629" s="16"/>
      <c r="C629" s="12"/>
      <c r="D629" s="11"/>
      <c r="E629" s="12"/>
      <c r="F629" s="427"/>
      <c r="G629" s="429"/>
      <c r="H629" s="429"/>
      <c r="I629" s="15"/>
      <c r="J629" s="15"/>
      <c r="K629" s="15"/>
      <c r="L629" s="15"/>
      <c r="M629" s="16"/>
      <c r="N629" s="17"/>
    </row>
    <row r="630" spans="1:14" s="1161" customFormat="1" ht="17" thickBot="1">
      <c r="A630" s="108" t="s">
        <v>74</v>
      </c>
      <c r="B630" s="1457"/>
      <c r="C630" s="1586"/>
      <c r="D630" s="1567"/>
      <c r="E630" s="1586"/>
      <c r="F630" s="1587"/>
      <c r="G630" s="1588"/>
      <c r="H630" s="1145"/>
      <c r="I630" s="109"/>
      <c r="J630" s="109"/>
      <c r="K630" s="109"/>
      <c r="L630" s="1141"/>
      <c r="M630" s="1617"/>
      <c r="N630" s="1486"/>
    </row>
    <row r="631" spans="1:14">
      <c r="A631" s="32" t="s">
        <v>62</v>
      </c>
      <c r="B631" s="1696">
        <v>0</v>
      </c>
      <c r="C631" s="1743"/>
      <c r="D631" s="1431">
        <f>F631*325851</f>
        <v>0</v>
      </c>
      <c r="E631" s="1422"/>
      <c r="F631" s="1756">
        <f>0.0347*B631</f>
        <v>0</v>
      </c>
      <c r="G631" s="1757"/>
      <c r="H631" s="941">
        <f>F631*20</f>
        <v>0</v>
      </c>
      <c r="I631" s="131">
        <v>0</v>
      </c>
      <c r="J631" s="131">
        <v>0</v>
      </c>
      <c r="K631" s="131">
        <v>0</v>
      </c>
      <c r="L631" s="131">
        <f>I631+J631+K631</f>
        <v>0</v>
      </c>
      <c r="M631" s="1758">
        <v>0</v>
      </c>
      <c r="N631" s="1759"/>
    </row>
    <row r="632" spans="1:14">
      <c r="A632" s="32" t="s">
        <v>63</v>
      </c>
      <c r="B632" s="1696">
        <v>629</v>
      </c>
      <c r="C632" s="1743"/>
      <c r="D632" s="1431">
        <f>F632*325851</f>
        <v>7112121.6813000003</v>
      </c>
      <c r="E632" s="1422"/>
      <c r="F632" s="1756">
        <f>0.0347*B632</f>
        <v>21.8263</v>
      </c>
      <c r="G632" s="1757"/>
      <c r="H632" s="941">
        <f>F632*20</f>
        <v>436.52600000000001</v>
      </c>
      <c r="I632" s="131">
        <v>0</v>
      </c>
      <c r="J632" s="131">
        <v>6919</v>
      </c>
      <c r="K632" s="131">
        <v>37740</v>
      </c>
      <c r="L632" s="131">
        <f>I632+J632+K632</f>
        <v>44659</v>
      </c>
      <c r="M632" s="1788">
        <v>5.4</v>
      </c>
      <c r="N632" s="1789"/>
    </row>
    <row r="633" spans="1:14">
      <c r="A633" s="32" t="s">
        <v>64</v>
      </c>
      <c r="B633" s="1696">
        <v>10</v>
      </c>
      <c r="C633" s="1743"/>
      <c r="D633" s="1431">
        <f>F633*325851</f>
        <v>113070.29700000001</v>
      </c>
      <c r="E633" s="1422"/>
      <c r="F633" s="1756">
        <f>0.0347*B633</f>
        <v>0.34700000000000003</v>
      </c>
      <c r="G633" s="1757"/>
      <c r="H633" s="941">
        <f>F633*20</f>
        <v>6.94</v>
      </c>
      <c r="I633" s="131">
        <v>0</v>
      </c>
      <c r="J633" s="131">
        <v>10</v>
      </c>
      <c r="K633" s="131">
        <v>600</v>
      </c>
      <c r="L633" s="131">
        <f>I633+J633+K633</f>
        <v>610</v>
      </c>
      <c r="M633" s="1788">
        <v>4.8</v>
      </c>
      <c r="N633" s="1789"/>
    </row>
    <row r="634" spans="1:14">
      <c r="A634" s="34" t="s">
        <v>13</v>
      </c>
      <c r="B634" s="1696">
        <v>160</v>
      </c>
      <c r="C634" s="1743"/>
      <c r="D634" s="1431">
        <f>F634*325851</f>
        <v>1438958.0160000001</v>
      </c>
      <c r="E634" s="1422"/>
      <c r="F634" s="1756">
        <f>0.0276*B634</f>
        <v>4.4160000000000004</v>
      </c>
      <c r="G634" s="1757"/>
      <c r="H634" s="941">
        <f>F634*15</f>
        <v>66.240000000000009</v>
      </c>
      <c r="I634" s="131">
        <v>0</v>
      </c>
      <c r="J634" s="131">
        <v>160</v>
      </c>
      <c r="K634" s="131">
        <v>17600</v>
      </c>
      <c r="L634" s="131">
        <f>I634+J634+K634</f>
        <v>17760</v>
      </c>
      <c r="M634" s="1788">
        <v>5.8</v>
      </c>
      <c r="N634" s="1789"/>
    </row>
    <row r="635" spans="1:14" ht="14" thickBot="1">
      <c r="A635" s="34" t="s">
        <v>14</v>
      </c>
      <c r="B635" s="1696">
        <v>33</v>
      </c>
      <c r="C635" s="1743"/>
      <c r="D635" s="1431">
        <v>1246986</v>
      </c>
      <c r="E635" s="1422"/>
      <c r="F635" s="1756">
        <v>3.83</v>
      </c>
      <c r="G635" s="1757"/>
      <c r="H635" s="941">
        <f>F635*5</f>
        <v>19.149999999999999</v>
      </c>
      <c r="I635" s="131">
        <v>0</v>
      </c>
      <c r="J635" s="131">
        <v>1749</v>
      </c>
      <c r="K635" s="131">
        <v>0</v>
      </c>
      <c r="L635" s="131">
        <f>I635+J635+K635</f>
        <v>1749</v>
      </c>
      <c r="M635" s="1788">
        <v>2.4</v>
      </c>
      <c r="N635" s="1789"/>
    </row>
    <row r="636" spans="1:14" ht="14" thickBot="1">
      <c r="A636" s="53" t="s">
        <v>60</v>
      </c>
      <c r="B636" s="1438">
        <f>SUM(B631:C635)</f>
        <v>832</v>
      </c>
      <c r="C636" s="1609"/>
      <c r="D636" s="1441">
        <f>SUM(D631:E635)</f>
        <v>9911135.9943000004</v>
      </c>
      <c r="E636" s="1609"/>
      <c r="F636" s="1512">
        <f>SUM(F631:G635)</f>
        <v>30.4193</v>
      </c>
      <c r="G636" s="1575"/>
      <c r="H636" s="167">
        <f>SUM(H631:H635)</f>
        <v>528.85599999999999</v>
      </c>
      <c r="I636" s="136">
        <f>SUM(I631:I635)</f>
        <v>0</v>
      </c>
      <c r="J636" s="136">
        <f>SUM(J631:J635)</f>
        <v>8838</v>
      </c>
      <c r="K636" s="136">
        <f>SUM(K631:K635)</f>
        <v>55940</v>
      </c>
      <c r="L636" s="136">
        <f>SUM(L631:L635)</f>
        <v>64778</v>
      </c>
      <c r="M636" s="1657"/>
      <c r="N636" s="1622"/>
    </row>
    <row r="637" spans="1:14" s="1161" customFormat="1" ht="17" thickBot="1">
      <c r="A637" s="1244" t="s">
        <v>147</v>
      </c>
      <c r="B637" s="1457"/>
      <c r="C637" s="1586"/>
      <c r="D637" s="1567"/>
      <c r="E637" s="1586"/>
      <c r="F637" s="1587"/>
      <c r="G637" s="1588"/>
      <c r="H637" s="1145"/>
      <c r="I637" s="161"/>
      <c r="J637" s="161"/>
      <c r="K637" s="161"/>
      <c r="L637" s="162"/>
      <c r="M637" s="1617"/>
      <c r="N637" s="1486"/>
    </row>
    <row r="638" spans="1:14" ht="14" thickBot="1">
      <c r="A638" s="34" t="s">
        <v>11</v>
      </c>
      <c r="B638" s="1696">
        <v>251</v>
      </c>
      <c r="C638" s="1743"/>
      <c r="D638" s="1431">
        <f>F638*325851</f>
        <v>2838064.4547000001</v>
      </c>
      <c r="E638" s="1422"/>
      <c r="F638" s="1756">
        <f>0.0347*B638</f>
        <v>8.7096999999999998</v>
      </c>
      <c r="G638" s="1757"/>
      <c r="H638" s="941">
        <f>F638*20</f>
        <v>174.19399999999999</v>
      </c>
      <c r="I638" s="131">
        <v>0</v>
      </c>
      <c r="J638" s="131">
        <v>8534</v>
      </c>
      <c r="K638" s="131">
        <v>15060</v>
      </c>
      <c r="L638" s="131">
        <f>I638+J638+K638</f>
        <v>23594</v>
      </c>
      <c r="M638" s="1788">
        <v>4.2</v>
      </c>
      <c r="N638" s="1789"/>
    </row>
    <row r="639" spans="1:14" ht="14" thickBot="1">
      <c r="A639" s="53" t="s">
        <v>60</v>
      </c>
      <c r="B639" s="1440">
        <f>SUM(B638)</f>
        <v>251</v>
      </c>
      <c r="C639" s="1621"/>
      <c r="D639" s="1441">
        <f>SUM(D638)</f>
        <v>2838064.4547000001</v>
      </c>
      <c r="E639" s="1609"/>
      <c r="F639" s="1512">
        <f>SUM(F638)</f>
        <v>8.7096999999999998</v>
      </c>
      <c r="G639" s="1575"/>
      <c r="H639" s="167">
        <f>SUM(H638)</f>
        <v>174.19399999999999</v>
      </c>
      <c r="I639" s="136">
        <f>SUM(I638)</f>
        <v>0</v>
      </c>
      <c r="J639" s="136">
        <f>SUM(J638)</f>
        <v>8534</v>
      </c>
      <c r="K639" s="136">
        <f>SUM(K638)</f>
        <v>15060</v>
      </c>
      <c r="L639" s="136">
        <f>SUM(L638)</f>
        <v>23594</v>
      </c>
      <c r="M639" s="1657"/>
      <c r="N639" s="1622"/>
    </row>
    <row r="640" spans="1:14" s="1161" customFormat="1" ht="17" thickBot="1">
      <c r="A640" s="108" t="s">
        <v>50</v>
      </c>
      <c r="B640" s="1457"/>
      <c r="C640" s="1586"/>
      <c r="D640" s="1567"/>
      <c r="E640" s="1586"/>
      <c r="F640" s="1587"/>
      <c r="G640" s="1588"/>
      <c r="H640" s="1145"/>
      <c r="I640" s="161"/>
      <c r="J640" s="161"/>
      <c r="K640" s="161"/>
      <c r="L640" s="162"/>
      <c r="M640" s="1617"/>
      <c r="N640" s="1486"/>
    </row>
    <row r="641" spans="1:14">
      <c r="A641" s="34" t="s">
        <v>13</v>
      </c>
      <c r="B641" s="1419">
        <v>19</v>
      </c>
      <c r="C641" s="1786"/>
      <c r="D641" s="1431">
        <f>F641*325851</f>
        <v>170876.26439999999</v>
      </c>
      <c r="E641" s="1422"/>
      <c r="F641" s="1756">
        <f>0.0276*B641</f>
        <v>0.52439999999999998</v>
      </c>
      <c r="G641" s="1757"/>
      <c r="H641" s="941">
        <f>F641*15</f>
        <v>7.8659999999999997</v>
      </c>
      <c r="I641" s="175">
        <v>0</v>
      </c>
      <c r="J641" s="175">
        <v>0</v>
      </c>
      <c r="K641" s="175">
        <v>4750</v>
      </c>
      <c r="L641" s="131">
        <f>I641+J641+K641</f>
        <v>4750</v>
      </c>
      <c r="M641" s="1928">
        <v>4.9000000000000004</v>
      </c>
      <c r="N641" s="1929"/>
    </row>
    <row r="642" spans="1:14">
      <c r="A642" s="34" t="s">
        <v>15</v>
      </c>
      <c r="B642" s="1696">
        <v>9</v>
      </c>
      <c r="C642" s="1743"/>
      <c r="D642" s="1431">
        <f>F642*325851</f>
        <v>449869.89060000004</v>
      </c>
      <c r="E642" s="1422"/>
      <c r="F642" s="1756">
        <f>0.1534*B642</f>
        <v>1.3806</v>
      </c>
      <c r="G642" s="1757"/>
      <c r="H642" s="941">
        <f>F642*5</f>
        <v>6.9030000000000005</v>
      </c>
      <c r="I642" s="131">
        <v>0</v>
      </c>
      <c r="J642" s="131">
        <v>900</v>
      </c>
      <c r="K642" s="131">
        <v>900</v>
      </c>
      <c r="L642" s="131">
        <f>I642+J642+K642</f>
        <v>1800</v>
      </c>
      <c r="M642" s="1788">
        <v>3.1</v>
      </c>
      <c r="N642" s="1789"/>
    </row>
    <row r="643" spans="1:14">
      <c r="A643" s="35" t="s">
        <v>16</v>
      </c>
      <c r="B643" s="1419">
        <v>35</v>
      </c>
      <c r="C643" s="1786"/>
      <c r="D643" s="1431">
        <f>F643*325851</f>
        <v>45619.140000000007</v>
      </c>
      <c r="E643" s="1422"/>
      <c r="F643" s="1756">
        <f>0.004*B643</f>
        <v>0.14000000000000001</v>
      </c>
      <c r="G643" s="1757"/>
      <c r="H643" s="941">
        <f>F643*5</f>
        <v>0.70000000000000007</v>
      </c>
      <c r="I643" s="175">
        <v>0</v>
      </c>
      <c r="J643" s="175">
        <v>0</v>
      </c>
      <c r="K643" s="175">
        <v>1750</v>
      </c>
      <c r="L643" s="131">
        <f>I643+J643+K643</f>
        <v>1750</v>
      </c>
      <c r="M643" s="1926">
        <v>0.5</v>
      </c>
      <c r="N643" s="1927"/>
    </row>
    <row r="644" spans="1:14">
      <c r="A644" s="35" t="s">
        <v>12</v>
      </c>
      <c r="B644" s="1696">
        <v>0</v>
      </c>
      <c r="C644" s="1743"/>
      <c r="D644" s="1431">
        <f>F644*325851</f>
        <v>0</v>
      </c>
      <c r="E644" s="1422"/>
      <c r="F644" s="1756">
        <f>3.2*B644</f>
        <v>0</v>
      </c>
      <c r="G644" s="1757"/>
      <c r="H644" s="941">
        <f>F644*5</f>
        <v>0</v>
      </c>
      <c r="I644" s="131">
        <v>0</v>
      </c>
      <c r="J644" s="131">
        <v>0</v>
      </c>
      <c r="K644" s="131">
        <v>0</v>
      </c>
      <c r="L644" s="132">
        <f>I644+J644+K644</f>
        <v>0</v>
      </c>
      <c r="M644" s="1758">
        <v>0</v>
      </c>
      <c r="N644" s="1759"/>
    </row>
    <row r="645" spans="1:14" ht="14" thickBot="1">
      <c r="A645" s="34" t="s">
        <v>21</v>
      </c>
      <c r="B645" s="1696" t="s">
        <v>22</v>
      </c>
      <c r="C645" s="1743"/>
      <c r="D645" s="1431" t="s">
        <v>22</v>
      </c>
      <c r="E645" s="1422"/>
      <c r="F645" s="1756" t="s">
        <v>22</v>
      </c>
      <c r="G645" s="1757"/>
      <c r="H645" s="941" t="s">
        <v>22</v>
      </c>
      <c r="I645" s="131" t="s">
        <v>22</v>
      </c>
      <c r="J645" s="131" t="s">
        <v>22</v>
      </c>
      <c r="K645" s="131" t="s">
        <v>22</v>
      </c>
      <c r="L645" s="131" t="s">
        <v>22</v>
      </c>
      <c r="M645" s="1788" t="s">
        <v>22</v>
      </c>
      <c r="N645" s="1789"/>
    </row>
    <row r="646" spans="1:14" ht="14" thickBot="1">
      <c r="A646" s="53" t="s">
        <v>60</v>
      </c>
      <c r="B646" s="1438">
        <f>SUM(B641:C645)</f>
        <v>63</v>
      </c>
      <c r="C646" s="1609"/>
      <c r="D646" s="1441">
        <f>SUM(D641:E645)</f>
        <v>666365.29500000004</v>
      </c>
      <c r="E646" s="1609"/>
      <c r="F646" s="1512">
        <f>SUM(F641:G645)</f>
        <v>2.0449999999999999</v>
      </c>
      <c r="G646" s="1575"/>
      <c r="H646" s="167">
        <f>SUM(H641:H645)</f>
        <v>15.468999999999999</v>
      </c>
      <c r="I646" s="136">
        <f>SUM(I641:I645)</f>
        <v>0</v>
      </c>
      <c r="J646" s="136">
        <f>SUM(J641:J645)</f>
        <v>900</v>
      </c>
      <c r="K646" s="136">
        <f>SUM(K641:K645)</f>
        <v>7400</v>
      </c>
      <c r="L646" s="136">
        <f>SUM(L641:L645)</f>
        <v>8300</v>
      </c>
      <c r="M646" s="1657"/>
      <c r="N646" s="1622"/>
    </row>
    <row r="647" spans="1:14" s="1161" customFormat="1" ht="17" thickBot="1">
      <c r="A647" s="1171" t="s">
        <v>17</v>
      </c>
      <c r="B647" s="1663">
        <f>SUM(B646,B639,B636)</f>
        <v>1146</v>
      </c>
      <c r="C647" s="1664"/>
      <c r="D647" s="1665">
        <f>SUM(D646,D639,D636)</f>
        <v>13415565.744000001</v>
      </c>
      <c r="E647" s="1664"/>
      <c r="F647" s="1666">
        <f>SUM(F646,F639,F636)</f>
        <v>41.173999999999999</v>
      </c>
      <c r="G647" s="1667"/>
      <c r="H647" s="1254">
        <f>H636+H639+H646</f>
        <v>718.51900000000001</v>
      </c>
      <c r="I647" s="1188">
        <f>I636+I639+I646</f>
        <v>0</v>
      </c>
      <c r="J647" s="1188">
        <f>SUM(J646,J639,J636)</f>
        <v>18272</v>
      </c>
      <c r="K647" s="1188">
        <f>SUM(K646,K639,K636)</f>
        <v>78400</v>
      </c>
      <c r="L647" s="1188">
        <f>SUM(L646,L639,L636)</f>
        <v>96672</v>
      </c>
      <c r="M647" s="1668"/>
      <c r="N647" s="1669"/>
    </row>
    <row r="649" spans="1:14" ht="15">
      <c r="A649" s="9" t="s">
        <v>18</v>
      </c>
      <c r="B649" s="1695" t="s">
        <v>59</v>
      </c>
      <c r="C649" s="1566"/>
      <c r="D649" s="1566"/>
      <c r="E649" s="1821"/>
    </row>
    <row r="650" spans="1:14">
      <c r="B650" s="1420" t="s">
        <v>19</v>
      </c>
      <c r="C650" s="1420"/>
      <c r="D650" s="1420"/>
      <c r="E650" s="1420"/>
    </row>
  </sheetData>
  <mergeCells count="2286">
    <mergeCell ref="B76:C76"/>
    <mergeCell ref="D76:E76"/>
    <mergeCell ref="F76:G76"/>
    <mergeCell ref="M76:N76"/>
    <mergeCell ref="B78:E78"/>
    <mergeCell ref="B79:E79"/>
    <mergeCell ref="B71:C71"/>
    <mergeCell ref="D71:E71"/>
    <mergeCell ref="F71:G71"/>
    <mergeCell ref="M71:N71"/>
    <mergeCell ref="B72:C72"/>
    <mergeCell ref="D72:E72"/>
    <mergeCell ref="F72:G72"/>
    <mergeCell ref="M72:N72"/>
    <mergeCell ref="B73:C73"/>
    <mergeCell ref="D73:E73"/>
    <mergeCell ref="F73:G73"/>
    <mergeCell ref="B74:C74"/>
    <mergeCell ref="D74:E74"/>
    <mergeCell ref="F74:G74"/>
    <mergeCell ref="M74:N74"/>
    <mergeCell ref="B75:C75"/>
    <mergeCell ref="D75:E75"/>
    <mergeCell ref="F75:G75"/>
    <mergeCell ref="M75:N75"/>
    <mergeCell ref="B66:C66"/>
    <mergeCell ref="D66:E66"/>
    <mergeCell ref="F66:G66"/>
    <mergeCell ref="M66:N66"/>
    <mergeCell ref="B67:C67"/>
    <mergeCell ref="D67:E67"/>
    <mergeCell ref="F67:G67"/>
    <mergeCell ref="M67:N67"/>
    <mergeCell ref="B68:C68"/>
    <mergeCell ref="D68:E68"/>
    <mergeCell ref="F68:G68"/>
    <mergeCell ref="M68:N68"/>
    <mergeCell ref="B69:C69"/>
    <mergeCell ref="D69:E69"/>
    <mergeCell ref="F69:G69"/>
    <mergeCell ref="M69:N69"/>
    <mergeCell ref="B70:C70"/>
    <mergeCell ref="D70:E70"/>
    <mergeCell ref="F70:G70"/>
    <mergeCell ref="M70:N70"/>
    <mergeCell ref="B61:C61"/>
    <mergeCell ref="D61:E61"/>
    <mergeCell ref="F61:G61"/>
    <mergeCell ref="M61:N61"/>
    <mergeCell ref="B62:C62"/>
    <mergeCell ref="D62:E62"/>
    <mergeCell ref="F62:G62"/>
    <mergeCell ref="M62:N62"/>
    <mergeCell ref="B63:C63"/>
    <mergeCell ref="D63:E63"/>
    <mergeCell ref="F63:G63"/>
    <mergeCell ref="M63:N63"/>
    <mergeCell ref="B64:C64"/>
    <mergeCell ref="D64:E64"/>
    <mergeCell ref="F64:G64"/>
    <mergeCell ref="M64:N64"/>
    <mergeCell ref="B65:C65"/>
    <mergeCell ref="D65:E65"/>
    <mergeCell ref="F65:G65"/>
    <mergeCell ref="M65:N65"/>
    <mergeCell ref="B56:C56"/>
    <mergeCell ref="D56:E56"/>
    <mergeCell ref="F56:G56"/>
    <mergeCell ref="M56:N56"/>
    <mergeCell ref="B57:C57"/>
    <mergeCell ref="D57:E57"/>
    <mergeCell ref="F57:G57"/>
    <mergeCell ref="M57:N57"/>
    <mergeCell ref="B58:C58"/>
    <mergeCell ref="D58:E58"/>
    <mergeCell ref="F58:G58"/>
    <mergeCell ref="M58:N58"/>
    <mergeCell ref="B59:C59"/>
    <mergeCell ref="D59:E59"/>
    <mergeCell ref="F59:G59"/>
    <mergeCell ref="M59:N59"/>
    <mergeCell ref="B60:C60"/>
    <mergeCell ref="D60:E60"/>
    <mergeCell ref="F60:G60"/>
    <mergeCell ref="B51:C51"/>
    <mergeCell ref="D51:E51"/>
    <mergeCell ref="F51:G51"/>
    <mergeCell ref="M51:N51"/>
    <mergeCell ref="B52:C52"/>
    <mergeCell ref="D52:E52"/>
    <mergeCell ref="F52:G52"/>
    <mergeCell ref="M52:N52"/>
    <mergeCell ref="B53:C53"/>
    <mergeCell ref="D53:E53"/>
    <mergeCell ref="F53:G53"/>
    <mergeCell ref="M53:N53"/>
    <mergeCell ref="B54:C54"/>
    <mergeCell ref="D54:E54"/>
    <mergeCell ref="F54:G54"/>
    <mergeCell ref="B55:C55"/>
    <mergeCell ref="D55:E55"/>
    <mergeCell ref="F55:G55"/>
    <mergeCell ref="M55:N55"/>
    <mergeCell ref="B46:C46"/>
    <mergeCell ref="D46:E46"/>
    <mergeCell ref="F46:G46"/>
    <mergeCell ref="M46:N46"/>
    <mergeCell ref="B47:C47"/>
    <mergeCell ref="D47:E47"/>
    <mergeCell ref="F47:G47"/>
    <mergeCell ref="M47:N47"/>
    <mergeCell ref="B48:C48"/>
    <mergeCell ref="D48:E48"/>
    <mergeCell ref="F48:G48"/>
    <mergeCell ref="M48:N48"/>
    <mergeCell ref="B49:C49"/>
    <mergeCell ref="D49:E49"/>
    <mergeCell ref="F49:G49"/>
    <mergeCell ref="M49:N49"/>
    <mergeCell ref="B50:C50"/>
    <mergeCell ref="D50:E50"/>
    <mergeCell ref="F50:G50"/>
    <mergeCell ref="M50:N50"/>
    <mergeCell ref="I41:L41"/>
    <mergeCell ref="B42:C42"/>
    <mergeCell ref="D42:E42"/>
    <mergeCell ref="F42:G42"/>
    <mergeCell ref="M42:N42"/>
    <mergeCell ref="B43:C43"/>
    <mergeCell ref="D43:E43"/>
    <mergeCell ref="F43:G43"/>
    <mergeCell ref="M43:N43"/>
    <mergeCell ref="B44:C44"/>
    <mergeCell ref="D44:E44"/>
    <mergeCell ref="F44:G44"/>
    <mergeCell ref="M44:N44"/>
    <mergeCell ref="B45:C45"/>
    <mergeCell ref="D45:E45"/>
    <mergeCell ref="F45:G45"/>
    <mergeCell ref="M45:N45"/>
    <mergeCell ref="B330:E330"/>
    <mergeCell ref="B331:E331"/>
    <mergeCell ref="B321:C321"/>
    <mergeCell ref="D321:E321"/>
    <mergeCell ref="F321:G321"/>
    <mergeCell ref="M321:N321"/>
    <mergeCell ref="B322:C322"/>
    <mergeCell ref="D322:E322"/>
    <mergeCell ref="F322:G322"/>
    <mergeCell ref="M322:N322"/>
    <mergeCell ref="B327:C327"/>
    <mergeCell ref="D327:E327"/>
    <mergeCell ref="F327:G327"/>
    <mergeCell ref="M327:N327"/>
    <mergeCell ref="B328:C328"/>
    <mergeCell ref="D328:E328"/>
    <mergeCell ref="F328:G328"/>
    <mergeCell ref="M328:N328"/>
    <mergeCell ref="B326:C326"/>
    <mergeCell ref="D326:E326"/>
    <mergeCell ref="F326:G326"/>
    <mergeCell ref="M326:N326"/>
    <mergeCell ref="B323:C323"/>
    <mergeCell ref="D323:E323"/>
    <mergeCell ref="B325:C325"/>
    <mergeCell ref="D325:E325"/>
    <mergeCell ref="F325:G325"/>
    <mergeCell ref="M325:N325"/>
    <mergeCell ref="B324:C324"/>
    <mergeCell ref="D324:E324"/>
    <mergeCell ref="F324:G324"/>
    <mergeCell ref="M324:N324"/>
    <mergeCell ref="B138:C138"/>
    <mergeCell ref="D138:E138"/>
    <mergeCell ref="F138:G138"/>
    <mergeCell ref="M138:N138"/>
    <mergeCell ref="B178:C178"/>
    <mergeCell ref="D178:E178"/>
    <mergeCell ref="F178:G178"/>
    <mergeCell ref="M178:N178"/>
    <mergeCell ref="B316:C316"/>
    <mergeCell ref="D316:E316"/>
    <mergeCell ref="F316:G316"/>
    <mergeCell ref="M316:N316"/>
    <mergeCell ref="B317:C317"/>
    <mergeCell ref="D317:E317"/>
    <mergeCell ref="F317:G317"/>
    <mergeCell ref="M317:N317"/>
    <mergeCell ref="B314:C314"/>
    <mergeCell ref="D314:E314"/>
    <mergeCell ref="F314:G314"/>
    <mergeCell ref="M314:N314"/>
    <mergeCell ref="B315:C315"/>
    <mergeCell ref="D315:E315"/>
    <mergeCell ref="F315:G315"/>
    <mergeCell ref="M315:N315"/>
    <mergeCell ref="B308:C308"/>
    <mergeCell ref="D308:E308"/>
    <mergeCell ref="F308:G308"/>
    <mergeCell ref="M308:N308"/>
    <mergeCell ref="B309:C309"/>
    <mergeCell ref="D309:E309"/>
    <mergeCell ref="F309:G309"/>
    <mergeCell ref="M309:N309"/>
    <mergeCell ref="F323:G323"/>
    <mergeCell ref="M323:N323"/>
    <mergeCell ref="B320:C320"/>
    <mergeCell ref="D320:E320"/>
    <mergeCell ref="F320:G320"/>
    <mergeCell ref="M320:N320"/>
    <mergeCell ref="B312:C312"/>
    <mergeCell ref="D312:E312"/>
    <mergeCell ref="F312:G312"/>
    <mergeCell ref="M312:N312"/>
    <mergeCell ref="B313:C313"/>
    <mergeCell ref="D313:E313"/>
    <mergeCell ref="F313:G313"/>
    <mergeCell ref="M313:N313"/>
    <mergeCell ref="B310:C310"/>
    <mergeCell ref="D310:E310"/>
    <mergeCell ref="F310:G310"/>
    <mergeCell ref="M310:N310"/>
    <mergeCell ref="B311:C311"/>
    <mergeCell ref="D311:E311"/>
    <mergeCell ref="F311:G311"/>
    <mergeCell ref="M311:N311"/>
    <mergeCell ref="B318:C318"/>
    <mergeCell ref="D318:E318"/>
    <mergeCell ref="F318:G318"/>
    <mergeCell ref="M318:N318"/>
    <mergeCell ref="B319:C319"/>
    <mergeCell ref="D319:E319"/>
    <mergeCell ref="F319:G319"/>
    <mergeCell ref="M319:N319"/>
    <mergeCell ref="B306:C306"/>
    <mergeCell ref="D306:E306"/>
    <mergeCell ref="F306:G306"/>
    <mergeCell ref="M306:N306"/>
    <mergeCell ref="B307:C307"/>
    <mergeCell ref="D307:E307"/>
    <mergeCell ref="F307:G307"/>
    <mergeCell ref="M307:N307"/>
    <mergeCell ref="B303:C303"/>
    <mergeCell ref="D303:E303"/>
    <mergeCell ref="F303:G303"/>
    <mergeCell ref="M303:N303"/>
    <mergeCell ref="B305:C305"/>
    <mergeCell ref="D305:E305"/>
    <mergeCell ref="F305:G305"/>
    <mergeCell ref="M305:N305"/>
    <mergeCell ref="B304:C304"/>
    <mergeCell ref="D304:E304"/>
    <mergeCell ref="F304:G304"/>
    <mergeCell ref="M304:N304"/>
    <mergeCell ref="B300:C300"/>
    <mergeCell ref="D300:E300"/>
    <mergeCell ref="F300:G300"/>
    <mergeCell ref="M300:N300"/>
    <mergeCell ref="B302:C302"/>
    <mergeCell ref="D302:E302"/>
    <mergeCell ref="F302:G302"/>
    <mergeCell ref="M302:N302"/>
    <mergeCell ref="B298:C298"/>
    <mergeCell ref="D298:E298"/>
    <mergeCell ref="F298:G298"/>
    <mergeCell ref="M298:N298"/>
    <mergeCell ref="B299:C299"/>
    <mergeCell ref="D299:E299"/>
    <mergeCell ref="F299:G299"/>
    <mergeCell ref="M299:N299"/>
    <mergeCell ref="B296:C296"/>
    <mergeCell ref="D296:E296"/>
    <mergeCell ref="F296:G296"/>
    <mergeCell ref="M296:N296"/>
    <mergeCell ref="B297:C297"/>
    <mergeCell ref="D297:E297"/>
    <mergeCell ref="F297:G297"/>
    <mergeCell ref="M297:N297"/>
    <mergeCell ref="B301:C301"/>
    <mergeCell ref="D301:E301"/>
    <mergeCell ref="F301:G301"/>
    <mergeCell ref="M301:N301"/>
    <mergeCell ref="B294:C294"/>
    <mergeCell ref="D294:E294"/>
    <mergeCell ref="F294:G294"/>
    <mergeCell ref="M294:N294"/>
    <mergeCell ref="B295:C295"/>
    <mergeCell ref="D295:E295"/>
    <mergeCell ref="F295:G295"/>
    <mergeCell ref="M295:N295"/>
    <mergeCell ref="I291:L291"/>
    <mergeCell ref="B292:C292"/>
    <mergeCell ref="D292:E292"/>
    <mergeCell ref="F292:G292"/>
    <mergeCell ref="M292:N292"/>
    <mergeCell ref="B293:C293"/>
    <mergeCell ref="D293:E293"/>
    <mergeCell ref="F293:G293"/>
    <mergeCell ref="M293:N293"/>
    <mergeCell ref="B361:C361"/>
    <mergeCell ref="D361:E361"/>
    <mergeCell ref="F361:G361"/>
    <mergeCell ref="M361:N361"/>
    <mergeCell ref="B397:C397"/>
    <mergeCell ref="D397:E397"/>
    <mergeCell ref="F397:G397"/>
    <mergeCell ref="M397:N397"/>
    <mergeCell ref="B393:C393"/>
    <mergeCell ref="D393:E393"/>
    <mergeCell ref="B399:E399"/>
    <mergeCell ref="B400:E400"/>
    <mergeCell ref="B379:C379"/>
    <mergeCell ref="B395:C395"/>
    <mergeCell ref="M379:N379"/>
    <mergeCell ref="M395:N395"/>
    <mergeCell ref="B396:C396"/>
    <mergeCell ref="D396:E396"/>
    <mergeCell ref="F396:G396"/>
    <mergeCell ref="M396:N396"/>
    <mergeCell ref="F393:G393"/>
    <mergeCell ref="M393:N393"/>
    <mergeCell ref="B394:C394"/>
    <mergeCell ref="D394:E394"/>
    <mergeCell ref="F394:G394"/>
    <mergeCell ref="M394:N394"/>
    <mergeCell ref="B391:C391"/>
    <mergeCell ref="D391:E391"/>
    <mergeCell ref="F391:G391"/>
    <mergeCell ref="M391:N391"/>
    <mergeCell ref="B392:C392"/>
    <mergeCell ref="D392:E392"/>
    <mergeCell ref="F392:G392"/>
    <mergeCell ref="M392:N392"/>
    <mergeCell ref="B389:C389"/>
    <mergeCell ref="D389:E389"/>
    <mergeCell ref="F389:G389"/>
    <mergeCell ref="M389:N389"/>
    <mergeCell ref="B390:C390"/>
    <mergeCell ref="D390:E390"/>
    <mergeCell ref="F390:G390"/>
    <mergeCell ref="M390:N390"/>
    <mergeCell ref="B387:C387"/>
    <mergeCell ref="D387:E387"/>
    <mergeCell ref="F387:G387"/>
    <mergeCell ref="M387:N387"/>
    <mergeCell ref="B388:C388"/>
    <mergeCell ref="D388:E388"/>
    <mergeCell ref="F388:G388"/>
    <mergeCell ref="M388:N388"/>
    <mergeCell ref="B385:C385"/>
    <mergeCell ref="D385:E385"/>
    <mergeCell ref="F385:G385"/>
    <mergeCell ref="M385:N385"/>
    <mergeCell ref="B386:C386"/>
    <mergeCell ref="D386:E386"/>
    <mergeCell ref="F386:G386"/>
    <mergeCell ref="M386:N386"/>
    <mergeCell ref="B383:C383"/>
    <mergeCell ref="D383:E383"/>
    <mergeCell ref="F383:G383"/>
    <mergeCell ref="M383:N383"/>
    <mergeCell ref="B384:C384"/>
    <mergeCell ref="D384:E384"/>
    <mergeCell ref="F384:G384"/>
    <mergeCell ref="M384:N384"/>
    <mergeCell ref="B381:C381"/>
    <mergeCell ref="D381:E381"/>
    <mergeCell ref="F381:G381"/>
    <mergeCell ref="M381:N381"/>
    <mergeCell ref="B382:C382"/>
    <mergeCell ref="D382:E382"/>
    <mergeCell ref="F382:G382"/>
    <mergeCell ref="M382:N382"/>
    <mergeCell ref="B378:C378"/>
    <mergeCell ref="D378:E378"/>
    <mergeCell ref="F378:G378"/>
    <mergeCell ref="M378:N378"/>
    <mergeCell ref="B380:C380"/>
    <mergeCell ref="D380:E380"/>
    <mergeCell ref="F380:G380"/>
    <mergeCell ref="M380:N380"/>
    <mergeCell ref="D379:E379"/>
    <mergeCell ref="F379:G379"/>
    <mergeCell ref="B377:C377"/>
    <mergeCell ref="D377:E377"/>
    <mergeCell ref="F377:G377"/>
    <mergeCell ref="M377:N377"/>
    <mergeCell ref="B375:C375"/>
    <mergeCell ref="D375:E375"/>
    <mergeCell ref="F375:G375"/>
    <mergeCell ref="M375:N375"/>
    <mergeCell ref="B376:C376"/>
    <mergeCell ref="D376:E376"/>
    <mergeCell ref="F376:G376"/>
    <mergeCell ref="M376:N376"/>
    <mergeCell ref="B374:C374"/>
    <mergeCell ref="D374:E374"/>
    <mergeCell ref="F374:G374"/>
    <mergeCell ref="M374:N374"/>
    <mergeCell ref="B372:C372"/>
    <mergeCell ref="D372:E372"/>
    <mergeCell ref="F372:G372"/>
    <mergeCell ref="M372:N372"/>
    <mergeCell ref="B373:C373"/>
    <mergeCell ref="D373:E373"/>
    <mergeCell ref="F373:G373"/>
    <mergeCell ref="M373:N373"/>
    <mergeCell ref="I369:L369"/>
    <mergeCell ref="B370:C370"/>
    <mergeCell ref="D370:E370"/>
    <mergeCell ref="F370:G370"/>
    <mergeCell ref="M370:N370"/>
    <mergeCell ref="B371:C371"/>
    <mergeCell ref="D371:E371"/>
    <mergeCell ref="F371:G371"/>
    <mergeCell ref="M371:N371"/>
    <mergeCell ref="F624:G624"/>
    <mergeCell ref="F619:G619"/>
    <mergeCell ref="D600:E600"/>
    <mergeCell ref="D601:E601"/>
    <mergeCell ref="F600:G600"/>
    <mergeCell ref="B608:C608"/>
    <mergeCell ref="D608:E608"/>
    <mergeCell ref="F608:G608"/>
    <mergeCell ref="B600:C600"/>
    <mergeCell ref="B607:C607"/>
    <mergeCell ref="F622:G622"/>
    <mergeCell ref="M622:N622"/>
    <mergeCell ref="B625:C625"/>
    <mergeCell ref="M608:N608"/>
    <mergeCell ref="D625:E625"/>
    <mergeCell ref="F625:G625"/>
    <mergeCell ref="M625:N625"/>
    <mergeCell ref="F620:G620"/>
    <mergeCell ref="M620:N620"/>
    <mergeCell ref="D621:E621"/>
    <mergeCell ref="F621:G621"/>
    <mergeCell ref="M621:N621"/>
    <mergeCell ref="B623:C623"/>
    <mergeCell ref="D623:E623"/>
    <mergeCell ref="F623:G623"/>
    <mergeCell ref="M623:N623"/>
    <mergeCell ref="B621:C621"/>
    <mergeCell ref="D640:E640"/>
    <mergeCell ref="F640:G640"/>
    <mergeCell ref="M640:N640"/>
    <mergeCell ref="M638:N638"/>
    <mergeCell ref="F638:G638"/>
    <mergeCell ref="F639:G639"/>
    <mergeCell ref="M639:N639"/>
    <mergeCell ref="B638:C638"/>
    <mergeCell ref="D639:E639"/>
    <mergeCell ref="B646:C646"/>
    <mergeCell ref="D646:E646"/>
    <mergeCell ref="F646:G646"/>
    <mergeCell ref="M646:N646"/>
    <mergeCell ref="F645:G645"/>
    <mergeCell ref="M645:N645"/>
    <mergeCell ref="B633:C633"/>
    <mergeCell ref="D633:E633"/>
    <mergeCell ref="F633:G633"/>
    <mergeCell ref="M641:N641"/>
    <mergeCell ref="B642:C642"/>
    <mergeCell ref="D642:E642"/>
    <mergeCell ref="F642:G642"/>
    <mergeCell ref="M642:N642"/>
    <mergeCell ref="M643:N643"/>
    <mergeCell ref="D638:E638"/>
    <mergeCell ref="B634:C634"/>
    <mergeCell ref="D634:E634"/>
    <mergeCell ref="F634:G634"/>
    <mergeCell ref="M634:N634"/>
    <mergeCell ref="D636:E636"/>
    <mergeCell ref="F636:G636"/>
    <mergeCell ref="D643:E643"/>
    <mergeCell ref="F578:G578"/>
    <mergeCell ref="M578:N578"/>
    <mergeCell ref="D576:E576"/>
    <mergeCell ref="D565:E565"/>
    <mergeCell ref="B570:C570"/>
    <mergeCell ref="B577:C577"/>
    <mergeCell ref="D577:E577"/>
    <mergeCell ref="D567:E567"/>
    <mergeCell ref="M571:N571"/>
    <mergeCell ref="B591:C591"/>
    <mergeCell ref="D591:E591"/>
    <mergeCell ref="B635:C635"/>
    <mergeCell ref="D635:E635"/>
    <mergeCell ref="B593:C593"/>
    <mergeCell ref="D593:E593"/>
    <mergeCell ref="B620:C620"/>
    <mergeCell ref="B626:C626"/>
    <mergeCell ref="D626:E626"/>
    <mergeCell ref="B630:C630"/>
    <mergeCell ref="D630:E630"/>
    <mergeCell ref="F630:G630"/>
    <mergeCell ref="M630:N630"/>
    <mergeCell ref="B631:C631"/>
    <mergeCell ref="D631:E631"/>
    <mergeCell ref="M600:N600"/>
    <mergeCell ref="B584:C584"/>
    <mergeCell ref="D584:E584"/>
    <mergeCell ref="B632:C632"/>
    <mergeCell ref="B624:C624"/>
    <mergeCell ref="D624:E624"/>
    <mergeCell ref="F601:G601"/>
    <mergeCell ref="M601:N601"/>
    <mergeCell ref="B530:C530"/>
    <mergeCell ref="D530:E530"/>
    <mergeCell ref="F530:G530"/>
    <mergeCell ref="M530:N530"/>
    <mergeCell ref="B589:C589"/>
    <mergeCell ref="D589:E589"/>
    <mergeCell ref="F589:G589"/>
    <mergeCell ref="M589:N589"/>
    <mergeCell ref="D579:E579"/>
    <mergeCell ref="F586:G586"/>
    <mergeCell ref="I528:L528"/>
    <mergeCell ref="B529:C529"/>
    <mergeCell ref="D529:E529"/>
    <mergeCell ref="F529:G529"/>
    <mergeCell ref="M529:N529"/>
    <mergeCell ref="B517:C517"/>
    <mergeCell ref="B518:C518"/>
    <mergeCell ref="B519:C519"/>
    <mergeCell ref="D519:E519"/>
    <mergeCell ref="B520:C520"/>
    <mergeCell ref="D552:E552"/>
    <mergeCell ref="D570:E570"/>
    <mergeCell ref="B567:C567"/>
    <mergeCell ref="B579:C579"/>
    <mergeCell ref="B565:C565"/>
    <mergeCell ref="B564:C564"/>
    <mergeCell ref="B568:C568"/>
    <mergeCell ref="B576:C576"/>
    <mergeCell ref="B543:C543"/>
    <mergeCell ref="D543:E543"/>
    <mergeCell ref="F543:G543"/>
    <mergeCell ref="B540:C540"/>
    <mergeCell ref="M493:N493"/>
    <mergeCell ref="B494:C494"/>
    <mergeCell ref="D494:E494"/>
    <mergeCell ref="F494:G494"/>
    <mergeCell ref="M494:N494"/>
    <mergeCell ref="B496:C496"/>
    <mergeCell ref="D496:E496"/>
    <mergeCell ref="F496:G496"/>
    <mergeCell ref="M496:N496"/>
    <mergeCell ref="B495:C495"/>
    <mergeCell ref="B512:C512"/>
    <mergeCell ref="D512:E512"/>
    <mergeCell ref="F512:G512"/>
    <mergeCell ref="M512:N512"/>
    <mergeCell ref="M517:N517"/>
    <mergeCell ref="B514:C514"/>
    <mergeCell ref="D514:E514"/>
    <mergeCell ref="F514:G514"/>
    <mergeCell ref="M514:N514"/>
    <mergeCell ref="B516:C516"/>
    <mergeCell ref="D511:E511"/>
    <mergeCell ref="F511:G511"/>
    <mergeCell ref="M511:N511"/>
    <mergeCell ref="B510:C510"/>
    <mergeCell ref="D510:E510"/>
    <mergeCell ref="F510:G510"/>
    <mergeCell ref="M510:N510"/>
    <mergeCell ref="B511:C511"/>
    <mergeCell ref="F515:G515"/>
    <mergeCell ref="M515:N515"/>
    <mergeCell ref="D517:E517"/>
    <mergeCell ref="F517:G517"/>
    <mergeCell ref="M495:N495"/>
    <mergeCell ref="M499:N499"/>
    <mergeCell ref="M501:N501"/>
    <mergeCell ref="F505:G505"/>
    <mergeCell ref="M505:N505"/>
    <mergeCell ref="B592:C592"/>
    <mergeCell ref="D592:E592"/>
    <mergeCell ref="F506:G506"/>
    <mergeCell ref="M506:N506"/>
    <mergeCell ref="B508:C508"/>
    <mergeCell ref="D508:E508"/>
    <mergeCell ref="F508:G508"/>
    <mergeCell ref="M508:N508"/>
    <mergeCell ref="B509:C509"/>
    <mergeCell ref="D509:E509"/>
    <mergeCell ref="F509:G509"/>
    <mergeCell ref="M509:N509"/>
    <mergeCell ref="B504:C504"/>
    <mergeCell ref="B505:C505"/>
    <mergeCell ref="D505:E505"/>
    <mergeCell ref="B507:C507"/>
    <mergeCell ref="F507:G507"/>
    <mergeCell ref="M507:N507"/>
    <mergeCell ref="D518:E518"/>
    <mergeCell ref="F518:G518"/>
    <mergeCell ref="M518:N518"/>
    <mergeCell ref="D520:E520"/>
    <mergeCell ref="F520:G520"/>
    <mergeCell ref="M520:N520"/>
    <mergeCell ref="B513:C513"/>
    <mergeCell ref="D513:E513"/>
    <mergeCell ref="F513:G513"/>
    <mergeCell ref="D553:E553"/>
    <mergeCell ref="F553:G553"/>
    <mergeCell ref="D551:E551"/>
    <mergeCell ref="F551:G551"/>
    <mergeCell ref="D549:E549"/>
    <mergeCell ref="F552:G552"/>
    <mergeCell ref="B552:C552"/>
    <mergeCell ref="D538:E538"/>
    <mergeCell ref="F539:G539"/>
    <mergeCell ref="D539:E539"/>
    <mergeCell ref="B650:E650"/>
    <mergeCell ref="B555:E555"/>
    <mergeCell ref="B556:E556"/>
    <mergeCell ref="B603:E603"/>
    <mergeCell ref="B604:E604"/>
    <mergeCell ref="F493:G493"/>
    <mergeCell ref="B498:C498"/>
    <mergeCell ref="D498:E498"/>
    <mergeCell ref="F498:G498"/>
    <mergeCell ref="B497:C497"/>
    <mergeCell ref="B649:E649"/>
    <mergeCell ref="D497:E497"/>
    <mergeCell ref="F497:G497"/>
    <mergeCell ref="D637:E637"/>
    <mergeCell ref="B601:C601"/>
    <mergeCell ref="B499:C499"/>
    <mergeCell ref="D499:E499"/>
    <mergeCell ref="F499:G499"/>
    <mergeCell ref="B546:C546"/>
    <mergeCell ref="B569:C569"/>
    <mergeCell ref="D569:E569"/>
    <mergeCell ref="D495:E495"/>
    <mergeCell ref="M553:N553"/>
    <mergeCell ref="M546:N546"/>
    <mergeCell ref="M538:N538"/>
    <mergeCell ref="D545:E545"/>
    <mergeCell ref="M545:N545"/>
    <mergeCell ref="F545:G545"/>
    <mergeCell ref="M550:N550"/>
    <mergeCell ref="B535:C535"/>
    <mergeCell ref="B537:C537"/>
    <mergeCell ref="F537:G537"/>
    <mergeCell ref="B553:C553"/>
    <mergeCell ref="M534:N534"/>
    <mergeCell ref="F549:G549"/>
    <mergeCell ref="M539:N539"/>
    <mergeCell ref="B549:C549"/>
    <mergeCell ref="B538:C538"/>
    <mergeCell ref="B536:C536"/>
    <mergeCell ref="M540:N540"/>
    <mergeCell ref="M542:N542"/>
    <mergeCell ref="M543:N543"/>
    <mergeCell ref="D536:E536"/>
    <mergeCell ref="F536:G536"/>
    <mergeCell ref="D535:E535"/>
    <mergeCell ref="M537:N537"/>
    <mergeCell ref="B541:C541"/>
    <mergeCell ref="D541:E541"/>
    <mergeCell ref="M541:N541"/>
    <mergeCell ref="F547:G547"/>
    <mergeCell ref="M547:N547"/>
    <mergeCell ref="B539:C539"/>
    <mergeCell ref="D546:E546"/>
    <mergeCell ref="B545:C545"/>
    <mergeCell ref="F540:G540"/>
    <mergeCell ref="B491:C491"/>
    <mergeCell ref="D491:E491"/>
    <mergeCell ref="F491:G491"/>
    <mergeCell ref="M491:N491"/>
    <mergeCell ref="B492:C492"/>
    <mergeCell ref="D492:E492"/>
    <mergeCell ref="B548:C548"/>
    <mergeCell ref="D548:E548"/>
    <mergeCell ref="D544:E544"/>
    <mergeCell ref="F544:G544"/>
    <mergeCell ref="D531:E531"/>
    <mergeCell ref="D534:E534"/>
    <mergeCell ref="F534:G534"/>
    <mergeCell ref="F538:G538"/>
    <mergeCell ref="F492:G492"/>
    <mergeCell ref="B500:C500"/>
    <mergeCell ref="D500:E500"/>
    <mergeCell ref="F500:G500"/>
    <mergeCell ref="B525:E525"/>
    <mergeCell ref="B534:C534"/>
    <mergeCell ref="B493:C493"/>
    <mergeCell ref="D493:E493"/>
    <mergeCell ref="M544:N544"/>
    <mergeCell ref="D540:E540"/>
    <mergeCell ref="F541:G541"/>
    <mergeCell ref="B542:C542"/>
    <mergeCell ref="D542:E542"/>
    <mergeCell ref="F542:G542"/>
    <mergeCell ref="B544:C544"/>
    <mergeCell ref="B547:C547"/>
    <mergeCell ref="D547:E547"/>
    <mergeCell ref="F531:G531"/>
    <mergeCell ref="F535:G535"/>
    <mergeCell ref="M536:N536"/>
    <mergeCell ref="I488:L488"/>
    <mergeCell ref="B489:C489"/>
    <mergeCell ref="D489:E489"/>
    <mergeCell ref="F489:G489"/>
    <mergeCell ref="B531:C531"/>
    <mergeCell ref="M492:N492"/>
    <mergeCell ref="M535:N535"/>
    <mergeCell ref="B533:C533"/>
    <mergeCell ref="D533:E533"/>
    <mergeCell ref="F533:G533"/>
    <mergeCell ref="M533:N533"/>
    <mergeCell ref="M531:N531"/>
    <mergeCell ref="B532:C532"/>
    <mergeCell ref="D532:E532"/>
    <mergeCell ref="F532:G532"/>
    <mergeCell ref="M532:N532"/>
    <mergeCell ref="M523:N523"/>
    <mergeCell ref="B521:C521"/>
    <mergeCell ref="D521:E521"/>
    <mergeCell ref="F521:G521"/>
    <mergeCell ref="M521:N521"/>
    <mergeCell ref="M489:N489"/>
    <mergeCell ref="B490:C490"/>
    <mergeCell ref="D490:E490"/>
    <mergeCell ref="F490:G490"/>
    <mergeCell ref="M490:N490"/>
    <mergeCell ref="M498:N498"/>
    <mergeCell ref="M497:N497"/>
    <mergeCell ref="F495:G495"/>
    <mergeCell ref="D537:E537"/>
    <mergeCell ref="D564:E564"/>
    <mergeCell ref="F564:G564"/>
    <mergeCell ref="M564:N564"/>
    <mergeCell ref="M561:N561"/>
    <mergeCell ref="M551:N551"/>
    <mergeCell ref="I558:L558"/>
    <mergeCell ref="D562:E562"/>
    <mergeCell ref="F562:G562"/>
    <mergeCell ref="M559:N559"/>
    <mergeCell ref="D561:E561"/>
    <mergeCell ref="B559:C559"/>
    <mergeCell ref="D559:E559"/>
    <mergeCell ref="F559:G559"/>
    <mergeCell ref="M549:N549"/>
    <mergeCell ref="M568:N568"/>
    <mergeCell ref="B550:C550"/>
    <mergeCell ref="D550:E550"/>
    <mergeCell ref="F550:G550"/>
    <mergeCell ref="F565:G565"/>
    <mergeCell ref="M565:N565"/>
    <mergeCell ref="B551:C551"/>
    <mergeCell ref="M552:N552"/>
    <mergeCell ref="F566:G566"/>
    <mergeCell ref="B563:C563"/>
    <mergeCell ref="M562:N562"/>
    <mergeCell ref="D563:E563"/>
    <mergeCell ref="F563:G563"/>
    <mergeCell ref="F561:G561"/>
    <mergeCell ref="F548:G548"/>
    <mergeCell ref="M548:N548"/>
    <mergeCell ref="F546:G546"/>
    <mergeCell ref="F570:G570"/>
    <mergeCell ref="M570:N570"/>
    <mergeCell ref="F567:G567"/>
    <mergeCell ref="F568:G568"/>
    <mergeCell ref="B578:C578"/>
    <mergeCell ref="M582:N582"/>
    <mergeCell ref="B598:C598"/>
    <mergeCell ref="D598:E598"/>
    <mergeCell ref="B595:C595"/>
    <mergeCell ref="D566:E566"/>
    <mergeCell ref="D596:E596"/>
    <mergeCell ref="B596:C596"/>
    <mergeCell ref="B582:C582"/>
    <mergeCell ref="B586:C586"/>
    <mergeCell ref="B597:C597"/>
    <mergeCell ref="B588:C588"/>
    <mergeCell ref="D597:E597"/>
    <mergeCell ref="F592:G592"/>
    <mergeCell ref="B583:C583"/>
    <mergeCell ref="D582:E582"/>
    <mergeCell ref="F582:G582"/>
    <mergeCell ref="M566:N566"/>
    <mergeCell ref="B571:C571"/>
    <mergeCell ref="M598:N598"/>
    <mergeCell ref="F598:G598"/>
    <mergeCell ref="D590:E590"/>
    <mergeCell ref="F590:G590"/>
    <mergeCell ref="D588:E588"/>
    <mergeCell ref="F588:G588"/>
    <mergeCell ref="F596:G596"/>
    <mergeCell ref="D595:E595"/>
    <mergeCell ref="D578:E578"/>
    <mergeCell ref="M599:N599"/>
    <mergeCell ref="F595:G595"/>
    <mergeCell ref="D607:E607"/>
    <mergeCell ref="F607:G607"/>
    <mergeCell ref="B599:C599"/>
    <mergeCell ref="D599:E599"/>
    <mergeCell ref="F599:G599"/>
    <mergeCell ref="D594:E594"/>
    <mergeCell ref="M618:N618"/>
    <mergeCell ref="M615:N615"/>
    <mergeCell ref="M617:N617"/>
    <mergeCell ref="M614:N614"/>
    <mergeCell ref="I606:L606"/>
    <mergeCell ref="F616:G616"/>
    <mergeCell ref="M607:N607"/>
    <mergeCell ref="F610:G610"/>
    <mergeCell ref="B618:C618"/>
    <mergeCell ref="B614:C614"/>
    <mergeCell ref="B616:C616"/>
    <mergeCell ref="D616:E616"/>
    <mergeCell ref="M616:N616"/>
    <mergeCell ref="B617:C617"/>
    <mergeCell ref="B615:C615"/>
    <mergeCell ref="D615:E615"/>
    <mergeCell ref="F615:G615"/>
    <mergeCell ref="F614:G614"/>
    <mergeCell ref="B609:C609"/>
    <mergeCell ref="B647:C647"/>
    <mergeCell ref="D647:E647"/>
    <mergeCell ref="F647:G647"/>
    <mergeCell ref="M647:N647"/>
    <mergeCell ref="B645:C645"/>
    <mergeCell ref="D645:E645"/>
    <mergeCell ref="B611:C611"/>
    <mergeCell ref="F611:G611"/>
    <mergeCell ref="M610:N610"/>
    <mergeCell ref="B613:C613"/>
    <mergeCell ref="D613:E613"/>
    <mergeCell ref="F613:G613"/>
    <mergeCell ref="M613:N613"/>
    <mergeCell ref="M611:N611"/>
    <mergeCell ref="D612:E612"/>
    <mergeCell ref="M612:N612"/>
    <mergeCell ref="D610:E610"/>
    <mergeCell ref="B644:C644"/>
    <mergeCell ref="D644:E644"/>
    <mergeCell ref="F644:G644"/>
    <mergeCell ref="M644:N644"/>
    <mergeCell ref="B636:C636"/>
    <mergeCell ref="D632:E632"/>
    <mergeCell ref="F632:G632"/>
    <mergeCell ref="M632:N632"/>
    <mergeCell ref="B639:C639"/>
    <mergeCell ref="B643:C643"/>
    <mergeCell ref="M636:N636"/>
    <mergeCell ref="F626:G626"/>
    <mergeCell ref="M626:N626"/>
    <mergeCell ref="M633:N633"/>
    <mergeCell ref="B640:C640"/>
    <mergeCell ref="F643:G643"/>
    <mergeCell ref="D617:E617"/>
    <mergeCell ref="F617:G617"/>
    <mergeCell ref="M624:N624"/>
    <mergeCell ref="M584:N584"/>
    <mergeCell ref="M575:N575"/>
    <mergeCell ref="F584:G584"/>
    <mergeCell ref="F576:G576"/>
    <mergeCell ref="F575:G575"/>
    <mergeCell ref="M576:N576"/>
    <mergeCell ref="F577:G577"/>
    <mergeCell ref="M577:N577"/>
    <mergeCell ref="B575:C575"/>
    <mergeCell ref="F631:G631"/>
    <mergeCell ref="M631:N631"/>
    <mergeCell ref="F637:G637"/>
    <mergeCell ref="M637:N637"/>
    <mergeCell ref="F635:G635"/>
    <mergeCell ref="M635:N635"/>
    <mergeCell ref="B641:C641"/>
    <mergeCell ref="D641:E641"/>
    <mergeCell ref="F641:G641"/>
    <mergeCell ref="D609:E609"/>
    <mergeCell ref="F609:G609"/>
    <mergeCell ref="B612:C612"/>
    <mergeCell ref="F612:G612"/>
    <mergeCell ref="D618:E618"/>
    <mergeCell ref="F618:G618"/>
    <mergeCell ref="B610:C610"/>
    <mergeCell ref="D614:E614"/>
    <mergeCell ref="D611:E611"/>
    <mergeCell ref="D622:E622"/>
    <mergeCell ref="B637:C637"/>
    <mergeCell ref="M609:N609"/>
    <mergeCell ref="B585:C585"/>
    <mergeCell ref="D585:E585"/>
    <mergeCell ref="D586:E586"/>
    <mergeCell ref="M586:N586"/>
    <mergeCell ref="B587:C587"/>
    <mergeCell ref="D587:E587"/>
    <mergeCell ref="M590:N590"/>
    <mergeCell ref="B594:C594"/>
    <mergeCell ref="B590:C590"/>
    <mergeCell ref="M591:N591"/>
    <mergeCell ref="F593:G593"/>
    <mergeCell ref="M593:N593"/>
    <mergeCell ref="M594:N594"/>
    <mergeCell ref="M592:N592"/>
    <mergeCell ref="F591:G591"/>
    <mergeCell ref="F594:G594"/>
    <mergeCell ref="M588:N588"/>
    <mergeCell ref="F585:G585"/>
    <mergeCell ref="M585:N585"/>
    <mergeCell ref="F587:G587"/>
    <mergeCell ref="M587:N587"/>
    <mergeCell ref="B622:C622"/>
    <mergeCell ref="D620:E620"/>
    <mergeCell ref="B619:C619"/>
    <mergeCell ref="D619:E619"/>
    <mergeCell ref="M619:N619"/>
    <mergeCell ref="M596:N596"/>
    <mergeCell ref="M595:N595"/>
    <mergeCell ref="F597:G597"/>
    <mergeCell ref="M597:N597"/>
    <mergeCell ref="D575:E575"/>
    <mergeCell ref="D568:E568"/>
    <mergeCell ref="M573:N573"/>
    <mergeCell ref="B562:C562"/>
    <mergeCell ref="D571:E571"/>
    <mergeCell ref="B560:C560"/>
    <mergeCell ref="D560:E560"/>
    <mergeCell ref="F560:G560"/>
    <mergeCell ref="M560:N560"/>
    <mergeCell ref="B572:C572"/>
    <mergeCell ref="D572:E572"/>
    <mergeCell ref="F572:G572"/>
    <mergeCell ref="M572:N572"/>
    <mergeCell ref="M563:N563"/>
    <mergeCell ref="B561:C561"/>
    <mergeCell ref="D583:E583"/>
    <mergeCell ref="F583:G583"/>
    <mergeCell ref="F569:G569"/>
    <mergeCell ref="M569:N569"/>
    <mergeCell ref="B573:C573"/>
    <mergeCell ref="D573:E573"/>
    <mergeCell ref="F579:G579"/>
    <mergeCell ref="M579:N579"/>
    <mergeCell ref="B574:C574"/>
    <mergeCell ref="D574:E574"/>
    <mergeCell ref="F574:G574"/>
    <mergeCell ref="M574:N574"/>
    <mergeCell ref="F571:G571"/>
    <mergeCell ref="F573:G573"/>
    <mergeCell ref="B566:C566"/>
    <mergeCell ref="M583:N583"/>
    <mergeCell ref="M567:N567"/>
    <mergeCell ref="M500:N500"/>
    <mergeCell ref="B503:C503"/>
    <mergeCell ref="D503:E503"/>
    <mergeCell ref="F503:G503"/>
    <mergeCell ref="M503:N503"/>
    <mergeCell ref="D501:E501"/>
    <mergeCell ref="M502:N502"/>
    <mergeCell ref="F501:G501"/>
    <mergeCell ref="B501:C501"/>
    <mergeCell ref="M519:N519"/>
    <mergeCell ref="B502:C502"/>
    <mergeCell ref="D502:E502"/>
    <mergeCell ref="F502:G502"/>
    <mergeCell ref="B506:C506"/>
    <mergeCell ref="D506:E506"/>
    <mergeCell ref="D504:E504"/>
    <mergeCell ref="F504:G504"/>
    <mergeCell ref="M504:N504"/>
    <mergeCell ref="D507:E507"/>
    <mergeCell ref="M513:N513"/>
    <mergeCell ref="B515:C515"/>
    <mergeCell ref="D515:E515"/>
    <mergeCell ref="F519:G519"/>
    <mergeCell ref="B526:E526"/>
    <mergeCell ref="B522:C522"/>
    <mergeCell ref="D522:E522"/>
    <mergeCell ref="F522:G522"/>
    <mergeCell ref="M522:N522"/>
    <mergeCell ref="B523:C523"/>
    <mergeCell ref="D523:E523"/>
    <mergeCell ref="F523:G523"/>
    <mergeCell ref="I445:L445"/>
    <mergeCell ref="B446:C446"/>
    <mergeCell ref="D446:E446"/>
    <mergeCell ref="F446:G446"/>
    <mergeCell ref="M446:N446"/>
    <mergeCell ref="B447:C447"/>
    <mergeCell ref="D447:E447"/>
    <mergeCell ref="F447:G447"/>
    <mergeCell ref="M447:N447"/>
    <mergeCell ref="B450:C450"/>
    <mergeCell ref="D450:E450"/>
    <mergeCell ref="F450:G450"/>
    <mergeCell ref="M450:N450"/>
    <mergeCell ref="F449:G449"/>
    <mergeCell ref="M449:N449"/>
    <mergeCell ref="B451:C451"/>
    <mergeCell ref="D451:E451"/>
    <mergeCell ref="F451:G451"/>
    <mergeCell ref="M451:N451"/>
    <mergeCell ref="B448:C448"/>
    <mergeCell ref="D448:E448"/>
    <mergeCell ref="F448:G448"/>
    <mergeCell ref="M448:N448"/>
    <mergeCell ref="B449:C449"/>
    <mergeCell ref="D449:E449"/>
    <mergeCell ref="B454:C454"/>
    <mergeCell ref="D454:E454"/>
    <mergeCell ref="F454:G454"/>
    <mergeCell ref="M454:N454"/>
    <mergeCell ref="B455:C455"/>
    <mergeCell ref="D455:E455"/>
    <mergeCell ref="F455:G455"/>
    <mergeCell ref="M455:N455"/>
    <mergeCell ref="B452:C452"/>
    <mergeCell ref="D452:E452"/>
    <mergeCell ref="F452:G452"/>
    <mergeCell ref="M452:N452"/>
    <mergeCell ref="B453:C453"/>
    <mergeCell ref="D453:E453"/>
    <mergeCell ref="F453:G453"/>
    <mergeCell ref="M453:N453"/>
    <mergeCell ref="B458:C458"/>
    <mergeCell ref="D458:E458"/>
    <mergeCell ref="F458:G458"/>
    <mergeCell ref="M458:N458"/>
    <mergeCell ref="B459:C459"/>
    <mergeCell ref="D459:E459"/>
    <mergeCell ref="F459:G459"/>
    <mergeCell ref="M459:N459"/>
    <mergeCell ref="B456:C456"/>
    <mergeCell ref="D456:E456"/>
    <mergeCell ref="F456:G456"/>
    <mergeCell ref="M456:N456"/>
    <mergeCell ref="B457:C457"/>
    <mergeCell ref="D457:E457"/>
    <mergeCell ref="F457:G457"/>
    <mergeCell ref="M457:N457"/>
    <mergeCell ref="B462:C462"/>
    <mergeCell ref="D462:E462"/>
    <mergeCell ref="F462:G462"/>
    <mergeCell ref="M462:N462"/>
    <mergeCell ref="B463:C463"/>
    <mergeCell ref="D463:E463"/>
    <mergeCell ref="F463:G463"/>
    <mergeCell ref="M463:N463"/>
    <mergeCell ref="B460:C460"/>
    <mergeCell ref="D460:E460"/>
    <mergeCell ref="F460:G460"/>
    <mergeCell ref="M460:N460"/>
    <mergeCell ref="B461:C461"/>
    <mergeCell ref="D461:E461"/>
    <mergeCell ref="F461:G461"/>
    <mergeCell ref="M461:N461"/>
    <mergeCell ref="D466:E466"/>
    <mergeCell ref="F466:G466"/>
    <mergeCell ref="M466:N466"/>
    <mergeCell ref="B467:C467"/>
    <mergeCell ref="D467:E467"/>
    <mergeCell ref="F467:G467"/>
    <mergeCell ref="M467:N467"/>
    <mergeCell ref="M471:N471"/>
    <mergeCell ref="B464:C464"/>
    <mergeCell ref="D464:E464"/>
    <mergeCell ref="F464:G464"/>
    <mergeCell ref="M464:N464"/>
    <mergeCell ref="B465:C465"/>
    <mergeCell ref="D465:E465"/>
    <mergeCell ref="F465:G465"/>
    <mergeCell ref="M465:N465"/>
    <mergeCell ref="B466:C466"/>
    <mergeCell ref="B473:C473"/>
    <mergeCell ref="D473:E473"/>
    <mergeCell ref="M469:N469"/>
    <mergeCell ref="B470:C470"/>
    <mergeCell ref="D470:E470"/>
    <mergeCell ref="F470:G470"/>
    <mergeCell ref="M470:N470"/>
    <mergeCell ref="B471:C471"/>
    <mergeCell ref="D471:E471"/>
    <mergeCell ref="F471:G471"/>
    <mergeCell ref="B468:C468"/>
    <mergeCell ref="D468:E468"/>
    <mergeCell ref="F468:G468"/>
    <mergeCell ref="M468:N468"/>
    <mergeCell ref="B469:C469"/>
    <mergeCell ref="D469:E469"/>
    <mergeCell ref="F469:G469"/>
    <mergeCell ref="F473:G473"/>
    <mergeCell ref="M473:N473"/>
    <mergeCell ref="B472:C472"/>
    <mergeCell ref="D472:E472"/>
    <mergeCell ref="F472:G472"/>
    <mergeCell ref="M472:N472"/>
    <mergeCell ref="B474:C474"/>
    <mergeCell ref="D474:E474"/>
    <mergeCell ref="F474:G474"/>
    <mergeCell ref="M474:N474"/>
    <mergeCell ref="B475:C475"/>
    <mergeCell ref="B476:C476"/>
    <mergeCell ref="M476:N476"/>
    <mergeCell ref="B479:C479"/>
    <mergeCell ref="D479:E479"/>
    <mergeCell ref="F479:G479"/>
    <mergeCell ref="M479:N479"/>
    <mergeCell ref="B480:C480"/>
    <mergeCell ref="D480:E480"/>
    <mergeCell ref="F480:G480"/>
    <mergeCell ref="M480:N480"/>
    <mergeCell ref="F483:G483"/>
    <mergeCell ref="M483:N483"/>
    <mergeCell ref="B477:C477"/>
    <mergeCell ref="D477:E477"/>
    <mergeCell ref="F477:G477"/>
    <mergeCell ref="M477:N477"/>
    <mergeCell ref="B478:C478"/>
    <mergeCell ref="D478:E478"/>
    <mergeCell ref="F478:G478"/>
    <mergeCell ref="M478:N478"/>
    <mergeCell ref="B481:C481"/>
    <mergeCell ref="D481:E481"/>
    <mergeCell ref="F481:G481"/>
    <mergeCell ref="M481:N481"/>
    <mergeCell ref="D476:E476"/>
    <mergeCell ref="F476:G476"/>
    <mergeCell ref="B485:E485"/>
    <mergeCell ref="B486:E486"/>
    <mergeCell ref="B482:C482"/>
    <mergeCell ref="D482:E482"/>
    <mergeCell ref="F482:G482"/>
    <mergeCell ref="M482:N482"/>
    <mergeCell ref="B483:C483"/>
    <mergeCell ref="D483:E483"/>
    <mergeCell ref="I402:L402"/>
    <mergeCell ref="B403:C403"/>
    <mergeCell ref="D403:E403"/>
    <mergeCell ref="F403:G403"/>
    <mergeCell ref="M403:N403"/>
    <mergeCell ref="B404:C404"/>
    <mergeCell ref="D404:E404"/>
    <mergeCell ref="F404:G404"/>
    <mergeCell ref="M404:N404"/>
    <mergeCell ref="B405:C405"/>
    <mergeCell ref="D405:E405"/>
    <mergeCell ref="F405:G405"/>
    <mergeCell ref="M405:N405"/>
    <mergeCell ref="B406:C406"/>
    <mergeCell ref="D406:E406"/>
    <mergeCell ref="F406:G406"/>
    <mergeCell ref="M406:N406"/>
    <mergeCell ref="B407:C407"/>
    <mergeCell ref="D407:E407"/>
    <mergeCell ref="F407:G407"/>
    <mergeCell ref="M407:N407"/>
    <mergeCell ref="B408:C408"/>
    <mergeCell ref="D408:E408"/>
    <mergeCell ref="F408:G408"/>
    <mergeCell ref="M408:N408"/>
    <mergeCell ref="B409:C409"/>
    <mergeCell ref="D409:E409"/>
    <mergeCell ref="F409:G409"/>
    <mergeCell ref="M409:N409"/>
    <mergeCell ref="B410:C410"/>
    <mergeCell ref="D410:E410"/>
    <mergeCell ref="F410:G410"/>
    <mergeCell ref="M410:N410"/>
    <mergeCell ref="B411:C411"/>
    <mergeCell ref="D411:E411"/>
    <mergeCell ref="F411:G411"/>
    <mergeCell ref="M411:N411"/>
    <mergeCell ref="B412:C412"/>
    <mergeCell ref="D412:E412"/>
    <mergeCell ref="F412:G412"/>
    <mergeCell ref="M412:N412"/>
    <mergeCell ref="B413:C413"/>
    <mergeCell ref="D413:E413"/>
    <mergeCell ref="F413:G413"/>
    <mergeCell ref="M413:N413"/>
    <mergeCell ref="B414:C414"/>
    <mergeCell ref="D414:E414"/>
    <mergeCell ref="F414:G414"/>
    <mergeCell ref="M414:N414"/>
    <mergeCell ref="B415:C415"/>
    <mergeCell ref="D415:E415"/>
    <mergeCell ref="F415:G415"/>
    <mergeCell ref="M415:N415"/>
    <mergeCell ref="B416:C416"/>
    <mergeCell ref="D416:E416"/>
    <mergeCell ref="F416:G416"/>
    <mergeCell ref="M416:N416"/>
    <mergeCell ref="B417:C417"/>
    <mergeCell ref="D417:E417"/>
    <mergeCell ref="F417:G417"/>
    <mergeCell ref="M417:N417"/>
    <mergeCell ref="B418:C418"/>
    <mergeCell ref="D418:E418"/>
    <mergeCell ref="F418:G418"/>
    <mergeCell ref="M418:N418"/>
    <mergeCell ref="B419:C419"/>
    <mergeCell ref="D419:E419"/>
    <mergeCell ref="F419:G419"/>
    <mergeCell ref="M419:N419"/>
    <mergeCell ref="B420:C420"/>
    <mergeCell ref="D420:E420"/>
    <mergeCell ref="F420:G420"/>
    <mergeCell ref="M420:N420"/>
    <mergeCell ref="B421:C421"/>
    <mergeCell ref="D421:E421"/>
    <mergeCell ref="F421:G421"/>
    <mergeCell ref="M421:N421"/>
    <mergeCell ref="B422:C422"/>
    <mergeCell ref="D422:E422"/>
    <mergeCell ref="F422:G422"/>
    <mergeCell ref="M422:N422"/>
    <mergeCell ref="B423:C423"/>
    <mergeCell ref="D423:E423"/>
    <mergeCell ref="F423:G423"/>
    <mergeCell ref="M423:N423"/>
    <mergeCell ref="B424:C424"/>
    <mergeCell ref="D424:E424"/>
    <mergeCell ref="F424:G424"/>
    <mergeCell ref="M424:N424"/>
    <mergeCell ref="B425:C425"/>
    <mergeCell ref="D425:E425"/>
    <mergeCell ref="F425:G425"/>
    <mergeCell ref="M425:N425"/>
    <mergeCell ref="B426:C426"/>
    <mergeCell ref="D426:E426"/>
    <mergeCell ref="F426:G426"/>
    <mergeCell ref="M426:N426"/>
    <mergeCell ref="B427:C427"/>
    <mergeCell ref="D427:E427"/>
    <mergeCell ref="F427:G427"/>
    <mergeCell ref="M427:N427"/>
    <mergeCell ref="B428:C428"/>
    <mergeCell ref="D428:E428"/>
    <mergeCell ref="F428:G428"/>
    <mergeCell ref="M428:N428"/>
    <mergeCell ref="M433:N433"/>
    <mergeCell ref="B429:C429"/>
    <mergeCell ref="D429:E429"/>
    <mergeCell ref="F429:G429"/>
    <mergeCell ref="M429:N429"/>
    <mergeCell ref="B430:C430"/>
    <mergeCell ref="D430:E430"/>
    <mergeCell ref="F430:G430"/>
    <mergeCell ref="M430:N430"/>
    <mergeCell ref="F435:G435"/>
    <mergeCell ref="M435:N435"/>
    <mergeCell ref="B431:C431"/>
    <mergeCell ref="D431:E431"/>
    <mergeCell ref="F431:G431"/>
    <mergeCell ref="M431:N431"/>
    <mergeCell ref="B432:C432"/>
    <mergeCell ref="B433:C433"/>
    <mergeCell ref="D433:E433"/>
    <mergeCell ref="F433:G433"/>
    <mergeCell ref="B437:C437"/>
    <mergeCell ref="D437:E437"/>
    <mergeCell ref="F437:G437"/>
    <mergeCell ref="M437:N437"/>
    <mergeCell ref="B434:C434"/>
    <mergeCell ref="D434:E434"/>
    <mergeCell ref="F434:G434"/>
    <mergeCell ref="M434:N434"/>
    <mergeCell ref="B435:C435"/>
    <mergeCell ref="D435:E435"/>
    <mergeCell ref="B442:E442"/>
    <mergeCell ref="B443:E443"/>
    <mergeCell ref="B438:C438"/>
    <mergeCell ref="D438:E438"/>
    <mergeCell ref="F438:G438"/>
    <mergeCell ref="M438:N438"/>
    <mergeCell ref="B439:C439"/>
    <mergeCell ref="D439:E439"/>
    <mergeCell ref="F439:G439"/>
    <mergeCell ref="M439:N439"/>
    <mergeCell ref="F395:G395"/>
    <mergeCell ref="D395:E395"/>
    <mergeCell ref="B440:C440"/>
    <mergeCell ref="D440:E440"/>
    <mergeCell ref="F440:G440"/>
    <mergeCell ref="M440:N440"/>
    <mergeCell ref="B436:C436"/>
    <mergeCell ref="D436:E436"/>
    <mergeCell ref="F436:G436"/>
    <mergeCell ref="M436:N436"/>
    <mergeCell ref="I333:L333"/>
    <mergeCell ref="B334:C334"/>
    <mergeCell ref="D334:E334"/>
    <mergeCell ref="F334:G334"/>
    <mergeCell ref="M334:N334"/>
    <mergeCell ref="B335:C335"/>
    <mergeCell ref="D335:E335"/>
    <mergeCell ref="F335:G335"/>
    <mergeCell ref="M335:N335"/>
    <mergeCell ref="B336:C336"/>
    <mergeCell ref="D336:E336"/>
    <mergeCell ref="F336:G336"/>
    <mergeCell ref="M336:N336"/>
    <mergeCell ref="B337:C337"/>
    <mergeCell ref="D337:E337"/>
    <mergeCell ref="F337:G337"/>
    <mergeCell ref="M337:N337"/>
    <mergeCell ref="B338:C338"/>
    <mergeCell ref="D338:E338"/>
    <mergeCell ref="F338:G338"/>
    <mergeCell ref="M338:N338"/>
    <mergeCell ref="B339:C339"/>
    <mergeCell ref="D339:E339"/>
    <mergeCell ref="F339:G339"/>
    <mergeCell ref="M339:N339"/>
    <mergeCell ref="B340:C340"/>
    <mergeCell ref="D340:E340"/>
    <mergeCell ref="F340:G340"/>
    <mergeCell ref="M340:N340"/>
    <mergeCell ref="B341:C341"/>
    <mergeCell ref="D341:E341"/>
    <mergeCell ref="F341:G341"/>
    <mergeCell ref="M341:N341"/>
    <mergeCell ref="B343:C343"/>
    <mergeCell ref="D343:E343"/>
    <mergeCell ref="F343:G343"/>
    <mergeCell ref="M343:N343"/>
    <mergeCell ref="B342:C342"/>
    <mergeCell ref="D342:E342"/>
    <mergeCell ref="B344:C344"/>
    <mergeCell ref="D344:E344"/>
    <mergeCell ref="F344:G344"/>
    <mergeCell ref="M344:N344"/>
    <mergeCell ref="B345:C345"/>
    <mergeCell ref="D345:E345"/>
    <mergeCell ref="F345:G345"/>
    <mergeCell ref="M345:N345"/>
    <mergeCell ref="B346:C346"/>
    <mergeCell ref="D346:E346"/>
    <mergeCell ref="F346:G346"/>
    <mergeCell ref="M346:N346"/>
    <mergeCell ref="B348:C348"/>
    <mergeCell ref="D348:E348"/>
    <mergeCell ref="F348:G348"/>
    <mergeCell ref="M348:N348"/>
    <mergeCell ref="B349:C349"/>
    <mergeCell ref="D349:E349"/>
    <mergeCell ref="F349:G349"/>
    <mergeCell ref="M349:N349"/>
    <mergeCell ref="F358:G358"/>
    <mergeCell ref="M358:N358"/>
    <mergeCell ref="B364:C364"/>
    <mergeCell ref="D364:E364"/>
    <mergeCell ref="F364:G364"/>
    <mergeCell ref="M364:N364"/>
    <mergeCell ref="B359:C359"/>
    <mergeCell ref="D359:E359"/>
    <mergeCell ref="F359:G359"/>
    <mergeCell ref="M359:N359"/>
    <mergeCell ref="B360:C360"/>
    <mergeCell ref="D360:E360"/>
    <mergeCell ref="B350:C350"/>
    <mergeCell ref="D350:E350"/>
    <mergeCell ref="F350:G350"/>
    <mergeCell ref="M350:N350"/>
    <mergeCell ref="B351:C351"/>
    <mergeCell ref="D351:E351"/>
    <mergeCell ref="F351:G351"/>
    <mergeCell ref="M351:N351"/>
    <mergeCell ref="B352:C352"/>
    <mergeCell ref="D352:E352"/>
    <mergeCell ref="F352:G352"/>
    <mergeCell ref="M352:N352"/>
    <mergeCell ref="B353:C353"/>
    <mergeCell ref="D353:E353"/>
    <mergeCell ref="F353:G353"/>
    <mergeCell ref="M353:N353"/>
    <mergeCell ref="B354:C354"/>
    <mergeCell ref="D354:E354"/>
    <mergeCell ref="F354:G354"/>
    <mergeCell ref="M354:N354"/>
    <mergeCell ref="B366:E366"/>
    <mergeCell ref="B367:E367"/>
    <mergeCell ref="B347:C347"/>
    <mergeCell ref="D347:E347"/>
    <mergeCell ref="F347:G347"/>
    <mergeCell ref="M347:N347"/>
    <mergeCell ref="B363:C363"/>
    <mergeCell ref="D363:E363"/>
    <mergeCell ref="F363:G363"/>
    <mergeCell ref="M363:N363"/>
    <mergeCell ref="F342:G342"/>
    <mergeCell ref="M342:N342"/>
    <mergeCell ref="B362:C362"/>
    <mergeCell ref="D362:E362"/>
    <mergeCell ref="F362:G362"/>
    <mergeCell ref="M362:N362"/>
    <mergeCell ref="F360:G360"/>
    <mergeCell ref="M360:N360"/>
    <mergeCell ref="B357:C357"/>
    <mergeCell ref="D357:E357"/>
    <mergeCell ref="B355:C355"/>
    <mergeCell ref="D355:E355"/>
    <mergeCell ref="F355:G355"/>
    <mergeCell ref="M355:N355"/>
    <mergeCell ref="B356:C356"/>
    <mergeCell ref="D356:E356"/>
    <mergeCell ref="F356:G356"/>
    <mergeCell ref="M356:N356"/>
    <mergeCell ref="F357:G357"/>
    <mergeCell ref="M357:N357"/>
    <mergeCell ref="B358:C358"/>
    <mergeCell ref="D358:E358"/>
    <mergeCell ref="I247:L247"/>
    <mergeCell ref="B248:C248"/>
    <mergeCell ref="D248:E248"/>
    <mergeCell ref="F248:G248"/>
    <mergeCell ref="M248:N248"/>
    <mergeCell ref="B249:C249"/>
    <mergeCell ref="D249:E249"/>
    <mergeCell ref="F249:G249"/>
    <mergeCell ref="M249:N249"/>
    <mergeCell ref="B250:C250"/>
    <mergeCell ref="D250:E250"/>
    <mergeCell ref="F250:G250"/>
    <mergeCell ref="M250:N250"/>
    <mergeCell ref="B251:C251"/>
    <mergeCell ref="D251:E251"/>
    <mergeCell ref="F251:G251"/>
    <mergeCell ref="M251:N251"/>
    <mergeCell ref="B252:C252"/>
    <mergeCell ref="D252:E252"/>
    <mergeCell ref="F252:G252"/>
    <mergeCell ref="M252:N252"/>
    <mergeCell ref="B253:C253"/>
    <mergeCell ref="D253:E253"/>
    <mergeCell ref="F253:G253"/>
    <mergeCell ref="M253:N253"/>
    <mergeCell ref="B254:C254"/>
    <mergeCell ref="D254:E254"/>
    <mergeCell ref="F254:G254"/>
    <mergeCell ref="M254:N254"/>
    <mergeCell ref="B255:C255"/>
    <mergeCell ref="D255:E255"/>
    <mergeCell ref="F255:G255"/>
    <mergeCell ref="M255:N255"/>
    <mergeCell ref="B256:C256"/>
    <mergeCell ref="D256:E256"/>
    <mergeCell ref="F256:G256"/>
    <mergeCell ref="M256:N256"/>
    <mergeCell ref="B258:C258"/>
    <mergeCell ref="D258:E258"/>
    <mergeCell ref="F258:G258"/>
    <mergeCell ref="M258:N258"/>
    <mergeCell ref="B259:C259"/>
    <mergeCell ref="D259:E259"/>
    <mergeCell ref="F259:G259"/>
    <mergeCell ref="M259:N259"/>
    <mergeCell ref="B260:C260"/>
    <mergeCell ref="D260:E260"/>
    <mergeCell ref="F260:G260"/>
    <mergeCell ref="M260:N260"/>
    <mergeCell ref="B261:C261"/>
    <mergeCell ref="D261:E261"/>
    <mergeCell ref="F261:G261"/>
    <mergeCell ref="M261:N261"/>
    <mergeCell ref="B262:C262"/>
    <mergeCell ref="D262:E262"/>
    <mergeCell ref="F262:G262"/>
    <mergeCell ref="M262:N262"/>
    <mergeCell ref="B263:C263"/>
    <mergeCell ref="D263:E263"/>
    <mergeCell ref="F263:G263"/>
    <mergeCell ref="M263:N263"/>
    <mergeCell ref="B264:C264"/>
    <mergeCell ref="D264:E264"/>
    <mergeCell ref="F264:G264"/>
    <mergeCell ref="M264:N264"/>
    <mergeCell ref="B265:C265"/>
    <mergeCell ref="D265:E265"/>
    <mergeCell ref="F265:G265"/>
    <mergeCell ref="M265:N265"/>
    <mergeCell ref="B266:C266"/>
    <mergeCell ref="D266:E266"/>
    <mergeCell ref="F266:G266"/>
    <mergeCell ref="M266:N266"/>
    <mergeCell ref="B267:C267"/>
    <mergeCell ref="D267:E267"/>
    <mergeCell ref="F267:G267"/>
    <mergeCell ref="M267:N267"/>
    <mergeCell ref="B268:C268"/>
    <mergeCell ref="D268:E268"/>
    <mergeCell ref="F268:G268"/>
    <mergeCell ref="M268:N268"/>
    <mergeCell ref="B269:C269"/>
    <mergeCell ref="D269:E269"/>
    <mergeCell ref="F269:G269"/>
    <mergeCell ref="M269:N269"/>
    <mergeCell ref="B270:C270"/>
    <mergeCell ref="D270:E270"/>
    <mergeCell ref="F270:G270"/>
    <mergeCell ref="M270:N270"/>
    <mergeCell ref="B271:C271"/>
    <mergeCell ref="D271:E271"/>
    <mergeCell ref="F271:G271"/>
    <mergeCell ref="M271:N271"/>
    <mergeCell ref="B272:C272"/>
    <mergeCell ref="D272:E272"/>
    <mergeCell ref="F272:G272"/>
    <mergeCell ref="M272:N272"/>
    <mergeCell ref="F280:G280"/>
    <mergeCell ref="M280:N280"/>
    <mergeCell ref="B282:C282"/>
    <mergeCell ref="D282:E282"/>
    <mergeCell ref="F282:G282"/>
    <mergeCell ref="M282:N282"/>
    <mergeCell ref="B283:C283"/>
    <mergeCell ref="D283:E283"/>
    <mergeCell ref="F283:G283"/>
    <mergeCell ref="M283:N283"/>
    <mergeCell ref="B273:C273"/>
    <mergeCell ref="D273:E273"/>
    <mergeCell ref="F273:G273"/>
    <mergeCell ref="M273:N273"/>
    <mergeCell ref="B274:C274"/>
    <mergeCell ref="D274:E274"/>
    <mergeCell ref="F274:G274"/>
    <mergeCell ref="M274:N274"/>
    <mergeCell ref="B275:C275"/>
    <mergeCell ref="D275:E275"/>
    <mergeCell ref="F275:G275"/>
    <mergeCell ref="M275:N275"/>
    <mergeCell ref="B276:C276"/>
    <mergeCell ref="D276:E276"/>
    <mergeCell ref="F276:G276"/>
    <mergeCell ref="M276:N276"/>
    <mergeCell ref="B277:C277"/>
    <mergeCell ref="D277:E277"/>
    <mergeCell ref="F277:G277"/>
    <mergeCell ref="M277:N277"/>
    <mergeCell ref="B284:C284"/>
    <mergeCell ref="D284:E284"/>
    <mergeCell ref="F284:G284"/>
    <mergeCell ref="M284:N284"/>
    <mergeCell ref="B285:C285"/>
    <mergeCell ref="D285:E285"/>
    <mergeCell ref="F285:G285"/>
    <mergeCell ref="M285:N285"/>
    <mergeCell ref="B286:C286"/>
    <mergeCell ref="D286:E286"/>
    <mergeCell ref="F286:G286"/>
    <mergeCell ref="M286:N286"/>
    <mergeCell ref="B288:E288"/>
    <mergeCell ref="B289:E289"/>
    <mergeCell ref="B257:C257"/>
    <mergeCell ref="D257:E257"/>
    <mergeCell ref="F257:G257"/>
    <mergeCell ref="M257:N257"/>
    <mergeCell ref="B281:C281"/>
    <mergeCell ref="D281:E281"/>
    <mergeCell ref="F281:G281"/>
    <mergeCell ref="M281:N281"/>
    <mergeCell ref="B278:C278"/>
    <mergeCell ref="D278:E278"/>
    <mergeCell ref="F278:G278"/>
    <mergeCell ref="M278:N278"/>
    <mergeCell ref="B279:C279"/>
    <mergeCell ref="D279:E279"/>
    <mergeCell ref="F279:G279"/>
    <mergeCell ref="M279:N279"/>
    <mergeCell ref="B280:C280"/>
    <mergeCell ref="D280:E280"/>
    <mergeCell ref="I202:L202"/>
    <mergeCell ref="B203:C203"/>
    <mergeCell ref="D203:E203"/>
    <mergeCell ref="F203:G203"/>
    <mergeCell ref="M203:N203"/>
    <mergeCell ref="B204:C204"/>
    <mergeCell ref="D204:E204"/>
    <mergeCell ref="F204:G204"/>
    <mergeCell ref="M204:N204"/>
    <mergeCell ref="B205:C205"/>
    <mergeCell ref="D205:E205"/>
    <mergeCell ref="F205:G205"/>
    <mergeCell ref="M205:N205"/>
    <mergeCell ref="B206:C206"/>
    <mergeCell ref="D206:E206"/>
    <mergeCell ref="F206:G206"/>
    <mergeCell ref="M206:N206"/>
    <mergeCell ref="B207:C207"/>
    <mergeCell ref="D207:E207"/>
    <mergeCell ref="F207:G207"/>
    <mergeCell ref="M207:N207"/>
    <mergeCell ref="B208:C208"/>
    <mergeCell ref="D208:E208"/>
    <mergeCell ref="F208:G208"/>
    <mergeCell ref="M208:N208"/>
    <mergeCell ref="B209:C209"/>
    <mergeCell ref="D209:E209"/>
    <mergeCell ref="F209:G209"/>
    <mergeCell ref="M209:N209"/>
    <mergeCell ref="B210:C210"/>
    <mergeCell ref="D210:E210"/>
    <mergeCell ref="F210:G210"/>
    <mergeCell ref="M210:N210"/>
    <mergeCell ref="B211:C211"/>
    <mergeCell ref="D211:E211"/>
    <mergeCell ref="F211:G211"/>
    <mergeCell ref="M211:N211"/>
    <mergeCell ref="B212:C212"/>
    <mergeCell ref="D212:E212"/>
    <mergeCell ref="F212:G212"/>
    <mergeCell ref="M212:N212"/>
    <mergeCell ref="B213:C213"/>
    <mergeCell ref="D213:E213"/>
    <mergeCell ref="F213:G213"/>
    <mergeCell ref="M213:N213"/>
    <mergeCell ref="B214:C214"/>
    <mergeCell ref="D214:E214"/>
    <mergeCell ref="F214:G214"/>
    <mergeCell ref="M214:N214"/>
    <mergeCell ref="B215:C215"/>
    <mergeCell ref="D215:E215"/>
    <mergeCell ref="F215:G215"/>
    <mergeCell ref="M215:N215"/>
    <mergeCell ref="B216:C216"/>
    <mergeCell ref="D216:E216"/>
    <mergeCell ref="F216:G216"/>
    <mergeCell ref="M216:N216"/>
    <mergeCell ref="B217:C217"/>
    <mergeCell ref="D217:E217"/>
    <mergeCell ref="F217:G217"/>
    <mergeCell ref="M217:N217"/>
    <mergeCell ref="B218:C218"/>
    <mergeCell ref="D218:E218"/>
    <mergeCell ref="F218:G218"/>
    <mergeCell ref="M218:N218"/>
    <mergeCell ref="B219:C219"/>
    <mergeCell ref="D219:E219"/>
    <mergeCell ref="F219:G219"/>
    <mergeCell ref="M219:N219"/>
    <mergeCell ref="B220:C220"/>
    <mergeCell ref="D220:E220"/>
    <mergeCell ref="F220:G220"/>
    <mergeCell ref="M220:N220"/>
    <mergeCell ref="B221:C221"/>
    <mergeCell ref="D221:E221"/>
    <mergeCell ref="F221:G221"/>
    <mergeCell ref="M221:N221"/>
    <mergeCell ref="B222:C222"/>
    <mergeCell ref="D222:E222"/>
    <mergeCell ref="F222:G222"/>
    <mergeCell ref="M222:N222"/>
    <mergeCell ref="B223:C223"/>
    <mergeCell ref="D223:E223"/>
    <mergeCell ref="F223:G223"/>
    <mergeCell ref="M223:N223"/>
    <mergeCell ref="B224:C224"/>
    <mergeCell ref="D224:E224"/>
    <mergeCell ref="F224:G224"/>
    <mergeCell ref="M224:N224"/>
    <mergeCell ref="B225:C225"/>
    <mergeCell ref="D225:E225"/>
    <mergeCell ref="F225:G225"/>
    <mergeCell ref="M225:N225"/>
    <mergeCell ref="B226:C226"/>
    <mergeCell ref="D226:E226"/>
    <mergeCell ref="F226:G226"/>
    <mergeCell ref="M226:N226"/>
    <mergeCell ref="B227:C227"/>
    <mergeCell ref="D227:E227"/>
    <mergeCell ref="F227:G227"/>
    <mergeCell ref="M227:N227"/>
    <mergeCell ref="B228:C228"/>
    <mergeCell ref="D228:E228"/>
    <mergeCell ref="F228:G228"/>
    <mergeCell ref="M228:N228"/>
    <mergeCell ref="B229:C229"/>
    <mergeCell ref="D229:E229"/>
    <mergeCell ref="F229:G229"/>
    <mergeCell ref="M229:N229"/>
    <mergeCell ref="B230:C230"/>
    <mergeCell ref="D230:E230"/>
    <mergeCell ref="F230:G230"/>
    <mergeCell ref="M230:N230"/>
    <mergeCell ref="B231:C231"/>
    <mergeCell ref="D231:E231"/>
    <mergeCell ref="F231:G231"/>
    <mergeCell ref="M231:N231"/>
    <mergeCell ref="B232:C232"/>
    <mergeCell ref="D232:E232"/>
    <mergeCell ref="F232:G232"/>
    <mergeCell ref="M232:N232"/>
    <mergeCell ref="B233:C233"/>
    <mergeCell ref="D233:E233"/>
    <mergeCell ref="F233:G233"/>
    <mergeCell ref="M233:N233"/>
    <mergeCell ref="B234:C234"/>
    <mergeCell ref="D234:E234"/>
    <mergeCell ref="F234:G234"/>
    <mergeCell ref="M234:N234"/>
    <mergeCell ref="B235:C235"/>
    <mergeCell ref="D235:E235"/>
    <mergeCell ref="F235:G235"/>
    <mergeCell ref="M235:N235"/>
    <mergeCell ref="B236:C236"/>
    <mergeCell ref="D236:E236"/>
    <mergeCell ref="F236:G236"/>
    <mergeCell ref="M236:N236"/>
    <mergeCell ref="B244:E244"/>
    <mergeCell ref="B245:E245"/>
    <mergeCell ref="B238:C238"/>
    <mergeCell ref="D238:E238"/>
    <mergeCell ref="F238:G238"/>
    <mergeCell ref="M238:N238"/>
    <mergeCell ref="B239:C239"/>
    <mergeCell ref="D239:E239"/>
    <mergeCell ref="F239:G239"/>
    <mergeCell ref="M239:N239"/>
    <mergeCell ref="B240:C240"/>
    <mergeCell ref="D240:E240"/>
    <mergeCell ref="F240:G240"/>
    <mergeCell ref="M240:N240"/>
    <mergeCell ref="B241:C241"/>
    <mergeCell ref="D241:E241"/>
    <mergeCell ref="F241:G241"/>
    <mergeCell ref="M241:N241"/>
    <mergeCell ref="B242:C242"/>
    <mergeCell ref="D242:E242"/>
    <mergeCell ref="F242:G242"/>
    <mergeCell ref="M242:N242"/>
    <mergeCell ref="I162:L162"/>
    <mergeCell ref="B163:C163"/>
    <mergeCell ref="D163:E163"/>
    <mergeCell ref="F163:G163"/>
    <mergeCell ref="M163:N163"/>
    <mergeCell ref="B164:C164"/>
    <mergeCell ref="D164:E164"/>
    <mergeCell ref="F164:G164"/>
    <mergeCell ref="M164:N164"/>
    <mergeCell ref="B165:C165"/>
    <mergeCell ref="D165:E165"/>
    <mergeCell ref="F165:G165"/>
    <mergeCell ref="M165:N165"/>
    <mergeCell ref="B166:C166"/>
    <mergeCell ref="D166:E166"/>
    <mergeCell ref="F166:G166"/>
    <mergeCell ref="M166:N166"/>
    <mergeCell ref="F173:G173"/>
    <mergeCell ref="M173:N173"/>
    <mergeCell ref="B167:C167"/>
    <mergeCell ref="D167:E167"/>
    <mergeCell ref="F167:G167"/>
    <mergeCell ref="M167:N167"/>
    <mergeCell ref="B168:C168"/>
    <mergeCell ref="D168:E168"/>
    <mergeCell ref="F168:G168"/>
    <mergeCell ref="M168:N168"/>
    <mergeCell ref="B169:C169"/>
    <mergeCell ref="D169:E169"/>
    <mergeCell ref="F169:G169"/>
    <mergeCell ref="M169:N169"/>
    <mergeCell ref="B170:C170"/>
    <mergeCell ref="D170:E170"/>
    <mergeCell ref="F170:G170"/>
    <mergeCell ref="M170:N170"/>
    <mergeCell ref="B171:C171"/>
    <mergeCell ref="D171:E171"/>
    <mergeCell ref="F171:G171"/>
    <mergeCell ref="M171:N171"/>
    <mergeCell ref="B184:C184"/>
    <mergeCell ref="D184:E184"/>
    <mergeCell ref="F184:G184"/>
    <mergeCell ref="M184:N184"/>
    <mergeCell ref="B185:C185"/>
    <mergeCell ref="D185:E185"/>
    <mergeCell ref="F185:G185"/>
    <mergeCell ref="M185:N185"/>
    <mergeCell ref="B186:C186"/>
    <mergeCell ref="D186:E186"/>
    <mergeCell ref="B172:C172"/>
    <mergeCell ref="D172:E172"/>
    <mergeCell ref="F172:G172"/>
    <mergeCell ref="M172:N172"/>
    <mergeCell ref="B174:C174"/>
    <mergeCell ref="D174:E174"/>
    <mergeCell ref="F174:G174"/>
    <mergeCell ref="M174:N174"/>
    <mergeCell ref="B175:C175"/>
    <mergeCell ref="D175:E175"/>
    <mergeCell ref="F175:G175"/>
    <mergeCell ref="M175:N175"/>
    <mergeCell ref="B176:C176"/>
    <mergeCell ref="D176:E176"/>
    <mergeCell ref="F176:G176"/>
    <mergeCell ref="M176:N176"/>
    <mergeCell ref="B177:C177"/>
    <mergeCell ref="D177:E177"/>
    <mergeCell ref="F177:G177"/>
    <mergeCell ref="M177:N177"/>
    <mergeCell ref="B173:C173"/>
    <mergeCell ref="D173:E173"/>
    <mergeCell ref="F192:G192"/>
    <mergeCell ref="F191:G191"/>
    <mergeCell ref="B195:C195"/>
    <mergeCell ref="D195:E195"/>
    <mergeCell ref="F195:G195"/>
    <mergeCell ref="M195:N195"/>
    <mergeCell ref="B191:C191"/>
    <mergeCell ref="D191:E191"/>
    <mergeCell ref="B192:C192"/>
    <mergeCell ref="D192:E192"/>
    <mergeCell ref="M192:N192"/>
    <mergeCell ref="M191:N191"/>
    <mergeCell ref="B179:C179"/>
    <mergeCell ref="D179:E179"/>
    <mergeCell ref="F179:G179"/>
    <mergeCell ref="M179:N179"/>
    <mergeCell ref="B180:C180"/>
    <mergeCell ref="D180:E180"/>
    <mergeCell ref="F180:G180"/>
    <mergeCell ref="M180:N180"/>
    <mergeCell ref="B181:C181"/>
    <mergeCell ref="D181:E181"/>
    <mergeCell ref="F181:G181"/>
    <mergeCell ref="M181:N181"/>
    <mergeCell ref="B182:C182"/>
    <mergeCell ref="D182:E182"/>
    <mergeCell ref="F182:G182"/>
    <mergeCell ref="M182:N182"/>
    <mergeCell ref="B183:C183"/>
    <mergeCell ref="D183:E183"/>
    <mergeCell ref="F183:G183"/>
    <mergeCell ref="M183:N183"/>
    <mergeCell ref="F186:G186"/>
    <mergeCell ref="M186:N186"/>
    <mergeCell ref="B187:C187"/>
    <mergeCell ref="D187:E187"/>
    <mergeCell ref="F187:G187"/>
    <mergeCell ref="M187:N187"/>
    <mergeCell ref="B188:C188"/>
    <mergeCell ref="D188:E188"/>
    <mergeCell ref="F188:G188"/>
    <mergeCell ref="M188:N188"/>
    <mergeCell ref="B196:C196"/>
    <mergeCell ref="D196:E196"/>
    <mergeCell ref="F196:G196"/>
    <mergeCell ref="M196:N196"/>
    <mergeCell ref="B198:E198"/>
    <mergeCell ref="B199:E199"/>
    <mergeCell ref="B189:C189"/>
    <mergeCell ref="D189:E189"/>
    <mergeCell ref="F189:G189"/>
    <mergeCell ref="M189:N189"/>
    <mergeCell ref="B190:C190"/>
    <mergeCell ref="D190:E190"/>
    <mergeCell ref="F190:G190"/>
    <mergeCell ref="M190:N190"/>
    <mergeCell ref="B193:C193"/>
    <mergeCell ref="D193:E193"/>
    <mergeCell ref="F193:G193"/>
    <mergeCell ref="M193:N193"/>
    <mergeCell ref="B194:C194"/>
    <mergeCell ref="D194:E194"/>
    <mergeCell ref="F194:G194"/>
    <mergeCell ref="M194:N194"/>
    <mergeCell ref="I122:L122"/>
    <mergeCell ref="B123:C123"/>
    <mergeCell ref="D123:E123"/>
    <mergeCell ref="F123:G123"/>
    <mergeCell ref="M123:N123"/>
    <mergeCell ref="B124:C124"/>
    <mergeCell ref="D124:E124"/>
    <mergeCell ref="F124:G124"/>
    <mergeCell ref="M124:N124"/>
    <mergeCell ref="B125:C125"/>
    <mergeCell ref="D125:E125"/>
    <mergeCell ref="F125:G125"/>
    <mergeCell ref="M125:N125"/>
    <mergeCell ref="B126:C126"/>
    <mergeCell ref="D126:E126"/>
    <mergeCell ref="F126:G126"/>
    <mergeCell ref="M126:N126"/>
    <mergeCell ref="B137:C137"/>
    <mergeCell ref="D137:E137"/>
    <mergeCell ref="F137:G137"/>
    <mergeCell ref="M137:N137"/>
    <mergeCell ref="B127:C127"/>
    <mergeCell ref="D127:E127"/>
    <mergeCell ref="F127:G127"/>
    <mergeCell ref="M127:N127"/>
    <mergeCell ref="B128:C128"/>
    <mergeCell ref="D128:E128"/>
    <mergeCell ref="F128:G128"/>
    <mergeCell ref="M128:N128"/>
    <mergeCell ref="B129:C129"/>
    <mergeCell ref="D129:E129"/>
    <mergeCell ref="F129:G129"/>
    <mergeCell ref="M129:N129"/>
    <mergeCell ref="B130:C130"/>
    <mergeCell ref="D130:E130"/>
    <mergeCell ref="F130:G130"/>
    <mergeCell ref="M130:N130"/>
    <mergeCell ref="B131:C131"/>
    <mergeCell ref="D131:E131"/>
    <mergeCell ref="F131:G131"/>
    <mergeCell ref="M131:N131"/>
    <mergeCell ref="B133:C133"/>
    <mergeCell ref="D133:E133"/>
    <mergeCell ref="F133:G133"/>
    <mergeCell ref="M133:N133"/>
    <mergeCell ref="B139:C139"/>
    <mergeCell ref="D139:E139"/>
    <mergeCell ref="F139:G139"/>
    <mergeCell ref="M139:N139"/>
    <mergeCell ref="B140:C140"/>
    <mergeCell ref="D140:E140"/>
    <mergeCell ref="F140:G140"/>
    <mergeCell ref="M140:N140"/>
    <mergeCell ref="B141:C141"/>
    <mergeCell ref="D141:E141"/>
    <mergeCell ref="F141:G141"/>
    <mergeCell ref="M141:N141"/>
    <mergeCell ref="B142:C142"/>
    <mergeCell ref="D142:E142"/>
    <mergeCell ref="F142:G142"/>
    <mergeCell ref="M142:N142"/>
    <mergeCell ref="B132:C132"/>
    <mergeCell ref="D132:E132"/>
    <mergeCell ref="F132:G132"/>
    <mergeCell ref="M132:N132"/>
    <mergeCell ref="B134:C134"/>
    <mergeCell ref="D134:E134"/>
    <mergeCell ref="F134:G134"/>
    <mergeCell ref="M134:N134"/>
    <mergeCell ref="B135:C135"/>
    <mergeCell ref="D135:E135"/>
    <mergeCell ref="F135:G135"/>
    <mergeCell ref="M135:N135"/>
    <mergeCell ref="B136:C136"/>
    <mergeCell ref="D136:E136"/>
    <mergeCell ref="F136:G136"/>
    <mergeCell ref="M136:N136"/>
    <mergeCell ref="B143:C143"/>
    <mergeCell ref="D143:E143"/>
    <mergeCell ref="F143:G143"/>
    <mergeCell ref="M143:N143"/>
    <mergeCell ref="B144:C144"/>
    <mergeCell ref="D144:E144"/>
    <mergeCell ref="F144:G144"/>
    <mergeCell ref="M144:N144"/>
    <mergeCell ref="B145:C145"/>
    <mergeCell ref="D145:E145"/>
    <mergeCell ref="F145:G145"/>
    <mergeCell ref="M145:N145"/>
    <mergeCell ref="B146:C146"/>
    <mergeCell ref="D146:E146"/>
    <mergeCell ref="F146:G146"/>
    <mergeCell ref="M146:N146"/>
    <mergeCell ref="B147:C147"/>
    <mergeCell ref="D147:E147"/>
    <mergeCell ref="F147:G147"/>
    <mergeCell ref="M147:N147"/>
    <mergeCell ref="B148:C148"/>
    <mergeCell ref="D148:E148"/>
    <mergeCell ref="F148:G148"/>
    <mergeCell ref="M148:N148"/>
    <mergeCell ref="B149:C149"/>
    <mergeCell ref="D149:E149"/>
    <mergeCell ref="F149:G149"/>
    <mergeCell ref="M149:N149"/>
    <mergeCell ref="B150:C150"/>
    <mergeCell ref="D150:E150"/>
    <mergeCell ref="F150:G150"/>
    <mergeCell ref="M150:N150"/>
    <mergeCell ref="B151:C151"/>
    <mergeCell ref="D151:E151"/>
    <mergeCell ref="F151:G151"/>
    <mergeCell ref="M151:N151"/>
    <mergeCell ref="B152:C152"/>
    <mergeCell ref="D152:E152"/>
    <mergeCell ref="F152:G152"/>
    <mergeCell ref="M152:N152"/>
    <mergeCell ref="B159:E159"/>
    <mergeCell ref="B160:E160"/>
    <mergeCell ref="B153:C153"/>
    <mergeCell ref="D153:E153"/>
    <mergeCell ref="F153:G153"/>
    <mergeCell ref="M153:N153"/>
    <mergeCell ref="B154:C154"/>
    <mergeCell ref="D154:E154"/>
    <mergeCell ref="F154:G154"/>
    <mergeCell ref="M154:N154"/>
    <mergeCell ref="B155:C155"/>
    <mergeCell ref="D155:E155"/>
    <mergeCell ref="F155:G155"/>
    <mergeCell ref="M155:N155"/>
    <mergeCell ref="B156:C156"/>
    <mergeCell ref="D156:E156"/>
    <mergeCell ref="F156:G156"/>
    <mergeCell ref="M156:N156"/>
    <mergeCell ref="B157:C157"/>
    <mergeCell ref="D157:E157"/>
    <mergeCell ref="F157:G157"/>
    <mergeCell ref="M157:N157"/>
    <mergeCell ref="I81:L81"/>
    <mergeCell ref="B82:C82"/>
    <mergeCell ref="D82:E82"/>
    <mergeCell ref="F82:G82"/>
    <mergeCell ref="M82:N82"/>
    <mergeCell ref="B83:C83"/>
    <mergeCell ref="D83:E83"/>
    <mergeCell ref="F83:G83"/>
    <mergeCell ref="M83:N83"/>
    <mergeCell ref="B84:C84"/>
    <mergeCell ref="D84:E84"/>
    <mergeCell ref="F84:G84"/>
    <mergeCell ref="M84:N84"/>
    <mergeCell ref="B85:C85"/>
    <mergeCell ref="D85:E85"/>
    <mergeCell ref="F85:G85"/>
    <mergeCell ref="M85:N85"/>
    <mergeCell ref="B86:C86"/>
    <mergeCell ref="D86:E86"/>
    <mergeCell ref="F86:G86"/>
    <mergeCell ref="M86:N86"/>
    <mergeCell ref="B87:C87"/>
    <mergeCell ref="D87:E87"/>
    <mergeCell ref="F87:G87"/>
    <mergeCell ref="M87:N87"/>
    <mergeCell ref="B88:C88"/>
    <mergeCell ref="D88:E88"/>
    <mergeCell ref="F88:G88"/>
    <mergeCell ref="M88:N88"/>
    <mergeCell ref="B89:C89"/>
    <mergeCell ref="D89:E89"/>
    <mergeCell ref="F89:G89"/>
    <mergeCell ref="M89:N89"/>
    <mergeCell ref="B90:C90"/>
    <mergeCell ref="D90:E90"/>
    <mergeCell ref="F90:G90"/>
    <mergeCell ref="M90:N90"/>
    <mergeCell ref="B91:C91"/>
    <mergeCell ref="D91:E91"/>
    <mergeCell ref="F91:G91"/>
    <mergeCell ref="M91:N91"/>
    <mergeCell ref="B92:C92"/>
    <mergeCell ref="D92:E92"/>
    <mergeCell ref="F92:G92"/>
    <mergeCell ref="M92:N92"/>
    <mergeCell ref="B93:C93"/>
    <mergeCell ref="D93:E93"/>
    <mergeCell ref="F93:G93"/>
    <mergeCell ref="M93:N93"/>
    <mergeCell ref="B94:C94"/>
    <mergeCell ref="D94:E94"/>
    <mergeCell ref="F94:G94"/>
    <mergeCell ref="B95:C95"/>
    <mergeCell ref="D95:E95"/>
    <mergeCell ref="F95:G95"/>
    <mergeCell ref="M95:N95"/>
    <mergeCell ref="B96:C96"/>
    <mergeCell ref="D96:E96"/>
    <mergeCell ref="F96:G96"/>
    <mergeCell ref="M96:N96"/>
    <mergeCell ref="B97:C97"/>
    <mergeCell ref="D97:E97"/>
    <mergeCell ref="F97:G97"/>
    <mergeCell ref="M97:N97"/>
    <mergeCell ref="B98:C98"/>
    <mergeCell ref="D98:E98"/>
    <mergeCell ref="F98:G98"/>
    <mergeCell ref="M98:N98"/>
    <mergeCell ref="B99:C99"/>
    <mergeCell ref="D99:E99"/>
    <mergeCell ref="F99:G99"/>
    <mergeCell ref="M99:N99"/>
    <mergeCell ref="B100:C100"/>
    <mergeCell ref="D100:E100"/>
    <mergeCell ref="F100:G100"/>
    <mergeCell ref="B101:C101"/>
    <mergeCell ref="D101:E101"/>
    <mergeCell ref="F101:G101"/>
    <mergeCell ref="M101:N101"/>
    <mergeCell ref="B102:C102"/>
    <mergeCell ref="D102:E102"/>
    <mergeCell ref="F102:G102"/>
    <mergeCell ref="M102:N102"/>
    <mergeCell ref="B103:C103"/>
    <mergeCell ref="D103:E103"/>
    <mergeCell ref="F103:G103"/>
    <mergeCell ref="M103:N103"/>
    <mergeCell ref="B104:C104"/>
    <mergeCell ref="D104:E104"/>
    <mergeCell ref="F104:G104"/>
    <mergeCell ref="M104:N104"/>
    <mergeCell ref="B105:C105"/>
    <mergeCell ref="D105:E105"/>
    <mergeCell ref="F105:G105"/>
    <mergeCell ref="M105:N105"/>
    <mergeCell ref="B106:C106"/>
    <mergeCell ref="D106:E106"/>
    <mergeCell ref="F106:G106"/>
    <mergeCell ref="M106:N106"/>
    <mergeCell ref="B107:C107"/>
    <mergeCell ref="D107:E107"/>
    <mergeCell ref="F107:G107"/>
    <mergeCell ref="M107:N107"/>
    <mergeCell ref="B108:C108"/>
    <mergeCell ref="D108:E108"/>
    <mergeCell ref="F108:G108"/>
    <mergeCell ref="M108:N108"/>
    <mergeCell ref="B109:C109"/>
    <mergeCell ref="D109:E109"/>
    <mergeCell ref="F109:G109"/>
    <mergeCell ref="M109:N109"/>
    <mergeCell ref="B110:C110"/>
    <mergeCell ref="D110:E110"/>
    <mergeCell ref="F110:G110"/>
    <mergeCell ref="M110:N110"/>
    <mergeCell ref="B116:C116"/>
    <mergeCell ref="D116:E116"/>
    <mergeCell ref="F116:G116"/>
    <mergeCell ref="M116:N116"/>
    <mergeCell ref="B118:E118"/>
    <mergeCell ref="B119:E119"/>
    <mergeCell ref="B111:C111"/>
    <mergeCell ref="D111:E111"/>
    <mergeCell ref="F111:G111"/>
    <mergeCell ref="M111:N111"/>
    <mergeCell ref="B112:C112"/>
    <mergeCell ref="D112:E112"/>
    <mergeCell ref="F112:G112"/>
    <mergeCell ref="M112:N112"/>
    <mergeCell ref="B113:C113"/>
    <mergeCell ref="D113:E113"/>
    <mergeCell ref="F113:G113"/>
    <mergeCell ref="B114:C114"/>
    <mergeCell ref="D114:E114"/>
    <mergeCell ref="F114:G114"/>
    <mergeCell ref="M114:N114"/>
    <mergeCell ref="B115:C115"/>
    <mergeCell ref="D115:E115"/>
    <mergeCell ref="F115:G115"/>
    <mergeCell ref="M115:N115"/>
    <mergeCell ref="I1:L1"/>
    <mergeCell ref="B2:C2"/>
    <mergeCell ref="D2:E2"/>
    <mergeCell ref="F2:G2"/>
    <mergeCell ref="M2:N2"/>
    <mergeCell ref="B3:C3"/>
    <mergeCell ref="D3:E3"/>
    <mergeCell ref="F3:G3"/>
    <mergeCell ref="M3:N3"/>
    <mergeCell ref="B4:C4"/>
    <mergeCell ref="D4:E4"/>
    <mergeCell ref="F4:G4"/>
    <mergeCell ref="M4:N4"/>
    <mergeCell ref="B5:C5"/>
    <mergeCell ref="D5:E5"/>
    <mergeCell ref="F5:G5"/>
    <mergeCell ref="M5:N5"/>
    <mergeCell ref="B6:C6"/>
    <mergeCell ref="D6:E6"/>
    <mergeCell ref="F6:G6"/>
    <mergeCell ref="M6:N6"/>
    <mergeCell ref="B7:C7"/>
    <mergeCell ref="D7:E7"/>
    <mergeCell ref="F7:G7"/>
    <mergeCell ref="M7:N7"/>
    <mergeCell ref="B8:C8"/>
    <mergeCell ref="D8:E8"/>
    <mergeCell ref="F8:G8"/>
    <mergeCell ref="M8:N8"/>
    <mergeCell ref="B9:C9"/>
    <mergeCell ref="D9:E9"/>
    <mergeCell ref="F9:G9"/>
    <mergeCell ref="M9:N9"/>
    <mergeCell ref="B10:C10"/>
    <mergeCell ref="D10:E10"/>
    <mergeCell ref="F10:G10"/>
    <mergeCell ref="M10:N10"/>
    <mergeCell ref="B11:C11"/>
    <mergeCell ref="D11:E11"/>
    <mergeCell ref="F11:G11"/>
    <mergeCell ref="M11:N11"/>
    <mergeCell ref="B12:C12"/>
    <mergeCell ref="D12:E12"/>
    <mergeCell ref="F12:G12"/>
    <mergeCell ref="M12:N12"/>
    <mergeCell ref="B13:C13"/>
    <mergeCell ref="D13:E13"/>
    <mergeCell ref="F13:G13"/>
    <mergeCell ref="M13:N13"/>
    <mergeCell ref="B14:C14"/>
    <mergeCell ref="D14:E14"/>
    <mergeCell ref="F14:G14"/>
    <mergeCell ref="B15:C15"/>
    <mergeCell ref="D15:E15"/>
    <mergeCell ref="F15:G15"/>
    <mergeCell ref="M15:N15"/>
    <mergeCell ref="B16:C16"/>
    <mergeCell ref="D16:E16"/>
    <mergeCell ref="F16:G16"/>
    <mergeCell ref="M16:N16"/>
    <mergeCell ref="B17:C17"/>
    <mergeCell ref="D17:E17"/>
    <mergeCell ref="F17:G17"/>
    <mergeCell ref="M17:N17"/>
    <mergeCell ref="B18:C18"/>
    <mergeCell ref="D18:E18"/>
    <mergeCell ref="F18:G18"/>
    <mergeCell ref="M18:N18"/>
    <mergeCell ref="B20:C20"/>
    <mergeCell ref="D20:E20"/>
    <mergeCell ref="F20:G20"/>
    <mergeCell ref="M20:N20"/>
    <mergeCell ref="B21:C21"/>
    <mergeCell ref="D21:E21"/>
    <mergeCell ref="F21:G21"/>
    <mergeCell ref="B19:C19"/>
    <mergeCell ref="D19:E19"/>
    <mergeCell ref="F19:G19"/>
    <mergeCell ref="M19:N19"/>
    <mergeCell ref="B22:C22"/>
    <mergeCell ref="D22:E22"/>
    <mergeCell ref="F22:G22"/>
    <mergeCell ref="M22:N22"/>
    <mergeCell ref="B23:C23"/>
    <mergeCell ref="D23:E23"/>
    <mergeCell ref="F23:G23"/>
    <mergeCell ref="M23:N23"/>
    <mergeCell ref="B24:C24"/>
    <mergeCell ref="D24:E24"/>
    <mergeCell ref="F24:G24"/>
    <mergeCell ref="M24:N24"/>
    <mergeCell ref="B25:C25"/>
    <mergeCell ref="D25:E25"/>
    <mergeCell ref="F25:G25"/>
    <mergeCell ref="M25:N25"/>
    <mergeCell ref="B26:C26"/>
    <mergeCell ref="D26:E26"/>
    <mergeCell ref="F26:G26"/>
    <mergeCell ref="M26:N26"/>
    <mergeCell ref="B27:C27"/>
    <mergeCell ref="D27:E27"/>
    <mergeCell ref="F27:G27"/>
    <mergeCell ref="M27:N27"/>
    <mergeCell ref="B28:C28"/>
    <mergeCell ref="D28:E28"/>
    <mergeCell ref="F28:G28"/>
    <mergeCell ref="M28:N28"/>
    <mergeCell ref="B29:C29"/>
    <mergeCell ref="D29:E29"/>
    <mergeCell ref="F29:G29"/>
    <mergeCell ref="M29:N29"/>
    <mergeCell ref="B30:C30"/>
    <mergeCell ref="D30:E30"/>
    <mergeCell ref="F30:G30"/>
    <mergeCell ref="M30:N30"/>
    <mergeCell ref="B31:C31"/>
    <mergeCell ref="D31:E31"/>
    <mergeCell ref="F31:G31"/>
    <mergeCell ref="M31:N31"/>
    <mergeCell ref="B37:C37"/>
    <mergeCell ref="D37:E37"/>
    <mergeCell ref="F37:G37"/>
    <mergeCell ref="M37:N37"/>
    <mergeCell ref="B39:E39"/>
    <mergeCell ref="B40:E40"/>
    <mergeCell ref="B32:C32"/>
    <mergeCell ref="D32:E32"/>
    <mergeCell ref="F32:G32"/>
    <mergeCell ref="M32:N32"/>
    <mergeCell ref="B33:C33"/>
    <mergeCell ref="D33:E33"/>
    <mergeCell ref="F33:G33"/>
    <mergeCell ref="M33:N33"/>
    <mergeCell ref="B34:C34"/>
    <mergeCell ref="D34:E34"/>
    <mergeCell ref="F34:G34"/>
    <mergeCell ref="B35:C35"/>
    <mergeCell ref="D35:E35"/>
    <mergeCell ref="F35:G35"/>
    <mergeCell ref="M35:N35"/>
    <mergeCell ref="B36:C36"/>
    <mergeCell ref="D36:E36"/>
    <mergeCell ref="F36:G36"/>
    <mergeCell ref="M36:N36"/>
  </mergeCells>
  <phoneticPr fontId="2" type="noConversion"/>
  <printOptions horizontalCentered="1"/>
  <pageMargins left="0.25" right="0.25" top="1.5" bottom="0" header="0.6" footer="0"/>
  <pageSetup scale="45" fitToHeight="0" orientation="landscape" r:id="rId1"/>
  <headerFooter alignWithMargins="0">
    <oddHeader xml:space="preserve">&amp;C&amp;"Arial,Bold"&amp;22Fontana Water Company
IEUA Regional Conservation Programs Annual Report&amp;"Arial,Regular"
</oddHeader>
  </headerFooter>
  <rowBreaks count="14" manualBreakCount="14">
    <brk id="79" max="16383" man="1"/>
    <brk id="119" max="13" man="1"/>
    <brk id="160" max="13" man="1"/>
    <brk id="200" max="13" man="1"/>
    <brk id="245" max="13" man="1"/>
    <brk id="289" max="13" man="1"/>
    <brk id="331" max="13" man="1"/>
    <brk id="367" max="13" man="1"/>
    <brk id="400" max="13" man="1"/>
    <brk id="443" max="13" man="1"/>
    <brk id="486" max="13" man="1"/>
    <brk id="526" max="13" man="1"/>
    <brk id="556" max="13" man="1"/>
    <brk id="604" max="1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rgb="FFFFC000"/>
    <pageSetUpPr fitToPage="1"/>
  </sheetPr>
  <dimension ref="A3:N458"/>
  <sheetViews>
    <sheetView topLeftCell="A429" zoomScaleNormal="100" workbookViewId="0">
      <selection activeCell="O7" sqref="O7"/>
    </sheetView>
  </sheetViews>
  <sheetFormatPr baseColWidth="10" defaultColWidth="8.83203125" defaultRowHeight="13"/>
  <cols>
    <col min="1" max="1" width="48.5" bestFit="1" customWidth="1"/>
    <col min="4" max="4" width="12.33203125" bestFit="1" customWidth="1"/>
    <col min="6" max="7" width="11.5" bestFit="1" customWidth="1"/>
    <col min="9" max="10" width="10.1640625" bestFit="1" customWidth="1"/>
    <col min="11" max="11" width="11.1640625" bestFit="1" customWidth="1"/>
  </cols>
  <sheetData>
    <row r="3" spans="1:14" ht="14" thickBot="1">
      <c r="B3" s="43" t="s">
        <v>35</v>
      </c>
      <c r="C3" s="43" t="s">
        <v>36</v>
      </c>
      <c r="D3" s="43" t="s">
        <v>37</v>
      </c>
      <c r="E3" s="43" t="s">
        <v>38</v>
      </c>
      <c r="F3" s="43" t="s">
        <v>39</v>
      </c>
      <c r="G3" s="43" t="s">
        <v>40</v>
      </c>
      <c r="H3" s="43" t="s">
        <v>41</v>
      </c>
      <c r="I3" s="43" t="s">
        <v>42</v>
      </c>
      <c r="J3" s="43" t="s">
        <v>43</v>
      </c>
      <c r="K3" s="43" t="s">
        <v>44</v>
      </c>
      <c r="L3" s="43" t="s">
        <v>45</v>
      </c>
      <c r="M3" s="43" t="s">
        <v>46</v>
      </c>
      <c r="N3" s="43" t="s">
        <v>10</v>
      </c>
    </row>
    <row r="4" spans="1:14" ht="17" thickBot="1">
      <c r="A4" s="31" t="s">
        <v>34</v>
      </c>
      <c r="B4" s="24"/>
      <c r="C4" s="24"/>
      <c r="D4" s="22"/>
      <c r="E4" s="22"/>
      <c r="F4" s="25"/>
      <c r="G4" s="25"/>
      <c r="H4" s="22"/>
      <c r="I4" s="22"/>
      <c r="J4" s="22"/>
      <c r="K4" s="22"/>
      <c r="L4" s="24"/>
      <c r="M4" s="24"/>
      <c r="N4" s="26"/>
    </row>
    <row r="5" spans="1:14" ht="14" thickBot="1">
      <c r="A5" s="38" t="s">
        <v>48</v>
      </c>
      <c r="B5" s="39"/>
      <c r="C5" s="39"/>
      <c r="D5" s="39"/>
      <c r="E5" s="39"/>
      <c r="F5" s="39"/>
      <c r="G5" s="39"/>
      <c r="H5" s="39"/>
      <c r="I5" s="39"/>
      <c r="J5" s="39"/>
      <c r="K5" s="39"/>
      <c r="L5" s="39"/>
      <c r="M5" s="39"/>
      <c r="N5" s="40"/>
    </row>
    <row r="6" spans="1:14">
      <c r="A6" s="32" t="s">
        <v>28</v>
      </c>
      <c r="B6" s="1092">
        <v>0</v>
      </c>
      <c r="C6" s="1092">
        <v>0</v>
      </c>
      <c r="D6" s="1092">
        <v>0</v>
      </c>
      <c r="E6" s="1092">
        <v>0</v>
      </c>
      <c r="F6" s="1092">
        <v>0</v>
      </c>
      <c r="G6" s="1092">
        <v>0</v>
      </c>
      <c r="H6" s="1092">
        <v>0</v>
      </c>
      <c r="I6" s="1092">
        <v>2</v>
      </c>
      <c r="J6" s="1092">
        <v>0</v>
      </c>
      <c r="K6" s="1092">
        <v>2</v>
      </c>
      <c r="L6" s="1092">
        <v>0</v>
      </c>
      <c r="M6" s="1092">
        <v>0</v>
      </c>
      <c r="N6" s="27">
        <f t="shared" ref="N6:N26" si="0">SUM(B6:M6)</f>
        <v>4</v>
      </c>
    </row>
    <row r="7" spans="1:14">
      <c r="A7" s="32" t="s">
        <v>29</v>
      </c>
      <c r="B7" s="1092">
        <v>0</v>
      </c>
      <c r="C7" s="1092">
        <v>0</v>
      </c>
      <c r="D7" s="1092">
        <v>0</v>
      </c>
      <c r="E7" s="1092">
        <v>0</v>
      </c>
      <c r="F7" s="1092">
        <v>0</v>
      </c>
      <c r="G7" s="1092">
        <v>0</v>
      </c>
      <c r="H7" s="1092">
        <v>0</v>
      </c>
      <c r="I7" s="1092">
        <v>0</v>
      </c>
      <c r="J7" s="1092">
        <v>0</v>
      </c>
      <c r="K7" s="1092">
        <v>0</v>
      </c>
      <c r="L7" s="1092">
        <v>0</v>
      </c>
      <c r="M7" s="1092">
        <v>1</v>
      </c>
      <c r="N7" s="27">
        <f t="shared" si="0"/>
        <v>1</v>
      </c>
    </row>
    <row r="8" spans="1:14">
      <c r="A8" s="32" t="s">
        <v>33</v>
      </c>
      <c r="B8" s="1092">
        <v>0</v>
      </c>
      <c r="C8" s="1092">
        <v>0</v>
      </c>
      <c r="D8" s="1092">
        <v>2</v>
      </c>
      <c r="E8" s="1092">
        <v>4</v>
      </c>
      <c r="F8" s="1092">
        <v>1</v>
      </c>
      <c r="G8" s="1092">
        <v>1</v>
      </c>
      <c r="H8" s="1092">
        <v>6</v>
      </c>
      <c r="I8" s="1092">
        <v>2</v>
      </c>
      <c r="J8" s="1092">
        <v>1</v>
      </c>
      <c r="K8" s="1092">
        <v>4</v>
      </c>
      <c r="L8" s="1092">
        <v>2</v>
      </c>
      <c r="M8" s="1092">
        <v>1</v>
      </c>
      <c r="N8" s="27">
        <f t="shared" si="0"/>
        <v>24</v>
      </c>
    </row>
    <row r="9" spans="1:14">
      <c r="A9" s="32" t="s">
        <v>56</v>
      </c>
      <c r="B9" s="1092">
        <v>0</v>
      </c>
      <c r="C9" s="1092">
        <v>0</v>
      </c>
      <c r="D9" s="1092">
        <v>19</v>
      </c>
      <c r="E9" s="1092">
        <v>0</v>
      </c>
      <c r="F9" s="1092">
        <v>0</v>
      </c>
      <c r="G9" s="1092">
        <v>0</v>
      </c>
      <c r="H9" s="1092">
        <v>0</v>
      </c>
      <c r="I9" s="1092">
        <v>0</v>
      </c>
      <c r="J9" s="1092">
        <v>0</v>
      </c>
      <c r="K9" s="1092">
        <v>0</v>
      </c>
      <c r="L9" s="1092">
        <v>0</v>
      </c>
      <c r="M9" s="1092">
        <v>0</v>
      </c>
      <c r="N9" s="27">
        <f t="shared" si="0"/>
        <v>19</v>
      </c>
    </row>
    <row r="10" spans="1:14">
      <c r="A10" s="32" t="s">
        <v>52</v>
      </c>
      <c r="B10" s="1092">
        <v>0</v>
      </c>
      <c r="C10" s="1092">
        <v>0</v>
      </c>
      <c r="D10" s="1092">
        <v>0</v>
      </c>
      <c r="E10" s="1092">
        <v>0</v>
      </c>
      <c r="F10" s="1092">
        <v>0</v>
      </c>
      <c r="G10" s="1092">
        <v>0</v>
      </c>
      <c r="H10" s="1092">
        <v>0</v>
      </c>
      <c r="I10" s="1092">
        <v>0</v>
      </c>
      <c r="J10" s="1092">
        <v>0</v>
      </c>
      <c r="K10" s="1092">
        <v>0</v>
      </c>
      <c r="L10" s="1092">
        <v>3</v>
      </c>
      <c r="M10" s="1092">
        <v>0</v>
      </c>
      <c r="N10" s="27">
        <f>SUM(B10:M10)</f>
        <v>3</v>
      </c>
    </row>
    <row r="11" spans="1:14">
      <c r="A11" s="33" t="s">
        <v>57</v>
      </c>
      <c r="B11" s="1092">
        <v>0</v>
      </c>
      <c r="C11" s="1092">
        <v>0</v>
      </c>
      <c r="D11" s="1092">
        <v>0</v>
      </c>
      <c r="E11" s="1092">
        <v>0</v>
      </c>
      <c r="F11" s="1092">
        <v>0</v>
      </c>
      <c r="G11" s="1092">
        <v>0</v>
      </c>
      <c r="H11" s="1092">
        <v>0</v>
      </c>
      <c r="I11" s="1092">
        <v>0</v>
      </c>
      <c r="J11" s="1092">
        <v>0</v>
      </c>
      <c r="K11" s="1092">
        <v>0</v>
      </c>
      <c r="L11" s="1092">
        <v>0</v>
      </c>
      <c r="M11" s="1092">
        <v>0</v>
      </c>
      <c r="N11" s="27">
        <f>SUM(B11:M11)</f>
        <v>0</v>
      </c>
    </row>
    <row r="12" spans="1:14" ht="14" thickBot="1">
      <c r="A12" s="33" t="s">
        <v>98</v>
      </c>
      <c r="B12" s="1092">
        <v>0</v>
      </c>
      <c r="C12" s="1092">
        <v>0</v>
      </c>
      <c r="D12" s="1092">
        <v>0</v>
      </c>
      <c r="E12" s="1092">
        <v>0</v>
      </c>
      <c r="F12" s="1092">
        <v>0</v>
      </c>
      <c r="G12" s="1092">
        <v>0</v>
      </c>
      <c r="H12" s="1092">
        <v>1</v>
      </c>
      <c r="I12" s="1092">
        <v>1</v>
      </c>
      <c r="J12" s="1092">
        <v>0</v>
      </c>
      <c r="K12" s="1092">
        <v>0</v>
      </c>
      <c r="L12" s="1092">
        <v>0</v>
      </c>
      <c r="M12" s="1092">
        <v>0</v>
      </c>
      <c r="N12" s="27">
        <f>SUM(B12:M12)</f>
        <v>2</v>
      </c>
    </row>
    <row r="13" spans="1:14" ht="14" thickBot="1">
      <c r="A13" s="53" t="s">
        <v>60</v>
      </c>
      <c r="B13" s="55">
        <f>SUM(B6:B12)</f>
        <v>0</v>
      </c>
      <c r="C13" s="55">
        <f>SUM(C6:C12)</f>
        <v>0</v>
      </c>
      <c r="D13" s="55">
        <f t="shared" ref="D13:N13" si="1">SUM(D6:D12)</f>
        <v>21</v>
      </c>
      <c r="E13" s="55">
        <f t="shared" si="1"/>
        <v>4</v>
      </c>
      <c r="F13" s="55">
        <f t="shared" si="1"/>
        <v>1</v>
      </c>
      <c r="G13" s="55">
        <f t="shared" si="1"/>
        <v>1</v>
      </c>
      <c r="H13" s="55">
        <f t="shared" si="1"/>
        <v>7</v>
      </c>
      <c r="I13" s="55">
        <f t="shared" si="1"/>
        <v>5</v>
      </c>
      <c r="J13" s="55">
        <f t="shared" si="1"/>
        <v>1</v>
      </c>
      <c r="K13" s="55">
        <f t="shared" si="1"/>
        <v>6</v>
      </c>
      <c r="L13" s="55">
        <f t="shared" si="1"/>
        <v>5</v>
      </c>
      <c r="M13" s="55">
        <f t="shared" si="1"/>
        <v>2</v>
      </c>
      <c r="N13" s="54">
        <f t="shared" si="1"/>
        <v>53</v>
      </c>
    </row>
    <row r="14" spans="1:14" ht="14" thickBot="1">
      <c r="A14" s="38" t="s">
        <v>49</v>
      </c>
      <c r="B14" s="39"/>
      <c r="C14" s="39"/>
      <c r="D14" s="39"/>
      <c r="E14" s="39"/>
      <c r="F14" s="39"/>
      <c r="G14" s="39"/>
      <c r="H14" s="39"/>
      <c r="I14" s="39"/>
      <c r="J14" s="39"/>
      <c r="K14" s="39"/>
      <c r="L14" s="39"/>
      <c r="M14" s="39"/>
      <c r="N14" s="40"/>
    </row>
    <row r="15" spans="1:14" ht="14" thickBot="1">
      <c r="A15" s="33" t="s">
        <v>49</v>
      </c>
      <c r="B15" s="1092">
        <v>0</v>
      </c>
      <c r="C15" s="1092">
        <v>0</v>
      </c>
      <c r="D15" s="1092">
        <v>0</v>
      </c>
      <c r="E15" s="1092">
        <v>0</v>
      </c>
      <c r="F15" s="1092">
        <v>0</v>
      </c>
      <c r="G15" s="1092">
        <v>0</v>
      </c>
      <c r="H15" s="1092">
        <v>0</v>
      </c>
      <c r="I15" s="1092">
        <v>0</v>
      </c>
      <c r="J15" s="1092">
        <v>0</v>
      </c>
      <c r="K15" s="1092">
        <v>0</v>
      </c>
      <c r="L15" s="1092">
        <v>0</v>
      </c>
      <c r="M15" s="1092">
        <v>0</v>
      </c>
      <c r="N15" s="27">
        <f>SUM(B15:M15)</f>
        <v>0</v>
      </c>
    </row>
    <row r="16" spans="1:14" ht="14" thickBot="1">
      <c r="A16" s="53" t="s">
        <v>60</v>
      </c>
      <c r="B16" s="55">
        <f>SUM(B15)</f>
        <v>0</v>
      </c>
      <c r="C16" s="55">
        <f t="shared" ref="C16:N16" si="2">SUM(C15)</f>
        <v>0</v>
      </c>
      <c r="D16" s="55">
        <f t="shared" si="2"/>
        <v>0</v>
      </c>
      <c r="E16" s="55">
        <f t="shared" si="2"/>
        <v>0</v>
      </c>
      <c r="F16" s="55">
        <f t="shared" si="2"/>
        <v>0</v>
      </c>
      <c r="G16" s="55">
        <f t="shared" si="2"/>
        <v>0</v>
      </c>
      <c r="H16" s="55">
        <f t="shared" si="2"/>
        <v>0</v>
      </c>
      <c r="I16" s="55">
        <f t="shared" si="2"/>
        <v>0</v>
      </c>
      <c r="J16" s="55">
        <f t="shared" si="2"/>
        <v>0</v>
      </c>
      <c r="K16" s="55">
        <f t="shared" si="2"/>
        <v>0</v>
      </c>
      <c r="L16" s="55">
        <f t="shared" si="2"/>
        <v>0</v>
      </c>
      <c r="M16" s="55">
        <f t="shared" si="2"/>
        <v>0</v>
      </c>
      <c r="N16" s="54">
        <f t="shared" si="2"/>
        <v>0</v>
      </c>
    </row>
    <row r="17" spans="1:14" ht="14" thickBot="1">
      <c r="A17" s="38" t="s">
        <v>50</v>
      </c>
      <c r="B17" s="39"/>
      <c r="C17" s="39"/>
      <c r="D17" s="39"/>
      <c r="E17" s="39"/>
      <c r="F17" s="39"/>
      <c r="G17" s="39"/>
      <c r="H17" s="39"/>
      <c r="I17" s="39"/>
      <c r="J17" s="39"/>
      <c r="K17" s="39"/>
      <c r="L17" s="39"/>
      <c r="M17" s="39"/>
      <c r="N17" s="40"/>
    </row>
    <row r="18" spans="1:14">
      <c r="A18" s="34" t="s">
        <v>26</v>
      </c>
      <c r="B18" s="1092">
        <v>0</v>
      </c>
      <c r="C18" s="1092">
        <v>0</v>
      </c>
      <c r="D18" s="1092">
        <v>0</v>
      </c>
      <c r="E18" s="1092">
        <v>0</v>
      </c>
      <c r="F18" s="1092">
        <v>0</v>
      </c>
      <c r="G18" s="1092">
        <v>0</v>
      </c>
      <c r="H18" s="1092">
        <v>0</v>
      </c>
      <c r="I18" s="1092">
        <v>0</v>
      </c>
      <c r="J18" s="1092">
        <v>0</v>
      </c>
      <c r="K18" s="1092">
        <v>0</v>
      </c>
      <c r="L18" s="1092">
        <v>0</v>
      </c>
      <c r="M18" s="1092">
        <v>0</v>
      </c>
      <c r="N18" s="27">
        <f t="shared" si="0"/>
        <v>0</v>
      </c>
    </row>
    <row r="19" spans="1:14">
      <c r="A19" s="34" t="s">
        <v>25</v>
      </c>
      <c r="B19" s="1092">
        <v>0</v>
      </c>
      <c r="C19" s="1092">
        <v>0</v>
      </c>
      <c r="D19" s="1092">
        <v>0</v>
      </c>
      <c r="E19" s="1092">
        <v>0</v>
      </c>
      <c r="F19" s="1092">
        <v>0</v>
      </c>
      <c r="G19" s="1092">
        <v>0</v>
      </c>
      <c r="H19" s="1092">
        <v>0</v>
      </c>
      <c r="I19" s="1092">
        <v>0</v>
      </c>
      <c r="J19" s="1092">
        <v>0</v>
      </c>
      <c r="K19" s="1092">
        <v>0</v>
      </c>
      <c r="L19" s="1092">
        <v>0</v>
      </c>
      <c r="M19" s="1092">
        <v>0</v>
      </c>
      <c r="N19" s="27">
        <f t="shared" si="0"/>
        <v>0</v>
      </c>
    </row>
    <row r="20" spans="1:14">
      <c r="A20" s="32" t="s">
        <v>29</v>
      </c>
      <c r="B20" s="1092">
        <v>0</v>
      </c>
      <c r="C20" s="1092">
        <v>0</v>
      </c>
      <c r="D20" s="1092">
        <v>0</v>
      </c>
      <c r="E20" s="1092">
        <v>0</v>
      </c>
      <c r="F20" s="1092">
        <v>0</v>
      </c>
      <c r="G20" s="1092">
        <v>0</v>
      </c>
      <c r="H20" s="1092">
        <v>0</v>
      </c>
      <c r="I20" s="1092">
        <v>0</v>
      </c>
      <c r="J20" s="1092">
        <v>0</v>
      </c>
      <c r="K20" s="1092">
        <v>0</v>
      </c>
      <c r="L20" s="1092">
        <v>0</v>
      </c>
      <c r="M20" s="1092">
        <v>0</v>
      </c>
      <c r="N20" s="27">
        <f t="shared" si="0"/>
        <v>0</v>
      </c>
    </row>
    <row r="21" spans="1:14">
      <c r="A21" s="32" t="s">
        <v>51</v>
      </c>
      <c r="B21" s="1092">
        <v>0</v>
      </c>
      <c r="C21" s="1092">
        <v>0</v>
      </c>
      <c r="D21" s="1092">
        <v>0</v>
      </c>
      <c r="E21" s="1092">
        <v>0</v>
      </c>
      <c r="F21" s="1092">
        <v>0</v>
      </c>
      <c r="G21" s="1092">
        <v>0</v>
      </c>
      <c r="H21" s="1092">
        <v>0</v>
      </c>
      <c r="I21" s="1092">
        <v>0</v>
      </c>
      <c r="J21" s="1092">
        <v>0</v>
      </c>
      <c r="K21" s="1092">
        <v>0</v>
      </c>
      <c r="L21" s="1092">
        <v>0</v>
      </c>
      <c r="M21" s="1092">
        <v>0</v>
      </c>
      <c r="N21" s="27">
        <f t="shared" si="0"/>
        <v>0</v>
      </c>
    </row>
    <row r="22" spans="1:14">
      <c r="A22" s="34" t="s">
        <v>20</v>
      </c>
      <c r="B22" s="1092">
        <v>0</v>
      </c>
      <c r="C22" s="1092">
        <v>0</v>
      </c>
      <c r="D22" s="1092">
        <v>0</v>
      </c>
      <c r="E22" s="1092">
        <v>0</v>
      </c>
      <c r="F22" s="1092">
        <v>0</v>
      </c>
      <c r="G22" s="1092">
        <v>0</v>
      </c>
      <c r="H22" s="1092">
        <v>0</v>
      </c>
      <c r="I22" s="1092">
        <v>0</v>
      </c>
      <c r="J22" s="1092">
        <v>0</v>
      </c>
      <c r="K22" s="1092">
        <v>0</v>
      </c>
      <c r="L22" s="1092">
        <v>0</v>
      </c>
      <c r="M22" s="1092">
        <v>0</v>
      </c>
      <c r="N22" s="27">
        <f t="shared" si="0"/>
        <v>0</v>
      </c>
    </row>
    <row r="23" spans="1:14">
      <c r="A23" s="34" t="s">
        <v>204</v>
      </c>
      <c r="B23" s="1092">
        <v>0</v>
      </c>
      <c r="C23" s="1092">
        <v>0</v>
      </c>
      <c r="D23" s="1092">
        <v>0</v>
      </c>
      <c r="E23" s="1092">
        <v>0</v>
      </c>
      <c r="F23" s="1092">
        <v>0</v>
      </c>
      <c r="G23" s="1092">
        <v>0</v>
      </c>
      <c r="H23" s="1092">
        <v>0</v>
      </c>
      <c r="I23" s="1092">
        <v>0</v>
      </c>
      <c r="J23" s="1092">
        <v>0</v>
      </c>
      <c r="K23" s="1092">
        <v>0</v>
      </c>
      <c r="L23" s="1092">
        <v>0</v>
      </c>
      <c r="M23" s="1092">
        <v>0</v>
      </c>
      <c r="N23" s="27">
        <f t="shared" si="0"/>
        <v>0</v>
      </c>
    </row>
    <row r="24" spans="1:14">
      <c r="A24" s="35" t="s">
        <v>47</v>
      </c>
      <c r="B24" s="1092">
        <v>0</v>
      </c>
      <c r="C24" s="1092">
        <v>0</v>
      </c>
      <c r="D24" s="1092">
        <v>0</v>
      </c>
      <c r="E24" s="1092">
        <v>0</v>
      </c>
      <c r="F24" s="1092">
        <v>0</v>
      </c>
      <c r="G24" s="1092">
        <v>0</v>
      </c>
      <c r="H24" s="1092">
        <v>0</v>
      </c>
      <c r="I24" s="1092">
        <v>0</v>
      </c>
      <c r="J24" s="1092">
        <v>0</v>
      </c>
      <c r="K24" s="1092">
        <v>0</v>
      </c>
      <c r="L24" s="1092">
        <v>0</v>
      </c>
      <c r="M24" s="1092">
        <v>0</v>
      </c>
      <c r="N24" s="27">
        <f t="shared" si="0"/>
        <v>0</v>
      </c>
    </row>
    <row r="25" spans="1:14">
      <c r="A25" s="33" t="s">
        <v>52</v>
      </c>
      <c r="B25" s="1092">
        <v>0</v>
      </c>
      <c r="C25" s="1092">
        <v>0</v>
      </c>
      <c r="D25" s="1092">
        <v>0</v>
      </c>
      <c r="E25" s="1092">
        <v>0</v>
      </c>
      <c r="F25" s="1092">
        <v>0</v>
      </c>
      <c r="G25" s="1092">
        <v>0</v>
      </c>
      <c r="H25" s="1092">
        <v>0</v>
      </c>
      <c r="I25" s="1092">
        <v>0</v>
      </c>
      <c r="J25" s="1092">
        <v>0</v>
      </c>
      <c r="K25" s="1092">
        <v>0</v>
      </c>
      <c r="L25" s="1092">
        <v>0</v>
      </c>
      <c r="M25" s="1092">
        <v>0</v>
      </c>
      <c r="N25" s="27">
        <f t="shared" si="0"/>
        <v>0</v>
      </c>
    </row>
    <row r="26" spans="1:14">
      <c r="A26" s="33" t="s">
        <v>94</v>
      </c>
      <c r="B26" s="1092">
        <v>0</v>
      </c>
      <c r="C26" s="1092">
        <v>0</v>
      </c>
      <c r="D26" s="1092">
        <v>0</v>
      </c>
      <c r="E26" s="1092">
        <v>0</v>
      </c>
      <c r="F26" s="1092">
        <v>0</v>
      </c>
      <c r="G26" s="1092">
        <v>1</v>
      </c>
      <c r="H26" s="1092">
        <v>0</v>
      </c>
      <c r="I26" s="1092">
        <v>0</v>
      </c>
      <c r="J26" s="1092">
        <v>0</v>
      </c>
      <c r="K26" s="1092">
        <v>0</v>
      </c>
      <c r="L26" s="1092">
        <v>0</v>
      </c>
      <c r="M26" s="1092">
        <v>0</v>
      </c>
      <c r="N26" s="27">
        <f t="shared" si="0"/>
        <v>1</v>
      </c>
    </row>
    <row r="27" spans="1:14" ht="14" thickBot="1">
      <c r="A27" s="32" t="s">
        <v>56</v>
      </c>
      <c r="B27" s="1092">
        <v>0</v>
      </c>
      <c r="C27" s="1092">
        <v>0</v>
      </c>
      <c r="D27" s="1092">
        <v>0</v>
      </c>
      <c r="E27" s="1092">
        <v>0</v>
      </c>
      <c r="F27" s="1092">
        <v>0</v>
      </c>
      <c r="G27" s="1092">
        <v>0</v>
      </c>
      <c r="H27" s="1092">
        <v>0</v>
      </c>
      <c r="I27" s="1092">
        <v>0</v>
      </c>
      <c r="J27" s="1092">
        <v>0</v>
      </c>
      <c r="K27" s="1092">
        <v>0</v>
      </c>
      <c r="L27" s="1092">
        <v>0</v>
      </c>
      <c r="M27" s="1092">
        <v>0</v>
      </c>
      <c r="N27" s="27">
        <f>SUM(B27:M27)</f>
        <v>0</v>
      </c>
    </row>
    <row r="28" spans="1:14" ht="14" thickBot="1">
      <c r="A28" s="53" t="s">
        <v>60</v>
      </c>
      <c r="B28" s="55">
        <f>SUM(B18:B27)</f>
        <v>0</v>
      </c>
      <c r="C28" s="55">
        <f t="shared" ref="C28:N28" si="3">SUM(C18:C27)</f>
        <v>0</v>
      </c>
      <c r="D28" s="55">
        <f t="shared" si="3"/>
        <v>0</v>
      </c>
      <c r="E28" s="55">
        <f t="shared" si="3"/>
        <v>0</v>
      </c>
      <c r="F28" s="55">
        <f t="shared" si="3"/>
        <v>0</v>
      </c>
      <c r="G28" s="55">
        <f t="shared" si="3"/>
        <v>1</v>
      </c>
      <c r="H28" s="55">
        <f t="shared" si="3"/>
        <v>0</v>
      </c>
      <c r="I28" s="55">
        <f t="shared" si="3"/>
        <v>0</v>
      </c>
      <c r="J28" s="55">
        <f t="shared" si="3"/>
        <v>0</v>
      </c>
      <c r="K28" s="55">
        <f t="shared" si="3"/>
        <v>0</v>
      </c>
      <c r="L28" s="55">
        <f t="shared" si="3"/>
        <v>0</v>
      </c>
      <c r="M28" s="55">
        <f t="shared" si="3"/>
        <v>0</v>
      </c>
      <c r="N28" s="54">
        <f t="shared" si="3"/>
        <v>1</v>
      </c>
    </row>
    <row r="29" spans="1:14" ht="14" thickBot="1">
      <c r="A29" s="38" t="s">
        <v>54</v>
      </c>
      <c r="B29" s="41"/>
      <c r="C29" s="41"/>
      <c r="D29" s="41"/>
      <c r="E29" s="41"/>
      <c r="F29" s="41"/>
      <c r="G29" s="41"/>
      <c r="H29" s="41"/>
      <c r="I29" s="41"/>
      <c r="J29" s="41"/>
      <c r="K29" s="41"/>
      <c r="L29" s="41"/>
      <c r="M29" s="41"/>
      <c r="N29" s="42"/>
    </row>
    <row r="30" spans="1:14">
      <c r="A30" s="36" t="s">
        <v>29</v>
      </c>
      <c r="B30" s="1099">
        <v>0</v>
      </c>
      <c r="C30" s="1100">
        <v>0</v>
      </c>
      <c r="D30" s="1100">
        <v>0</v>
      </c>
      <c r="E30" s="1100">
        <v>0</v>
      </c>
      <c r="F30" s="1100">
        <v>0</v>
      </c>
      <c r="G30" s="1100">
        <v>0</v>
      </c>
      <c r="H30" s="1100">
        <v>0</v>
      </c>
      <c r="I30" s="1100">
        <v>0</v>
      </c>
      <c r="J30" s="1100">
        <v>0</v>
      </c>
      <c r="K30" s="1100">
        <v>0</v>
      </c>
      <c r="L30" s="1100">
        <v>0</v>
      </c>
      <c r="M30" s="1108">
        <v>0</v>
      </c>
      <c r="N30" s="28">
        <f>SUM(B30:M30)</f>
        <v>0</v>
      </c>
    </row>
    <row r="31" spans="1:14">
      <c r="A31" s="34" t="s">
        <v>51</v>
      </c>
      <c r="B31" s="1102">
        <v>0</v>
      </c>
      <c r="C31" s="1092">
        <v>0</v>
      </c>
      <c r="D31" s="1092">
        <v>0</v>
      </c>
      <c r="E31" s="1092">
        <v>0</v>
      </c>
      <c r="F31" s="1092">
        <v>0</v>
      </c>
      <c r="G31" s="1092">
        <v>0</v>
      </c>
      <c r="H31" s="1092">
        <v>0</v>
      </c>
      <c r="I31" s="1092">
        <v>0</v>
      </c>
      <c r="J31" s="1092">
        <v>0</v>
      </c>
      <c r="K31" s="1092">
        <v>0</v>
      </c>
      <c r="L31" s="1092">
        <v>0</v>
      </c>
      <c r="M31" s="1103">
        <v>0</v>
      </c>
      <c r="N31" s="29">
        <f>SUM(B31:M31)</f>
        <v>0</v>
      </c>
    </row>
    <row r="32" spans="1:14">
      <c r="A32" s="34" t="s">
        <v>15</v>
      </c>
      <c r="B32" s="1102">
        <v>0</v>
      </c>
      <c r="C32" s="1092">
        <v>0</v>
      </c>
      <c r="D32" s="1092">
        <v>0</v>
      </c>
      <c r="E32" s="1092">
        <v>0</v>
      </c>
      <c r="F32" s="1092">
        <v>0</v>
      </c>
      <c r="G32" s="1092">
        <v>0</v>
      </c>
      <c r="H32" s="1092">
        <v>0</v>
      </c>
      <c r="I32" s="1092">
        <v>0</v>
      </c>
      <c r="J32" s="1092">
        <v>0</v>
      </c>
      <c r="K32" s="1092">
        <v>0</v>
      </c>
      <c r="L32" s="1092">
        <v>0</v>
      </c>
      <c r="M32" s="1103">
        <v>0</v>
      </c>
      <c r="N32" s="29">
        <f>SUM(B32:M32)</f>
        <v>0</v>
      </c>
    </row>
    <row r="33" spans="1:14">
      <c r="A33" s="34" t="s">
        <v>30</v>
      </c>
      <c r="B33" s="1102">
        <v>0</v>
      </c>
      <c r="C33" s="1092">
        <v>0</v>
      </c>
      <c r="D33" s="1092">
        <v>0</v>
      </c>
      <c r="E33" s="1092">
        <v>0</v>
      </c>
      <c r="F33" s="1092">
        <v>0</v>
      </c>
      <c r="G33" s="1092">
        <v>0</v>
      </c>
      <c r="H33" s="1092">
        <v>0</v>
      </c>
      <c r="I33" s="1092">
        <v>0</v>
      </c>
      <c r="J33" s="1092">
        <v>0</v>
      </c>
      <c r="K33" s="1092">
        <v>0</v>
      </c>
      <c r="L33" s="1092">
        <v>0</v>
      </c>
      <c r="M33" s="1103">
        <v>0</v>
      </c>
      <c r="N33" s="29">
        <f>SUM(B33:M33)</f>
        <v>0</v>
      </c>
    </row>
    <row r="34" spans="1:14" ht="14" thickBot="1">
      <c r="A34" s="37" t="s">
        <v>55</v>
      </c>
      <c r="B34" s="1105">
        <v>0</v>
      </c>
      <c r="C34" s="1106">
        <v>0</v>
      </c>
      <c r="D34" s="1106">
        <v>0</v>
      </c>
      <c r="E34" s="1106">
        <v>0</v>
      </c>
      <c r="F34" s="1106">
        <v>0</v>
      </c>
      <c r="G34" s="1106">
        <v>0</v>
      </c>
      <c r="H34" s="1106">
        <v>0</v>
      </c>
      <c r="I34" s="1106">
        <v>0</v>
      </c>
      <c r="J34" s="1106">
        <v>0</v>
      </c>
      <c r="K34" s="1106">
        <v>0</v>
      </c>
      <c r="L34" s="1106">
        <v>0</v>
      </c>
      <c r="M34" s="1109">
        <v>0</v>
      </c>
      <c r="N34" s="30">
        <f>SUM(B34:M34)</f>
        <v>0</v>
      </c>
    </row>
    <row r="35" spans="1:14" ht="14" thickBot="1">
      <c r="A35" s="53" t="s">
        <v>60</v>
      </c>
      <c r="B35" s="55">
        <f>SUM(B30:B34)</f>
        <v>0</v>
      </c>
      <c r="C35" s="55">
        <f t="shared" ref="C35:N35" si="4">SUM(C30:C34)</f>
        <v>0</v>
      </c>
      <c r="D35" s="55">
        <f t="shared" si="4"/>
        <v>0</v>
      </c>
      <c r="E35" s="55">
        <f t="shared" si="4"/>
        <v>0</v>
      </c>
      <c r="F35" s="55">
        <f t="shared" si="4"/>
        <v>0</v>
      </c>
      <c r="G35" s="55">
        <f t="shared" si="4"/>
        <v>0</v>
      </c>
      <c r="H35" s="55">
        <f t="shared" si="4"/>
        <v>0</v>
      </c>
      <c r="I35" s="55">
        <f t="shared" si="4"/>
        <v>0</v>
      </c>
      <c r="J35" s="55">
        <f t="shared" si="4"/>
        <v>0</v>
      </c>
      <c r="K35" s="55">
        <f t="shared" si="4"/>
        <v>0</v>
      </c>
      <c r="L35" s="55">
        <f t="shared" si="4"/>
        <v>0</v>
      </c>
      <c r="M35" s="55">
        <f t="shared" si="4"/>
        <v>0</v>
      </c>
      <c r="N35" s="55">
        <f t="shared" si="4"/>
        <v>0</v>
      </c>
    </row>
    <row r="38" spans="1:14" ht="14" thickBot="1">
      <c r="B38" s="43" t="s">
        <v>35</v>
      </c>
      <c r="C38" s="43" t="s">
        <v>36</v>
      </c>
      <c r="D38" s="43" t="s">
        <v>37</v>
      </c>
      <c r="E38" s="43" t="s">
        <v>38</v>
      </c>
      <c r="F38" s="43" t="s">
        <v>39</v>
      </c>
      <c r="G38" s="43" t="s">
        <v>40</v>
      </c>
      <c r="H38" s="43" t="s">
        <v>41</v>
      </c>
      <c r="I38" s="43" t="s">
        <v>42</v>
      </c>
      <c r="J38" s="43" t="s">
        <v>43</v>
      </c>
      <c r="K38" s="43" t="s">
        <v>44</v>
      </c>
      <c r="L38" s="43" t="s">
        <v>45</v>
      </c>
      <c r="M38" s="43" t="s">
        <v>46</v>
      </c>
      <c r="N38" s="43" t="s">
        <v>10</v>
      </c>
    </row>
    <row r="39" spans="1:14" ht="17" thickBot="1">
      <c r="A39" s="31" t="s">
        <v>99</v>
      </c>
      <c r="B39" s="24"/>
      <c r="C39" s="24"/>
      <c r="D39" s="22"/>
      <c r="E39" s="22"/>
      <c r="F39" s="25"/>
      <c r="G39" s="25"/>
      <c r="H39" s="22"/>
      <c r="I39" s="22"/>
      <c r="J39" s="22"/>
      <c r="K39" s="22"/>
      <c r="L39" s="24"/>
      <c r="M39" s="24"/>
      <c r="N39" s="26"/>
    </row>
    <row r="40" spans="1:14" ht="14" thickBot="1">
      <c r="A40" s="38" t="s">
        <v>48</v>
      </c>
      <c r="B40" s="39"/>
      <c r="C40" s="39"/>
      <c r="D40" s="39"/>
      <c r="E40" s="39"/>
      <c r="F40" s="39"/>
      <c r="G40" s="39"/>
      <c r="H40" s="39"/>
      <c r="I40" s="39"/>
      <c r="J40" s="39"/>
      <c r="K40" s="39"/>
      <c r="L40" s="39"/>
      <c r="M40" s="39"/>
      <c r="N40" s="40"/>
    </row>
    <row r="41" spans="1:14">
      <c r="A41" s="32" t="s">
        <v>28</v>
      </c>
      <c r="B41" s="1092">
        <v>0</v>
      </c>
      <c r="C41" s="1092">
        <v>0</v>
      </c>
      <c r="D41" s="1092">
        <v>0</v>
      </c>
      <c r="E41" s="1092">
        <v>0</v>
      </c>
      <c r="F41" s="1092">
        <v>0</v>
      </c>
      <c r="G41" s="1092">
        <v>0</v>
      </c>
      <c r="H41" s="1092">
        <v>0</v>
      </c>
      <c r="I41" s="1092">
        <v>0</v>
      </c>
      <c r="J41" s="1092">
        <v>0</v>
      </c>
      <c r="K41" s="1092">
        <v>0</v>
      </c>
      <c r="L41" s="1092">
        <v>0</v>
      </c>
      <c r="M41" s="1092">
        <v>0</v>
      </c>
      <c r="N41" s="27">
        <f>SUM(B41:M41)</f>
        <v>0</v>
      </c>
    </row>
    <row r="42" spans="1:14">
      <c r="A42" s="32" t="s">
        <v>29</v>
      </c>
      <c r="B42" s="1092">
        <v>0</v>
      </c>
      <c r="C42" s="1092">
        <v>0</v>
      </c>
      <c r="D42" s="1092">
        <v>0</v>
      </c>
      <c r="E42" s="1092">
        <v>0</v>
      </c>
      <c r="F42" s="1092">
        <v>0</v>
      </c>
      <c r="G42" s="1092">
        <v>0</v>
      </c>
      <c r="H42" s="1092">
        <v>0</v>
      </c>
      <c r="I42" s="1092">
        <v>0</v>
      </c>
      <c r="J42" s="1092">
        <v>0</v>
      </c>
      <c r="K42" s="1092">
        <v>1</v>
      </c>
      <c r="L42" s="1092">
        <v>1</v>
      </c>
      <c r="M42" s="1092">
        <v>0</v>
      </c>
      <c r="N42" s="27">
        <f>SUM(B42:M42)</f>
        <v>2</v>
      </c>
    </row>
    <row r="43" spans="1:14">
      <c r="A43" s="32" t="s">
        <v>33</v>
      </c>
      <c r="B43" s="1092">
        <v>0</v>
      </c>
      <c r="C43" s="1092">
        <v>0</v>
      </c>
      <c r="D43" s="1092">
        <v>0</v>
      </c>
      <c r="E43" s="1092">
        <v>0</v>
      </c>
      <c r="F43" s="1092">
        <v>0</v>
      </c>
      <c r="G43" s="1092">
        <v>3</v>
      </c>
      <c r="H43" s="1092">
        <v>0</v>
      </c>
      <c r="I43" s="1092">
        <v>0</v>
      </c>
      <c r="J43" s="1092">
        <v>2</v>
      </c>
      <c r="K43" s="1092">
        <v>1</v>
      </c>
      <c r="L43" s="1092">
        <v>2</v>
      </c>
      <c r="M43" s="1092">
        <v>1</v>
      </c>
      <c r="N43" s="27">
        <f>SUM(B43:M43)</f>
        <v>9</v>
      </c>
    </row>
    <row r="44" spans="1:14">
      <c r="A44" s="32" t="s">
        <v>56</v>
      </c>
      <c r="B44" s="1092">
        <v>0</v>
      </c>
      <c r="C44" s="1092">
        <v>0</v>
      </c>
      <c r="D44" s="1092">
        <v>0</v>
      </c>
      <c r="E44" s="1092">
        <v>0</v>
      </c>
      <c r="F44" s="1092">
        <v>0</v>
      </c>
      <c r="G44" s="1092">
        <v>0</v>
      </c>
      <c r="H44" s="1092">
        <v>0</v>
      </c>
      <c r="I44" s="1092">
        <v>0</v>
      </c>
      <c r="J44" s="1092">
        <v>0</v>
      </c>
      <c r="K44" s="1092">
        <v>0</v>
      </c>
      <c r="L44" s="1092">
        <v>0</v>
      </c>
      <c r="M44" s="1092">
        <v>0</v>
      </c>
      <c r="N44" s="27">
        <f>SUM(B44:M44)</f>
        <v>0</v>
      </c>
    </row>
    <row r="45" spans="1:14">
      <c r="A45" s="32" t="s">
        <v>52</v>
      </c>
      <c r="B45" s="1092">
        <v>0</v>
      </c>
      <c r="C45" s="1092">
        <v>0</v>
      </c>
      <c r="D45" s="1092">
        <v>0</v>
      </c>
      <c r="E45" s="1092">
        <v>0</v>
      </c>
      <c r="F45" s="1092">
        <v>0</v>
      </c>
      <c r="G45" s="1092">
        <v>0</v>
      </c>
      <c r="H45" s="1092">
        <v>0</v>
      </c>
      <c r="I45" s="1092">
        <v>0</v>
      </c>
      <c r="J45" s="1092">
        <v>0</v>
      </c>
      <c r="K45" s="1092">
        <v>0</v>
      </c>
      <c r="L45" s="1092">
        <v>0</v>
      </c>
      <c r="M45" s="1092">
        <v>0</v>
      </c>
      <c r="N45" s="27">
        <f>SUM(B45:M45)</f>
        <v>0</v>
      </c>
    </row>
    <row r="46" spans="1:14">
      <c r="A46" s="33" t="s">
        <v>112</v>
      </c>
      <c r="B46" s="1092">
        <v>0</v>
      </c>
      <c r="C46" s="1092">
        <v>0</v>
      </c>
      <c r="D46" s="1092">
        <v>0</v>
      </c>
      <c r="E46" s="1092">
        <v>0</v>
      </c>
      <c r="F46" s="1092">
        <v>0</v>
      </c>
      <c r="G46" s="1092">
        <v>0</v>
      </c>
      <c r="H46" s="1092">
        <v>0</v>
      </c>
      <c r="I46" s="1092">
        <v>0</v>
      </c>
      <c r="J46" s="1092">
        <v>0</v>
      </c>
      <c r="K46" s="1092">
        <v>0</v>
      </c>
      <c r="L46" s="1092">
        <v>0</v>
      </c>
      <c r="M46" s="1092">
        <v>0</v>
      </c>
      <c r="N46" s="27">
        <v>3</v>
      </c>
    </row>
    <row r="47" spans="1:14" ht="14" thickBot="1">
      <c r="A47" s="33" t="s">
        <v>113</v>
      </c>
      <c r="B47" s="1092">
        <v>0</v>
      </c>
      <c r="C47" s="1092">
        <v>0</v>
      </c>
      <c r="D47" s="1092">
        <v>0</v>
      </c>
      <c r="E47" s="1092">
        <v>0</v>
      </c>
      <c r="F47" s="1092">
        <v>0</v>
      </c>
      <c r="G47" s="1092">
        <v>0</v>
      </c>
      <c r="H47" s="1092">
        <v>0</v>
      </c>
      <c r="I47" s="1092">
        <v>0</v>
      </c>
      <c r="J47" s="1092">
        <v>0</v>
      </c>
      <c r="K47" s="1092">
        <v>0</v>
      </c>
      <c r="L47" s="1092">
        <v>0</v>
      </c>
      <c r="M47" s="1092">
        <v>0</v>
      </c>
      <c r="N47" s="27">
        <v>1</v>
      </c>
    </row>
    <row r="48" spans="1:14" ht="14" thickBot="1">
      <c r="A48" s="53" t="s">
        <v>60</v>
      </c>
      <c r="B48" s="55">
        <f>SUM(B41:B47)</f>
        <v>0</v>
      </c>
      <c r="C48" s="55">
        <f>SUM(C41:C47)</f>
        <v>0</v>
      </c>
      <c r="D48" s="55">
        <f t="shared" ref="D48:N48" si="5">SUM(D41:D47)</f>
        <v>0</v>
      </c>
      <c r="E48" s="55">
        <f t="shared" si="5"/>
        <v>0</v>
      </c>
      <c r="F48" s="55">
        <f t="shared" si="5"/>
        <v>0</v>
      </c>
      <c r="G48" s="55">
        <f t="shared" si="5"/>
        <v>3</v>
      </c>
      <c r="H48" s="55">
        <f t="shared" si="5"/>
        <v>0</v>
      </c>
      <c r="I48" s="55">
        <f t="shared" si="5"/>
        <v>0</v>
      </c>
      <c r="J48" s="55">
        <f t="shared" si="5"/>
        <v>2</v>
      </c>
      <c r="K48" s="55">
        <f t="shared" si="5"/>
        <v>2</v>
      </c>
      <c r="L48" s="55">
        <f t="shared" si="5"/>
        <v>3</v>
      </c>
      <c r="M48" s="55">
        <f t="shared" si="5"/>
        <v>1</v>
      </c>
      <c r="N48" s="54">
        <f t="shared" si="5"/>
        <v>15</v>
      </c>
    </row>
    <row r="49" spans="1:14" ht="14" thickBot="1">
      <c r="A49" s="38" t="s">
        <v>49</v>
      </c>
      <c r="B49" s="39"/>
      <c r="C49" s="39"/>
      <c r="D49" s="39"/>
      <c r="E49" s="39"/>
      <c r="F49" s="39"/>
      <c r="G49" s="39"/>
      <c r="H49" s="39"/>
      <c r="I49" s="39"/>
      <c r="J49" s="39"/>
      <c r="K49" s="39"/>
      <c r="L49" s="39"/>
      <c r="M49" s="39"/>
      <c r="N49" s="40"/>
    </row>
    <row r="50" spans="1:14" ht="14" thickBot="1">
      <c r="A50" s="33" t="s">
        <v>49</v>
      </c>
      <c r="B50" s="1092">
        <v>0</v>
      </c>
      <c r="C50" s="1092">
        <v>0</v>
      </c>
      <c r="D50" s="1092">
        <v>0</v>
      </c>
      <c r="E50" s="1092">
        <v>0</v>
      </c>
      <c r="F50" s="1092">
        <v>0</v>
      </c>
      <c r="G50" s="1092">
        <v>0</v>
      </c>
      <c r="H50" s="1092">
        <v>0</v>
      </c>
      <c r="I50" s="1092">
        <v>0</v>
      </c>
      <c r="J50" s="1092">
        <v>0</v>
      </c>
      <c r="K50" s="1092">
        <v>0</v>
      </c>
      <c r="L50" s="1092">
        <v>0</v>
      </c>
      <c r="M50" s="1092">
        <v>0</v>
      </c>
      <c r="N50" s="27">
        <f>SUM(B50:M50)</f>
        <v>0</v>
      </c>
    </row>
    <row r="51" spans="1:14" ht="14" thickBot="1">
      <c r="A51" s="53" t="s">
        <v>60</v>
      </c>
      <c r="B51" s="55">
        <f>SUM(B50)</f>
        <v>0</v>
      </c>
      <c r="C51" s="55">
        <f t="shared" ref="C51:N51" si="6">SUM(C50)</f>
        <v>0</v>
      </c>
      <c r="D51" s="55">
        <f t="shared" si="6"/>
        <v>0</v>
      </c>
      <c r="E51" s="55">
        <f t="shared" si="6"/>
        <v>0</v>
      </c>
      <c r="F51" s="55">
        <f t="shared" si="6"/>
        <v>0</v>
      </c>
      <c r="G51" s="55">
        <f t="shared" si="6"/>
        <v>0</v>
      </c>
      <c r="H51" s="55">
        <f t="shared" si="6"/>
        <v>0</v>
      </c>
      <c r="I51" s="55">
        <f t="shared" si="6"/>
        <v>0</v>
      </c>
      <c r="J51" s="55">
        <f t="shared" si="6"/>
        <v>0</v>
      </c>
      <c r="K51" s="55">
        <f t="shared" si="6"/>
        <v>0</v>
      </c>
      <c r="L51" s="55">
        <f t="shared" si="6"/>
        <v>0</v>
      </c>
      <c r="M51" s="55">
        <f t="shared" si="6"/>
        <v>0</v>
      </c>
      <c r="N51" s="54">
        <f t="shared" si="6"/>
        <v>0</v>
      </c>
    </row>
    <row r="52" spans="1:14" ht="14" thickBot="1">
      <c r="A52" s="38" t="s">
        <v>50</v>
      </c>
      <c r="B52" s="39"/>
      <c r="C52" s="39"/>
      <c r="D52" s="39"/>
      <c r="E52" s="39"/>
      <c r="F52" s="39"/>
      <c r="G52" s="39"/>
      <c r="H52" s="39"/>
      <c r="I52" s="39"/>
      <c r="J52" s="39"/>
      <c r="K52" s="39"/>
      <c r="L52" s="39"/>
      <c r="M52" s="39"/>
      <c r="N52" s="40"/>
    </row>
    <row r="53" spans="1:14">
      <c r="A53" s="34" t="s">
        <v>26</v>
      </c>
      <c r="B53" s="1092">
        <v>0</v>
      </c>
      <c r="C53" s="1092">
        <v>0</v>
      </c>
      <c r="D53" s="1092">
        <v>0</v>
      </c>
      <c r="E53" s="1092">
        <v>0</v>
      </c>
      <c r="F53" s="1092">
        <v>0</v>
      </c>
      <c r="G53" s="1092">
        <v>0</v>
      </c>
      <c r="H53" s="1092">
        <v>0</v>
      </c>
      <c r="I53" s="1092">
        <v>0</v>
      </c>
      <c r="J53" s="1092">
        <v>0</v>
      </c>
      <c r="K53" s="1092">
        <v>0</v>
      </c>
      <c r="L53" s="1092">
        <v>0</v>
      </c>
      <c r="M53" s="1092">
        <v>0</v>
      </c>
      <c r="N53" s="27">
        <f t="shared" ref="N53:N61" si="7">SUM(B53:M53)</f>
        <v>0</v>
      </c>
    </row>
    <row r="54" spans="1:14">
      <c r="A54" s="34" t="s">
        <v>25</v>
      </c>
      <c r="B54" s="1092">
        <v>0</v>
      </c>
      <c r="C54" s="1092">
        <v>0</v>
      </c>
      <c r="D54" s="1092">
        <v>0</v>
      </c>
      <c r="E54" s="1092">
        <v>0</v>
      </c>
      <c r="F54" s="1092">
        <v>0</v>
      </c>
      <c r="G54" s="1092">
        <v>0</v>
      </c>
      <c r="H54" s="1092">
        <v>0</v>
      </c>
      <c r="I54" s="1092">
        <v>0</v>
      </c>
      <c r="J54" s="1092">
        <v>0</v>
      </c>
      <c r="K54" s="1092">
        <v>0</v>
      </c>
      <c r="L54" s="1092">
        <v>0</v>
      </c>
      <c r="M54" s="1092">
        <v>0</v>
      </c>
      <c r="N54" s="27">
        <f t="shared" si="7"/>
        <v>0</v>
      </c>
    </row>
    <row r="55" spans="1:14">
      <c r="A55" s="32" t="s">
        <v>29</v>
      </c>
      <c r="B55" s="1092">
        <v>0</v>
      </c>
      <c r="C55" s="1092">
        <v>0</v>
      </c>
      <c r="D55" s="1092">
        <v>0</v>
      </c>
      <c r="E55" s="1092">
        <v>0</v>
      </c>
      <c r="F55" s="1092">
        <v>0</v>
      </c>
      <c r="G55" s="1092">
        <v>0</v>
      </c>
      <c r="H55" s="1092">
        <v>0</v>
      </c>
      <c r="I55" s="1092">
        <v>0</v>
      </c>
      <c r="J55" s="1092">
        <v>0</v>
      </c>
      <c r="K55" s="1092">
        <v>0</v>
      </c>
      <c r="L55" s="1092">
        <v>0</v>
      </c>
      <c r="M55" s="1092">
        <v>0</v>
      </c>
      <c r="N55" s="27">
        <f t="shared" si="7"/>
        <v>0</v>
      </c>
    </row>
    <row r="56" spans="1:14">
      <c r="A56" s="32" t="s">
        <v>51</v>
      </c>
      <c r="B56" s="1092">
        <v>0</v>
      </c>
      <c r="C56" s="1092">
        <v>0</v>
      </c>
      <c r="D56" s="1092">
        <v>0</v>
      </c>
      <c r="E56" s="1092">
        <v>0</v>
      </c>
      <c r="F56" s="1092">
        <v>0</v>
      </c>
      <c r="G56" s="1092">
        <v>0</v>
      </c>
      <c r="H56" s="1092">
        <v>0</v>
      </c>
      <c r="I56" s="1092">
        <v>0</v>
      </c>
      <c r="J56" s="1092">
        <v>0</v>
      </c>
      <c r="K56" s="1092">
        <v>0</v>
      </c>
      <c r="L56" s="1092">
        <v>0</v>
      </c>
      <c r="M56" s="1092">
        <v>0</v>
      </c>
      <c r="N56" s="27">
        <f t="shared" si="7"/>
        <v>0</v>
      </c>
    </row>
    <row r="57" spans="1:14">
      <c r="A57" s="34" t="s">
        <v>20</v>
      </c>
      <c r="B57" s="1092">
        <v>0</v>
      </c>
      <c r="C57" s="1092">
        <v>0</v>
      </c>
      <c r="D57" s="1092">
        <v>0</v>
      </c>
      <c r="E57" s="1092">
        <v>0</v>
      </c>
      <c r="F57" s="1092">
        <v>0</v>
      </c>
      <c r="G57" s="1092">
        <v>0</v>
      </c>
      <c r="H57" s="1092">
        <v>0</v>
      </c>
      <c r="I57" s="1092">
        <v>0</v>
      </c>
      <c r="J57" s="1092">
        <v>0</v>
      </c>
      <c r="K57" s="1092">
        <v>0</v>
      </c>
      <c r="L57" s="1092">
        <v>0</v>
      </c>
      <c r="M57" s="1092">
        <v>0</v>
      </c>
      <c r="N57" s="27">
        <f t="shared" si="7"/>
        <v>0</v>
      </c>
    </row>
    <row r="58" spans="1:14">
      <c r="A58" s="34" t="s">
        <v>13</v>
      </c>
      <c r="B58" s="1092">
        <v>0</v>
      </c>
      <c r="C58" s="1092">
        <v>0</v>
      </c>
      <c r="D58" s="1092">
        <v>0</v>
      </c>
      <c r="E58" s="1092">
        <v>0</v>
      </c>
      <c r="F58" s="1092">
        <v>0</v>
      </c>
      <c r="G58" s="1092">
        <v>0</v>
      </c>
      <c r="H58" s="1092">
        <v>0</v>
      </c>
      <c r="I58" s="1092">
        <v>0</v>
      </c>
      <c r="J58" s="1092">
        <v>0</v>
      </c>
      <c r="K58" s="1092">
        <v>0</v>
      </c>
      <c r="L58" s="1092">
        <v>0</v>
      </c>
      <c r="M58" s="1092">
        <v>0</v>
      </c>
      <c r="N58" s="27">
        <f t="shared" si="7"/>
        <v>0</v>
      </c>
    </row>
    <row r="59" spans="1:14">
      <c r="A59" s="35" t="s">
        <v>47</v>
      </c>
      <c r="B59" s="1092">
        <v>0</v>
      </c>
      <c r="C59" s="1092">
        <v>0</v>
      </c>
      <c r="D59" s="1092">
        <v>0</v>
      </c>
      <c r="E59" s="1092">
        <v>0</v>
      </c>
      <c r="F59" s="1092">
        <v>0</v>
      </c>
      <c r="G59" s="1092">
        <v>0</v>
      </c>
      <c r="H59" s="1092">
        <v>0</v>
      </c>
      <c r="I59" s="1092">
        <v>0</v>
      </c>
      <c r="J59" s="1092">
        <v>0</v>
      </c>
      <c r="K59" s="1092">
        <v>0</v>
      </c>
      <c r="L59" s="1092">
        <v>0</v>
      </c>
      <c r="M59" s="1092">
        <v>0</v>
      </c>
      <c r="N59" s="27">
        <f t="shared" si="7"/>
        <v>0</v>
      </c>
    </row>
    <row r="60" spans="1:14">
      <c r="A60" s="33" t="s">
        <v>52</v>
      </c>
      <c r="B60" s="1092">
        <v>0</v>
      </c>
      <c r="C60" s="1092">
        <v>0</v>
      </c>
      <c r="D60" s="1092">
        <v>0</v>
      </c>
      <c r="E60" s="1092">
        <v>0</v>
      </c>
      <c r="F60" s="1092">
        <v>0</v>
      </c>
      <c r="G60" s="1092">
        <v>0</v>
      </c>
      <c r="H60" s="1092">
        <v>0</v>
      </c>
      <c r="I60" s="1092">
        <v>0</v>
      </c>
      <c r="J60" s="1092">
        <v>0</v>
      </c>
      <c r="K60" s="1092">
        <v>0</v>
      </c>
      <c r="L60" s="1092">
        <v>0</v>
      </c>
      <c r="M60" s="1092">
        <v>0</v>
      </c>
      <c r="N60" s="27">
        <f t="shared" si="7"/>
        <v>0</v>
      </c>
    </row>
    <row r="61" spans="1:14">
      <c r="A61" s="33" t="s">
        <v>53</v>
      </c>
      <c r="B61" s="1092">
        <v>0</v>
      </c>
      <c r="C61" s="1092">
        <v>0</v>
      </c>
      <c r="D61" s="1092">
        <v>0</v>
      </c>
      <c r="E61" s="1092">
        <v>0</v>
      </c>
      <c r="F61" s="1092">
        <v>0</v>
      </c>
      <c r="G61" s="1092">
        <v>0</v>
      </c>
      <c r="H61" s="1092">
        <v>0</v>
      </c>
      <c r="I61" s="1092">
        <v>0</v>
      </c>
      <c r="J61" s="1092">
        <v>0</v>
      </c>
      <c r="K61" s="1092">
        <v>0</v>
      </c>
      <c r="L61" s="1092">
        <v>0</v>
      </c>
      <c r="M61" s="1092">
        <v>0</v>
      </c>
      <c r="N61" s="27">
        <f t="shared" si="7"/>
        <v>0</v>
      </c>
    </row>
    <row r="62" spans="1:14">
      <c r="A62" s="32" t="s">
        <v>56</v>
      </c>
      <c r="B62" s="1092">
        <v>0</v>
      </c>
      <c r="C62" s="1092">
        <v>0</v>
      </c>
      <c r="D62" s="1092">
        <v>0</v>
      </c>
      <c r="E62" s="1092">
        <v>0</v>
      </c>
      <c r="F62" s="1092">
        <v>0</v>
      </c>
      <c r="G62" s="1092">
        <v>0</v>
      </c>
      <c r="H62" s="1092">
        <v>0</v>
      </c>
      <c r="I62" s="1092">
        <v>0</v>
      </c>
      <c r="J62" s="1092">
        <v>0</v>
      </c>
      <c r="K62" s="1092">
        <v>0</v>
      </c>
      <c r="L62" s="1092">
        <v>0</v>
      </c>
      <c r="M62" s="1092">
        <v>0</v>
      </c>
      <c r="N62" s="27">
        <f>SUM(B62:M62)</f>
        <v>0</v>
      </c>
    </row>
    <row r="63" spans="1:14">
      <c r="A63" s="78" t="s">
        <v>122</v>
      </c>
      <c r="B63" s="1092">
        <v>0</v>
      </c>
      <c r="C63" s="1092">
        <v>0</v>
      </c>
      <c r="D63" s="1092">
        <v>0</v>
      </c>
      <c r="E63" s="1092">
        <v>0</v>
      </c>
      <c r="F63" s="1092">
        <v>0</v>
      </c>
      <c r="G63" s="1092">
        <v>0</v>
      </c>
      <c r="H63" s="1092">
        <v>0</v>
      </c>
      <c r="I63" s="1092">
        <v>0</v>
      </c>
      <c r="J63" s="1092">
        <v>0</v>
      </c>
      <c r="K63" s="1092">
        <v>0</v>
      </c>
      <c r="L63" s="1092">
        <v>0</v>
      </c>
      <c r="M63" s="1092">
        <v>0</v>
      </c>
      <c r="N63" s="27">
        <f>SUM(B63:M63)</f>
        <v>0</v>
      </c>
    </row>
    <row r="64" spans="1:14" ht="14" thickBot="1">
      <c r="A64" s="32" t="s">
        <v>102</v>
      </c>
      <c r="B64" s="1092">
        <v>0</v>
      </c>
      <c r="C64" s="1092">
        <v>0</v>
      </c>
      <c r="D64" s="1092">
        <v>0</v>
      </c>
      <c r="E64" s="1092">
        <v>0</v>
      </c>
      <c r="F64" s="1092">
        <v>0</v>
      </c>
      <c r="G64" s="1092">
        <v>0</v>
      </c>
      <c r="H64" s="1092">
        <v>0</v>
      </c>
      <c r="I64" s="1092">
        <v>0</v>
      </c>
      <c r="J64" s="1092">
        <v>0</v>
      </c>
      <c r="K64" s="1092">
        <v>0</v>
      </c>
      <c r="L64" s="1092">
        <v>0</v>
      </c>
      <c r="M64" s="1092">
        <v>0</v>
      </c>
      <c r="N64" s="27">
        <f>SUM(B64:M64)</f>
        <v>0</v>
      </c>
    </row>
    <row r="65" spans="1:14" ht="14" thickBot="1">
      <c r="A65" s="53" t="s">
        <v>60</v>
      </c>
      <c r="B65" s="55">
        <f>SUM(B53:B64)</f>
        <v>0</v>
      </c>
      <c r="C65" s="55">
        <f t="shared" ref="C65:N65" si="8">SUM(C53:C64)</f>
        <v>0</v>
      </c>
      <c r="D65" s="55">
        <f t="shared" si="8"/>
        <v>0</v>
      </c>
      <c r="E65" s="55">
        <f t="shared" si="8"/>
        <v>0</v>
      </c>
      <c r="F65" s="55">
        <f t="shared" si="8"/>
        <v>0</v>
      </c>
      <c r="G65" s="55">
        <f t="shared" si="8"/>
        <v>0</v>
      </c>
      <c r="H65" s="55">
        <f t="shared" si="8"/>
        <v>0</v>
      </c>
      <c r="I65" s="55">
        <f t="shared" si="8"/>
        <v>0</v>
      </c>
      <c r="J65" s="55">
        <f t="shared" si="8"/>
        <v>0</v>
      </c>
      <c r="K65" s="55">
        <f t="shared" si="8"/>
        <v>0</v>
      </c>
      <c r="L65" s="55">
        <f t="shared" si="8"/>
        <v>0</v>
      </c>
      <c r="M65" s="55">
        <f t="shared" si="8"/>
        <v>0</v>
      </c>
      <c r="N65" s="54">
        <f t="shared" si="8"/>
        <v>0</v>
      </c>
    </row>
    <row r="66" spans="1:14" ht="14" thickBot="1">
      <c r="A66" s="38" t="s">
        <v>54</v>
      </c>
      <c r="B66" s="41"/>
      <c r="C66" s="41"/>
      <c r="D66" s="41"/>
      <c r="E66" s="41"/>
      <c r="F66" s="41"/>
      <c r="G66" s="41"/>
      <c r="H66" s="41"/>
      <c r="I66" s="41"/>
      <c r="J66" s="41"/>
      <c r="K66" s="41"/>
      <c r="L66" s="41"/>
      <c r="M66" s="41"/>
      <c r="N66" s="42"/>
    </row>
    <row r="67" spans="1:14">
      <c r="A67" s="36" t="s">
        <v>29</v>
      </c>
      <c r="B67" s="1099">
        <v>0</v>
      </c>
      <c r="C67" s="1100">
        <v>0</v>
      </c>
      <c r="D67" s="1100">
        <v>0</v>
      </c>
      <c r="E67" s="1100">
        <v>0</v>
      </c>
      <c r="F67" s="1100">
        <v>0</v>
      </c>
      <c r="G67" s="1100">
        <v>0</v>
      </c>
      <c r="H67" s="1100">
        <v>0</v>
      </c>
      <c r="I67" s="1100">
        <v>0</v>
      </c>
      <c r="J67" s="1100">
        <v>0</v>
      </c>
      <c r="K67" s="1100">
        <v>0</v>
      </c>
      <c r="L67" s="1100">
        <v>0</v>
      </c>
      <c r="M67" s="1108">
        <v>0</v>
      </c>
      <c r="N67" s="28">
        <f t="shared" ref="N67:N72" si="9">SUM(B67:M67)</f>
        <v>0</v>
      </c>
    </row>
    <row r="68" spans="1:14">
      <c r="A68" s="34" t="s">
        <v>51</v>
      </c>
      <c r="B68" s="1102">
        <v>0</v>
      </c>
      <c r="C68" s="1092">
        <v>0</v>
      </c>
      <c r="D68" s="1092">
        <v>0</v>
      </c>
      <c r="E68" s="1092">
        <v>0</v>
      </c>
      <c r="F68" s="1092">
        <v>0</v>
      </c>
      <c r="G68" s="1092">
        <v>0</v>
      </c>
      <c r="H68" s="1092">
        <v>0</v>
      </c>
      <c r="I68" s="1092">
        <v>0</v>
      </c>
      <c r="J68" s="1092">
        <v>0</v>
      </c>
      <c r="K68" s="1092">
        <v>0</v>
      </c>
      <c r="L68" s="1092">
        <v>0</v>
      </c>
      <c r="M68" s="1103">
        <v>0</v>
      </c>
      <c r="N68" s="29">
        <f t="shared" si="9"/>
        <v>0</v>
      </c>
    </row>
    <row r="69" spans="1:14">
      <c r="A69" s="34" t="s">
        <v>15</v>
      </c>
      <c r="B69" s="1102">
        <v>0</v>
      </c>
      <c r="C69" s="1092">
        <v>0</v>
      </c>
      <c r="D69" s="1092">
        <v>0</v>
      </c>
      <c r="E69" s="1092">
        <v>0</v>
      </c>
      <c r="F69" s="1092">
        <v>0</v>
      </c>
      <c r="G69" s="1092">
        <v>0</v>
      </c>
      <c r="H69" s="1092">
        <v>0</v>
      </c>
      <c r="I69" s="1092">
        <v>0</v>
      </c>
      <c r="J69" s="1092">
        <v>0</v>
      </c>
      <c r="K69" s="1092">
        <v>0</v>
      </c>
      <c r="L69" s="1092">
        <v>0</v>
      </c>
      <c r="M69" s="1103">
        <v>0</v>
      </c>
      <c r="N69" s="29">
        <f t="shared" si="9"/>
        <v>0</v>
      </c>
    </row>
    <row r="70" spans="1:14">
      <c r="A70" s="34" t="s">
        <v>30</v>
      </c>
      <c r="B70" s="1102">
        <v>0</v>
      </c>
      <c r="C70" s="1092">
        <v>0</v>
      </c>
      <c r="D70" s="1092">
        <v>0</v>
      </c>
      <c r="E70" s="1092">
        <v>0</v>
      </c>
      <c r="F70" s="1092">
        <v>0</v>
      </c>
      <c r="G70" s="1092">
        <v>0</v>
      </c>
      <c r="H70" s="1092">
        <v>0</v>
      </c>
      <c r="I70" s="1092">
        <v>0</v>
      </c>
      <c r="J70" s="1092">
        <v>0</v>
      </c>
      <c r="K70" s="1092">
        <v>0</v>
      </c>
      <c r="L70" s="1092">
        <v>0</v>
      </c>
      <c r="M70" s="1103">
        <v>0</v>
      </c>
      <c r="N70" s="29">
        <f t="shared" si="9"/>
        <v>0</v>
      </c>
    </row>
    <row r="71" spans="1:14">
      <c r="A71" s="34" t="s">
        <v>55</v>
      </c>
      <c r="B71" s="1102">
        <v>0</v>
      </c>
      <c r="C71" s="1092">
        <v>0</v>
      </c>
      <c r="D71" s="1092">
        <v>0</v>
      </c>
      <c r="E71" s="1092">
        <v>0</v>
      </c>
      <c r="F71" s="1092">
        <v>0</v>
      </c>
      <c r="G71" s="1092">
        <v>0</v>
      </c>
      <c r="H71" s="1092">
        <v>0</v>
      </c>
      <c r="I71" s="1092">
        <v>0</v>
      </c>
      <c r="J71" s="1092">
        <v>0</v>
      </c>
      <c r="K71" s="1092">
        <v>0</v>
      </c>
      <c r="L71" s="1092">
        <v>0</v>
      </c>
      <c r="M71" s="1103">
        <v>0</v>
      </c>
      <c r="N71" s="29">
        <f t="shared" si="9"/>
        <v>0</v>
      </c>
    </row>
    <row r="72" spans="1:14" s="3" customFormat="1" ht="14" thickBot="1">
      <c r="A72" s="33" t="s">
        <v>94</v>
      </c>
      <c r="B72" s="1092">
        <v>0</v>
      </c>
      <c r="C72" s="1092">
        <v>0</v>
      </c>
      <c r="D72" s="1092">
        <v>0</v>
      </c>
      <c r="E72" s="1092">
        <v>0</v>
      </c>
      <c r="F72" s="1092">
        <v>0</v>
      </c>
      <c r="G72" s="1092">
        <v>0</v>
      </c>
      <c r="H72" s="1092">
        <v>0</v>
      </c>
      <c r="I72" s="1092">
        <v>0</v>
      </c>
      <c r="J72" s="1092">
        <v>0</v>
      </c>
      <c r="K72" s="1092">
        <v>0</v>
      </c>
      <c r="L72" s="1092">
        <v>0</v>
      </c>
      <c r="M72" s="1092">
        <v>0</v>
      </c>
      <c r="N72" s="27">
        <f t="shared" si="9"/>
        <v>0</v>
      </c>
    </row>
    <row r="73" spans="1:14" ht="14" thickBot="1">
      <c r="A73" s="53" t="s">
        <v>60</v>
      </c>
      <c r="B73" s="55">
        <f>SUM(B67:B72)</f>
        <v>0</v>
      </c>
      <c r="C73" s="55">
        <f t="shared" ref="C73:N73" si="10">SUM(C67:C72)</f>
        <v>0</v>
      </c>
      <c r="D73" s="55">
        <f t="shared" si="10"/>
        <v>0</v>
      </c>
      <c r="E73" s="55">
        <f t="shared" si="10"/>
        <v>0</v>
      </c>
      <c r="F73" s="55">
        <f t="shared" si="10"/>
        <v>0</v>
      </c>
      <c r="G73" s="55">
        <f t="shared" si="10"/>
        <v>0</v>
      </c>
      <c r="H73" s="55">
        <f t="shared" si="10"/>
        <v>0</v>
      </c>
      <c r="I73" s="55">
        <f t="shared" si="10"/>
        <v>0</v>
      </c>
      <c r="J73" s="55">
        <f t="shared" si="10"/>
        <v>0</v>
      </c>
      <c r="K73" s="55">
        <f t="shared" si="10"/>
        <v>0</v>
      </c>
      <c r="L73" s="55">
        <f t="shared" si="10"/>
        <v>0</v>
      </c>
      <c r="M73" s="55">
        <f t="shared" si="10"/>
        <v>0</v>
      </c>
      <c r="N73" s="55">
        <f t="shared" si="10"/>
        <v>0</v>
      </c>
    </row>
    <row r="76" spans="1:14" ht="14" thickBot="1">
      <c r="B76" s="43" t="s">
        <v>35</v>
      </c>
      <c r="C76" s="43" t="s">
        <v>36</v>
      </c>
      <c r="D76" s="43" t="s">
        <v>37</v>
      </c>
      <c r="E76" s="43" t="s">
        <v>38</v>
      </c>
      <c r="F76" s="43" t="s">
        <v>39</v>
      </c>
      <c r="G76" s="43" t="s">
        <v>40</v>
      </c>
      <c r="H76" s="43" t="s">
        <v>41</v>
      </c>
      <c r="I76" s="43" t="s">
        <v>42</v>
      </c>
      <c r="J76" s="43" t="s">
        <v>43</v>
      </c>
      <c r="K76" s="43" t="s">
        <v>44</v>
      </c>
      <c r="L76" s="43" t="s">
        <v>45</v>
      </c>
      <c r="M76" s="43" t="s">
        <v>46</v>
      </c>
      <c r="N76" s="43" t="s">
        <v>10</v>
      </c>
    </row>
    <row r="77" spans="1:14" ht="17" thickBot="1">
      <c r="A77" s="31" t="s">
        <v>143</v>
      </c>
      <c r="B77" s="24"/>
      <c r="C77" s="24"/>
      <c r="D77" s="22"/>
      <c r="E77" s="22"/>
      <c r="F77" s="25"/>
      <c r="G77" s="25"/>
      <c r="H77" s="22"/>
      <c r="I77" s="22"/>
      <c r="J77" s="22"/>
      <c r="K77" s="22"/>
      <c r="L77" s="24"/>
      <c r="M77" s="24"/>
      <c r="N77" s="26"/>
    </row>
    <row r="78" spans="1:14" ht="14" thickBot="1">
      <c r="A78" s="38" t="s">
        <v>48</v>
      </c>
      <c r="B78" s="39"/>
      <c r="C78" s="39"/>
      <c r="D78" s="39"/>
      <c r="E78" s="39"/>
      <c r="F78" s="39"/>
      <c r="G78" s="39"/>
      <c r="H78" s="39"/>
      <c r="I78" s="39"/>
      <c r="J78" s="39"/>
      <c r="K78" s="39"/>
      <c r="L78" s="39"/>
      <c r="M78" s="39"/>
      <c r="N78" s="40"/>
    </row>
    <row r="79" spans="1:14">
      <c r="A79" s="32" t="s">
        <v>28</v>
      </c>
      <c r="B79" s="1092">
        <v>0</v>
      </c>
      <c r="C79" s="1092">
        <v>0</v>
      </c>
      <c r="D79" s="1092">
        <v>0</v>
      </c>
      <c r="E79" s="1092">
        <v>0</v>
      </c>
      <c r="F79" s="1092">
        <v>0</v>
      </c>
      <c r="G79" s="1092">
        <v>0</v>
      </c>
      <c r="H79" s="1092">
        <v>0</v>
      </c>
      <c r="I79" s="1092">
        <v>0</v>
      </c>
      <c r="J79" s="1092">
        <v>0</v>
      </c>
      <c r="K79" s="1092">
        <v>0</v>
      </c>
      <c r="L79" s="1092">
        <v>0</v>
      </c>
      <c r="M79" s="1092">
        <v>0</v>
      </c>
      <c r="N79" s="27">
        <f>SUM(B79:M79)</f>
        <v>0</v>
      </c>
    </row>
    <row r="80" spans="1:14">
      <c r="A80" s="32" t="s">
        <v>29</v>
      </c>
      <c r="B80" s="1092">
        <v>0</v>
      </c>
      <c r="C80" s="1092">
        <v>0</v>
      </c>
      <c r="D80" s="1092">
        <v>0</v>
      </c>
      <c r="E80" s="1092">
        <v>0</v>
      </c>
      <c r="F80" s="1092">
        <v>0</v>
      </c>
      <c r="G80" s="1092">
        <v>0</v>
      </c>
      <c r="H80" s="1092">
        <v>0</v>
      </c>
      <c r="I80" s="1092">
        <v>0</v>
      </c>
      <c r="J80" s="1092">
        <v>0</v>
      </c>
      <c r="K80" s="1092">
        <v>0</v>
      </c>
      <c r="L80" s="1092">
        <v>0</v>
      </c>
      <c r="M80" s="1092">
        <v>0</v>
      </c>
      <c r="N80" s="27">
        <f t="shared" ref="N80:N86" si="11">SUM(B80:M80)</f>
        <v>0</v>
      </c>
    </row>
    <row r="81" spans="1:14">
      <c r="A81" s="32" t="s">
        <v>33</v>
      </c>
      <c r="B81" s="1092">
        <v>0</v>
      </c>
      <c r="C81" s="1092">
        <v>0</v>
      </c>
      <c r="D81" s="1092">
        <v>0</v>
      </c>
      <c r="E81" s="1092">
        <v>0</v>
      </c>
      <c r="F81" s="1092">
        <v>0</v>
      </c>
      <c r="G81" s="1092">
        <v>0</v>
      </c>
      <c r="H81" s="1092">
        <v>0</v>
      </c>
      <c r="I81" s="1092">
        <v>0</v>
      </c>
      <c r="J81" s="1092">
        <v>0</v>
      </c>
      <c r="K81" s="1092">
        <v>0</v>
      </c>
      <c r="L81" s="1092">
        <v>0</v>
      </c>
      <c r="M81" s="1092">
        <v>0</v>
      </c>
      <c r="N81" s="27">
        <f t="shared" si="11"/>
        <v>0</v>
      </c>
    </row>
    <row r="82" spans="1:14">
      <c r="A82" s="32" t="s">
        <v>56</v>
      </c>
      <c r="B82" s="1092">
        <v>0</v>
      </c>
      <c r="C82" s="1092">
        <v>0</v>
      </c>
      <c r="D82" s="1092">
        <v>0</v>
      </c>
      <c r="E82" s="1092">
        <v>0</v>
      </c>
      <c r="F82" s="1092">
        <v>0</v>
      </c>
      <c r="G82" s="1092">
        <v>0</v>
      </c>
      <c r="H82" s="1092">
        <v>0</v>
      </c>
      <c r="I82" s="1092">
        <v>0</v>
      </c>
      <c r="J82" s="1092">
        <v>0</v>
      </c>
      <c r="K82" s="1092">
        <v>0</v>
      </c>
      <c r="L82" s="1092">
        <v>0</v>
      </c>
      <c r="M82" s="1092">
        <v>0</v>
      </c>
      <c r="N82" s="27">
        <f t="shared" si="11"/>
        <v>0</v>
      </c>
    </row>
    <row r="83" spans="1:14">
      <c r="A83" s="32" t="s">
        <v>52</v>
      </c>
      <c r="B83" s="1092">
        <v>0</v>
      </c>
      <c r="C83" s="1092">
        <v>0</v>
      </c>
      <c r="D83" s="1092">
        <v>0</v>
      </c>
      <c r="E83" s="1092">
        <v>0</v>
      </c>
      <c r="F83" s="1092">
        <v>0</v>
      </c>
      <c r="G83" s="1092">
        <v>0</v>
      </c>
      <c r="H83" s="1092">
        <v>0</v>
      </c>
      <c r="I83" s="1092">
        <v>0</v>
      </c>
      <c r="J83" s="1092">
        <v>0</v>
      </c>
      <c r="K83" s="1092">
        <v>0</v>
      </c>
      <c r="L83" s="1092">
        <v>0</v>
      </c>
      <c r="M83" s="1092">
        <v>0</v>
      </c>
      <c r="N83" s="27">
        <f t="shared" si="11"/>
        <v>0</v>
      </c>
    </row>
    <row r="84" spans="1:14">
      <c r="A84" s="76" t="s">
        <v>148</v>
      </c>
      <c r="B84" s="1092">
        <v>0</v>
      </c>
      <c r="C84" s="1092">
        <v>0</v>
      </c>
      <c r="D84" s="1092">
        <v>0</v>
      </c>
      <c r="E84" s="1092">
        <v>0</v>
      </c>
      <c r="F84" s="1092">
        <v>0</v>
      </c>
      <c r="G84" s="1092">
        <v>0</v>
      </c>
      <c r="H84" s="1092">
        <v>0</v>
      </c>
      <c r="I84" s="1092">
        <v>0</v>
      </c>
      <c r="J84" s="1092">
        <v>0</v>
      </c>
      <c r="K84" s="1092">
        <v>0</v>
      </c>
      <c r="L84" s="1092">
        <v>0</v>
      </c>
      <c r="M84" s="1092">
        <v>0</v>
      </c>
      <c r="N84" s="27">
        <f t="shared" si="11"/>
        <v>0</v>
      </c>
    </row>
    <row r="85" spans="1:14" ht="14" thickBot="1">
      <c r="A85" s="76" t="s">
        <v>154</v>
      </c>
      <c r="B85" s="1092">
        <v>0</v>
      </c>
      <c r="C85" s="1092">
        <v>0</v>
      </c>
      <c r="D85" s="1092">
        <v>0</v>
      </c>
      <c r="E85" s="1092">
        <v>0</v>
      </c>
      <c r="F85" s="1092">
        <v>0</v>
      </c>
      <c r="G85" s="1092">
        <v>0</v>
      </c>
      <c r="H85" s="1092">
        <v>0</v>
      </c>
      <c r="I85" s="1092">
        <v>0</v>
      </c>
      <c r="J85" s="1092">
        <v>0</v>
      </c>
      <c r="K85" s="1092">
        <v>0</v>
      </c>
      <c r="L85" s="1092">
        <v>0</v>
      </c>
      <c r="M85" s="1092">
        <v>0</v>
      </c>
      <c r="N85" s="27">
        <v>2</v>
      </c>
    </row>
    <row r="86" spans="1:14" ht="14" thickBot="1">
      <c r="A86" s="53" t="s">
        <v>60</v>
      </c>
      <c r="B86" s="55">
        <f>SUM(B79:B85)</f>
        <v>0</v>
      </c>
      <c r="C86" s="55">
        <f>SUM(C79:C85)</f>
        <v>0</v>
      </c>
      <c r="D86" s="55">
        <f t="shared" ref="D86:M86" si="12">SUM(D79:D85)</f>
        <v>0</v>
      </c>
      <c r="E86" s="55">
        <f t="shared" si="12"/>
        <v>0</v>
      </c>
      <c r="F86" s="55">
        <f t="shared" si="12"/>
        <v>0</v>
      </c>
      <c r="G86" s="55">
        <f t="shared" si="12"/>
        <v>0</v>
      </c>
      <c r="H86" s="55">
        <f t="shared" si="12"/>
        <v>0</v>
      </c>
      <c r="I86" s="55">
        <f t="shared" si="12"/>
        <v>0</v>
      </c>
      <c r="J86" s="55">
        <f t="shared" si="12"/>
        <v>0</v>
      </c>
      <c r="K86" s="55">
        <f t="shared" si="12"/>
        <v>0</v>
      </c>
      <c r="L86" s="55">
        <f t="shared" si="12"/>
        <v>0</v>
      </c>
      <c r="M86" s="55">
        <f t="shared" si="12"/>
        <v>0</v>
      </c>
      <c r="N86" s="27">
        <f t="shared" si="11"/>
        <v>0</v>
      </c>
    </row>
    <row r="87" spans="1:14" ht="14" thickBot="1">
      <c r="A87" s="38" t="s">
        <v>49</v>
      </c>
      <c r="B87" s="39"/>
      <c r="C87" s="39"/>
      <c r="D87" s="39"/>
      <c r="E87" s="39"/>
      <c r="F87" s="39"/>
      <c r="G87" s="39"/>
      <c r="H87" s="39"/>
      <c r="I87" s="39"/>
      <c r="J87" s="39"/>
      <c r="K87" s="39"/>
      <c r="L87" s="39"/>
      <c r="M87" s="39"/>
      <c r="N87" s="40"/>
    </row>
    <row r="88" spans="1:14" ht="14" thickBot="1">
      <c r="A88" s="33" t="s">
        <v>49</v>
      </c>
      <c r="B88" s="1092">
        <v>0</v>
      </c>
      <c r="C88" s="1092">
        <v>0</v>
      </c>
      <c r="D88" s="1092">
        <v>0</v>
      </c>
      <c r="E88" s="1092">
        <v>0</v>
      </c>
      <c r="F88" s="1092">
        <v>0</v>
      </c>
      <c r="G88" s="1092">
        <v>0</v>
      </c>
      <c r="H88" s="1092">
        <v>0</v>
      </c>
      <c r="I88" s="1092">
        <v>0</v>
      </c>
      <c r="J88" s="1092">
        <v>0</v>
      </c>
      <c r="K88" s="1092">
        <v>0</v>
      </c>
      <c r="L88" s="1092">
        <v>0</v>
      </c>
      <c r="M88" s="1092">
        <v>0</v>
      </c>
      <c r="N88" s="27">
        <f>SUM(B88:M88)</f>
        <v>0</v>
      </c>
    </row>
    <row r="89" spans="1:14" ht="14" thickBot="1">
      <c r="A89" s="53" t="s">
        <v>60</v>
      </c>
      <c r="B89" s="55">
        <f>SUM(B88)</f>
        <v>0</v>
      </c>
      <c r="C89" s="55">
        <f t="shared" ref="C89:N89" si="13">SUM(C88)</f>
        <v>0</v>
      </c>
      <c r="D89" s="55">
        <f t="shared" si="13"/>
        <v>0</v>
      </c>
      <c r="E89" s="55">
        <f t="shared" si="13"/>
        <v>0</v>
      </c>
      <c r="F89" s="55">
        <f t="shared" si="13"/>
        <v>0</v>
      </c>
      <c r="G89" s="55">
        <f t="shared" si="13"/>
        <v>0</v>
      </c>
      <c r="H89" s="55">
        <f t="shared" si="13"/>
        <v>0</v>
      </c>
      <c r="I89" s="55">
        <f t="shared" si="13"/>
        <v>0</v>
      </c>
      <c r="J89" s="55">
        <f t="shared" si="13"/>
        <v>0</v>
      </c>
      <c r="K89" s="55">
        <f t="shared" si="13"/>
        <v>0</v>
      </c>
      <c r="L89" s="55">
        <f t="shared" si="13"/>
        <v>0</v>
      </c>
      <c r="M89" s="55">
        <f t="shared" si="13"/>
        <v>0</v>
      </c>
      <c r="N89" s="54">
        <f t="shared" si="13"/>
        <v>0</v>
      </c>
    </row>
    <row r="90" spans="1:14" ht="14" thickBot="1">
      <c r="A90" s="38" t="s">
        <v>50</v>
      </c>
      <c r="B90" s="39"/>
      <c r="C90" s="39"/>
      <c r="D90" s="39"/>
      <c r="E90" s="39"/>
      <c r="F90" s="39"/>
      <c r="G90" s="39"/>
      <c r="H90" s="39"/>
      <c r="I90" s="39"/>
      <c r="J90" s="39"/>
      <c r="K90" s="39"/>
      <c r="L90" s="39"/>
      <c r="M90" s="39"/>
      <c r="N90" s="40"/>
    </row>
    <row r="91" spans="1:14">
      <c r="A91" s="34" t="s">
        <v>26</v>
      </c>
      <c r="B91" s="1092">
        <v>0</v>
      </c>
      <c r="C91" s="1092">
        <v>0</v>
      </c>
      <c r="D91" s="1092">
        <v>0</v>
      </c>
      <c r="E91" s="1092">
        <v>0</v>
      </c>
      <c r="F91" s="1092">
        <v>0</v>
      </c>
      <c r="G91" s="1092">
        <v>0</v>
      </c>
      <c r="H91" s="1092">
        <v>0</v>
      </c>
      <c r="I91" s="1092">
        <v>0</v>
      </c>
      <c r="J91" s="1092">
        <v>0</v>
      </c>
      <c r="K91" s="1092">
        <v>0</v>
      </c>
      <c r="L91" s="1092">
        <v>0</v>
      </c>
      <c r="M91" s="1092">
        <v>0</v>
      </c>
      <c r="N91" s="27">
        <f t="shared" ref="N91:N99" si="14">SUM(B91:M91)</f>
        <v>0</v>
      </c>
    </row>
    <row r="92" spans="1:14">
      <c r="A92" s="34" t="s">
        <v>25</v>
      </c>
      <c r="B92" s="1092">
        <v>0</v>
      </c>
      <c r="C92" s="1092">
        <v>0</v>
      </c>
      <c r="D92" s="1092">
        <v>0</v>
      </c>
      <c r="E92" s="1092">
        <v>0</v>
      </c>
      <c r="F92" s="1092">
        <v>0</v>
      </c>
      <c r="G92" s="1092">
        <v>0</v>
      </c>
      <c r="H92" s="1092">
        <v>0</v>
      </c>
      <c r="I92" s="1092">
        <v>0</v>
      </c>
      <c r="J92" s="1092">
        <v>0</v>
      </c>
      <c r="K92" s="1092">
        <v>0</v>
      </c>
      <c r="L92" s="1092">
        <v>0</v>
      </c>
      <c r="M92" s="1092">
        <v>0</v>
      </c>
      <c r="N92" s="27">
        <f t="shared" si="14"/>
        <v>0</v>
      </c>
    </row>
    <row r="93" spans="1:14">
      <c r="A93" s="32" t="s">
        <v>29</v>
      </c>
      <c r="B93" s="1092">
        <v>0</v>
      </c>
      <c r="C93" s="1092">
        <v>0</v>
      </c>
      <c r="D93" s="1092">
        <v>0</v>
      </c>
      <c r="E93" s="1092">
        <v>0</v>
      </c>
      <c r="F93" s="1092">
        <v>0</v>
      </c>
      <c r="G93" s="1092">
        <v>0</v>
      </c>
      <c r="H93" s="1092">
        <v>0</v>
      </c>
      <c r="I93" s="1092">
        <v>0</v>
      </c>
      <c r="J93" s="1092">
        <v>0</v>
      </c>
      <c r="K93" s="1092">
        <v>0</v>
      </c>
      <c r="L93" s="1092">
        <v>0</v>
      </c>
      <c r="M93" s="1092">
        <v>0</v>
      </c>
      <c r="N93" s="27">
        <f t="shared" si="14"/>
        <v>0</v>
      </c>
    </row>
    <row r="94" spans="1:14">
      <c r="A94" s="32" t="s">
        <v>51</v>
      </c>
      <c r="B94" s="1092">
        <v>0</v>
      </c>
      <c r="C94" s="1092">
        <v>0</v>
      </c>
      <c r="D94" s="1092">
        <v>0</v>
      </c>
      <c r="E94" s="1092">
        <v>0</v>
      </c>
      <c r="F94" s="1092">
        <v>0</v>
      </c>
      <c r="G94" s="1092">
        <v>0</v>
      </c>
      <c r="H94" s="1092">
        <v>0</v>
      </c>
      <c r="I94" s="1092">
        <v>0</v>
      </c>
      <c r="J94" s="1092">
        <v>0</v>
      </c>
      <c r="K94" s="1092">
        <v>0</v>
      </c>
      <c r="L94" s="1092">
        <v>0</v>
      </c>
      <c r="M94" s="1092">
        <v>0</v>
      </c>
      <c r="N94" s="27">
        <f t="shared" si="14"/>
        <v>0</v>
      </c>
    </row>
    <row r="95" spans="1:14">
      <c r="A95" s="34" t="s">
        <v>20</v>
      </c>
      <c r="B95" s="1092">
        <v>0</v>
      </c>
      <c r="C95" s="1092">
        <v>0</v>
      </c>
      <c r="D95" s="1092">
        <v>0</v>
      </c>
      <c r="E95" s="1092">
        <v>0</v>
      </c>
      <c r="F95" s="1092">
        <v>0</v>
      </c>
      <c r="G95" s="1092">
        <v>0</v>
      </c>
      <c r="H95" s="1092">
        <v>0</v>
      </c>
      <c r="I95" s="1092">
        <v>0</v>
      </c>
      <c r="J95" s="1092">
        <v>0</v>
      </c>
      <c r="K95" s="1092">
        <v>0</v>
      </c>
      <c r="L95" s="1092">
        <v>0</v>
      </c>
      <c r="M95" s="1092">
        <v>0</v>
      </c>
      <c r="N95" s="27">
        <f t="shared" si="14"/>
        <v>0</v>
      </c>
    </row>
    <row r="96" spans="1:14">
      <c r="A96" s="34" t="s">
        <v>13</v>
      </c>
      <c r="B96" s="1092">
        <v>0</v>
      </c>
      <c r="C96" s="1092">
        <v>0</v>
      </c>
      <c r="D96" s="1092">
        <v>0</v>
      </c>
      <c r="E96" s="1092">
        <v>0</v>
      </c>
      <c r="F96" s="1092">
        <v>0</v>
      </c>
      <c r="G96" s="1092">
        <v>0</v>
      </c>
      <c r="H96" s="1092">
        <v>0</v>
      </c>
      <c r="I96" s="1092">
        <v>0</v>
      </c>
      <c r="J96" s="1092">
        <v>0</v>
      </c>
      <c r="K96" s="1092">
        <v>0</v>
      </c>
      <c r="L96" s="1092">
        <v>0</v>
      </c>
      <c r="M96" s="1092">
        <v>0</v>
      </c>
      <c r="N96" s="27">
        <f t="shared" si="14"/>
        <v>0</v>
      </c>
    </row>
    <row r="97" spans="1:14">
      <c r="A97" s="35" t="s">
        <v>47</v>
      </c>
      <c r="B97" s="1092">
        <v>0</v>
      </c>
      <c r="C97" s="1092">
        <v>0</v>
      </c>
      <c r="D97" s="1092">
        <v>0</v>
      </c>
      <c r="E97" s="1092">
        <v>0</v>
      </c>
      <c r="F97" s="1092">
        <v>0</v>
      </c>
      <c r="G97" s="1092">
        <v>0</v>
      </c>
      <c r="H97" s="1092">
        <v>0</v>
      </c>
      <c r="I97" s="1092">
        <v>0</v>
      </c>
      <c r="J97" s="1092">
        <v>0</v>
      </c>
      <c r="K97" s="1092">
        <v>0</v>
      </c>
      <c r="L97" s="1092">
        <v>0</v>
      </c>
      <c r="M97" s="1092">
        <v>0</v>
      </c>
      <c r="N97" s="27">
        <f t="shared" si="14"/>
        <v>0</v>
      </c>
    </row>
    <row r="98" spans="1:14">
      <c r="A98" s="76" t="s">
        <v>30</v>
      </c>
      <c r="B98" s="1092">
        <v>0</v>
      </c>
      <c r="C98" s="1092">
        <v>0</v>
      </c>
      <c r="D98" s="1092">
        <v>0</v>
      </c>
      <c r="E98" s="1092">
        <v>0</v>
      </c>
      <c r="F98" s="1092">
        <v>0</v>
      </c>
      <c r="G98" s="1092">
        <v>0</v>
      </c>
      <c r="H98" s="1092">
        <v>0</v>
      </c>
      <c r="I98" s="1092">
        <v>0</v>
      </c>
      <c r="J98" s="1092">
        <v>0</v>
      </c>
      <c r="K98" s="1092">
        <v>0</v>
      </c>
      <c r="L98" s="1092">
        <v>0</v>
      </c>
      <c r="M98" s="1092">
        <v>0</v>
      </c>
      <c r="N98" s="27">
        <f t="shared" si="14"/>
        <v>0</v>
      </c>
    </row>
    <row r="99" spans="1:14">
      <c r="A99" s="76" t="s">
        <v>150</v>
      </c>
      <c r="B99" s="1092">
        <v>0</v>
      </c>
      <c r="C99" s="1092">
        <v>0</v>
      </c>
      <c r="D99" s="1092">
        <v>0</v>
      </c>
      <c r="E99" s="1092">
        <v>0</v>
      </c>
      <c r="F99" s="1092">
        <v>0</v>
      </c>
      <c r="G99" s="1092">
        <v>0</v>
      </c>
      <c r="H99" s="1092">
        <v>0</v>
      </c>
      <c r="I99" s="1092">
        <v>0</v>
      </c>
      <c r="J99" s="1092">
        <v>0</v>
      </c>
      <c r="K99" s="1092">
        <v>0</v>
      </c>
      <c r="L99" s="1092">
        <v>0</v>
      </c>
      <c r="M99" s="1092">
        <v>0</v>
      </c>
      <c r="N99" s="27">
        <f t="shared" si="14"/>
        <v>0</v>
      </c>
    </row>
    <row r="100" spans="1:14">
      <c r="A100" s="32" t="s">
        <v>56</v>
      </c>
      <c r="B100" s="1092">
        <v>0</v>
      </c>
      <c r="C100" s="1092">
        <v>0</v>
      </c>
      <c r="D100" s="1092">
        <v>0</v>
      </c>
      <c r="E100" s="1092">
        <v>0</v>
      </c>
      <c r="F100" s="1092">
        <v>0</v>
      </c>
      <c r="G100" s="1092">
        <v>0</v>
      </c>
      <c r="H100" s="1092">
        <v>0</v>
      </c>
      <c r="I100" s="1092">
        <v>0</v>
      </c>
      <c r="J100" s="1092">
        <v>0</v>
      </c>
      <c r="K100" s="1092">
        <v>0</v>
      </c>
      <c r="L100" s="1092">
        <v>0</v>
      </c>
      <c r="M100" s="1092">
        <v>0</v>
      </c>
      <c r="N100" s="27">
        <f>SUM(B100:M100)</f>
        <v>0</v>
      </c>
    </row>
    <row r="101" spans="1:14">
      <c r="A101" s="78" t="s">
        <v>122</v>
      </c>
      <c r="B101" s="1092">
        <v>0</v>
      </c>
      <c r="C101" s="1092">
        <v>0</v>
      </c>
      <c r="D101" s="1092">
        <v>0</v>
      </c>
      <c r="E101" s="1092">
        <v>0</v>
      </c>
      <c r="F101" s="1092">
        <v>0</v>
      </c>
      <c r="G101" s="1092">
        <v>0</v>
      </c>
      <c r="H101" s="1092">
        <v>0</v>
      </c>
      <c r="I101" s="1092">
        <v>0</v>
      </c>
      <c r="J101" s="1092">
        <v>0</v>
      </c>
      <c r="K101" s="1092">
        <v>0</v>
      </c>
      <c r="L101" s="1092">
        <v>0</v>
      </c>
      <c r="M101" s="1092">
        <v>0</v>
      </c>
      <c r="N101" s="27">
        <f>SUM(B101:M101)</f>
        <v>0</v>
      </c>
    </row>
    <row r="102" spans="1:14" ht="14" thickBot="1">
      <c r="A102" s="32" t="s">
        <v>102</v>
      </c>
      <c r="B102" s="1092">
        <v>0</v>
      </c>
      <c r="C102" s="1092">
        <v>0</v>
      </c>
      <c r="D102" s="1092">
        <v>0</v>
      </c>
      <c r="E102" s="1092">
        <v>0</v>
      </c>
      <c r="F102" s="1092">
        <v>0</v>
      </c>
      <c r="G102" s="1092">
        <v>0</v>
      </c>
      <c r="H102" s="1092">
        <v>0</v>
      </c>
      <c r="I102" s="1092">
        <v>0</v>
      </c>
      <c r="J102" s="1092">
        <v>0</v>
      </c>
      <c r="K102" s="1092">
        <v>0</v>
      </c>
      <c r="L102" s="1092">
        <v>0</v>
      </c>
      <c r="M102" s="1092">
        <v>0</v>
      </c>
      <c r="N102" s="27">
        <f>SUM(B102:M102)</f>
        <v>0</v>
      </c>
    </row>
    <row r="103" spans="1:14" ht="14" thickBot="1">
      <c r="A103" s="53" t="s">
        <v>60</v>
      </c>
      <c r="B103" s="55">
        <f>SUM(B91:B102)</f>
        <v>0</v>
      </c>
      <c r="C103" s="55">
        <f t="shared" ref="C103:N103" si="15">SUM(C91:C102)</f>
        <v>0</v>
      </c>
      <c r="D103" s="55">
        <f t="shared" si="15"/>
        <v>0</v>
      </c>
      <c r="E103" s="55">
        <f t="shared" si="15"/>
        <v>0</v>
      </c>
      <c r="F103" s="55">
        <f t="shared" si="15"/>
        <v>0</v>
      </c>
      <c r="G103" s="55">
        <f t="shared" si="15"/>
        <v>0</v>
      </c>
      <c r="H103" s="55">
        <f t="shared" si="15"/>
        <v>0</v>
      </c>
      <c r="I103" s="55">
        <f t="shared" si="15"/>
        <v>0</v>
      </c>
      <c r="J103" s="55">
        <f t="shared" si="15"/>
        <v>0</v>
      </c>
      <c r="K103" s="55">
        <f t="shared" si="15"/>
        <v>0</v>
      </c>
      <c r="L103" s="55">
        <f t="shared" si="15"/>
        <v>0</v>
      </c>
      <c r="M103" s="55">
        <f t="shared" si="15"/>
        <v>0</v>
      </c>
      <c r="N103" s="54">
        <f t="shared" si="15"/>
        <v>0</v>
      </c>
    </row>
    <row r="104" spans="1:14" ht="14" thickBot="1">
      <c r="A104" s="38" t="s">
        <v>54</v>
      </c>
      <c r="B104" s="41"/>
      <c r="C104" s="41"/>
      <c r="D104" s="41"/>
      <c r="E104" s="41"/>
      <c r="F104" s="41"/>
      <c r="G104" s="41"/>
      <c r="H104" s="41"/>
      <c r="I104" s="41"/>
      <c r="J104" s="41"/>
      <c r="K104" s="41"/>
      <c r="L104" s="41"/>
      <c r="M104" s="41"/>
      <c r="N104" s="42"/>
    </row>
    <row r="105" spans="1:14">
      <c r="A105" s="36" t="s">
        <v>29</v>
      </c>
      <c r="B105" s="1093">
        <v>0</v>
      </c>
      <c r="C105" s="1093">
        <v>0</v>
      </c>
      <c r="D105" s="1093">
        <v>0</v>
      </c>
      <c r="E105" s="1093">
        <v>0</v>
      </c>
      <c r="F105" s="1093">
        <v>0</v>
      </c>
      <c r="G105" s="1093">
        <v>0</v>
      </c>
      <c r="H105" s="1093">
        <v>0</v>
      </c>
      <c r="I105" s="1093">
        <v>0</v>
      </c>
      <c r="J105" s="1093">
        <v>0</v>
      </c>
      <c r="K105" s="1093">
        <v>0</v>
      </c>
      <c r="L105" s="1093">
        <v>0</v>
      </c>
      <c r="M105" s="1093">
        <v>0</v>
      </c>
      <c r="N105" s="28">
        <f t="shared" ref="N105:N110" si="16">SUM(B105:M105)</f>
        <v>0</v>
      </c>
    </row>
    <row r="106" spans="1:14">
      <c r="A106" s="34" t="s">
        <v>51</v>
      </c>
      <c r="B106" s="1092">
        <v>0</v>
      </c>
      <c r="C106" s="1092">
        <v>0</v>
      </c>
      <c r="D106" s="1092">
        <v>0</v>
      </c>
      <c r="E106" s="1092">
        <v>0</v>
      </c>
      <c r="F106" s="1092">
        <v>0</v>
      </c>
      <c r="G106" s="1092">
        <v>0</v>
      </c>
      <c r="H106" s="1092">
        <v>0</v>
      </c>
      <c r="I106" s="1092">
        <v>0</v>
      </c>
      <c r="J106" s="1092">
        <v>0</v>
      </c>
      <c r="K106" s="1092">
        <v>0</v>
      </c>
      <c r="L106" s="1092">
        <v>0</v>
      </c>
      <c r="M106" s="1092">
        <v>0</v>
      </c>
      <c r="N106" s="29">
        <f t="shared" si="16"/>
        <v>0</v>
      </c>
    </row>
    <row r="107" spans="1:14">
      <c r="A107" s="34" t="s">
        <v>15</v>
      </c>
      <c r="B107" s="1092">
        <v>0</v>
      </c>
      <c r="C107" s="1092">
        <v>0</v>
      </c>
      <c r="D107" s="1092">
        <v>0</v>
      </c>
      <c r="E107" s="1092">
        <v>0</v>
      </c>
      <c r="F107" s="1092">
        <v>0</v>
      </c>
      <c r="G107" s="1092">
        <v>0</v>
      </c>
      <c r="H107" s="1092">
        <v>0</v>
      </c>
      <c r="I107" s="1092">
        <v>0</v>
      </c>
      <c r="J107" s="1092">
        <v>0</v>
      </c>
      <c r="K107" s="1092">
        <v>0</v>
      </c>
      <c r="L107" s="1094">
        <v>0</v>
      </c>
      <c r="M107" s="1092">
        <v>0</v>
      </c>
      <c r="N107" s="29">
        <f t="shared" si="16"/>
        <v>0</v>
      </c>
    </row>
    <row r="108" spans="1:14">
      <c r="A108" s="34" t="s">
        <v>30</v>
      </c>
      <c r="B108" s="1092">
        <v>0</v>
      </c>
      <c r="C108" s="1092">
        <v>0</v>
      </c>
      <c r="D108" s="1092">
        <v>0</v>
      </c>
      <c r="E108" s="1092">
        <v>0</v>
      </c>
      <c r="F108" s="1092">
        <v>0</v>
      </c>
      <c r="G108" s="1092">
        <v>0</v>
      </c>
      <c r="H108" s="1092">
        <v>0</v>
      </c>
      <c r="I108" s="1092">
        <v>0</v>
      </c>
      <c r="J108" s="1092">
        <v>0</v>
      </c>
      <c r="K108" s="1092">
        <v>0</v>
      </c>
      <c r="L108" s="1092">
        <v>0</v>
      </c>
      <c r="M108" s="1092">
        <v>0</v>
      </c>
      <c r="N108" s="29">
        <f t="shared" si="16"/>
        <v>0</v>
      </c>
    </row>
    <row r="109" spans="1:14">
      <c r="A109" s="32" t="s">
        <v>55</v>
      </c>
      <c r="B109" s="1094">
        <v>0</v>
      </c>
      <c r="C109" s="1094">
        <v>0</v>
      </c>
      <c r="D109" s="1095">
        <v>0</v>
      </c>
      <c r="E109" s="1094">
        <v>0</v>
      </c>
      <c r="F109" s="1094">
        <v>0</v>
      </c>
      <c r="G109" s="1094">
        <v>0</v>
      </c>
      <c r="H109" s="1094">
        <v>0</v>
      </c>
      <c r="I109" s="1094">
        <v>0</v>
      </c>
      <c r="J109" s="1094">
        <v>0</v>
      </c>
      <c r="K109" s="1094">
        <v>0</v>
      </c>
      <c r="L109" s="1094">
        <v>0</v>
      </c>
      <c r="M109" s="1094">
        <v>0</v>
      </c>
      <c r="N109" s="29">
        <f t="shared" si="16"/>
        <v>0</v>
      </c>
    </row>
    <row r="110" spans="1:14" ht="14" thickBot="1">
      <c r="A110" s="104" t="s">
        <v>150</v>
      </c>
      <c r="B110" s="1096">
        <v>0</v>
      </c>
      <c r="C110" s="1097">
        <v>0</v>
      </c>
      <c r="D110" s="1097">
        <v>0</v>
      </c>
      <c r="E110" s="1097">
        <v>0</v>
      </c>
      <c r="F110" s="1097">
        <v>0</v>
      </c>
      <c r="G110" s="1097">
        <v>0</v>
      </c>
      <c r="H110" s="1097">
        <v>0</v>
      </c>
      <c r="I110" s="1097">
        <v>0</v>
      </c>
      <c r="J110" s="1097">
        <v>0</v>
      </c>
      <c r="K110" s="1097">
        <v>0</v>
      </c>
      <c r="L110" s="1097">
        <v>0</v>
      </c>
      <c r="M110" s="1098">
        <v>0</v>
      </c>
      <c r="N110" s="29">
        <f t="shared" si="16"/>
        <v>0</v>
      </c>
    </row>
    <row r="111" spans="1:14" ht="14" thickBot="1">
      <c r="A111" s="53" t="s">
        <v>60</v>
      </c>
      <c r="B111" s="55">
        <f>SUM(B105:B110)</f>
        <v>0</v>
      </c>
      <c r="C111" s="55">
        <f>SUM(C105:C110)</f>
        <v>0</v>
      </c>
      <c r="D111" s="55">
        <f>SUM(D105:D110)</f>
        <v>0</v>
      </c>
      <c r="E111" s="55">
        <f t="shared" ref="E111:M111" si="17">SUM(E105:E110)</f>
        <v>0</v>
      </c>
      <c r="F111" s="55">
        <f t="shared" si="17"/>
        <v>0</v>
      </c>
      <c r="G111" s="55">
        <f t="shared" si="17"/>
        <v>0</v>
      </c>
      <c r="H111" s="55">
        <f t="shared" si="17"/>
        <v>0</v>
      </c>
      <c r="I111" s="55">
        <f t="shared" si="17"/>
        <v>0</v>
      </c>
      <c r="J111" s="55">
        <f t="shared" si="17"/>
        <v>0</v>
      </c>
      <c r="K111" s="55">
        <f t="shared" si="17"/>
        <v>0</v>
      </c>
      <c r="L111" s="55">
        <f t="shared" si="17"/>
        <v>0</v>
      </c>
      <c r="M111" s="55">
        <f t="shared" si="17"/>
        <v>0</v>
      </c>
      <c r="N111" s="54">
        <f>SUM(N105:N110)</f>
        <v>0</v>
      </c>
    </row>
    <row r="114" spans="1:14" ht="14" thickBot="1">
      <c r="B114" s="43" t="s">
        <v>35</v>
      </c>
      <c r="C114" s="43" t="s">
        <v>36</v>
      </c>
      <c r="D114" s="43" t="s">
        <v>37</v>
      </c>
      <c r="E114" s="43" t="s">
        <v>38</v>
      </c>
      <c r="F114" s="43" t="s">
        <v>39</v>
      </c>
      <c r="G114" s="43" t="s">
        <v>40</v>
      </c>
      <c r="H114" s="43" t="s">
        <v>41</v>
      </c>
      <c r="I114" s="43" t="s">
        <v>42</v>
      </c>
      <c r="J114" s="43" t="s">
        <v>43</v>
      </c>
      <c r="K114" s="43" t="s">
        <v>44</v>
      </c>
      <c r="L114" s="43" t="s">
        <v>45</v>
      </c>
      <c r="M114" s="43" t="s">
        <v>46</v>
      </c>
      <c r="N114" s="43" t="s">
        <v>10</v>
      </c>
    </row>
    <row r="115" spans="1:14" ht="17" thickBot="1">
      <c r="A115" s="31" t="s">
        <v>162</v>
      </c>
      <c r="B115" s="24"/>
      <c r="C115" s="24"/>
      <c r="D115" s="22"/>
      <c r="E115" s="22"/>
      <c r="F115" s="25"/>
      <c r="G115" s="25"/>
      <c r="H115" s="22"/>
      <c r="I115" s="22"/>
      <c r="J115" s="22"/>
      <c r="K115" s="22"/>
      <c r="L115" s="24"/>
      <c r="M115" s="24"/>
      <c r="N115" s="26"/>
    </row>
    <row r="116" spans="1:14" ht="14" thickBot="1">
      <c r="A116" s="38" t="s">
        <v>48</v>
      </c>
      <c r="B116" s="39"/>
      <c r="C116" s="39"/>
      <c r="D116" s="39"/>
      <c r="E116" s="39"/>
      <c r="F116" s="39"/>
      <c r="G116" s="39"/>
      <c r="H116" s="39"/>
      <c r="I116" s="39"/>
      <c r="J116" s="39"/>
      <c r="K116" s="39"/>
      <c r="L116" s="39"/>
      <c r="M116" s="39"/>
      <c r="N116" s="40"/>
    </row>
    <row r="117" spans="1:14">
      <c r="A117" s="32" t="s">
        <v>29</v>
      </c>
      <c r="B117" s="1092">
        <v>0</v>
      </c>
      <c r="C117" s="1092">
        <v>0</v>
      </c>
      <c r="D117" s="1092">
        <v>0</v>
      </c>
      <c r="E117" s="1092">
        <v>0</v>
      </c>
      <c r="F117" s="1092">
        <v>0</v>
      </c>
      <c r="G117" s="1092">
        <v>0</v>
      </c>
      <c r="H117" s="1092">
        <v>0</v>
      </c>
      <c r="I117" s="1092">
        <v>0</v>
      </c>
      <c r="J117" s="1092">
        <v>0</v>
      </c>
      <c r="K117" s="1092">
        <v>0</v>
      </c>
      <c r="L117" s="1092">
        <v>0</v>
      </c>
      <c r="M117" s="1092">
        <v>0</v>
      </c>
      <c r="N117" s="27">
        <f t="shared" ref="N117:N123" si="18">SUM(B117:M117)</f>
        <v>0</v>
      </c>
    </row>
    <row r="118" spans="1:14">
      <c r="A118" s="32" t="s">
        <v>33</v>
      </c>
      <c r="B118" s="1092">
        <v>0</v>
      </c>
      <c r="C118" s="1092">
        <v>1</v>
      </c>
      <c r="D118" s="1092">
        <v>0</v>
      </c>
      <c r="E118" s="1092">
        <v>0</v>
      </c>
      <c r="F118" s="1092">
        <v>1</v>
      </c>
      <c r="G118" s="1092">
        <v>1</v>
      </c>
      <c r="H118" s="1092">
        <v>2</v>
      </c>
      <c r="I118" s="1092">
        <v>0</v>
      </c>
      <c r="J118" s="1092">
        <v>1</v>
      </c>
      <c r="K118" s="1092">
        <v>0</v>
      </c>
      <c r="L118" s="1092">
        <v>2</v>
      </c>
      <c r="M118" s="1092">
        <v>1</v>
      </c>
      <c r="N118" s="27">
        <f t="shared" si="18"/>
        <v>9</v>
      </c>
    </row>
    <row r="119" spans="1:14">
      <c r="A119" s="32" t="s">
        <v>56</v>
      </c>
      <c r="B119" s="1092">
        <v>0</v>
      </c>
      <c r="C119" s="1092">
        <v>0</v>
      </c>
      <c r="D119" s="1092">
        <v>0</v>
      </c>
      <c r="E119" s="1092">
        <v>0</v>
      </c>
      <c r="F119" s="1092">
        <v>0</v>
      </c>
      <c r="G119" s="1092">
        <v>0</v>
      </c>
      <c r="H119" s="1092">
        <v>0</v>
      </c>
      <c r="I119" s="1092">
        <v>0</v>
      </c>
      <c r="J119" s="1092">
        <v>0</v>
      </c>
      <c r="K119" s="1092">
        <v>0</v>
      </c>
      <c r="L119" s="1092">
        <v>0</v>
      </c>
      <c r="M119" s="1092">
        <v>0</v>
      </c>
      <c r="N119" s="27">
        <f t="shared" si="18"/>
        <v>0</v>
      </c>
    </row>
    <row r="120" spans="1:14">
      <c r="A120" s="78" t="s">
        <v>30</v>
      </c>
      <c r="B120" s="1092">
        <v>0</v>
      </c>
      <c r="C120" s="1092">
        <v>0</v>
      </c>
      <c r="D120" s="1092">
        <v>0</v>
      </c>
      <c r="E120" s="1092">
        <v>0</v>
      </c>
      <c r="F120" s="1092">
        <v>0</v>
      </c>
      <c r="G120" s="1092">
        <v>0</v>
      </c>
      <c r="H120" s="1092">
        <v>0</v>
      </c>
      <c r="I120" s="1092">
        <v>0</v>
      </c>
      <c r="J120" s="1092">
        <v>0</v>
      </c>
      <c r="K120" s="1092">
        <v>0</v>
      </c>
      <c r="L120" s="1092">
        <v>0</v>
      </c>
      <c r="M120" s="1092">
        <v>0</v>
      </c>
      <c r="N120" s="27">
        <f t="shared" si="18"/>
        <v>0</v>
      </c>
    </row>
    <row r="121" spans="1:14">
      <c r="A121" s="76" t="s">
        <v>150</v>
      </c>
      <c r="B121" s="1092">
        <v>0</v>
      </c>
      <c r="C121" s="1092">
        <v>0</v>
      </c>
      <c r="D121" s="1092">
        <v>0</v>
      </c>
      <c r="E121" s="1092">
        <v>0</v>
      </c>
      <c r="F121" s="1092">
        <v>0</v>
      </c>
      <c r="G121" s="1092">
        <v>0</v>
      </c>
      <c r="H121" s="1092">
        <v>0</v>
      </c>
      <c r="I121" s="1092">
        <v>0</v>
      </c>
      <c r="J121" s="1092">
        <v>0</v>
      </c>
      <c r="K121" s="1092">
        <v>0</v>
      </c>
      <c r="L121" s="1092">
        <v>0</v>
      </c>
      <c r="M121" s="1092">
        <v>0</v>
      </c>
      <c r="N121" s="27">
        <f t="shared" si="18"/>
        <v>0</v>
      </c>
    </row>
    <row r="122" spans="1:14">
      <c r="A122" s="76" t="s">
        <v>165</v>
      </c>
      <c r="B122" s="1092">
        <v>0</v>
      </c>
      <c r="C122" s="1092">
        <v>0</v>
      </c>
      <c r="D122" s="1092">
        <v>0</v>
      </c>
      <c r="E122" s="1092">
        <v>0</v>
      </c>
      <c r="F122" s="1092">
        <v>0</v>
      </c>
      <c r="G122" s="1092">
        <v>0</v>
      </c>
      <c r="H122" s="1092">
        <v>0</v>
      </c>
      <c r="I122" s="1092">
        <v>0</v>
      </c>
      <c r="J122" s="1092">
        <v>0</v>
      </c>
      <c r="K122" s="1092">
        <v>0</v>
      </c>
      <c r="L122" s="1092">
        <v>0</v>
      </c>
      <c r="M122" s="1092">
        <v>0</v>
      </c>
      <c r="N122" s="27">
        <f t="shared" si="18"/>
        <v>0</v>
      </c>
    </row>
    <row r="123" spans="1:14" ht="14" thickBot="1">
      <c r="A123" s="76" t="s">
        <v>166</v>
      </c>
      <c r="B123" s="1092">
        <v>0</v>
      </c>
      <c r="C123" s="1092">
        <v>0</v>
      </c>
      <c r="D123" s="1092">
        <v>0</v>
      </c>
      <c r="E123" s="1092">
        <v>0</v>
      </c>
      <c r="F123" s="1092">
        <v>0</v>
      </c>
      <c r="G123" s="1092">
        <v>0</v>
      </c>
      <c r="H123" s="1092">
        <v>0</v>
      </c>
      <c r="I123" s="1092">
        <v>0</v>
      </c>
      <c r="J123" s="1092">
        <v>0</v>
      </c>
      <c r="K123" s="1092">
        <v>0</v>
      </c>
      <c r="L123" s="1092">
        <v>0</v>
      </c>
      <c r="M123" s="1092">
        <v>0</v>
      </c>
      <c r="N123" s="27">
        <f t="shared" si="18"/>
        <v>0</v>
      </c>
    </row>
    <row r="124" spans="1:14" ht="14" thickBot="1">
      <c r="A124" s="53" t="s">
        <v>60</v>
      </c>
      <c r="B124" s="55">
        <f>SUM(B117:B123)</f>
        <v>0</v>
      </c>
      <c r="C124" s="55">
        <f t="shared" ref="C124:M124" si="19">SUM(C117:C123)</f>
        <v>1</v>
      </c>
      <c r="D124" s="55">
        <f t="shared" si="19"/>
        <v>0</v>
      </c>
      <c r="E124" s="55">
        <f t="shared" si="19"/>
        <v>0</v>
      </c>
      <c r="F124" s="55">
        <f t="shared" si="19"/>
        <v>1</v>
      </c>
      <c r="G124" s="55">
        <f t="shared" si="19"/>
        <v>1</v>
      </c>
      <c r="H124" s="55">
        <f t="shared" si="19"/>
        <v>2</v>
      </c>
      <c r="I124" s="55">
        <f t="shared" si="19"/>
        <v>0</v>
      </c>
      <c r="J124" s="55">
        <f t="shared" si="19"/>
        <v>1</v>
      </c>
      <c r="K124" s="55">
        <f t="shared" si="19"/>
        <v>0</v>
      </c>
      <c r="L124" s="55">
        <f t="shared" si="19"/>
        <v>2</v>
      </c>
      <c r="M124" s="55">
        <f t="shared" si="19"/>
        <v>1</v>
      </c>
      <c r="N124" s="54">
        <f>SUM(N117:N123)</f>
        <v>9</v>
      </c>
    </row>
    <row r="125" spans="1:14" ht="14" thickBot="1">
      <c r="A125" s="38" t="s">
        <v>49</v>
      </c>
      <c r="B125" s="39"/>
      <c r="C125" s="39"/>
      <c r="D125" s="39"/>
      <c r="E125" s="39"/>
      <c r="F125" s="39"/>
      <c r="G125" s="39"/>
      <c r="H125" s="39"/>
      <c r="I125" s="39"/>
      <c r="J125" s="39"/>
      <c r="K125" s="39"/>
      <c r="L125" s="39"/>
      <c r="M125" s="39"/>
      <c r="N125" s="40"/>
    </row>
    <row r="126" spans="1:14" ht="14" thickBot="1">
      <c r="A126" s="33" t="s">
        <v>49</v>
      </c>
      <c r="B126" s="1092">
        <v>0</v>
      </c>
      <c r="C126" s="1092">
        <v>0</v>
      </c>
      <c r="D126" s="1092">
        <v>0</v>
      </c>
      <c r="E126" s="1092">
        <v>0</v>
      </c>
      <c r="F126" s="1092">
        <v>0</v>
      </c>
      <c r="G126" s="1092">
        <v>0</v>
      </c>
      <c r="H126" s="1092">
        <v>0</v>
      </c>
      <c r="I126" s="1092">
        <v>0</v>
      </c>
      <c r="J126" s="1092">
        <v>0</v>
      </c>
      <c r="K126" s="1092">
        <v>0</v>
      </c>
      <c r="L126" s="1092">
        <v>0</v>
      </c>
      <c r="M126" s="1092">
        <v>0</v>
      </c>
      <c r="N126" s="27">
        <f>SUM(B126:M126)</f>
        <v>0</v>
      </c>
    </row>
    <row r="127" spans="1:14" ht="14" thickBot="1">
      <c r="A127" s="53" t="s">
        <v>60</v>
      </c>
      <c r="B127" s="55">
        <f>SUM(B126)</f>
        <v>0</v>
      </c>
      <c r="C127" s="55">
        <f t="shared" ref="C127:N127" si="20">SUM(C126)</f>
        <v>0</v>
      </c>
      <c r="D127" s="55">
        <f t="shared" si="20"/>
        <v>0</v>
      </c>
      <c r="E127" s="55">
        <f t="shared" si="20"/>
        <v>0</v>
      </c>
      <c r="F127" s="55">
        <f t="shared" si="20"/>
        <v>0</v>
      </c>
      <c r="G127" s="55">
        <f t="shared" si="20"/>
        <v>0</v>
      </c>
      <c r="H127" s="55">
        <f t="shared" si="20"/>
        <v>0</v>
      </c>
      <c r="I127" s="55">
        <f t="shared" si="20"/>
        <v>0</v>
      </c>
      <c r="J127" s="55">
        <f t="shared" si="20"/>
        <v>0</v>
      </c>
      <c r="K127" s="55">
        <f t="shared" si="20"/>
        <v>0</v>
      </c>
      <c r="L127" s="55">
        <f t="shared" si="20"/>
        <v>0</v>
      </c>
      <c r="M127" s="55">
        <f t="shared" si="20"/>
        <v>0</v>
      </c>
      <c r="N127" s="54">
        <f t="shared" si="20"/>
        <v>0</v>
      </c>
    </row>
    <row r="128" spans="1:14" ht="14" thickBot="1">
      <c r="A128" s="38" t="s">
        <v>50</v>
      </c>
      <c r="B128" s="39"/>
      <c r="C128" s="39"/>
      <c r="D128" s="39"/>
      <c r="E128" s="39"/>
      <c r="F128" s="39"/>
      <c r="G128" s="39"/>
      <c r="H128" s="39"/>
      <c r="I128" s="39"/>
      <c r="J128" s="39"/>
      <c r="K128" s="39"/>
      <c r="L128" s="39"/>
      <c r="M128" s="39"/>
      <c r="N128" s="40"/>
    </row>
    <row r="129" spans="1:14">
      <c r="A129" s="32" t="s">
        <v>29</v>
      </c>
      <c r="B129" s="1092">
        <v>0</v>
      </c>
      <c r="C129" s="1092">
        <v>0</v>
      </c>
      <c r="D129" s="1092">
        <v>0</v>
      </c>
      <c r="E129" s="1092">
        <v>0</v>
      </c>
      <c r="F129" s="1092">
        <v>0</v>
      </c>
      <c r="G129" s="1092">
        <v>0</v>
      </c>
      <c r="H129" s="1092">
        <v>0</v>
      </c>
      <c r="I129" s="1092">
        <v>0</v>
      </c>
      <c r="J129" s="1092">
        <v>0</v>
      </c>
      <c r="K129" s="1092">
        <v>0</v>
      </c>
      <c r="L129" s="1092">
        <v>0</v>
      </c>
      <c r="M129" s="1092">
        <v>0</v>
      </c>
      <c r="N129" s="27">
        <f t="shared" ref="N129:N135" si="21">SUM(B129:M129)</f>
        <v>0</v>
      </c>
    </row>
    <row r="130" spans="1:14">
      <c r="A130" s="32" t="s">
        <v>51</v>
      </c>
      <c r="B130" s="1092">
        <v>0</v>
      </c>
      <c r="C130" s="1092">
        <v>0</v>
      </c>
      <c r="D130" s="1092">
        <v>0</v>
      </c>
      <c r="E130" s="1092">
        <v>0</v>
      </c>
      <c r="F130" s="1092">
        <v>0</v>
      </c>
      <c r="G130" s="1092">
        <v>0</v>
      </c>
      <c r="H130" s="1092">
        <v>0</v>
      </c>
      <c r="I130" s="1092">
        <v>0</v>
      </c>
      <c r="J130" s="1092">
        <v>0</v>
      </c>
      <c r="K130" s="1092">
        <v>0</v>
      </c>
      <c r="L130" s="1092">
        <v>0</v>
      </c>
      <c r="M130" s="1092">
        <v>0</v>
      </c>
      <c r="N130" s="27">
        <f t="shared" si="21"/>
        <v>0</v>
      </c>
    </row>
    <row r="131" spans="1:14">
      <c r="A131" s="34" t="s">
        <v>20</v>
      </c>
      <c r="B131" s="1092">
        <v>0</v>
      </c>
      <c r="C131" s="1092">
        <v>0</v>
      </c>
      <c r="D131" s="1092">
        <v>0</v>
      </c>
      <c r="E131" s="1092">
        <v>0</v>
      </c>
      <c r="F131" s="1092">
        <v>0</v>
      </c>
      <c r="G131" s="1092">
        <v>0</v>
      </c>
      <c r="H131" s="1092">
        <v>0</v>
      </c>
      <c r="I131" s="1092">
        <v>0</v>
      </c>
      <c r="J131" s="1092">
        <v>0</v>
      </c>
      <c r="K131" s="1092">
        <v>0</v>
      </c>
      <c r="L131" s="1092">
        <v>0</v>
      </c>
      <c r="M131" s="1092">
        <v>0</v>
      </c>
      <c r="N131" s="27">
        <f t="shared" si="21"/>
        <v>0</v>
      </c>
    </row>
    <row r="132" spans="1:14">
      <c r="A132" s="34" t="s">
        <v>13</v>
      </c>
      <c r="B132" s="1092">
        <v>0</v>
      </c>
      <c r="C132" s="1092">
        <v>0</v>
      </c>
      <c r="D132" s="1092">
        <v>0</v>
      </c>
      <c r="E132" s="1092">
        <v>0</v>
      </c>
      <c r="F132" s="1092">
        <v>0</v>
      </c>
      <c r="G132" s="1092">
        <v>0</v>
      </c>
      <c r="H132" s="1092">
        <v>0</v>
      </c>
      <c r="I132" s="1092">
        <v>0</v>
      </c>
      <c r="J132" s="1092">
        <v>0</v>
      </c>
      <c r="K132" s="1092">
        <v>0</v>
      </c>
      <c r="L132" s="1092">
        <v>0</v>
      </c>
      <c r="M132" s="1092">
        <v>0</v>
      </c>
      <c r="N132" s="27">
        <f t="shared" si="21"/>
        <v>0</v>
      </c>
    </row>
    <row r="133" spans="1:14">
      <c r="A133" s="35" t="s">
        <v>47</v>
      </c>
      <c r="B133" s="1092">
        <v>0</v>
      </c>
      <c r="C133" s="1092">
        <v>0</v>
      </c>
      <c r="D133" s="1092">
        <v>0</v>
      </c>
      <c r="E133" s="1092">
        <v>0</v>
      </c>
      <c r="F133" s="1092">
        <v>0</v>
      </c>
      <c r="G133" s="1092">
        <v>0</v>
      </c>
      <c r="H133" s="1092">
        <v>0</v>
      </c>
      <c r="I133" s="1092">
        <v>0</v>
      </c>
      <c r="J133" s="1092">
        <v>0</v>
      </c>
      <c r="K133" s="1092">
        <v>0</v>
      </c>
      <c r="L133" s="1092">
        <v>0</v>
      </c>
      <c r="M133" s="1092">
        <v>0</v>
      </c>
      <c r="N133" s="27">
        <f t="shared" si="21"/>
        <v>0</v>
      </c>
    </row>
    <row r="134" spans="1:14">
      <c r="A134" s="76" t="s">
        <v>30</v>
      </c>
      <c r="B134" s="1092">
        <v>0</v>
      </c>
      <c r="C134" s="1092">
        <v>0</v>
      </c>
      <c r="D134" s="1092">
        <v>0</v>
      </c>
      <c r="E134" s="1092">
        <v>0</v>
      </c>
      <c r="F134" s="1092">
        <v>0</v>
      </c>
      <c r="G134" s="1092">
        <v>0</v>
      </c>
      <c r="H134" s="1092">
        <v>0</v>
      </c>
      <c r="I134" s="1092">
        <v>0</v>
      </c>
      <c r="J134" s="1092">
        <v>0</v>
      </c>
      <c r="K134" s="1092">
        <v>0</v>
      </c>
      <c r="L134" s="1092">
        <v>0</v>
      </c>
      <c r="M134" s="1092">
        <v>0</v>
      </c>
      <c r="N134" s="27">
        <f t="shared" si="21"/>
        <v>0</v>
      </c>
    </row>
    <row r="135" spans="1:14">
      <c r="A135" s="76" t="s">
        <v>150</v>
      </c>
      <c r="B135" s="1092">
        <v>0</v>
      </c>
      <c r="C135" s="1092">
        <v>0</v>
      </c>
      <c r="D135" s="1092">
        <v>0</v>
      </c>
      <c r="E135" s="1092">
        <v>0</v>
      </c>
      <c r="F135" s="1092">
        <v>0</v>
      </c>
      <c r="G135" s="1092">
        <v>0</v>
      </c>
      <c r="H135" s="1092">
        <v>0</v>
      </c>
      <c r="I135" s="1092">
        <v>0</v>
      </c>
      <c r="J135" s="1092">
        <v>0</v>
      </c>
      <c r="K135" s="1092">
        <v>0</v>
      </c>
      <c r="L135" s="1092">
        <v>0</v>
      </c>
      <c r="M135" s="1092">
        <v>0</v>
      </c>
      <c r="N135" s="27">
        <f t="shared" si="21"/>
        <v>0</v>
      </c>
    </row>
    <row r="136" spans="1:14">
      <c r="A136" s="32" t="s">
        <v>56</v>
      </c>
      <c r="B136" s="1092">
        <v>0</v>
      </c>
      <c r="C136" s="1092">
        <v>0</v>
      </c>
      <c r="D136" s="1092">
        <v>0</v>
      </c>
      <c r="E136" s="1092">
        <v>0</v>
      </c>
      <c r="F136" s="1092">
        <v>0</v>
      </c>
      <c r="G136" s="1092">
        <v>0</v>
      </c>
      <c r="H136" s="1092">
        <v>0</v>
      </c>
      <c r="I136" s="1092">
        <v>0</v>
      </c>
      <c r="J136" s="1092">
        <v>0</v>
      </c>
      <c r="K136" s="1092">
        <v>0</v>
      </c>
      <c r="L136" s="1092">
        <v>0</v>
      </c>
      <c r="M136" s="1092">
        <v>0</v>
      </c>
      <c r="N136" s="27">
        <f>SUM(B136:M136)</f>
        <v>0</v>
      </c>
    </row>
    <row r="137" spans="1:14">
      <c r="A137" s="78" t="s">
        <v>122</v>
      </c>
      <c r="B137" s="1092">
        <v>0</v>
      </c>
      <c r="C137" s="1092">
        <v>0</v>
      </c>
      <c r="D137" s="1092">
        <v>0</v>
      </c>
      <c r="E137" s="1092">
        <v>0</v>
      </c>
      <c r="F137" s="1092">
        <v>0</v>
      </c>
      <c r="G137" s="1092">
        <v>0</v>
      </c>
      <c r="H137" s="1092">
        <v>0</v>
      </c>
      <c r="I137" s="1092">
        <v>0</v>
      </c>
      <c r="J137" s="1092">
        <v>0</v>
      </c>
      <c r="K137" s="1092">
        <v>0</v>
      </c>
      <c r="L137" s="1092">
        <v>0</v>
      </c>
      <c r="M137" s="1092">
        <v>0</v>
      </c>
      <c r="N137" s="27">
        <f>SUM(B137:M137)</f>
        <v>0</v>
      </c>
    </row>
    <row r="138" spans="1:14">
      <c r="A138" s="32" t="s">
        <v>102</v>
      </c>
      <c r="B138" s="1092">
        <v>0</v>
      </c>
      <c r="C138" s="1092">
        <v>0</v>
      </c>
      <c r="D138" s="1092">
        <v>0</v>
      </c>
      <c r="E138" s="1092">
        <v>0</v>
      </c>
      <c r="F138" s="1092">
        <v>0</v>
      </c>
      <c r="G138" s="1092">
        <v>0</v>
      </c>
      <c r="H138" s="1092">
        <v>0</v>
      </c>
      <c r="I138" s="1092">
        <v>0</v>
      </c>
      <c r="J138" s="1092">
        <v>0</v>
      </c>
      <c r="K138" s="1092">
        <v>0</v>
      </c>
      <c r="L138" s="1092">
        <v>0</v>
      </c>
      <c r="M138" s="1092">
        <v>0</v>
      </c>
      <c r="N138" s="27">
        <f>SUM(B138:M138)</f>
        <v>0</v>
      </c>
    </row>
    <row r="139" spans="1:14" ht="14" thickBot="1">
      <c r="A139" s="78" t="s">
        <v>167</v>
      </c>
      <c r="B139" s="1092">
        <v>0</v>
      </c>
      <c r="C139" s="1092">
        <v>0</v>
      </c>
      <c r="D139" s="1092">
        <v>0</v>
      </c>
      <c r="E139" s="1092">
        <v>0</v>
      </c>
      <c r="F139" s="1092">
        <v>0</v>
      </c>
      <c r="G139" s="1092">
        <v>0</v>
      </c>
      <c r="H139" s="1092">
        <v>0</v>
      </c>
      <c r="I139" s="1092">
        <v>0</v>
      </c>
      <c r="J139" s="1092">
        <v>0</v>
      </c>
      <c r="K139" s="1092">
        <v>0</v>
      </c>
      <c r="L139" s="1092">
        <v>0</v>
      </c>
      <c r="M139" s="1092">
        <v>0</v>
      </c>
      <c r="N139" s="27">
        <f>SUM(B139:M139)</f>
        <v>0</v>
      </c>
    </row>
    <row r="140" spans="1:14" ht="14" thickBot="1">
      <c r="A140" s="53" t="s">
        <v>60</v>
      </c>
      <c r="B140" s="55">
        <f>SUM(B129:B139)</f>
        <v>0</v>
      </c>
      <c r="C140" s="55">
        <f t="shared" ref="C140:N140" si="22">SUM(C129:C139)</f>
        <v>0</v>
      </c>
      <c r="D140" s="55">
        <f t="shared" si="22"/>
        <v>0</v>
      </c>
      <c r="E140" s="55">
        <f t="shared" si="22"/>
        <v>0</v>
      </c>
      <c r="F140" s="55">
        <f t="shared" si="22"/>
        <v>0</v>
      </c>
      <c r="G140" s="55">
        <f t="shared" si="22"/>
        <v>0</v>
      </c>
      <c r="H140" s="55">
        <f t="shared" si="22"/>
        <v>0</v>
      </c>
      <c r="I140" s="55">
        <f t="shared" si="22"/>
        <v>0</v>
      </c>
      <c r="J140" s="55">
        <f t="shared" si="22"/>
        <v>0</v>
      </c>
      <c r="K140" s="55">
        <f t="shared" si="22"/>
        <v>0</v>
      </c>
      <c r="L140" s="55">
        <f t="shared" si="22"/>
        <v>0</v>
      </c>
      <c r="M140" s="55">
        <f t="shared" si="22"/>
        <v>0</v>
      </c>
      <c r="N140" s="54">
        <f t="shared" si="22"/>
        <v>0</v>
      </c>
    </row>
    <row r="143" spans="1:14" ht="14" thickBot="1">
      <c r="B143" s="43" t="s">
        <v>35</v>
      </c>
      <c r="C143" s="43" t="s">
        <v>36</v>
      </c>
      <c r="D143" s="43" t="s">
        <v>37</v>
      </c>
      <c r="E143" s="43" t="s">
        <v>38</v>
      </c>
      <c r="F143" s="43" t="s">
        <v>39</v>
      </c>
      <c r="G143" s="43" t="s">
        <v>40</v>
      </c>
      <c r="H143" s="43" t="s">
        <v>41</v>
      </c>
      <c r="I143" s="43" t="s">
        <v>42</v>
      </c>
      <c r="J143" s="43" t="s">
        <v>43</v>
      </c>
      <c r="K143" s="43" t="s">
        <v>44</v>
      </c>
      <c r="L143" s="43" t="s">
        <v>45</v>
      </c>
      <c r="M143" s="43" t="s">
        <v>46</v>
      </c>
      <c r="N143" s="43" t="s">
        <v>10</v>
      </c>
    </row>
    <row r="144" spans="1:14" ht="17" thickBot="1">
      <c r="A144" s="31" t="s">
        <v>178</v>
      </c>
      <c r="B144" s="24"/>
      <c r="C144" s="24"/>
      <c r="D144" s="22"/>
      <c r="E144" s="22"/>
      <c r="F144" s="25"/>
      <c r="G144" s="25"/>
      <c r="H144" s="22"/>
      <c r="I144" s="22"/>
      <c r="J144" s="22"/>
      <c r="K144" s="22"/>
      <c r="L144" s="24"/>
      <c r="M144" s="24"/>
      <c r="N144" s="26"/>
    </row>
    <row r="145" spans="1:14" ht="14" thickBot="1">
      <c r="A145" s="38" t="s">
        <v>48</v>
      </c>
      <c r="B145" s="39"/>
      <c r="C145" s="39"/>
      <c r="D145" s="39"/>
      <c r="E145" s="39"/>
      <c r="F145" s="39"/>
      <c r="G145" s="39"/>
      <c r="H145" s="39"/>
      <c r="I145" s="39"/>
      <c r="J145" s="39"/>
      <c r="K145" s="39"/>
      <c r="L145" s="39"/>
      <c r="M145" s="39"/>
      <c r="N145" s="40"/>
    </row>
    <row r="146" spans="1:14" hidden="1">
      <c r="A146" s="32" t="s">
        <v>29</v>
      </c>
      <c r="B146" s="44"/>
      <c r="C146" s="44"/>
      <c r="D146" s="44"/>
      <c r="E146" s="44"/>
      <c r="F146" s="44"/>
      <c r="G146" s="44"/>
      <c r="H146" s="44"/>
      <c r="I146" s="44"/>
      <c r="J146" s="44"/>
      <c r="K146" s="44"/>
      <c r="L146" s="44"/>
      <c r="M146" s="44"/>
      <c r="N146" s="27">
        <f t="shared" ref="N146:N152" si="23">SUM(B146:M146)</f>
        <v>0</v>
      </c>
    </row>
    <row r="147" spans="1:14">
      <c r="A147" s="32" t="s">
        <v>33</v>
      </c>
      <c r="B147" s="1092">
        <v>4</v>
      </c>
      <c r="C147" s="1092">
        <v>1</v>
      </c>
      <c r="D147" s="1092">
        <v>0</v>
      </c>
      <c r="E147" s="1092">
        <v>0</v>
      </c>
      <c r="F147" s="1092">
        <v>0</v>
      </c>
      <c r="G147" s="1092">
        <v>0</v>
      </c>
      <c r="H147" s="1092">
        <v>0</v>
      </c>
      <c r="I147" s="1092">
        <v>1</v>
      </c>
      <c r="J147" s="1092">
        <v>0</v>
      </c>
      <c r="K147" s="1092">
        <v>0</v>
      </c>
      <c r="L147" s="1092">
        <v>2</v>
      </c>
      <c r="M147" s="1092">
        <v>0</v>
      </c>
      <c r="N147" s="27">
        <f t="shared" si="23"/>
        <v>8</v>
      </c>
    </row>
    <row r="148" spans="1:14">
      <c r="A148" s="32" t="s">
        <v>56</v>
      </c>
      <c r="B148" s="1092">
        <v>0</v>
      </c>
      <c r="C148" s="1092">
        <v>0</v>
      </c>
      <c r="D148" s="1092">
        <v>0</v>
      </c>
      <c r="E148" s="1092">
        <v>0</v>
      </c>
      <c r="F148" s="1092">
        <v>0</v>
      </c>
      <c r="G148" s="1092">
        <v>0</v>
      </c>
      <c r="H148" s="1092">
        <v>0</v>
      </c>
      <c r="I148" s="1092">
        <v>0</v>
      </c>
      <c r="J148" s="1092">
        <v>0</v>
      </c>
      <c r="K148" s="1092">
        <v>0</v>
      </c>
      <c r="L148" s="1092">
        <v>0</v>
      </c>
      <c r="M148" s="1092">
        <v>0</v>
      </c>
      <c r="N148" s="27">
        <f t="shared" si="23"/>
        <v>0</v>
      </c>
    </row>
    <row r="149" spans="1:14">
      <c r="A149" s="78" t="s">
        <v>30</v>
      </c>
      <c r="B149" s="1092">
        <v>0</v>
      </c>
      <c r="C149" s="1092">
        <v>0</v>
      </c>
      <c r="D149" s="1092">
        <v>0</v>
      </c>
      <c r="E149" s="1092">
        <v>0</v>
      </c>
      <c r="F149" s="1092">
        <v>0</v>
      </c>
      <c r="G149" s="1092">
        <v>0</v>
      </c>
      <c r="H149" s="1092">
        <v>0</v>
      </c>
      <c r="I149" s="1092">
        <v>0</v>
      </c>
      <c r="J149" s="1092">
        <v>0</v>
      </c>
      <c r="K149" s="1092">
        <v>1</v>
      </c>
      <c r="L149" s="1092">
        <v>0</v>
      </c>
      <c r="M149" s="1092">
        <v>0</v>
      </c>
      <c r="N149" s="27">
        <f t="shared" si="23"/>
        <v>1</v>
      </c>
    </row>
    <row r="150" spans="1:14" hidden="1">
      <c r="A150" s="76" t="s">
        <v>182</v>
      </c>
      <c r="B150" s="1092"/>
      <c r="C150" s="1092"/>
      <c r="D150" s="1092"/>
      <c r="E150" s="1092"/>
      <c r="F150" s="1092"/>
      <c r="G150" s="1092"/>
      <c r="H150" s="1092"/>
      <c r="I150" s="1092"/>
      <c r="J150" s="1092"/>
      <c r="K150" s="1092"/>
      <c r="L150" s="1092"/>
      <c r="M150" s="1092"/>
      <c r="N150" s="27">
        <f t="shared" si="23"/>
        <v>0</v>
      </c>
    </row>
    <row r="151" spans="1:14">
      <c r="A151" s="76" t="s">
        <v>165</v>
      </c>
      <c r="B151" s="1092">
        <v>0</v>
      </c>
      <c r="C151" s="1092">
        <v>0</v>
      </c>
      <c r="D151" s="1092">
        <v>0</v>
      </c>
      <c r="E151" s="1092">
        <v>0</v>
      </c>
      <c r="F151" s="1092">
        <v>0</v>
      </c>
      <c r="G151" s="1092">
        <v>0</v>
      </c>
      <c r="H151" s="1092">
        <v>0</v>
      </c>
      <c r="I151" s="1092">
        <v>0</v>
      </c>
      <c r="J151" s="1092">
        <v>0</v>
      </c>
      <c r="K151" s="1092">
        <v>0</v>
      </c>
      <c r="L151" s="1092">
        <v>0</v>
      </c>
      <c r="M151" s="1092">
        <v>0</v>
      </c>
      <c r="N151" s="27">
        <f t="shared" si="23"/>
        <v>0</v>
      </c>
    </row>
    <row r="152" spans="1:14" ht="14" thickBot="1">
      <c r="A152" s="76" t="s">
        <v>166</v>
      </c>
      <c r="B152" s="1092">
        <v>0</v>
      </c>
      <c r="C152" s="1092">
        <v>0</v>
      </c>
      <c r="D152" s="1092">
        <v>0</v>
      </c>
      <c r="E152" s="1092">
        <v>0</v>
      </c>
      <c r="F152" s="1092">
        <v>0</v>
      </c>
      <c r="G152" s="1092">
        <v>0</v>
      </c>
      <c r="H152" s="1092">
        <v>0</v>
      </c>
      <c r="I152" s="1092">
        <v>0</v>
      </c>
      <c r="J152" s="1092">
        <v>0</v>
      </c>
      <c r="K152" s="1092">
        <v>0</v>
      </c>
      <c r="L152" s="1092">
        <v>0</v>
      </c>
      <c r="M152" s="1092">
        <v>0</v>
      </c>
      <c r="N152" s="27">
        <f t="shared" si="23"/>
        <v>0</v>
      </c>
    </row>
    <row r="153" spans="1:14" ht="14" thickBot="1">
      <c r="A153" s="53" t="s">
        <v>60</v>
      </c>
      <c r="B153" s="55">
        <f>SUM(B146:B152)</f>
        <v>4</v>
      </c>
      <c r="C153" s="55">
        <f t="shared" ref="C153:N153" si="24">SUM(C146:C152)</f>
        <v>1</v>
      </c>
      <c r="D153" s="55">
        <f t="shared" si="24"/>
        <v>0</v>
      </c>
      <c r="E153" s="55">
        <f t="shared" si="24"/>
        <v>0</v>
      </c>
      <c r="F153" s="55">
        <f t="shared" si="24"/>
        <v>0</v>
      </c>
      <c r="G153" s="55">
        <f t="shared" si="24"/>
        <v>0</v>
      </c>
      <c r="H153" s="55">
        <f t="shared" si="24"/>
        <v>0</v>
      </c>
      <c r="I153" s="55">
        <f t="shared" si="24"/>
        <v>1</v>
      </c>
      <c r="J153" s="55">
        <f t="shared" si="24"/>
        <v>0</v>
      </c>
      <c r="K153" s="55">
        <f t="shared" si="24"/>
        <v>1</v>
      </c>
      <c r="L153" s="55">
        <f t="shared" si="24"/>
        <v>2</v>
      </c>
      <c r="M153" s="55">
        <f t="shared" si="24"/>
        <v>0</v>
      </c>
      <c r="N153" s="54">
        <f t="shared" si="24"/>
        <v>9</v>
      </c>
    </row>
    <row r="154" spans="1:14" ht="14" thickBot="1">
      <c r="A154" s="38" t="s">
        <v>49</v>
      </c>
      <c r="B154" s="39"/>
      <c r="C154" s="39"/>
      <c r="D154" s="39"/>
      <c r="E154" s="39"/>
      <c r="F154" s="39"/>
      <c r="G154" s="39"/>
      <c r="H154" s="39"/>
      <c r="I154" s="39"/>
      <c r="J154" s="39"/>
      <c r="K154" s="39"/>
      <c r="L154" s="39"/>
      <c r="M154" s="39"/>
      <c r="N154" s="40"/>
    </row>
    <row r="155" spans="1:14">
      <c r="A155" s="76" t="s">
        <v>147</v>
      </c>
      <c r="B155" s="1092">
        <v>0</v>
      </c>
      <c r="C155" s="1092">
        <v>0</v>
      </c>
      <c r="D155" s="1092">
        <v>0</v>
      </c>
      <c r="E155" s="1092">
        <v>0</v>
      </c>
      <c r="F155" s="1092">
        <v>0</v>
      </c>
      <c r="G155" s="1092">
        <v>0</v>
      </c>
      <c r="H155" s="1092">
        <v>0</v>
      </c>
      <c r="I155" s="1092">
        <v>0</v>
      </c>
      <c r="J155" s="1092">
        <v>0</v>
      </c>
      <c r="K155" s="1092">
        <v>0</v>
      </c>
      <c r="L155" s="1092">
        <v>0</v>
      </c>
      <c r="M155" s="1092">
        <v>0</v>
      </c>
      <c r="N155" s="27">
        <f>SUM(B155:M155)</f>
        <v>0</v>
      </c>
    </row>
    <row r="156" spans="1:14" ht="14" thickBot="1">
      <c r="A156" s="76" t="s">
        <v>179</v>
      </c>
      <c r="B156" s="1092">
        <v>0</v>
      </c>
      <c r="C156" s="1092">
        <v>0</v>
      </c>
      <c r="D156" s="1092">
        <v>0</v>
      </c>
      <c r="E156" s="1092">
        <v>0</v>
      </c>
      <c r="F156" s="1092">
        <v>0</v>
      </c>
      <c r="G156" s="1092">
        <v>0</v>
      </c>
      <c r="H156" s="1092">
        <v>0</v>
      </c>
      <c r="I156" s="1092">
        <v>0</v>
      </c>
      <c r="J156" s="1092">
        <v>0</v>
      </c>
      <c r="K156" s="1092">
        <v>0</v>
      </c>
      <c r="L156" s="1092">
        <v>0</v>
      </c>
      <c r="M156" s="1092">
        <v>0</v>
      </c>
      <c r="N156" s="27">
        <v>12</v>
      </c>
    </row>
    <row r="157" spans="1:14" ht="14" thickBot="1">
      <c r="A157" s="53" t="s">
        <v>60</v>
      </c>
      <c r="B157" s="55">
        <f>SUM(B155)</f>
        <v>0</v>
      </c>
      <c r="C157" s="55">
        <f t="shared" ref="C157:N157" si="25">SUM(C155)</f>
        <v>0</v>
      </c>
      <c r="D157" s="55">
        <f t="shared" si="25"/>
        <v>0</v>
      </c>
      <c r="E157" s="55">
        <f t="shared" si="25"/>
        <v>0</v>
      </c>
      <c r="F157" s="55">
        <f t="shared" si="25"/>
        <v>0</v>
      </c>
      <c r="G157" s="55">
        <f t="shared" si="25"/>
        <v>0</v>
      </c>
      <c r="H157" s="55">
        <f t="shared" si="25"/>
        <v>0</v>
      </c>
      <c r="I157" s="55">
        <f t="shared" si="25"/>
        <v>0</v>
      </c>
      <c r="J157" s="55">
        <f t="shared" si="25"/>
        <v>0</v>
      </c>
      <c r="K157" s="55">
        <f t="shared" si="25"/>
        <v>0</v>
      </c>
      <c r="L157" s="55">
        <f t="shared" si="25"/>
        <v>0</v>
      </c>
      <c r="M157" s="55">
        <f t="shared" si="25"/>
        <v>0</v>
      </c>
      <c r="N157" s="54">
        <f t="shared" si="25"/>
        <v>0</v>
      </c>
    </row>
    <row r="158" spans="1:14" ht="14" thickBot="1">
      <c r="A158" s="38" t="s">
        <v>50</v>
      </c>
      <c r="B158" s="39"/>
      <c r="C158" s="39"/>
      <c r="D158" s="39"/>
      <c r="E158" s="39"/>
      <c r="F158" s="39"/>
      <c r="G158" s="39"/>
      <c r="H158" s="39"/>
      <c r="I158" s="39"/>
      <c r="J158" s="39"/>
      <c r="K158" s="39"/>
      <c r="L158" s="39"/>
      <c r="M158" s="39"/>
      <c r="N158" s="40"/>
    </row>
    <row r="159" spans="1:14">
      <c r="A159" s="32" t="s">
        <v>29</v>
      </c>
      <c r="B159" s="1092">
        <v>0</v>
      </c>
      <c r="C159" s="1092">
        <v>0</v>
      </c>
      <c r="D159" s="1092">
        <v>0</v>
      </c>
      <c r="E159" s="1092">
        <v>0</v>
      </c>
      <c r="F159" s="1092">
        <v>0</v>
      </c>
      <c r="G159" s="1092">
        <v>0</v>
      </c>
      <c r="H159" s="1092">
        <v>0</v>
      </c>
      <c r="I159" s="1092">
        <v>0</v>
      </c>
      <c r="J159" s="1092">
        <v>0</v>
      </c>
      <c r="K159" s="1092">
        <v>0</v>
      </c>
      <c r="L159" s="1092">
        <v>0</v>
      </c>
      <c r="M159" s="1092">
        <v>0</v>
      </c>
      <c r="N159" s="27">
        <f t="shared" ref="N159:N165" si="26">SUM(B159:M159)</f>
        <v>0</v>
      </c>
    </row>
    <row r="160" spans="1:14">
      <c r="A160" s="32" t="s">
        <v>51</v>
      </c>
      <c r="B160" s="1092">
        <v>0</v>
      </c>
      <c r="C160" s="1092">
        <v>0</v>
      </c>
      <c r="D160" s="1092">
        <v>0</v>
      </c>
      <c r="E160" s="1092">
        <v>0</v>
      </c>
      <c r="F160" s="1092">
        <v>0</v>
      </c>
      <c r="G160" s="1092">
        <v>0</v>
      </c>
      <c r="H160" s="1092">
        <v>0</v>
      </c>
      <c r="I160" s="1092">
        <v>0</v>
      </c>
      <c r="J160" s="1092">
        <v>0</v>
      </c>
      <c r="K160" s="1092">
        <v>0</v>
      </c>
      <c r="L160" s="1092">
        <v>0</v>
      </c>
      <c r="M160" s="1092">
        <v>0</v>
      </c>
      <c r="N160" s="27">
        <f t="shared" si="26"/>
        <v>0</v>
      </c>
    </row>
    <row r="161" spans="1:14">
      <c r="A161" s="34" t="s">
        <v>20</v>
      </c>
      <c r="B161" s="1092">
        <v>0</v>
      </c>
      <c r="C161" s="1092">
        <v>0</v>
      </c>
      <c r="D161" s="1092">
        <v>0</v>
      </c>
      <c r="E161" s="1092">
        <v>0</v>
      </c>
      <c r="F161" s="1092">
        <v>0</v>
      </c>
      <c r="G161" s="1092">
        <v>0</v>
      </c>
      <c r="H161" s="1092">
        <v>0</v>
      </c>
      <c r="I161" s="1092">
        <v>0</v>
      </c>
      <c r="J161" s="1092">
        <v>0</v>
      </c>
      <c r="K161" s="1092">
        <v>0</v>
      </c>
      <c r="L161" s="1092">
        <v>0</v>
      </c>
      <c r="M161" s="1092">
        <v>0</v>
      </c>
      <c r="N161" s="27">
        <f t="shared" si="26"/>
        <v>0</v>
      </c>
    </row>
    <row r="162" spans="1:14">
      <c r="A162" s="34" t="s">
        <v>13</v>
      </c>
      <c r="B162" s="1092">
        <v>0</v>
      </c>
      <c r="C162" s="1092">
        <v>0</v>
      </c>
      <c r="D162" s="1092">
        <v>0</v>
      </c>
      <c r="E162" s="1092">
        <v>0</v>
      </c>
      <c r="F162" s="1092">
        <v>0</v>
      </c>
      <c r="G162" s="1092">
        <v>0</v>
      </c>
      <c r="H162" s="1092">
        <v>0</v>
      </c>
      <c r="I162" s="1092">
        <v>0</v>
      </c>
      <c r="J162" s="1092">
        <v>0</v>
      </c>
      <c r="K162" s="1092">
        <v>0</v>
      </c>
      <c r="L162" s="1092">
        <v>0</v>
      </c>
      <c r="M162" s="1092">
        <v>0</v>
      </c>
      <c r="N162" s="27">
        <f t="shared" si="26"/>
        <v>0</v>
      </c>
    </row>
    <row r="163" spans="1:14" hidden="1">
      <c r="A163" s="35" t="s">
        <v>47</v>
      </c>
      <c r="B163" s="1092">
        <v>0</v>
      </c>
      <c r="C163" s="1092">
        <v>0</v>
      </c>
      <c r="D163" s="1092">
        <v>0</v>
      </c>
      <c r="E163" s="1092">
        <v>0</v>
      </c>
      <c r="F163" s="1092">
        <v>0</v>
      </c>
      <c r="G163" s="1092">
        <v>0</v>
      </c>
      <c r="H163" s="1092">
        <v>0</v>
      </c>
      <c r="I163" s="1092">
        <v>0</v>
      </c>
      <c r="J163" s="1092">
        <v>0</v>
      </c>
      <c r="K163" s="1092">
        <v>0</v>
      </c>
      <c r="L163" s="1092">
        <v>0</v>
      </c>
      <c r="M163" s="1092">
        <v>0</v>
      </c>
      <c r="N163" s="27">
        <f t="shared" si="26"/>
        <v>0</v>
      </c>
    </row>
    <row r="164" spans="1:14">
      <c r="A164" s="76" t="s">
        <v>30</v>
      </c>
      <c r="B164" s="1092">
        <v>0</v>
      </c>
      <c r="C164" s="1092">
        <v>0</v>
      </c>
      <c r="D164" s="1092">
        <v>0</v>
      </c>
      <c r="E164" s="1092">
        <v>0</v>
      </c>
      <c r="F164" s="1092">
        <v>0</v>
      </c>
      <c r="G164" s="1092">
        <v>0</v>
      </c>
      <c r="H164" s="1092">
        <v>0</v>
      </c>
      <c r="I164" s="1092">
        <v>0</v>
      </c>
      <c r="J164" s="1092">
        <v>0</v>
      </c>
      <c r="K164" s="1092">
        <v>0</v>
      </c>
      <c r="L164" s="1092">
        <v>0</v>
      </c>
      <c r="M164" s="1092">
        <v>0</v>
      </c>
      <c r="N164" s="27">
        <f t="shared" si="26"/>
        <v>0</v>
      </c>
    </row>
    <row r="165" spans="1:14" hidden="1">
      <c r="A165" s="76" t="s">
        <v>150</v>
      </c>
      <c r="B165" s="1092">
        <v>0</v>
      </c>
      <c r="C165" s="1092">
        <v>0</v>
      </c>
      <c r="D165" s="1092">
        <v>0</v>
      </c>
      <c r="E165" s="1092">
        <v>0</v>
      </c>
      <c r="F165" s="1092">
        <v>0</v>
      </c>
      <c r="G165" s="1092">
        <v>0</v>
      </c>
      <c r="H165" s="1092">
        <v>0</v>
      </c>
      <c r="I165" s="1092">
        <v>0</v>
      </c>
      <c r="J165" s="1092">
        <v>0</v>
      </c>
      <c r="K165" s="1092">
        <v>0</v>
      </c>
      <c r="L165" s="1092">
        <v>0</v>
      </c>
      <c r="M165" s="1092">
        <v>0</v>
      </c>
      <c r="N165" s="27">
        <f t="shared" si="26"/>
        <v>0</v>
      </c>
    </row>
    <row r="166" spans="1:14">
      <c r="A166" s="32" t="s">
        <v>56</v>
      </c>
      <c r="B166" s="1092">
        <v>0</v>
      </c>
      <c r="C166" s="1092">
        <v>0</v>
      </c>
      <c r="D166" s="1092">
        <v>0</v>
      </c>
      <c r="E166" s="1092">
        <v>0</v>
      </c>
      <c r="F166" s="1092">
        <v>0</v>
      </c>
      <c r="G166" s="1092">
        <v>0</v>
      </c>
      <c r="H166" s="1092">
        <v>0</v>
      </c>
      <c r="I166" s="1092">
        <v>0</v>
      </c>
      <c r="J166" s="1092">
        <v>0</v>
      </c>
      <c r="K166" s="1092">
        <v>0</v>
      </c>
      <c r="L166" s="1092">
        <v>0</v>
      </c>
      <c r="M166" s="1092">
        <v>0</v>
      </c>
      <c r="N166" s="27">
        <f t="shared" ref="N166:N171" si="27">SUM(B166:M166)</f>
        <v>0</v>
      </c>
    </row>
    <row r="167" spans="1:14">
      <c r="A167" s="78" t="s">
        <v>122</v>
      </c>
      <c r="B167" s="1092">
        <v>0</v>
      </c>
      <c r="C167" s="1092">
        <v>0</v>
      </c>
      <c r="D167" s="1092">
        <v>0</v>
      </c>
      <c r="E167" s="1092">
        <v>0</v>
      </c>
      <c r="F167" s="1092">
        <v>0</v>
      </c>
      <c r="G167" s="1092">
        <v>0</v>
      </c>
      <c r="H167" s="1092">
        <v>0</v>
      </c>
      <c r="I167" s="1092">
        <v>0</v>
      </c>
      <c r="J167" s="1092">
        <v>0</v>
      </c>
      <c r="K167" s="1092">
        <v>0</v>
      </c>
      <c r="L167" s="1092">
        <v>0</v>
      </c>
      <c r="M167" s="1092">
        <v>0</v>
      </c>
      <c r="N167" s="27">
        <f t="shared" si="27"/>
        <v>0</v>
      </c>
    </row>
    <row r="168" spans="1:14" ht="14" hidden="1" thickBot="1">
      <c r="A168" s="32" t="s">
        <v>102</v>
      </c>
      <c r="B168" s="1092">
        <v>0</v>
      </c>
      <c r="C168" s="1092">
        <v>0</v>
      </c>
      <c r="D168" s="1092">
        <v>0</v>
      </c>
      <c r="E168" s="1092">
        <v>0</v>
      </c>
      <c r="F168" s="1092">
        <v>0</v>
      </c>
      <c r="G168" s="1092">
        <v>0</v>
      </c>
      <c r="H168" s="1092">
        <v>0</v>
      </c>
      <c r="I168" s="1092">
        <v>0</v>
      </c>
      <c r="J168" s="1092">
        <v>0</v>
      </c>
      <c r="K168" s="1092">
        <v>0</v>
      </c>
      <c r="L168" s="1092">
        <v>0</v>
      </c>
      <c r="M168" s="1092">
        <v>0</v>
      </c>
      <c r="N168" s="27">
        <f t="shared" si="27"/>
        <v>0</v>
      </c>
    </row>
    <row r="169" spans="1:14">
      <c r="A169" s="78" t="s">
        <v>167</v>
      </c>
      <c r="B169" s="1092">
        <v>0</v>
      </c>
      <c r="C169" s="1092">
        <v>0</v>
      </c>
      <c r="D169" s="1092">
        <v>0</v>
      </c>
      <c r="E169" s="1092">
        <v>0</v>
      </c>
      <c r="F169" s="1092">
        <v>0</v>
      </c>
      <c r="G169" s="1092">
        <v>0</v>
      </c>
      <c r="H169" s="1092">
        <v>0</v>
      </c>
      <c r="I169" s="1092">
        <v>0</v>
      </c>
      <c r="J169" s="1092">
        <v>0</v>
      </c>
      <c r="K169" s="1092">
        <v>0</v>
      </c>
      <c r="L169" s="1092">
        <v>0</v>
      </c>
      <c r="M169" s="1092">
        <v>0</v>
      </c>
      <c r="N169" s="27">
        <f t="shared" si="27"/>
        <v>0</v>
      </c>
    </row>
    <row r="170" spans="1:14">
      <c r="A170" s="32" t="s">
        <v>165</v>
      </c>
      <c r="B170" s="1092">
        <v>0</v>
      </c>
      <c r="C170" s="1092">
        <v>0</v>
      </c>
      <c r="D170" s="1092">
        <v>0</v>
      </c>
      <c r="E170" s="1092">
        <v>0</v>
      </c>
      <c r="F170" s="1092">
        <v>0</v>
      </c>
      <c r="G170" s="1092">
        <v>0</v>
      </c>
      <c r="H170" s="1092">
        <v>0</v>
      </c>
      <c r="I170" s="1092">
        <v>0</v>
      </c>
      <c r="J170" s="1092">
        <v>0</v>
      </c>
      <c r="K170" s="1092">
        <v>0</v>
      </c>
      <c r="L170" s="1092">
        <v>0</v>
      </c>
      <c r="M170" s="1092">
        <v>0</v>
      </c>
      <c r="N170" s="27">
        <f t="shared" si="27"/>
        <v>0</v>
      </c>
    </row>
    <row r="171" spans="1:14" ht="14" thickBot="1">
      <c r="A171" s="78" t="s">
        <v>184</v>
      </c>
      <c r="B171" s="1092">
        <v>0</v>
      </c>
      <c r="C171" s="1092">
        <v>0</v>
      </c>
      <c r="D171" s="1092">
        <v>0</v>
      </c>
      <c r="E171" s="1092">
        <v>0</v>
      </c>
      <c r="F171" s="1092">
        <v>0</v>
      </c>
      <c r="G171" s="1092">
        <v>0</v>
      </c>
      <c r="H171" s="1092">
        <v>0</v>
      </c>
      <c r="I171" s="1092">
        <v>0</v>
      </c>
      <c r="J171" s="1092">
        <v>0</v>
      </c>
      <c r="K171" s="1092">
        <v>0</v>
      </c>
      <c r="L171" s="1092">
        <v>0</v>
      </c>
      <c r="M171" s="1092">
        <v>0</v>
      </c>
      <c r="N171" s="27">
        <f t="shared" si="27"/>
        <v>0</v>
      </c>
    </row>
    <row r="172" spans="1:14" ht="14" thickBot="1">
      <c r="A172" s="53" t="s">
        <v>60</v>
      </c>
      <c r="B172" s="55">
        <f>SUM(B159:B171)</f>
        <v>0</v>
      </c>
      <c r="C172" s="55">
        <f t="shared" ref="C172:N172" si="28">SUM(C159:C171)</f>
        <v>0</v>
      </c>
      <c r="D172" s="55">
        <f t="shared" si="28"/>
        <v>0</v>
      </c>
      <c r="E172" s="55">
        <f t="shared" si="28"/>
        <v>0</v>
      </c>
      <c r="F172" s="55">
        <f t="shared" si="28"/>
        <v>0</v>
      </c>
      <c r="G172" s="55">
        <f t="shared" si="28"/>
        <v>0</v>
      </c>
      <c r="H172" s="55">
        <f t="shared" si="28"/>
        <v>0</v>
      </c>
      <c r="I172" s="55">
        <f t="shared" si="28"/>
        <v>0</v>
      </c>
      <c r="J172" s="55">
        <f t="shared" si="28"/>
        <v>0</v>
      </c>
      <c r="K172" s="55">
        <f t="shared" si="28"/>
        <v>0</v>
      </c>
      <c r="L172" s="55">
        <f t="shared" si="28"/>
        <v>0</v>
      </c>
      <c r="M172" s="55">
        <f t="shared" si="28"/>
        <v>0</v>
      </c>
      <c r="N172" s="54">
        <f t="shared" si="28"/>
        <v>0</v>
      </c>
    </row>
    <row r="175" spans="1:14" ht="14" thickBot="1">
      <c r="B175" s="43" t="s">
        <v>35</v>
      </c>
      <c r="C175" s="43" t="s">
        <v>36</v>
      </c>
      <c r="D175" s="43" t="s">
        <v>37</v>
      </c>
      <c r="E175" s="43" t="s">
        <v>38</v>
      </c>
      <c r="F175" s="43" t="s">
        <v>39</v>
      </c>
      <c r="G175" s="43" t="s">
        <v>40</v>
      </c>
      <c r="H175" s="43" t="s">
        <v>41</v>
      </c>
      <c r="I175" s="43" t="s">
        <v>42</v>
      </c>
      <c r="J175" s="43" t="s">
        <v>43</v>
      </c>
      <c r="K175" s="43" t="s">
        <v>44</v>
      </c>
      <c r="L175" s="43" t="s">
        <v>45</v>
      </c>
      <c r="M175" s="43" t="s">
        <v>46</v>
      </c>
      <c r="N175" s="43" t="s">
        <v>10</v>
      </c>
    </row>
    <row r="176" spans="1:14" ht="17" thickBot="1">
      <c r="A176" s="31" t="s">
        <v>186</v>
      </c>
      <c r="B176" s="24"/>
      <c r="C176" s="24"/>
      <c r="D176" s="22"/>
      <c r="E176" s="22"/>
      <c r="F176" s="25"/>
      <c r="G176" s="25"/>
      <c r="H176" s="22"/>
      <c r="I176" s="22"/>
      <c r="J176" s="22"/>
      <c r="K176" s="22"/>
      <c r="L176" s="24"/>
      <c r="M176" s="24"/>
      <c r="N176" s="26"/>
    </row>
    <row r="177" spans="1:14" ht="14" thickBot="1">
      <c r="A177" s="38" t="str">
        <f>Ontario!A177</f>
        <v>SoCal Water$mart Residential Rebates</v>
      </c>
      <c r="B177" s="39"/>
      <c r="C177" s="39"/>
      <c r="D177" s="39"/>
      <c r="E177" s="39"/>
      <c r="F177" s="39"/>
      <c r="G177" s="39"/>
      <c r="H177" s="39"/>
      <c r="I177" s="39"/>
      <c r="J177" s="39"/>
      <c r="K177" s="39"/>
      <c r="L177" s="39"/>
      <c r="M177" s="39"/>
      <c r="N177" s="40"/>
    </row>
    <row r="178" spans="1:14">
      <c r="A178" s="32" t="str">
        <f>Ontario!A178</f>
        <v>High Efficiency Toilets (HET)</v>
      </c>
      <c r="B178" s="1092">
        <v>0</v>
      </c>
      <c r="C178" s="1092">
        <v>0</v>
      </c>
      <c r="D178" s="1092">
        <v>0</v>
      </c>
      <c r="E178" s="1092">
        <v>0</v>
      </c>
      <c r="F178" s="1092">
        <v>0</v>
      </c>
      <c r="G178" s="1092">
        <v>0</v>
      </c>
      <c r="H178" s="1092">
        <v>0</v>
      </c>
      <c r="I178" s="1092">
        <v>0</v>
      </c>
      <c r="J178" s="1092">
        <v>0</v>
      </c>
      <c r="K178" s="1092">
        <v>0</v>
      </c>
      <c r="L178" s="1092">
        <v>0</v>
      </c>
      <c r="M178" s="1092">
        <v>0</v>
      </c>
      <c r="N178" s="27">
        <f>SUM(C178:M178)</f>
        <v>0</v>
      </c>
    </row>
    <row r="179" spans="1:14">
      <c r="A179" s="32" t="str">
        <f>Ontario!A179</f>
        <v>High Efficiency Clothes Washers (HECW)</v>
      </c>
      <c r="B179" s="1092">
        <v>0</v>
      </c>
      <c r="C179" s="1092">
        <v>0</v>
      </c>
      <c r="D179" s="1092">
        <v>0</v>
      </c>
      <c r="E179" s="1092">
        <v>0</v>
      </c>
      <c r="F179" s="1092">
        <v>3</v>
      </c>
      <c r="G179" s="1092">
        <v>1</v>
      </c>
      <c r="H179" s="1092">
        <v>1</v>
      </c>
      <c r="I179" s="1092">
        <v>0</v>
      </c>
      <c r="J179" s="1092">
        <v>1</v>
      </c>
      <c r="K179" s="1092">
        <v>0</v>
      </c>
      <c r="L179" s="1092">
        <v>0</v>
      </c>
      <c r="M179" s="1092">
        <v>0</v>
      </c>
      <c r="N179" s="27">
        <f>SUM(C179:M179)</f>
        <v>6</v>
      </c>
    </row>
    <row r="180" spans="1:14">
      <c r="A180" s="32" t="str">
        <f>Ontario!A180</f>
        <v>Rotating Nozzles for Pop-up Spray Heads</v>
      </c>
      <c r="B180" s="1092">
        <v>0</v>
      </c>
      <c r="C180" s="1092">
        <v>0</v>
      </c>
      <c r="D180" s="1092">
        <v>0</v>
      </c>
      <c r="E180" s="1092">
        <v>0</v>
      </c>
      <c r="F180" s="1092">
        <v>0</v>
      </c>
      <c r="G180" s="1092">
        <v>0</v>
      </c>
      <c r="H180" s="1092">
        <v>2</v>
      </c>
      <c r="I180" s="1092">
        <v>0</v>
      </c>
      <c r="J180" s="1092">
        <v>0</v>
      </c>
      <c r="K180" s="1092">
        <v>0</v>
      </c>
      <c r="L180" s="1092">
        <v>0</v>
      </c>
      <c r="M180" s="1092">
        <v>0</v>
      </c>
      <c r="N180" s="27">
        <f>SUM(C180:M180)</f>
        <v>2</v>
      </c>
    </row>
    <row r="181" spans="1:14" ht="14" thickBot="1">
      <c r="A181" s="32" t="str">
        <f>Ontario!A181</f>
        <v>Weather Based Irrigation Controllers (WBIC)</v>
      </c>
      <c r="B181" s="1092">
        <v>0</v>
      </c>
      <c r="C181" s="1092">
        <v>0</v>
      </c>
      <c r="D181" s="1092">
        <v>0</v>
      </c>
      <c r="E181" s="1092">
        <v>0</v>
      </c>
      <c r="F181" s="1092">
        <v>0</v>
      </c>
      <c r="G181" s="1092">
        <v>0</v>
      </c>
      <c r="H181" s="1092">
        <v>1</v>
      </c>
      <c r="I181" s="1092">
        <v>0</v>
      </c>
      <c r="J181" s="1092">
        <v>0</v>
      </c>
      <c r="K181" s="1092">
        <v>0</v>
      </c>
      <c r="L181" s="1092">
        <v>0</v>
      </c>
      <c r="M181" s="1092">
        <v>0</v>
      </c>
      <c r="N181" s="27">
        <f>SUM(C181:M181)</f>
        <v>1</v>
      </c>
    </row>
    <row r="182" spans="1:14" ht="14" hidden="1" thickBot="1">
      <c r="A182" s="76" t="s">
        <v>182</v>
      </c>
      <c r="B182" s="44">
        <v>0</v>
      </c>
      <c r="C182" s="44"/>
      <c r="D182" s="44"/>
      <c r="F182" s="44"/>
      <c r="G182" s="44"/>
      <c r="H182" s="44"/>
      <c r="I182" s="44"/>
      <c r="J182" s="44"/>
      <c r="K182" s="44"/>
      <c r="L182" s="44"/>
      <c r="M182" s="44"/>
      <c r="N182" s="27">
        <f>SUM(C182:M182)</f>
        <v>0</v>
      </c>
    </row>
    <row r="183" spans="1:14" ht="14" thickBot="1">
      <c r="A183" s="38" t="str">
        <f>Ontario!A183</f>
        <v>IEUA Locally Implemented Residential Programs</v>
      </c>
      <c r="B183" s="39"/>
      <c r="C183" s="39"/>
      <c r="D183" s="39"/>
      <c r="E183" s="39"/>
      <c r="F183" s="39"/>
      <c r="G183" s="39"/>
      <c r="H183" s="39"/>
      <c r="I183" s="39"/>
      <c r="J183" s="39"/>
      <c r="K183" s="39"/>
      <c r="L183" s="39"/>
      <c r="M183" s="39"/>
      <c r="N183" s="40"/>
    </row>
    <row r="184" spans="1:14">
      <c r="A184" s="32" t="str">
        <f>Ontario!A184</f>
        <v>FreeSprinklerNozzles.com Program</v>
      </c>
      <c r="B184" s="1092">
        <v>0</v>
      </c>
      <c r="C184" s="1092">
        <v>0</v>
      </c>
      <c r="D184" s="1092">
        <v>0</v>
      </c>
      <c r="E184" s="1092">
        <v>0</v>
      </c>
      <c r="F184" s="1092">
        <v>0</v>
      </c>
      <c r="G184" s="1092">
        <v>0</v>
      </c>
      <c r="H184" s="1092">
        <v>0</v>
      </c>
      <c r="I184" s="1092">
        <v>0</v>
      </c>
      <c r="J184" s="1092">
        <v>0</v>
      </c>
      <c r="K184" s="1092">
        <v>0</v>
      </c>
      <c r="L184" s="1092">
        <v>0</v>
      </c>
      <c r="M184" s="1092">
        <v>0</v>
      </c>
      <c r="N184" s="27">
        <f>SUM(B184:M184)</f>
        <v>0</v>
      </c>
    </row>
    <row r="185" spans="1:14">
      <c r="A185" s="32" t="str">
        <f>Ontario!A185</f>
        <v>Residential Landscape Retrofit Program</v>
      </c>
      <c r="B185" s="1092">
        <v>0</v>
      </c>
      <c r="C185" s="1092">
        <v>0</v>
      </c>
      <c r="D185" s="1092">
        <v>0</v>
      </c>
      <c r="E185" s="1092">
        <v>0</v>
      </c>
      <c r="F185" s="1092">
        <v>0</v>
      </c>
      <c r="G185" s="1092">
        <v>0</v>
      </c>
      <c r="H185" s="1092">
        <v>0</v>
      </c>
      <c r="I185" s="1092">
        <v>0</v>
      </c>
      <c r="J185" s="1092">
        <v>0</v>
      </c>
      <c r="K185" s="1092">
        <v>0</v>
      </c>
      <c r="L185" s="1092">
        <v>3</v>
      </c>
      <c r="M185" s="1092">
        <v>1</v>
      </c>
      <c r="N185" s="27">
        <f>SUM(B185:M185)</f>
        <v>4</v>
      </c>
    </row>
    <row r="186" spans="1:14" ht="14" thickBot="1">
      <c r="A186" s="32" t="str">
        <f>Ontario!A186</f>
        <v>Landscape Transformation Program</v>
      </c>
      <c r="B186" s="1092">
        <v>0</v>
      </c>
      <c r="C186" s="1092">
        <v>0</v>
      </c>
      <c r="D186" s="1092">
        <v>0</v>
      </c>
      <c r="E186" s="1092">
        <v>0</v>
      </c>
      <c r="F186" s="1092">
        <v>0</v>
      </c>
      <c r="G186" s="1092">
        <v>0</v>
      </c>
      <c r="H186" s="1092">
        <v>0</v>
      </c>
      <c r="I186" s="1092">
        <v>0</v>
      </c>
      <c r="J186" s="1092">
        <v>0</v>
      </c>
      <c r="K186" s="1092">
        <v>0</v>
      </c>
      <c r="L186" s="1092">
        <v>0</v>
      </c>
      <c r="M186" s="1092">
        <v>0</v>
      </c>
      <c r="N186" s="27">
        <f>SUM(B186:M186)</f>
        <v>0</v>
      </c>
    </row>
    <row r="187" spans="1:14" ht="14" thickBot="1">
      <c r="A187" s="53" t="s">
        <v>60</v>
      </c>
      <c r="B187" s="55">
        <f>SUM(B178:B186)</f>
        <v>0</v>
      </c>
      <c r="C187" s="55">
        <f t="shared" ref="C187:M187" si="29">SUM(C178:C186)</f>
        <v>0</v>
      </c>
      <c r="D187" s="55">
        <f t="shared" si="29"/>
        <v>0</v>
      </c>
      <c r="E187" s="55">
        <f>SUM(E178:E186)</f>
        <v>0</v>
      </c>
      <c r="F187" s="55">
        <f t="shared" si="29"/>
        <v>3</v>
      </c>
      <c r="G187" s="55">
        <f t="shared" si="29"/>
        <v>1</v>
      </c>
      <c r="H187" s="55">
        <f t="shared" si="29"/>
        <v>4</v>
      </c>
      <c r="I187" s="55">
        <f t="shared" si="29"/>
        <v>0</v>
      </c>
      <c r="J187" s="55">
        <f t="shared" si="29"/>
        <v>1</v>
      </c>
      <c r="K187" s="55">
        <f t="shared" si="29"/>
        <v>0</v>
      </c>
      <c r="L187" s="55">
        <f t="shared" si="29"/>
        <v>3</v>
      </c>
      <c r="M187" s="55">
        <f t="shared" si="29"/>
        <v>1</v>
      </c>
      <c r="N187" s="54">
        <f>SUM(N178:N185)</f>
        <v>13</v>
      </c>
    </row>
    <row r="188" spans="1:14" ht="14" thickBot="1">
      <c r="A188" s="38" t="str">
        <f>Ontario!A188</f>
        <v xml:space="preserve">IEUA High Efficiency Toilet (HET) Installation Prog. </v>
      </c>
      <c r="B188" s="39"/>
      <c r="C188" s="39"/>
      <c r="D188" s="39"/>
      <c r="E188" s="39"/>
      <c r="F188" s="39"/>
      <c r="G188" s="39"/>
      <c r="H188" s="39"/>
      <c r="I188" s="39"/>
      <c r="J188" s="39"/>
      <c r="K188" s="39"/>
      <c r="L188" s="39"/>
      <c r="M188" s="39"/>
      <c r="N188" s="40"/>
    </row>
    <row r="189" spans="1:14">
      <c r="A189" s="32" t="str">
        <f>Ontario!A189</f>
        <v>IEUA Multi-Family Direct Install Prog. (HET/ULFT)</v>
      </c>
      <c r="B189" s="1092">
        <v>0</v>
      </c>
      <c r="C189" s="1092">
        <v>0</v>
      </c>
      <c r="D189" s="1092">
        <v>0</v>
      </c>
      <c r="E189" s="1092">
        <v>0</v>
      </c>
      <c r="F189" s="1092">
        <v>0</v>
      </c>
      <c r="G189" s="1092">
        <v>0</v>
      </c>
      <c r="H189" s="1092">
        <v>0</v>
      </c>
      <c r="I189" s="1092">
        <v>0</v>
      </c>
      <c r="J189" s="1092">
        <v>0</v>
      </c>
      <c r="K189" s="1092">
        <v>0</v>
      </c>
      <c r="L189" s="1092">
        <v>0</v>
      </c>
      <c r="M189" s="1092">
        <v>0</v>
      </c>
      <c r="N189" s="27">
        <f>SUM(B189:M189)</f>
        <v>0</v>
      </c>
    </row>
    <row r="190" spans="1:14" ht="14" thickBot="1">
      <c r="A190" s="32" t="str">
        <f>Ontario!A190</f>
        <v>IEUA Single-Family Direct Install Prog. (HET/ULFT)</v>
      </c>
      <c r="B190" s="1092">
        <v>0</v>
      </c>
      <c r="C190" s="1092">
        <v>2</v>
      </c>
      <c r="D190" s="1092">
        <v>8</v>
      </c>
      <c r="E190" s="1092">
        <v>2</v>
      </c>
      <c r="F190" s="1092">
        <v>0</v>
      </c>
      <c r="G190" s="1092">
        <v>0</v>
      </c>
      <c r="H190" s="1092">
        <v>3</v>
      </c>
      <c r="I190" s="1092">
        <v>2</v>
      </c>
      <c r="J190" s="1092">
        <v>1</v>
      </c>
      <c r="K190" s="1092">
        <v>0</v>
      </c>
      <c r="L190" s="1092">
        <v>0</v>
      </c>
      <c r="M190" s="1092">
        <v>0</v>
      </c>
      <c r="N190" s="27">
        <f>SUM(B190:M190)</f>
        <v>18</v>
      </c>
    </row>
    <row r="191" spans="1:14" ht="14" thickBot="1">
      <c r="A191" s="53" t="s">
        <v>60</v>
      </c>
      <c r="B191" s="55">
        <f>SUM(B189:B190)</f>
        <v>0</v>
      </c>
      <c r="C191" s="55">
        <f t="shared" ref="C191:M191" si="30">SUM(C189:C190)</f>
        <v>2</v>
      </c>
      <c r="D191" s="55">
        <f t="shared" si="30"/>
        <v>8</v>
      </c>
      <c r="E191" s="55">
        <f t="shared" si="30"/>
        <v>2</v>
      </c>
      <c r="F191" s="55">
        <f t="shared" si="30"/>
        <v>0</v>
      </c>
      <c r="G191" s="55">
        <f t="shared" si="30"/>
        <v>0</v>
      </c>
      <c r="H191" s="55">
        <f t="shared" si="30"/>
        <v>3</v>
      </c>
      <c r="I191" s="55">
        <f t="shared" si="30"/>
        <v>2</v>
      </c>
      <c r="J191" s="55">
        <f t="shared" si="30"/>
        <v>1</v>
      </c>
      <c r="K191" s="55">
        <f t="shared" si="30"/>
        <v>0</v>
      </c>
      <c r="L191" s="55">
        <f t="shared" si="30"/>
        <v>0</v>
      </c>
      <c r="M191" s="55">
        <f t="shared" si="30"/>
        <v>0</v>
      </c>
      <c r="N191" s="54">
        <f>SUM(N189)</f>
        <v>0</v>
      </c>
    </row>
    <row r="192" spans="1:14" ht="14" thickBot="1">
      <c r="A192" s="38" t="str">
        <f>Ontario!A192</f>
        <v>SoCal Water$mart Commercial Rebates</v>
      </c>
      <c r="B192" s="39"/>
      <c r="C192" s="39"/>
      <c r="D192" s="39"/>
      <c r="E192" s="39"/>
      <c r="F192" s="39"/>
      <c r="G192" s="39"/>
      <c r="H192" s="39"/>
      <c r="I192" s="39"/>
      <c r="J192" s="39"/>
      <c r="K192" s="39"/>
      <c r="L192" s="39"/>
      <c r="M192" s="39"/>
      <c r="N192" s="40"/>
    </row>
    <row r="193" spans="1:14">
      <c r="A193" s="32" t="str">
        <f>Ontario!A193</f>
        <v>High Efficiency Toilets (HET)</v>
      </c>
      <c r="B193" s="1092">
        <v>0</v>
      </c>
      <c r="C193" s="1092">
        <v>0</v>
      </c>
      <c r="D193" s="1092">
        <v>0</v>
      </c>
      <c r="E193" s="1092">
        <v>0</v>
      </c>
      <c r="F193" s="1092">
        <v>0</v>
      </c>
      <c r="G193" s="1092">
        <v>0</v>
      </c>
      <c r="H193" s="1092">
        <v>0</v>
      </c>
      <c r="I193" s="1092">
        <v>0</v>
      </c>
      <c r="J193" s="1092">
        <v>0</v>
      </c>
      <c r="K193" s="1092">
        <v>0</v>
      </c>
      <c r="L193" s="1092">
        <v>0</v>
      </c>
      <c r="M193" s="1092">
        <v>0</v>
      </c>
      <c r="N193" s="27">
        <f t="shared" ref="N193:N208" si="31">SUM(B193:M193)</f>
        <v>0</v>
      </c>
    </row>
    <row r="194" spans="1:14">
      <c r="A194" s="32" t="str">
        <f>Ontario!A194</f>
        <v>Waterless Urinals</v>
      </c>
      <c r="B194" s="1092">
        <v>0</v>
      </c>
      <c r="C194" s="1092">
        <v>0</v>
      </c>
      <c r="D194" s="1092">
        <v>0</v>
      </c>
      <c r="E194" s="1092">
        <v>0</v>
      </c>
      <c r="F194" s="1092">
        <v>0</v>
      </c>
      <c r="G194" s="1092">
        <v>0</v>
      </c>
      <c r="H194" s="1092">
        <v>0</v>
      </c>
      <c r="I194" s="1092">
        <v>0</v>
      </c>
      <c r="J194" s="1092">
        <v>0</v>
      </c>
      <c r="K194" s="1092">
        <v>0</v>
      </c>
      <c r="L194" s="1092">
        <v>0</v>
      </c>
      <c r="M194" s="1092">
        <v>0</v>
      </c>
      <c r="N194" s="27">
        <f t="shared" si="31"/>
        <v>0</v>
      </c>
    </row>
    <row r="195" spans="1:14">
      <c r="A195" s="32" t="s">
        <v>204</v>
      </c>
      <c r="B195" s="1092">
        <v>0</v>
      </c>
      <c r="C195" s="1092">
        <v>0</v>
      </c>
      <c r="D195" s="1092">
        <v>0</v>
      </c>
      <c r="E195" s="1092">
        <v>0</v>
      </c>
      <c r="F195" s="1092">
        <v>0</v>
      </c>
      <c r="G195" s="1092">
        <v>0</v>
      </c>
      <c r="H195" s="1092">
        <v>0</v>
      </c>
      <c r="I195" s="1092">
        <v>0</v>
      </c>
      <c r="J195" s="1092">
        <v>0</v>
      </c>
      <c r="K195" s="1092">
        <v>0</v>
      </c>
      <c r="L195" s="1092">
        <v>0</v>
      </c>
      <c r="M195" s="1092">
        <v>0</v>
      </c>
      <c r="N195" s="27">
        <f t="shared" si="31"/>
        <v>0</v>
      </c>
    </row>
    <row r="196" spans="1:14">
      <c r="A196" s="32" t="str">
        <f>Ontario!A196</f>
        <v>High Efficiency Clothes Washers</v>
      </c>
      <c r="B196" s="1092">
        <v>0</v>
      </c>
      <c r="C196" s="1092">
        <v>0</v>
      </c>
      <c r="D196" s="1092">
        <v>0</v>
      </c>
      <c r="E196" s="1092">
        <v>0</v>
      </c>
      <c r="F196" s="1092">
        <v>0</v>
      </c>
      <c r="G196" s="1092">
        <v>0</v>
      </c>
      <c r="H196" s="1092">
        <v>0</v>
      </c>
      <c r="I196" s="1092">
        <v>0</v>
      </c>
      <c r="J196" s="1092">
        <v>0</v>
      </c>
      <c r="K196" s="1092">
        <v>0</v>
      </c>
      <c r="L196" s="1092">
        <v>0</v>
      </c>
      <c r="M196" s="1092">
        <v>0</v>
      </c>
      <c r="N196" s="27">
        <f t="shared" si="31"/>
        <v>0</v>
      </c>
    </row>
    <row r="197" spans="1:14" hidden="1">
      <c r="A197" s="35" t="s">
        <v>47</v>
      </c>
      <c r="B197" s="1092">
        <v>0</v>
      </c>
      <c r="C197" s="1092">
        <v>0</v>
      </c>
      <c r="D197" s="1092">
        <v>0</v>
      </c>
      <c r="E197" s="1092">
        <v>0</v>
      </c>
      <c r="F197" s="1092">
        <v>0</v>
      </c>
      <c r="G197" s="1092">
        <v>0</v>
      </c>
      <c r="H197" s="1092">
        <v>0</v>
      </c>
      <c r="I197" s="1092">
        <v>0</v>
      </c>
      <c r="J197" s="1092">
        <v>0</v>
      </c>
      <c r="K197" s="1092">
        <v>0</v>
      </c>
      <c r="L197" s="1092">
        <v>0</v>
      </c>
      <c r="M197" s="1092">
        <v>0</v>
      </c>
      <c r="N197" s="27">
        <f t="shared" si="31"/>
        <v>0</v>
      </c>
    </row>
    <row r="198" spans="1:14">
      <c r="A198" s="32" t="str">
        <f>Ontario!A198</f>
        <v>Weather Based Irrigation Controllers (WBIC)</v>
      </c>
      <c r="B198" s="1092">
        <v>0</v>
      </c>
      <c r="C198" s="1092">
        <v>0</v>
      </c>
      <c r="D198" s="1092">
        <v>0</v>
      </c>
      <c r="E198" s="1092">
        <v>0</v>
      </c>
      <c r="F198" s="1092">
        <v>0</v>
      </c>
      <c r="G198" s="1092">
        <v>0</v>
      </c>
      <c r="H198" s="1092">
        <v>0</v>
      </c>
      <c r="I198" s="1092">
        <v>0</v>
      </c>
      <c r="J198" s="1092">
        <v>0</v>
      </c>
      <c r="K198" s="1092">
        <v>0</v>
      </c>
      <c r="L198" s="1092">
        <v>0</v>
      </c>
      <c r="M198" s="1092">
        <v>0</v>
      </c>
      <c r="N198" s="27">
        <f t="shared" si="31"/>
        <v>0</v>
      </c>
    </row>
    <row r="199" spans="1:14" hidden="1">
      <c r="A199" s="76" t="s">
        <v>150</v>
      </c>
      <c r="B199" s="1092">
        <v>0</v>
      </c>
      <c r="C199" s="1092">
        <v>0</v>
      </c>
      <c r="D199" s="1092">
        <v>0</v>
      </c>
      <c r="E199" s="1092">
        <v>0</v>
      </c>
      <c r="F199" s="1092">
        <v>0</v>
      </c>
      <c r="G199" s="1092">
        <v>0</v>
      </c>
      <c r="H199" s="1092">
        <v>0</v>
      </c>
      <c r="I199" s="1092">
        <v>0</v>
      </c>
      <c r="J199" s="1092">
        <v>0</v>
      </c>
      <c r="K199" s="1092">
        <v>0</v>
      </c>
      <c r="L199" s="1092">
        <v>0</v>
      </c>
      <c r="M199" s="1092">
        <v>0</v>
      </c>
      <c r="N199" s="27">
        <f t="shared" si="31"/>
        <v>0</v>
      </c>
    </row>
    <row r="200" spans="1:14">
      <c r="A200" s="32" t="str">
        <f>Ontario!A200</f>
        <v>Rotating Nozzles for Pop-up Spray Heads</v>
      </c>
      <c r="B200" s="1092">
        <v>0</v>
      </c>
      <c r="C200" s="1092">
        <v>0</v>
      </c>
      <c r="D200" s="1092">
        <v>0</v>
      </c>
      <c r="E200" s="1092">
        <v>0</v>
      </c>
      <c r="F200" s="1092">
        <v>0</v>
      </c>
      <c r="G200" s="1092">
        <v>0</v>
      </c>
      <c r="H200" s="1092">
        <v>0</v>
      </c>
      <c r="I200" s="1092">
        <v>0</v>
      </c>
      <c r="J200" s="1092">
        <v>0</v>
      </c>
      <c r="K200" s="1092">
        <v>0</v>
      </c>
      <c r="L200" s="1092">
        <v>0</v>
      </c>
      <c r="M200" s="1092">
        <v>0</v>
      </c>
      <c r="N200" s="27">
        <f t="shared" si="31"/>
        <v>0</v>
      </c>
    </row>
    <row r="201" spans="1:14">
      <c r="A201" s="32" t="str">
        <f>Ontario!A201</f>
        <v>Large Rotary Nozzles</v>
      </c>
      <c r="B201" s="1092">
        <v>0</v>
      </c>
      <c r="C201" s="1092">
        <v>0</v>
      </c>
      <c r="D201" s="1092">
        <v>0</v>
      </c>
      <c r="E201" s="1092">
        <v>0</v>
      </c>
      <c r="F201" s="1092">
        <v>0</v>
      </c>
      <c r="G201" s="1092">
        <v>0</v>
      </c>
      <c r="H201" s="1092">
        <v>0</v>
      </c>
      <c r="I201" s="1092">
        <v>0</v>
      </c>
      <c r="J201" s="1092">
        <v>0</v>
      </c>
      <c r="K201" s="1092">
        <v>0</v>
      </c>
      <c r="L201" s="1092">
        <v>0</v>
      </c>
      <c r="M201" s="1092">
        <v>0</v>
      </c>
      <c r="N201" s="27">
        <f t="shared" si="31"/>
        <v>0</v>
      </c>
    </row>
    <row r="202" spans="1:14" hidden="1">
      <c r="A202" s="32" t="s">
        <v>102</v>
      </c>
      <c r="B202" s="1092">
        <v>0</v>
      </c>
      <c r="C202" s="1092">
        <v>0</v>
      </c>
      <c r="D202" s="1092">
        <v>0</v>
      </c>
      <c r="E202" s="1092">
        <v>0</v>
      </c>
      <c r="F202" s="1092">
        <v>0</v>
      </c>
      <c r="G202" s="1092">
        <v>0</v>
      </c>
      <c r="H202" s="1092">
        <v>0</v>
      </c>
      <c r="I202" s="1092">
        <v>0</v>
      </c>
      <c r="J202" s="1092">
        <v>0</v>
      </c>
      <c r="K202" s="1092">
        <v>0</v>
      </c>
      <c r="L202" s="1092">
        <v>0</v>
      </c>
      <c r="M202" s="1092">
        <v>0</v>
      </c>
      <c r="N202" s="27">
        <f t="shared" si="31"/>
        <v>0</v>
      </c>
    </row>
    <row r="203" spans="1:14">
      <c r="A203" s="32" t="str">
        <f>Ontario!A203</f>
        <v xml:space="preserve">Central Computerized Irrigation Controller </v>
      </c>
      <c r="B203" s="1092">
        <v>0</v>
      </c>
      <c r="C203" s="1092">
        <v>0</v>
      </c>
      <c r="D203" s="1092">
        <v>0</v>
      </c>
      <c r="E203" s="1092">
        <v>0</v>
      </c>
      <c r="F203" s="1092">
        <v>0</v>
      </c>
      <c r="G203" s="1092">
        <v>0</v>
      </c>
      <c r="H203" s="1092">
        <v>0</v>
      </c>
      <c r="I203" s="1092">
        <v>0</v>
      </c>
      <c r="J203" s="1092">
        <v>0</v>
      </c>
      <c r="K203" s="1092">
        <v>0</v>
      </c>
      <c r="L203" s="1092">
        <v>0</v>
      </c>
      <c r="M203" s="1092">
        <v>0</v>
      </c>
      <c r="N203" s="27">
        <f>SUM(B203:M203)</f>
        <v>0</v>
      </c>
    </row>
    <row r="204" spans="1:14">
      <c r="A204" s="32" t="str">
        <f>Ontario!A204</f>
        <v>Laminar Flow Restrictor</v>
      </c>
      <c r="B204" s="1092">
        <v>0</v>
      </c>
      <c r="C204" s="1092">
        <v>0</v>
      </c>
      <c r="D204" s="1092">
        <v>0</v>
      </c>
      <c r="E204" s="1092">
        <v>0</v>
      </c>
      <c r="F204" s="1092">
        <v>0</v>
      </c>
      <c r="G204" s="1092">
        <v>0</v>
      </c>
      <c r="H204" s="1092">
        <v>0</v>
      </c>
      <c r="I204" s="1092">
        <v>0</v>
      </c>
      <c r="J204" s="1092">
        <v>0</v>
      </c>
      <c r="K204" s="1092">
        <v>0</v>
      </c>
      <c r="L204" s="1092">
        <v>0</v>
      </c>
      <c r="M204" s="1092">
        <v>0</v>
      </c>
      <c r="N204" s="27">
        <f>SUM(B204:M204)</f>
        <v>0</v>
      </c>
    </row>
    <row r="205" spans="1:14" ht="14" thickBot="1">
      <c r="A205" s="32" t="str">
        <f>Ontario!A205</f>
        <v>Air-Cooled Ice Machine</v>
      </c>
      <c r="B205" s="1092">
        <v>0</v>
      </c>
      <c r="C205" s="1092">
        <v>0</v>
      </c>
      <c r="D205" s="1092">
        <v>0</v>
      </c>
      <c r="E205" s="1092">
        <v>0</v>
      </c>
      <c r="F205" s="1092">
        <v>0</v>
      </c>
      <c r="G205" s="1092">
        <v>0</v>
      </c>
      <c r="H205" s="1092">
        <v>0</v>
      </c>
      <c r="I205" s="1092">
        <v>0</v>
      </c>
      <c r="J205" s="1092">
        <v>0</v>
      </c>
      <c r="K205" s="1092">
        <v>0</v>
      </c>
      <c r="L205" s="1092">
        <v>0</v>
      </c>
      <c r="M205" s="1092">
        <v>0</v>
      </c>
      <c r="N205" s="27">
        <f>SUM(B205:M205)</f>
        <v>0</v>
      </c>
    </row>
    <row r="206" spans="1:14" ht="14" thickBot="1">
      <c r="A206" s="38" t="str">
        <f>Ontario!A206</f>
        <v>IEUA Locally Implemented Commercial Programs</v>
      </c>
      <c r="B206" s="39"/>
      <c r="C206" s="39"/>
      <c r="D206" s="39"/>
      <c r="E206" s="39"/>
      <c r="F206" s="39"/>
      <c r="G206" s="39"/>
      <c r="H206" s="39"/>
      <c r="I206" s="39"/>
      <c r="J206" s="39"/>
      <c r="K206" s="39"/>
      <c r="L206" s="39"/>
      <c r="M206" s="39"/>
      <c r="N206" s="40"/>
    </row>
    <row r="207" spans="1:14">
      <c r="A207" s="32" t="str">
        <f>Ontario!A207</f>
        <v>Fontana Unified School Retrofit Program</v>
      </c>
      <c r="B207" s="1092">
        <v>0</v>
      </c>
      <c r="C207" s="1092">
        <v>0</v>
      </c>
      <c r="D207" s="1092">
        <v>0</v>
      </c>
      <c r="E207" s="1092">
        <v>0</v>
      </c>
      <c r="F207" s="1092">
        <v>0</v>
      </c>
      <c r="G207" s="1092">
        <v>0</v>
      </c>
      <c r="H207" s="1092">
        <v>0</v>
      </c>
      <c r="I207" s="1092">
        <v>0</v>
      </c>
      <c r="J207" s="1092">
        <v>0</v>
      </c>
      <c r="K207" s="1092">
        <v>0</v>
      </c>
      <c r="L207" s="1092">
        <v>0</v>
      </c>
      <c r="M207" s="1092">
        <v>0</v>
      </c>
      <c r="N207" s="27">
        <f t="shared" si="31"/>
        <v>0</v>
      </c>
    </row>
    <row r="208" spans="1:14" ht="14" thickBot="1">
      <c r="A208" s="32" t="str">
        <f>Ontario!A208</f>
        <v>FreeSprinklerNozzles.com Program</v>
      </c>
      <c r="B208" s="1092">
        <v>0</v>
      </c>
      <c r="C208" s="1092">
        <v>0</v>
      </c>
      <c r="D208" s="1092">
        <v>0</v>
      </c>
      <c r="E208" s="1092">
        <v>0</v>
      </c>
      <c r="F208" s="1092">
        <v>0</v>
      </c>
      <c r="G208" s="1092">
        <v>0</v>
      </c>
      <c r="H208" s="1092">
        <v>0</v>
      </c>
      <c r="I208" s="1092">
        <v>0</v>
      </c>
      <c r="J208" s="1092">
        <v>0</v>
      </c>
      <c r="K208" s="1092">
        <v>0</v>
      </c>
      <c r="L208" s="1092">
        <v>0</v>
      </c>
      <c r="M208" s="1092">
        <v>0</v>
      </c>
      <c r="N208" s="27">
        <f t="shared" si="31"/>
        <v>0</v>
      </c>
    </row>
    <row r="209" spans="1:14" ht="14" thickBot="1">
      <c r="A209" s="53" t="s">
        <v>60</v>
      </c>
      <c r="B209" s="55">
        <f>SUM(B193:B208)</f>
        <v>0</v>
      </c>
      <c r="C209" s="55">
        <f>SUM(C193:C208)</f>
        <v>0</v>
      </c>
      <c r="D209" s="55">
        <f t="shared" ref="D209:N209" si="32">SUM(D193:D208)</f>
        <v>0</v>
      </c>
      <c r="E209" s="55">
        <f t="shared" si="32"/>
        <v>0</v>
      </c>
      <c r="F209" s="55">
        <f t="shared" si="32"/>
        <v>0</v>
      </c>
      <c r="G209" s="55">
        <f t="shared" si="32"/>
        <v>0</v>
      </c>
      <c r="H209" s="55">
        <f t="shared" si="32"/>
        <v>0</v>
      </c>
      <c r="I209" s="55">
        <f t="shared" si="32"/>
        <v>0</v>
      </c>
      <c r="J209" s="55">
        <f t="shared" si="32"/>
        <v>0</v>
      </c>
      <c r="K209" s="55">
        <f t="shared" si="32"/>
        <v>0</v>
      </c>
      <c r="L209" s="55">
        <f t="shared" si="32"/>
        <v>0</v>
      </c>
      <c r="M209" s="55">
        <f t="shared" si="32"/>
        <v>0</v>
      </c>
      <c r="N209" s="54">
        <f t="shared" si="32"/>
        <v>0</v>
      </c>
    </row>
    <row r="212" spans="1:14" ht="14" thickBot="1">
      <c r="B212" s="43" t="s">
        <v>35</v>
      </c>
      <c r="C212" s="43" t="s">
        <v>36</v>
      </c>
      <c r="D212" s="43" t="s">
        <v>37</v>
      </c>
      <c r="E212" s="43" t="s">
        <v>38</v>
      </c>
      <c r="F212" s="43" t="s">
        <v>39</v>
      </c>
      <c r="G212" s="43" t="s">
        <v>40</v>
      </c>
      <c r="H212" s="43" t="s">
        <v>41</v>
      </c>
      <c r="I212" s="43" t="s">
        <v>42</v>
      </c>
      <c r="J212" s="43" t="s">
        <v>43</v>
      </c>
      <c r="K212" s="43" t="s">
        <v>44</v>
      </c>
      <c r="L212" s="43" t="s">
        <v>45</v>
      </c>
      <c r="M212" s="43" t="s">
        <v>46</v>
      </c>
      <c r="N212" s="43" t="s">
        <v>10</v>
      </c>
    </row>
    <row r="213" spans="1:14" ht="17" thickBot="1">
      <c r="A213" s="31" t="s">
        <v>210</v>
      </c>
      <c r="B213" s="24"/>
      <c r="C213" s="24"/>
      <c r="D213" s="22"/>
      <c r="E213" s="22"/>
      <c r="F213" s="25"/>
      <c r="G213" s="25"/>
      <c r="H213" s="22"/>
      <c r="I213" s="22"/>
      <c r="J213" s="22"/>
      <c r="K213" s="22"/>
      <c r="L213" s="24"/>
      <c r="M213" s="24"/>
      <c r="N213" s="26"/>
    </row>
    <row r="214" spans="1:14" ht="14" thickBot="1">
      <c r="A214" s="38" t="str">
        <f>Ontario!A214</f>
        <v>SoCal Water$mart Residential Rebates</v>
      </c>
      <c r="B214" s="39"/>
      <c r="C214" s="39"/>
      <c r="D214" s="39"/>
      <c r="E214" s="39"/>
      <c r="F214" s="39"/>
      <c r="G214" s="39"/>
      <c r="H214" s="39"/>
      <c r="I214" s="39"/>
      <c r="J214" s="39"/>
      <c r="K214" s="39"/>
      <c r="L214" s="39"/>
      <c r="M214" s="39"/>
      <c r="N214" s="40"/>
    </row>
    <row r="215" spans="1:14">
      <c r="A215" s="32" t="str">
        <f>Ontario!A215</f>
        <v>High Efficiency Toilets (HET)</v>
      </c>
      <c r="B215" s="1092">
        <v>0</v>
      </c>
      <c r="C215" s="1092">
        <v>0</v>
      </c>
      <c r="D215" s="1092">
        <v>0</v>
      </c>
      <c r="E215" s="1092">
        <v>0</v>
      </c>
      <c r="F215" s="1092">
        <v>0</v>
      </c>
      <c r="G215" s="1092">
        <v>0</v>
      </c>
      <c r="H215" s="1092">
        <v>0</v>
      </c>
      <c r="I215" s="1092">
        <v>0</v>
      </c>
      <c r="J215" s="1092">
        <v>0</v>
      </c>
      <c r="K215" s="1092">
        <v>1</v>
      </c>
      <c r="L215" s="1092">
        <v>0</v>
      </c>
      <c r="M215" s="1092">
        <v>0</v>
      </c>
      <c r="N215" s="27">
        <f>SUM(B215:M215)</f>
        <v>1</v>
      </c>
    </row>
    <row r="216" spans="1:14">
      <c r="A216" s="32" t="str">
        <f>Ontario!A216</f>
        <v>High Efficiency Clothes Washers (HECW)</v>
      </c>
      <c r="B216" s="1092">
        <v>2</v>
      </c>
      <c r="C216" s="1092">
        <v>0</v>
      </c>
      <c r="D216" s="1092">
        <v>0</v>
      </c>
      <c r="E216" s="1092">
        <v>0</v>
      </c>
      <c r="F216" s="1092">
        <v>0</v>
      </c>
      <c r="G216" s="1092">
        <v>0</v>
      </c>
      <c r="H216" s="1092">
        <v>1</v>
      </c>
      <c r="I216" s="1092">
        <v>3</v>
      </c>
      <c r="J216" s="1092">
        <v>1</v>
      </c>
      <c r="K216" s="1092">
        <v>2</v>
      </c>
      <c r="L216" s="1092">
        <v>4</v>
      </c>
      <c r="M216" s="1092">
        <v>0</v>
      </c>
      <c r="N216" s="27">
        <f>SUM(B216:M216)</f>
        <v>13</v>
      </c>
    </row>
    <row r="217" spans="1:14">
      <c r="A217" s="32" t="str">
        <f>Ontario!A217</f>
        <v>Rotating Nozzles for Pop-up Spray Heads</v>
      </c>
      <c r="B217" s="1092">
        <v>0</v>
      </c>
      <c r="C217" s="1092">
        <v>0</v>
      </c>
      <c r="D217" s="1092">
        <v>0</v>
      </c>
      <c r="E217" s="1092">
        <v>0</v>
      </c>
      <c r="F217" s="1092">
        <v>0</v>
      </c>
      <c r="G217" s="1092">
        <v>1</v>
      </c>
      <c r="H217" s="1092">
        <v>0</v>
      </c>
      <c r="I217" s="1092">
        <v>0</v>
      </c>
      <c r="J217" s="1092">
        <v>0</v>
      </c>
      <c r="K217" s="1092">
        <v>0</v>
      </c>
      <c r="L217" s="1092">
        <v>0</v>
      </c>
      <c r="M217" s="1092">
        <v>1</v>
      </c>
      <c r="N217" s="27">
        <f>SUM(B217:M217)</f>
        <v>2</v>
      </c>
    </row>
    <row r="218" spans="1:14">
      <c r="A218" s="32" t="str">
        <f>Ontario!A218</f>
        <v>Weather Based Irrigation Controllers (WBIC)</v>
      </c>
      <c r="B218" s="1092">
        <v>0</v>
      </c>
      <c r="C218" s="1092">
        <v>0</v>
      </c>
      <c r="D218" s="1092">
        <v>0</v>
      </c>
      <c r="E218" s="1092">
        <v>0</v>
      </c>
      <c r="F218" s="1092">
        <v>0</v>
      </c>
      <c r="G218" s="1092">
        <v>1</v>
      </c>
      <c r="H218" s="1092">
        <v>0</v>
      </c>
      <c r="I218" s="1092">
        <v>0</v>
      </c>
      <c r="J218" s="1092">
        <v>0</v>
      </c>
      <c r="K218" s="1092">
        <v>0</v>
      </c>
      <c r="L218" s="1092">
        <v>0</v>
      </c>
      <c r="M218" s="1092">
        <v>0</v>
      </c>
      <c r="N218" s="27">
        <f>SUM(B218:M218)</f>
        <v>1</v>
      </c>
    </row>
    <row r="219" spans="1:14" ht="14" hidden="1" thickBot="1">
      <c r="A219" s="76" t="s">
        <v>182</v>
      </c>
      <c r="B219" s="1092"/>
      <c r="C219" s="1092"/>
      <c r="D219" s="1092"/>
      <c r="E219" s="1092"/>
      <c r="F219" s="1092"/>
      <c r="G219" s="1092"/>
      <c r="H219" s="1092"/>
      <c r="I219" s="1092"/>
      <c r="J219" s="1092"/>
      <c r="K219" s="1092"/>
      <c r="L219" s="1092"/>
      <c r="M219" s="1092"/>
      <c r="N219" s="27">
        <f>SUM(B219:M219)</f>
        <v>0</v>
      </c>
    </row>
    <row r="220" spans="1:14" ht="14" thickBot="1">
      <c r="A220" s="76" t="s">
        <v>212</v>
      </c>
      <c r="B220" s="1092">
        <v>0</v>
      </c>
      <c r="C220" s="1092">
        <v>0</v>
      </c>
      <c r="D220" s="1092">
        <v>0</v>
      </c>
      <c r="E220" s="1092">
        <v>0</v>
      </c>
      <c r="F220" s="1092">
        <v>0</v>
      </c>
      <c r="G220" s="1092">
        <v>0</v>
      </c>
      <c r="H220" s="1092">
        <v>0</v>
      </c>
      <c r="I220" s="1092">
        <v>0</v>
      </c>
      <c r="J220" s="1092">
        <v>0</v>
      </c>
      <c r="K220" s="1092">
        <v>0</v>
      </c>
      <c r="L220" s="1092">
        <v>4</v>
      </c>
      <c r="M220" s="1092">
        <v>1</v>
      </c>
      <c r="N220" s="27">
        <f>M220+L220+K220+J220+I220+H220+G220+F220+E220+D220+C220+B220</f>
        <v>5</v>
      </c>
    </row>
    <row r="221" spans="1:14" ht="14" thickBot="1">
      <c r="A221" s="38" t="str">
        <f>Ontario!A221</f>
        <v>IEUA Locally Implemented Residential Programs</v>
      </c>
      <c r="B221" s="39"/>
      <c r="C221" s="39"/>
      <c r="D221" s="39"/>
      <c r="E221" s="39"/>
      <c r="F221" s="39"/>
      <c r="G221" s="39"/>
      <c r="H221" s="39"/>
      <c r="I221" s="39"/>
      <c r="J221" s="39"/>
      <c r="K221" s="39"/>
      <c r="L221" s="39"/>
      <c r="M221" s="39"/>
      <c r="N221" s="40"/>
    </row>
    <row r="222" spans="1:14">
      <c r="A222" s="32" t="str">
        <f>Ontario!A222</f>
        <v>FreeSprinklerNozzles.com Program</v>
      </c>
      <c r="B222" s="1092">
        <v>0</v>
      </c>
      <c r="C222" s="1092">
        <v>0</v>
      </c>
      <c r="D222" s="1092">
        <v>0</v>
      </c>
      <c r="E222" s="1092">
        <v>0</v>
      </c>
      <c r="F222" s="1092">
        <v>0</v>
      </c>
      <c r="G222" s="1092">
        <v>0</v>
      </c>
      <c r="H222" s="1092">
        <v>0</v>
      </c>
      <c r="I222" s="1092">
        <v>0</v>
      </c>
      <c r="J222" s="1092">
        <v>0</v>
      </c>
      <c r="K222" s="1092">
        <v>0</v>
      </c>
      <c r="L222" s="1092">
        <v>0</v>
      </c>
      <c r="M222" s="1092">
        <v>0</v>
      </c>
      <c r="N222" s="27">
        <f>SUM(B222:M222)</f>
        <v>0</v>
      </c>
    </row>
    <row r="223" spans="1:14">
      <c r="A223" s="32" t="str">
        <f>Ontario!A223</f>
        <v>Residential Landscape Retrofit Program</v>
      </c>
      <c r="B223" s="1092">
        <v>0</v>
      </c>
      <c r="C223" s="1092">
        <v>0</v>
      </c>
      <c r="D223" s="1092">
        <v>0</v>
      </c>
      <c r="E223" s="1092">
        <v>0</v>
      </c>
      <c r="F223" s="1092">
        <v>0</v>
      </c>
      <c r="G223" s="1092">
        <v>0</v>
      </c>
      <c r="H223" s="1092">
        <v>4</v>
      </c>
      <c r="I223" s="1092">
        <v>0</v>
      </c>
      <c r="J223" s="1092">
        <v>0</v>
      </c>
      <c r="K223" s="1092">
        <v>0</v>
      </c>
      <c r="L223" s="1092">
        <v>0</v>
      </c>
      <c r="M223" s="1092">
        <v>0</v>
      </c>
      <c r="N223" s="27">
        <f>SUM(B223:M223)</f>
        <v>4</v>
      </c>
    </row>
    <row r="224" spans="1:14" ht="14" thickBot="1">
      <c r="A224" s="32" t="str">
        <f>Ontario!A224</f>
        <v>Landscape Transformation Program</v>
      </c>
      <c r="B224" s="1092">
        <v>0</v>
      </c>
      <c r="C224" s="1092">
        <v>0</v>
      </c>
      <c r="D224" s="1092">
        <v>0</v>
      </c>
      <c r="E224" s="1092">
        <v>0</v>
      </c>
      <c r="F224" s="1092">
        <v>0</v>
      </c>
      <c r="G224" s="1092">
        <v>0</v>
      </c>
      <c r="H224" s="1092">
        <v>0</v>
      </c>
      <c r="I224" s="1092">
        <v>0</v>
      </c>
      <c r="J224" s="1092">
        <v>0</v>
      </c>
      <c r="K224" s="1092">
        <v>0</v>
      </c>
      <c r="L224" s="1092">
        <v>0</v>
      </c>
      <c r="M224" s="1092">
        <v>0</v>
      </c>
      <c r="N224" s="27">
        <f>SUM(B224:M224)</f>
        <v>0</v>
      </c>
    </row>
    <row r="225" spans="1:14" ht="14" thickBot="1">
      <c r="A225" s="53" t="s">
        <v>60</v>
      </c>
      <c r="B225" s="55">
        <f>SUM(B215:B224)</f>
        <v>2</v>
      </c>
      <c r="C225" s="55">
        <f t="shared" ref="C225:M225" si="33">SUM(C215:C224)</f>
        <v>0</v>
      </c>
      <c r="D225" s="55">
        <f t="shared" si="33"/>
        <v>0</v>
      </c>
      <c r="E225" s="55">
        <f t="shared" si="33"/>
        <v>0</v>
      </c>
      <c r="F225" s="55">
        <f t="shared" si="33"/>
        <v>0</v>
      </c>
      <c r="G225" s="55">
        <f t="shared" si="33"/>
        <v>2</v>
      </c>
      <c r="H225" s="55">
        <f t="shared" si="33"/>
        <v>5</v>
      </c>
      <c r="I225" s="55">
        <f t="shared" si="33"/>
        <v>3</v>
      </c>
      <c r="J225" s="55">
        <f t="shared" si="33"/>
        <v>1</v>
      </c>
      <c r="K225" s="55">
        <f t="shared" si="33"/>
        <v>3</v>
      </c>
      <c r="L225" s="55">
        <f t="shared" si="33"/>
        <v>8</v>
      </c>
      <c r="M225" s="55">
        <f t="shared" si="33"/>
        <v>2</v>
      </c>
      <c r="N225" s="54">
        <f>SUM(N215:N223)</f>
        <v>26</v>
      </c>
    </row>
    <row r="226" spans="1:14" ht="14" hidden="1" thickBot="1">
      <c r="A226" s="38" t="str">
        <f>Ontario!A226</f>
        <v xml:space="preserve">IEUA High Efficiency Toilet (HET) Installation Prog. </v>
      </c>
      <c r="B226" s="39"/>
      <c r="C226" s="39"/>
      <c r="D226" s="39"/>
      <c r="E226" s="39"/>
      <c r="F226" s="39"/>
      <c r="G226" s="39"/>
      <c r="H226" s="39"/>
      <c r="I226" s="39"/>
      <c r="J226" s="39"/>
      <c r="K226" s="39"/>
      <c r="L226" s="39"/>
      <c r="M226" s="39"/>
      <c r="N226" s="40"/>
    </row>
    <row r="227" spans="1:14" hidden="1">
      <c r="A227" s="32" t="str">
        <f>Ontario!A227</f>
        <v>IEUA Multi-Family Direct Install Prog. (HET/ULFT)</v>
      </c>
      <c r="B227" s="168"/>
      <c r="C227" s="168"/>
      <c r="D227" s="168"/>
      <c r="E227" s="168"/>
      <c r="F227" s="168"/>
      <c r="G227" s="168"/>
      <c r="H227" s="168"/>
      <c r="I227" s="168"/>
      <c r="J227" s="168"/>
      <c r="K227" s="168"/>
      <c r="L227" s="168"/>
      <c r="M227" s="168"/>
      <c r="N227" s="27">
        <f>SUM(B227:M227)</f>
        <v>0</v>
      </c>
    </row>
    <row r="228" spans="1:14" ht="14" hidden="1" thickBot="1">
      <c r="A228" s="32" t="str">
        <f>Ontario!A228</f>
        <v>IEUA Single-Family Direct Install Prog. (HET/ULFT)</v>
      </c>
      <c r="B228" s="168"/>
      <c r="C228" s="168"/>
      <c r="D228" s="168"/>
      <c r="E228" s="168"/>
      <c r="F228" s="168"/>
      <c r="G228" s="168"/>
      <c r="H228" s="168"/>
      <c r="I228" s="168"/>
      <c r="J228" s="168"/>
      <c r="K228" s="168"/>
      <c r="L228" s="168"/>
      <c r="M228" s="168"/>
      <c r="N228" s="27">
        <f>SUM(B228:M228)</f>
        <v>0</v>
      </c>
    </row>
    <row r="229" spans="1:14" ht="14" hidden="1" thickBot="1">
      <c r="A229" s="53" t="s">
        <v>60</v>
      </c>
      <c r="B229" s="55">
        <f>SUM(B227:B228)</f>
        <v>0</v>
      </c>
      <c r="C229" s="55">
        <f t="shared" ref="C229:M229" si="34">SUM(C227:C228)</f>
        <v>0</v>
      </c>
      <c r="D229" s="55">
        <f t="shared" si="34"/>
        <v>0</v>
      </c>
      <c r="E229" s="55">
        <f t="shared" si="34"/>
        <v>0</v>
      </c>
      <c r="F229" s="55">
        <f t="shared" si="34"/>
        <v>0</v>
      </c>
      <c r="G229" s="55">
        <f t="shared" si="34"/>
        <v>0</v>
      </c>
      <c r="H229" s="55">
        <f t="shared" si="34"/>
        <v>0</v>
      </c>
      <c r="I229" s="55">
        <f t="shared" si="34"/>
        <v>0</v>
      </c>
      <c r="J229" s="55">
        <f t="shared" si="34"/>
        <v>0</v>
      </c>
      <c r="K229" s="55">
        <f t="shared" si="34"/>
        <v>0</v>
      </c>
      <c r="L229" s="55">
        <f t="shared" si="34"/>
        <v>0</v>
      </c>
      <c r="M229" s="55">
        <f t="shared" si="34"/>
        <v>0</v>
      </c>
      <c r="N229" s="54">
        <f>SUM(N227)</f>
        <v>0</v>
      </c>
    </row>
    <row r="230" spans="1:14" ht="14" thickBot="1">
      <c r="A230" s="38" t="str">
        <f>Ontario!A230</f>
        <v>SoCal Water$mart Commercial Rebates</v>
      </c>
      <c r="B230" s="39"/>
      <c r="C230" s="39"/>
      <c r="D230" s="39"/>
      <c r="E230" s="39"/>
      <c r="F230" s="39"/>
      <c r="G230" s="39"/>
      <c r="H230" s="39"/>
      <c r="I230" s="39"/>
      <c r="J230" s="39"/>
      <c r="K230" s="39"/>
      <c r="L230" s="39"/>
      <c r="M230" s="39"/>
      <c r="N230" s="40"/>
    </row>
    <row r="231" spans="1:14">
      <c r="A231" s="32" t="str">
        <f>Ontario!A231</f>
        <v>High Efficiency Toilets (HET)</v>
      </c>
      <c r="B231" s="1092">
        <v>0</v>
      </c>
      <c r="C231" s="1092">
        <v>0</v>
      </c>
      <c r="D231" s="1092">
        <v>0</v>
      </c>
      <c r="E231" s="1092">
        <v>0</v>
      </c>
      <c r="F231" s="1092">
        <v>0</v>
      </c>
      <c r="G231" s="1092">
        <v>0</v>
      </c>
      <c r="H231" s="1092">
        <v>0</v>
      </c>
      <c r="I231" s="1092">
        <v>0</v>
      </c>
      <c r="J231" s="1092">
        <v>0</v>
      </c>
      <c r="K231" s="1092">
        <v>0</v>
      </c>
      <c r="L231" s="1092">
        <v>0</v>
      </c>
      <c r="M231" s="1092">
        <v>0</v>
      </c>
      <c r="N231" s="27">
        <f t="shared" ref="N231:N240" si="35">SUM(B231:M231)</f>
        <v>0</v>
      </c>
    </row>
    <row r="232" spans="1:14">
      <c r="A232" s="32" t="str">
        <f>Ontario!A232</f>
        <v>Waterless Urinals</v>
      </c>
      <c r="B232" s="1092">
        <v>0</v>
      </c>
      <c r="C232" s="1092">
        <v>0</v>
      </c>
      <c r="D232" s="1092">
        <v>0</v>
      </c>
      <c r="E232" s="1092">
        <v>0</v>
      </c>
      <c r="F232" s="1092">
        <v>0</v>
      </c>
      <c r="G232" s="1092">
        <v>0</v>
      </c>
      <c r="H232" s="1092">
        <v>0</v>
      </c>
      <c r="I232" s="1092">
        <v>0</v>
      </c>
      <c r="J232" s="1092">
        <v>0</v>
      </c>
      <c r="K232" s="1092">
        <v>0</v>
      </c>
      <c r="L232" s="1092">
        <v>0</v>
      </c>
      <c r="M232" s="1092">
        <v>0</v>
      </c>
      <c r="N232" s="27">
        <f t="shared" si="35"/>
        <v>0</v>
      </c>
    </row>
    <row r="233" spans="1:14">
      <c r="A233" s="32" t="s">
        <v>204</v>
      </c>
      <c r="B233" s="1092">
        <v>0</v>
      </c>
      <c r="C233" s="1092">
        <v>0</v>
      </c>
      <c r="D233" s="1092">
        <v>0</v>
      </c>
      <c r="E233" s="1092">
        <v>0</v>
      </c>
      <c r="F233" s="1092">
        <v>0</v>
      </c>
      <c r="G233" s="1092">
        <v>0</v>
      </c>
      <c r="H233" s="1092">
        <v>0</v>
      </c>
      <c r="I233" s="1092">
        <v>0</v>
      </c>
      <c r="J233" s="1092">
        <v>0</v>
      </c>
      <c r="K233" s="1092">
        <v>0</v>
      </c>
      <c r="L233" s="1092">
        <v>0</v>
      </c>
      <c r="M233" s="1092">
        <v>0</v>
      </c>
      <c r="N233" s="27">
        <f t="shared" si="35"/>
        <v>0</v>
      </c>
    </row>
    <row r="234" spans="1:14" hidden="1">
      <c r="A234" s="32" t="str">
        <f>Ontario!A234</f>
        <v>High Efficiency Clothes Washers</v>
      </c>
      <c r="B234" s="1092"/>
      <c r="C234" s="1092"/>
      <c r="D234" s="1092">
        <v>0</v>
      </c>
      <c r="E234" s="1092">
        <v>0</v>
      </c>
      <c r="F234" s="1092">
        <v>0</v>
      </c>
      <c r="G234" s="1092">
        <v>0</v>
      </c>
      <c r="H234" s="1092">
        <v>0</v>
      </c>
      <c r="I234" s="1092">
        <v>0</v>
      </c>
      <c r="J234" s="1092">
        <v>0</v>
      </c>
      <c r="K234" s="1092">
        <v>0</v>
      </c>
      <c r="L234" s="1092">
        <v>0</v>
      </c>
      <c r="M234" s="1092">
        <v>0</v>
      </c>
      <c r="N234" s="27">
        <f t="shared" si="35"/>
        <v>0</v>
      </c>
    </row>
    <row r="235" spans="1:14" hidden="1">
      <c r="A235" s="35" t="s">
        <v>47</v>
      </c>
      <c r="B235" s="1092"/>
      <c r="C235" s="1092"/>
      <c r="D235" s="1092">
        <v>0</v>
      </c>
      <c r="E235" s="1092">
        <v>0</v>
      </c>
      <c r="F235" s="1092">
        <v>0</v>
      </c>
      <c r="G235" s="1092">
        <v>0</v>
      </c>
      <c r="H235" s="1092">
        <v>0</v>
      </c>
      <c r="I235" s="1092">
        <v>0</v>
      </c>
      <c r="J235" s="1092">
        <v>0</v>
      </c>
      <c r="K235" s="1092">
        <v>0</v>
      </c>
      <c r="L235" s="1092">
        <v>0</v>
      </c>
      <c r="M235" s="1092">
        <v>0</v>
      </c>
      <c r="N235" s="27">
        <f t="shared" si="35"/>
        <v>0</v>
      </c>
    </row>
    <row r="236" spans="1:14">
      <c r="A236" s="32" t="str">
        <f>Ontario!A236</f>
        <v>Weather Based Irrigation Controllers (WBIC)</v>
      </c>
      <c r="B236" s="1092">
        <v>0</v>
      </c>
      <c r="C236" s="1092">
        <v>0</v>
      </c>
      <c r="D236" s="1092">
        <v>0</v>
      </c>
      <c r="E236" s="1092">
        <v>0</v>
      </c>
      <c r="F236" s="1092">
        <v>0</v>
      </c>
      <c r="G236" s="1092">
        <v>0</v>
      </c>
      <c r="H236" s="1092">
        <v>0</v>
      </c>
      <c r="I236" s="1092">
        <v>0</v>
      </c>
      <c r="J236" s="1092">
        <v>0</v>
      </c>
      <c r="K236" s="1092">
        <v>0</v>
      </c>
      <c r="L236" s="1092">
        <v>0</v>
      </c>
      <c r="M236" s="1092">
        <v>0</v>
      </c>
      <c r="N236" s="27">
        <f t="shared" si="35"/>
        <v>0</v>
      </c>
    </row>
    <row r="237" spans="1:14" hidden="1">
      <c r="A237" s="76" t="s">
        <v>150</v>
      </c>
      <c r="B237" s="1092"/>
      <c r="C237" s="1092"/>
      <c r="D237" s="1092">
        <v>0</v>
      </c>
      <c r="E237" s="1092">
        <v>0</v>
      </c>
      <c r="F237" s="1092">
        <v>0</v>
      </c>
      <c r="G237" s="1092">
        <v>0</v>
      </c>
      <c r="H237" s="1092">
        <v>0</v>
      </c>
      <c r="I237" s="1092">
        <v>0</v>
      </c>
      <c r="J237" s="1092">
        <v>0</v>
      </c>
      <c r="K237" s="1092">
        <v>0</v>
      </c>
      <c r="L237" s="1092">
        <v>0</v>
      </c>
      <c r="M237" s="1092">
        <v>0</v>
      </c>
      <c r="N237" s="27">
        <f t="shared" si="35"/>
        <v>0</v>
      </c>
    </row>
    <row r="238" spans="1:14">
      <c r="A238" s="32" t="str">
        <f>Ontario!A238</f>
        <v>Rotating Nozzles for Pop-up Spray Heads</v>
      </c>
      <c r="B238" s="1092">
        <v>0</v>
      </c>
      <c r="C238" s="1092">
        <v>0</v>
      </c>
      <c r="D238" s="1092">
        <v>0</v>
      </c>
      <c r="E238" s="1092">
        <v>0</v>
      </c>
      <c r="F238" s="1092">
        <v>0</v>
      </c>
      <c r="G238" s="1092">
        <v>0</v>
      </c>
      <c r="H238" s="1092">
        <v>0</v>
      </c>
      <c r="I238" s="1092">
        <v>0</v>
      </c>
      <c r="J238" s="1092">
        <v>0</v>
      </c>
      <c r="K238" s="1092">
        <v>0</v>
      </c>
      <c r="L238" s="1092">
        <v>0</v>
      </c>
      <c r="M238" s="1092">
        <v>0</v>
      </c>
      <c r="N238" s="27">
        <f t="shared" si="35"/>
        <v>0</v>
      </c>
    </row>
    <row r="239" spans="1:14">
      <c r="A239" s="32" t="str">
        <f>Ontario!A239</f>
        <v>Large Rotary Nozzles</v>
      </c>
      <c r="B239" s="1092">
        <v>0</v>
      </c>
      <c r="C239" s="1092">
        <v>0</v>
      </c>
      <c r="D239" s="1092">
        <v>0</v>
      </c>
      <c r="E239" s="1092">
        <v>0</v>
      </c>
      <c r="F239" s="1092">
        <v>0</v>
      </c>
      <c r="G239" s="1092">
        <v>0</v>
      </c>
      <c r="H239" s="1092">
        <v>0</v>
      </c>
      <c r="I239" s="1092">
        <v>0</v>
      </c>
      <c r="J239" s="1092">
        <v>0</v>
      </c>
      <c r="K239" s="1092">
        <v>0</v>
      </c>
      <c r="L239" s="1092">
        <v>0</v>
      </c>
      <c r="M239" s="1092">
        <v>0</v>
      </c>
      <c r="N239" s="27">
        <f t="shared" si="35"/>
        <v>0</v>
      </c>
    </row>
    <row r="240" spans="1:14" hidden="1">
      <c r="A240" s="32" t="s">
        <v>102</v>
      </c>
      <c r="B240" s="1092"/>
      <c r="C240" s="1092"/>
      <c r="D240" s="1092">
        <v>0</v>
      </c>
      <c r="E240" s="1092">
        <v>0</v>
      </c>
      <c r="F240" s="1092">
        <v>0</v>
      </c>
      <c r="G240" s="1092">
        <v>0</v>
      </c>
      <c r="H240" s="1092">
        <v>0</v>
      </c>
      <c r="I240" s="1092">
        <v>0</v>
      </c>
      <c r="J240" s="1092">
        <v>0</v>
      </c>
      <c r="K240" s="1092">
        <v>0</v>
      </c>
      <c r="L240" s="1092">
        <v>0</v>
      </c>
      <c r="M240" s="1092">
        <v>0</v>
      </c>
      <c r="N240" s="27">
        <f t="shared" si="35"/>
        <v>0</v>
      </c>
    </row>
    <row r="241" spans="1:14">
      <c r="A241" s="32" t="str">
        <f>Ontario!A241</f>
        <v xml:space="preserve">Central Computerized Irrigation Controller </v>
      </c>
      <c r="B241" s="1092">
        <v>0</v>
      </c>
      <c r="C241" s="1092">
        <v>0</v>
      </c>
      <c r="D241" s="1092">
        <v>0</v>
      </c>
      <c r="E241" s="1092">
        <v>0</v>
      </c>
      <c r="F241" s="1092">
        <v>0</v>
      </c>
      <c r="G241" s="1092">
        <v>0</v>
      </c>
      <c r="H241" s="1092">
        <v>0</v>
      </c>
      <c r="I241" s="1092">
        <v>0</v>
      </c>
      <c r="J241" s="1092">
        <v>0</v>
      </c>
      <c r="K241" s="1092">
        <v>0</v>
      </c>
      <c r="L241" s="1092">
        <v>0</v>
      </c>
      <c r="M241" s="1092">
        <v>0</v>
      </c>
      <c r="N241" s="27">
        <f>SUM(B241:M241)</f>
        <v>0</v>
      </c>
    </row>
    <row r="242" spans="1:14">
      <c r="A242" s="32" t="str">
        <f>Ontario!A242</f>
        <v>Laminar Flow Restrictor</v>
      </c>
      <c r="B242" s="1092">
        <v>0</v>
      </c>
      <c r="C242" s="1092">
        <v>0</v>
      </c>
      <c r="D242" s="1092">
        <v>0</v>
      </c>
      <c r="E242" s="1092">
        <v>0</v>
      </c>
      <c r="F242" s="1092">
        <v>0</v>
      </c>
      <c r="G242" s="1092">
        <v>0</v>
      </c>
      <c r="H242" s="1092">
        <v>0</v>
      </c>
      <c r="I242" s="1092">
        <v>0</v>
      </c>
      <c r="J242" s="1092">
        <v>0</v>
      </c>
      <c r="K242" s="1092">
        <v>0</v>
      </c>
      <c r="L242" s="1092">
        <v>0</v>
      </c>
      <c r="M242" s="1092">
        <v>0</v>
      </c>
      <c r="N242" s="27">
        <f>SUM(B242:M242)</f>
        <v>0</v>
      </c>
    </row>
    <row r="243" spans="1:14">
      <c r="A243" s="32" t="str">
        <f>Ontario!A243</f>
        <v>Air-Cooled Ice Machine</v>
      </c>
      <c r="B243" s="1092">
        <v>0</v>
      </c>
      <c r="C243" s="1092">
        <v>0</v>
      </c>
      <c r="D243" s="1092">
        <v>0</v>
      </c>
      <c r="E243" s="1092">
        <v>0</v>
      </c>
      <c r="F243" s="1092">
        <v>0</v>
      </c>
      <c r="G243" s="1092">
        <v>0</v>
      </c>
      <c r="H243" s="1092">
        <v>0</v>
      </c>
      <c r="I243" s="1092">
        <v>0</v>
      </c>
      <c r="J243" s="1092">
        <v>0</v>
      </c>
      <c r="K243" s="1092">
        <v>0</v>
      </c>
      <c r="L243" s="1092">
        <v>0</v>
      </c>
      <c r="M243" s="1092">
        <v>0</v>
      </c>
      <c r="N243" s="27">
        <f>SUM(B243:M243)</f>
        <v>0</v>
      </c>
    </row>
    <row r="244" spans="1:14" ht="14" thickBot="1">
      <c r="A244" s="32" t="s">
        <v>213</v>
      </c>
      <c r="B244" s="1092">
        <v>0</v>
      </c>
      <c r="C244" s="1092">
        <v>0</v>
      </c>
      <c r="D244" s="1092">
        <v>0</v>
      </c>
      <c r="E244" s="1092">
        <v>0</v>
      </c>
      <c r="F244" s="1092">
        <v>0</v>
      </c>
      <c r="G244" s="1092">
        <v>0</v>
      </c>
      <c r="H244" s="1092">
        <v>0</v>
      </c>
      <c r="I244" s="1092">
        <v>0</v>
      </c>
      <c r="J244" s="1092">
        <v>0</v>
      </c>
      <c r="K244" s="1092">
        <v>0</v>
      </c>
      <c r="L244" s="1092">
        <v>0</v>
      </c>
      <c r="M244" s="1092">
        <v>0</v>
      </c>
      <c r="N244" s="27">
        <f>SUM(B244:M244)</f>
        <v>0</v>
      </c>
    </row>
    <row r="245" spans="1:14" ht="14" thickBot="1">
      <c r="A245" s="38" t="str">
        <f>Ontario!A245</f>
        <v>IEUA Locally Implemented Commercial Programs</v>
      </c>
      <c r="B245" s="39"/>
      <c r="C245" s="39"/>
      <c r="D245" s="39"/>
      <c r="E245" s="39"/>
      <c r="F245" s="39"/>
      <c r="G245" s="39"/>
      <c r="H245" s="39"/>
      <c r="I245" s="39"/>
      <c r="J245" s="39"/>
      <c r="K245" s="39"/>
      <c r="L245" s="39"/>
      <c r="M245" s="39"/>
      <c r="N245" s="40"/>
    </row>
    <row r="246" spans="1:14" hidden="1">
      <c r="A246" s="32" t="str">
        <f>Ontario!A246</f>
        <v>Fontana Unified School Retrofit Program</v>
      </c>
      <c r="B246" s="168"/>
      <c r="C246" s="168"/>
      <c r="D246" s="168"/>
      <c r="E246" s="168"/>
      <c r="F246" s="168"/>
      <c r="G246" s="168"/>
      <c r="H246" s="168"/>
      <c r="I246" s="168"/>
      <c r="J246" s="168"/>
      <c r="K246" s="168"/>
      <c r="L246" s="168"/>
      <c r="M246" s="168"/>
      <c r="N246" s="27">
        <f>SUM(B246:M246)</f>
        <v>0</v>
      </c>
    </row>
    <row r="247" spans="1:14" ht="14" thickBot="1">
      <c r="A247" s="32" t="str">
        <f>Ontario!A247</f>
        <v>FreeSprinklerNozzles.com Program</v>
      </c>
      <c r="B247" s="1092">
        <v>0</v>
      </c>
      <c r="C247" s="1092">
        <v>0</v>
      </c>
      <c r="D247" s="1092">
        <v>0</v>
      </c>
      <c r="E247" s="1092">
        <v>0</v>
      </c>
      <c r="F247" s="1092">
        <v>0</v>
      </c>
      <c r="G247" s="1092">
        <v>0</v>
      </c>
      <c r="H247" s="1092">
        <v>0</v>
      </c>
      <c r="I247" s="1092">
        <v>0</v>
      </c>
      <c r="J247" s="1092">
        <v>0</v>
      </c>
      <c r="K247" s="1092">
        <v>0</v>
      </c>
      <c r="L247" s="1092">
        <v>0</v>
      </c>
      <c r="M247" s="1092">
        <v>0</v>
      </c>
      <c r="N247" s="27">
        <f>SUM(B247:M247)</f>
        <v>0</v>
      </c>
    </row>
    <row r="248" spans="1:14" ht="14" thickBot="1">
      <c r="A248" s="53" t="s">
        <v>60</v>
      </c>
      <c r="B248" s="55">
        <f>SUM(B231:B247)</f>
        <v>0</v>
      </c>
      <c r="C248" s="55">
        <f>SUM(C231:C247)</f>
        <v>0</v>
      </c>
      <c r="D248" s="55">
        <f t="shared" ref="D248:N248" si="36">SUM(D231:D247)</f>
        <v>0</v>
      </c>
      <c r="E248" s="55">
        <f t="shared" si="36"/>
        <v>0</v>
      </c>
      <c r="F248" s="55">
        <f t="shared" si="36"/>
        <v>0</v>
      </c>
      <c r="G248" s="55">
        <f t="shared" si="36"/>
        <v>0</v>
      </c>
      <c r="H248" s="55">
        <f t="shared" si="36"/>
        <v>0</v>
      </c>
      <c r="I248" s="55">
        <f t="shared" si="36"/>
        <v>0</v>
      </c>
      <c r="J248" s="55">
        <f t="shared" si="36"/>
        <v>0</v>
      </c>
      <c r="K248" s="55">
        <f t="shared" si="36"/>
        <v>0</v>
      </c>
      <c r="L248" s="55">
        <f t="shared" si="36"/>
        <v>0</v>
      </c>
      <c r="M248" s="55">
        <f t="shared" si="36"/>
        <v>0</v>
      </c>
      <c r="N248" s="54">
        <f t="shared" si="36"/>
        <v>0</v>
      </c>
    </row>
    <row r="250" spans="1:14" ht="14" thickBot="1">
      <c r="B250" s="43" t="s">
        <v>35</v>
      </c>
      <c r="C250" s="43" t="s">
        <v>36</v>
      </c>
      <c r="D250" s="43" t="s">
        <v>37</v>
      </c>
      <c r="E250" s="43" t="s">
        <v>38</v>
      </c>
      <c r="F250" s="43" t="s">
        <v>39</v>
      </c>
      <c r="G250" s="43" t="s">
        <v>40</v>
      </c>
      <c r="H250" s="43" t="s">
        <v>41</v>
      </c>
      <c r="I250" s="43" t="s">
        <v>42</v>
      </c>
      <c r="J250" s="43" t="s">
        <v>43</v>
      </c>
      <c r="K250" s="43" t="s">
        <v>44</v>
      </c>
      <c r="L250" s="43" t="s">
        <v>45</v>
      </c>
      <c r="M250" s="43" t="s">
        <v>46</v>
      </c>
      <c r="N250" s="43" t="s">
        <v>10</v>
      </c>
    </row>
    <row r="251" spans="1:14" ht="17" thickBot="1">
      <c r="A251" s="31" t="s">
        <v>234</v>
      </c>
      <c r="B251" s="24"/>
      <c r="C251" s="24"/>
      <c r="D251" s="22"/>
      <c r="E251" s="22"/>
      <c r="F251" s="25"/>
      <c r="G251" s="25"/>
      <c r="H251" s="22"/>
      <c r="I251" s="22"/>
      <c r="J251" s="22"/>
      <c r="K251" s="22"/>
      <c r="L251" s="24"/>
      <c r="M251" s="24"/>
      <c r="N251" s="26"/>
    </row>
    <row r="252" spans="1:14" ht="14" thickBot="1">
      <c r="A252" s="38" t="s">
        <v>189</v>
      </c>
      <c r="B252" s="39"/>
      <c r="C252" s="39"/>
      <c r="D252" s="39"/>
      <c r="E252" s="39"/>
      <c r="F252" s="39"/>
      <c r="G252" s="39"/>
      <c r="H252" s="39"/>
      <c r="I252" s="39"/>
      <c r="J252" s="39"/>
      <c r="K252" s="39"/>
      <c r="L252" s="39"/>
      <c r="M252" s="39"/>
      <c r="N252" s="40"/>
    </row>
    <row r="253" spans="1:14">
      <c r="A253" s="32" t="s">
        <v>29</v>
      </c>
      <c r="B253" s="1092">
        <v>0</v>
      </c>
      <c r="C253" s="1092">
        <v>0</v>
      </c>
      <c r="D253" s="1092">
        <v>0</v>
      </c>
      <c r="E253" s="1092">
        <v>0</v>
      </c>
      <c r="F253" s="1092">
        <v>0</v>
      </c>
      <c r="G253" s="1092">
        <v>0</v>
      </c>
      <c r="H253" s="1092">
        <v>0</v>
      </c>
      <c r="I253" s="1092">
        <v>1</v>
      </c>
      <c r="J253" s="1092">
        <v>3</v>
      </c>
      <c r="K253" s="1092">
        <v>1</v>
      </c>
      <c r="L253" s="1092">
        <v>0</v>
      </c>
      <c r="M253" s="1092">
        <v>1</v>
      </c>
      <c r="N253" s="27">
        <f t="shared" ref="N253:N258" si="37">SUM(B253:M253)</f>
        <v>6</v>
      </c>
    </row>
    <row r="254" spans="1:14">
      <c r="A254" s="32" t="s">
        <v>33</v>
      </c>
      <c r="B254" s="1092">
        <v>1</v>
      </c>
      <c r="C254" s="1092">
        <v>2</v>
      </c>
      <c r="D254" s="1092">
        <v>1</v>
      </c>
      <c r="E254" s="1092">
        <v>0</v>
      </c>
      <c r="F254" s="1092">
        <v>0</v>
      </c>
      <c r="G254" s="1092">
        <v>0</v>
      </c>
      <c r="H254" s="1092">
        <v>0</v>
      </c>
      <c r="I254" s="1092">
        <v>0</v>
      </c>
      <c r="J254" s="1092">
        <v>2</v>
      </c>
      <c r="K254" s="1092">
        <v>0</v>
      </c>
      <c r="L254" s="1092">
        <v>0</v>
      </c>
      <c r="M254" s="1092">
        <v>1</v>
      </c>
      <c r="N254" s="27">
        <f t="shared" si="37"/>
        <v>7</v>
      </c>
    </row>
    <row r="255" spans="1:14">
      <c r="A255" s="32" t="s">
        <v>56</v>
      </c>
      <c r="B255" s="1092">
        <v>0</v>
      </c>
      <c r="C255" s="1092">
        <v>0</v>
      </c>
      <c r="D255" s="1092">
        <v>0</v>
      </c>
      <c r="E255" s="1092">
        <v>0</v>
      </c>
      <c r="F255" s="1092">
        <v>0</v>
      </c>
      <c r="G255" s="1092">
        <v>0</v>
      </c>
      <c r="H255" s="1092">
        <v>0</v>
      </c>
      <c r="I255" s="1092">
        <v>0</v>
      </c>
      <c r="J255" s="1092">
        <v>0</v>
      </c>
      <c r="K255" s="1092">
        <v>0</v>
      </c>
      <c r="L255" s="1092">
        <v>0</v>
      </c>
      <c r="M255" s="1092">
        <v>0</v>
      </c>
      <c r="N255" s="27">
        <f t="shared" si="37"/>
        <v>0</v>
      </c>
    </row>
    <row r="256" spans="1:14">
      <c r="A256" s="78" t="s">
        <v>30</v>
      </c>
      <c r="B256" s="1092">
        <v>1</v>
      </c>
      <c r="C256" s="1092">
        <v>0</v>
      </c>
      <c r="D256" s="1092">
        <v>0</v>
      </c>
      <c r="E256" s="1092">
        <v>1</v>
      </c>
      <c r="F256" s="1092">
        <v>1</v>
      </c>
      <c r="G256" s="1092">
        <v>0</v>
      </c>
      <c r="H256" s="1092">
        <v>0</v>
      </c>
      <c r="I256" s="1092">
        <v>0</v>
      </c>
      <c r="J256" s="1092">
        <v>0</v>
      </c>
      <c r="K256" s="1092">
        <v>0</v>
      </c>
      <c r="L256" s="1092">
        <v>0</v>
      </c>
      <c r="M256" s="1092">
        <v>0</v>
      </c>
      <c r="N256" s="27">
        <f t="shared" si="37"/>
        <v>3</v>
      </c>
    </row>
    <row r="257" spans="1:14">
      <c r="A257" s="76" t="s">
        <v>213</v>
      </c>
      <c r="B257" s="1092">
        <v>0</v>
      </c>
      <c r="C257" s="1092">
        <v>0</v>
      </c>
      <c r="D257" s="1092">
        <v>0</v>
      </c>
      <c r="E257" s="1092">
        <v>0</v>
      </c>
      <c r="F257" s="1092">
        <v>0</v>
      </c>
      <c r="G257" s="1092">
        <v>0</v>
      </c>
      <c r="H257" s="1092">
        <v>0</v>
      </c>
      <c r="I257" s="1092">
        <v>0</v>
      </c>
      <c r="J257" s="1092">
        <v>0</v>
      </c>
      <c r="K257" s="1092">
        <v>0</v>
      </c>
      <c r="L257" s="1092">
        <v>0</v>
      </c>
      <c r="M257" s="1092">
        <v>0</v>
      </c>
      <c r="N257" s="27">
        <f t="shared" si="37"/>
        <v>0</v>
      </c>
    </row>
    <row r="258" spans="1:14" ht="14" thickBot="1">
      <c r="A258" s="76" t="s">
        <v>212</v>
      </c>
      <c r="B258" s="1092">
        <v>0</v>
      </c>
      <c r="C258" s="1092">
        <v>0</v>
      </c>
      <c r="D258" s="1092">
        <v>0</v>
      </c>
      <c r="E258" s="1092">
        <v>0</v>
      </c>
      <c r="F258" s="1092">
        <v>0</v>
      </c>
      <c r="G258" s="1092">
        <v>0</v>
      </c>
      <c r="H258" s="1092">
        <v>0</v>
      </c>
      <c r="I258" s="1092">
        <v>0</v>
      </c>
      <c r="J258" s="1092">
        <v>0</v>
      </c>
      <c r="K258" s="1092">
        <v>0</v>
      </c>
      <c r="L258" s="1092">
        <v>4</v>
      </c>
      <c r="M258" s="1092">
        <v>4</v>
      </c>
      <c r="N258" s="27">
        <f t="shared" si="37"/>
        <v>8</v>
      </c>
    </row>
    <row r="259" spans="1:14" ht="14" thickBot="1">
      <c r="A259" s="38" t="s">
        <v>190</v>
      </c>
      <c r="B259" s="39"/>
      <c r="C259" s="39"/>
      <c r="D259" s="39"/>
      <c r="E259" s="39"/>
      <c r="F259" s="39"/>
      <c r="G259" s="39"/>
      <c r="H259" s="39"/>
      <c r="I259" s="39"/>
      <c r="J259" s="39"/>
      <c r="K259" s="39"/>
      <c r="L259" s="39"/>
      <c r="M259" s="39"/>
      <c r="N259" s="40"/>
    </row>
    <row r="260" spans="1:14">
      <c r="A260" s="76" t="s">
        <v>165</v>
      </c>
      <c r="B260" s="1092">
        <v>0</v>
      </c>
      <c r="C260" s="1092">
        <v>0</v>
      </c>
      <c r="D260" s="1092">
        <v>0</v>
      </c>
      <c r="E260" s="1092">
        <v>0</v>
      </c>
      <c r="F260" s="1092">
        <v>0</v>
      </c>
      <c r="G260" s="1092">
        <v>0</v>
      </c>
      <c r="H260" s="1092">
        <v>0</v>
      </c>
      <c r="I260" s="1092">
        <v>0</v>
      </c>
      <c r="J260" s="1092">
        <v>0</v>
      </c>
      <c r="K260" s="1092">
        <v>0</v>
      </c>
      <c r="L260" s="1092">
        <v>0</v>
      </c>
      <c r="M260" s="1092">
        <v>0</v>
      </c>
      <c r="N260" s="27">
        <f>SUM(B260:M260)</f>
        <v>0</v>
      </c>
    </row>
    <row r="261" spans="1:14">
      <c r="A261" s="76" t="s">
        <v>166</v>
      </c>
      <c r="B261" s="1092">
        <v>0</v>
      </c>
      <c r="C261" s="1092">
        <v>0</v>
      </c>
      <c r="D261" s="1092">
        <v>0</v>
      </c>
      <c r="E261" s="1092">
        <v>0</v>
      </c>
      <c r="F261" s="1092">
        <v>0</v>
      </c>
      <c r="G261" s="1092">
        <v>0</v>
      </c>
      <c r="H261" s="1092">
        <v>2</v>
      </c>
      <c r="I261" s="1092">
        <v>2</v>
      </c>
      <c r="J261" s="1092">
        <v>5</v>
      </c>
      <c r="K261" s="1092">
        <v>0</v>
      </c>
      <c r="L261" s="1092">
        <v>0</v>
      </c>
      <c r="M261" s="1092">
        <v>0</v>
      </c>
      <c r="N261" s="27">
        <f>SUM(B261:M261)</f>
        <v>9</v>
      </c>
    </row>
    <row r="262" spans="1:14">
      <c r="A262" s="76" t="s">
        <v>193</v>
      </c>
      <c r="B262" s="1092">
        <v>0</v>
      </c>
      <c r="C262" s="1092">
        <v>0</v>
      </c>
      <c r="D262" s="1092">
        <v>0</v>
      </c>
      <c r="E262" s="1092">
        <v>0</v>
      </c>
      <c r="F262" s="1092">
        <v>0</v>
      </c>
      <c r="G262" s="1092">
        <v>0</v>
      </c>
      <c r="H262" s="1092">
        <v>0</v>
      </c>
      <c r="I262" s="1092">
        <v>0</v>
      </c>
      <c r="J262" s="1092">
        <v>0</v>
      </c>
      <c r="K262" s="1092">
        <v>0</v>
      </c>
      <c r="L262" s="1092">
        <v>0</v>
      </c>
      <c r="M262" s="1092">
        <v>0</v>
      </c>
      <c r="N262" s="27">
        <f>SUM(B262:M262)</f>
        <v>0</v>
      </c>
    </row>
    <row r="263" spans="1:14" ht="14" thickBot="1">
      <c r="A263" s="76" t="s">
        <v>266</v>
      </c>
      <c r="B263" s="1092">
        <v>0</v>
      </c>
      <c r="C263" s="1092">
        <v>0</v>
      </c>
      <c r="D263" s="1092">
        <v>0</v>
      </c>
      <c r="E263" s="1092">
        <v>0</v>
      </c>
      <c r="F263" s="1092">
        <v>0</v>
      </c>
      <c r="G263" s="1092">
        <v>0</v>
      </c>
      <c r="H263" s="1092">
        <v>0</v>
      </c>
      <c r="I263" s="1092">
        <v>0</v>
      </c>
      <c r="J263" s="1092">
        <v>0</v>
      </c>
      <c r="K263" s="1092">
        <v>0</v>
      </c>
      <c r="L263" s="1092">
        <v>0</v>
      </c>
      <c r="M263" s="1092">
        <v>0</v>
      </c>
      <c r="N263" s="27">
        <f>SUM(B263:M263)</f>
        <v>0</v>
      </c>
    </row>
    <row r="264" spans="1:14" ht="14" thickBot="1">
      <c r="A264" s="53" t="s">
        <v>60</v>
      </c>
      <c r="B264" s="55">
        <f>SUM(B253:B263)</f>
        <v>2</v>
      </c>
      <c r="C264" s="55">
        <f>SUM(C253:C263)</f>
        <v>2</v>
      </c>
      <c r="D264" s="55">
        <f t="shared" ref="D264:M264" si="38">SUM(D253:D263)</f>
        <v>1</v>
      </c>
      <c r="E264" s="55">
        <f t="shared" si="38"/>
        <v>1</v>
      </c>
      <c r="F264" s="55">
        <f t="shared" si="38"/>
        <v>1</v>
      </c>
      <c r="G264" s="55">
        <f t="shared" si="38"/>
        <v>0</v>
      </c>
      <c r="H264" s="55">
        <f t="shared" si="38"/>
        <v>2</v>
      </c>
      <c r="I264" s="55">
        <f t="shared" si="38"/>
        <v>3</v>
      </c>
      <c r="J264" s="55">
        <f t="shared" si="38"/>
        <v>10</v>
      </c>
      <c r="K264" s="55">
        <f t="shared" si="38"/>
        <v>1</v>
      </c>
      <c r="L264" s="55">
        <f t="shared" si="38"/>
        <v>4</v>
      </c>
      <c r="M264" s="55">
        <f t="shared" si="38"/>
        <v>6</v>
      </c>
      <c r="N264" s="54">
        <f>SUM(N253:N263)</f>
        <v>33</v>
      </c>
    </row>
    <row r="265" spans="1:14" ht="14" hidden="1" thickBot="1">
      <c r="A265" s="38" t="s">
        <v>191</v>
      </c>
      <c r="B265" s="39"/>
      <c r="C265" s="39"/>
      <c r="D265" s="39"/>
      <c r="E265" s="39"/>
      <c r="F265" s="39"/>
      <c r="G265" s="39"/>
      <c r="H265" s="39"/>
      <c r="I265" s="39"/>
      <c r="J265" s="39"/>
      <c r="K265" s="39"/>
      <c r="L265" s="39"/>
      <c r="M265" s="39"/>
      <c r="N265" s="40"/>
    </row>
    <row r="266" spans="1:14" ht="14" hidden="1" thickBot="1">
      <c r="A266" s="76" t="s">
        <v>147</v>
      </c>
      <c r="B266" s="168"/>
      <c r="C266" s="168"/>
      <c r="D266" s="168"/>
      <c r="E266" s="168"/>
      <c r="F266" s="168"/>
      <c r="G266" s="168"/>
      <c r="H266" s="168"/>
      <c r="I266" s="168"/>
      <c r="J266" s="168"/>
      <c r="K266" s="168"/>
      <c r="L266" s="168"/>
      <c r="M266" s="168"/>
      <c r="N266" s="27"/>
    </row>
    <row r="267" spans="1:14" ht="14" hidden="1" thickBot="1">
      <c r="A267" s="76" t="s">
        <v>179</v>
      </c>
      <c r="B267" s="168"/>
      <c r="C267" s="168"/>
      <c r="D267" s="168"/>
      <c r="E267" s="168"/>
      <c r="F267" s="168"/>
      <c r="G267" s="168"/>
      <c r="H267" s="168"/>
      <c r="I267" s="168"/>
      <c r="J267" s="168"/>
      <c r="K267" s="168"/>
      <c r="L267" s="168"/>
      <c r="M267" s="168"/>
      <c r="N267" s="27"/>
    </row>
    <row r="268" spans="1:14" ht="14" hidden="1" thickBot="1">
      <c r="A268" s="53" t="s">
        <v>60</v>
      </c>
      <c r="B268" s="55"/>
      <c r="C268" s="55"/>
      <c r="D268" s="55"/>
      <c r="E268" s="55"/>
      <c r="F268" s="55"/>
      <c r="G268" s="55"/>
      <c r="H268" s="55"/>
      <c r="I268" s="55"/>
      <c r="J268" s="55"/>
      <c r="K268" s="55"/>
      <c r="L268" s="55"/>
      <c r="M268" s="55"/>
      <c r="N268" s="54"/>
    </row>
    <row r="269" spans="1:14" ht="14" thickBot="1">
      <c r="A269" s="38" t="s">
        <v>194</v>
      </c>
      <c r="B269" s="39"/>
      <c r="C269" s="39"/>
      <c r="D269" s="39"/>
      <c r="E269" s="39"/>
      <c r="F269" s="39"/>
      <c r="G269" s="39"/>
      <c r="H269" s="39"/>
      <c r="I269" s="39"/>
      <c r="J269" s="39"/>
      <c r="K269" s="39"/>
      <c r="L269" s="39"/>
      <c r="M269" s="39"/>
      <c r="N269" s="40"/>
    </row>
    <row r="270" spans="1:14">
      <c r="A270" s="32" t="s">
        <v>29</v>
      </c>
      <c r="B270" s="1092">
        <v>0</v>
      </c>
      <c r="C270" s="1092">
        <v>0</v>
      </c>
      <c r="D270" s="1092">
        <v>0</v>
      </c>
      <c r="E270" s="1092">
        <v>0</v>
      </c>
      <c r="F270" s="1092">
        <v>0</v>
      </c>
      <c r="G270" s="1092">
        <v>0</v>
      </c>
      <c r="H270" s="1092">
        <v>0</v>
      </c>
      <c r="I270" s="1092">
        <v>0</v>
      </c>
      <c r="J270" s="1092">
        <v>0</v>
      </c>
      <c r="K270" s="1092">
        <v>0</v>
      </c>
      <c r="L270" s="1092">
        <v>0</v>
      </c>
      <c r="M270" s="1092">
        <v>0</v>
      </c>
      <c r="N270" s="27">
        <f t="shared" ref="N270:N282" si="39">SUM(B270:M270)</f>
        <v>0</v>
      </c>
    </row>
    <row r="271" spans="1:14">
      <c r="A271" s="32" t="s">
        <v>51</v>
      </c>
      <c r="B271" s="1092">
        <v>0</v>
      </c>
      <c r="C271" s="1092">
        <v>0</v>
      </c>
      <c r="D271" s="1092">
        <v>0</v>
      </c>
      <c r="E271" s="1092">
        <v>0</v>
      </c>
      <c r="F271" s="1092">
        <v>0</v>
      </c>
      <c r="G271" s="1092">
        <v>0</v>
      </c>
      <c r="H271" s="1092">
        <v>0</v>
      </c>
      <c r="I271" s="1092">
        <v>0</v>
      </c>
      <c r="J271" s="1092">
        <v>0</v>
      </c>
      <c r="K271" s="1092">
        <v>0</v>
      </c>
      <c r="L271" s="1092">
        <v>0</v>
      </c>
      <c r="M271" s="1092">
        <v>0</v>
      </c>
      <c r="N271" s="27">
        <f t="shared" si="39"/>
        <v>0</v>
      </c>
    </row>
    <row r="272" spans="1:14">
      <c r="A272" s="34" t="s">
        <v>204</v>
      </c>
      <c r="B272" s="1092">
        <v>0</v>
      </c>
      <c r="C272" s="1092">
        <v>0</v>
      </c>
      <c r="D272" s="1092">
        <v>0</v>
      </c>
      <c r="E272" s="1092">
        <v>0</v>
      </c>
      <c r="F272" s="1092">
        <v>0</v>
      </c>
      <c r="G272" s="1092">
        <v>0</v>
      </c>
      <c r="H272" s="1092">
        <v>0</v>
      </c>
      <c r="I272" s="1092">
        <v>0</v>
      </c>
      <c r="J272" s="1092">
        <v>0</v>
      </c>
      <c r="K272" s="1092">
        <v>0</v>
      </c>
      <c r="L272" s="1092">
        <v>0</v>
      </c>
      <c r="M272" s="1092">
        <v>0</v>
      </c>
      <c r="N272" s="27">
        <f t="shared" si="39"/>
        <v>0</v>
      </c>
    </row>
    <row r="273" spans="1:14" hidden="1">
      <c r="A273" s="34" t="s">
        <v>13</v>
      </c>
      <c r="B273" s="1092"/>
      <c r="C273" s="1092"/>
      <c r="D273" s="1092"/>
      <c r="E273" s="1092"/>
      <c r="F273" s="1092"/>
      <c r="G273" s="1092"/>
      <c r="H273" s="1092"/>
      <c r="I273" s="1092"/>
      <c r="J273" s="1092"/>
      <c r="K273" s="1092"/>
      <c r="L273" s="1092"/>
      <c r="M273" s="1092"/>
      <c r="N273" s="27">
        <f t="shared" si="39"/>
        <v>0</v>
      </c>
    </row>
    <row r="274" spans="1:14" hidden="1">
      <c r="A274" s="35" t="s">
        <v>47</v>
      </c>
      <c r="B274" s="1092"/>
      <c r="C274" s="1092"/>
      <c r="D274" s="1092"/>
      <c r="E274" s="1092"/>
      <c r="F274" s="1092"/>
      <c r="G274" s="1092"/>
      <c r="H274" s="1092"/>
      <c r="I274" s="1092"/>
      <c r="J274" s="1092"/>
      <c r="K274" s="1092"/>
      <c r="L274" s="1092"/>
      <c r="M274" s="1092"/>
      <c r="N274" s="27">
        <f t="shared" si="39"/>
        <v>0</v>
      </c>
    </row>
    <row r="275" spans="1:14">
      <c r="A275" s="76" t="s">
        <v>30</v>
      </c>
      <c r="B275" s="1092">
        <v>0</v>
      </c>
      <c r="C275" s="1092">
        <v>0</v>
      </c>
      <c r="D275" s="1092">
        <v>0</v>
      </c>
      <c r="E275" s="1092">
        <v>0</v>
      </c>
      <c r="F275" s="1092">
        <v>0</v>
      </c>
      <c r="G275" s="1092">
        <v>0</v>
      </c>
      <c r="H275" s="1092">
        <v>0</v>
      </c>
      <c r="I275" s="1092">
        <v>0</v>
      </c>
      <c r="J275" s="1092">
        <v>0</v>
      </c>
      <c r="K275" s="1092">
        <v>0</v>
      </c>
      <c r="L275" s="1092">
        <v>0</v>
      </c>
      <c r="M275" s="1092">
        <v>0</v>
      </c>
      <c r="N275" s="27">
        <f t="shared" si="39"/>
        <v>0</v>
      </c>
    </row>
    <row r="276" spans="1:14" hidden="1">
      <c r="A276" s="76" t="s">
        <v>150</v>
      </c>
      <c r="B276" s="1092"/>
      <c r="C276" s="1092"/>
      <c r="D276" s="1092"/>
      <c r="E276" s="1092"/>
      <c r="F276" s="1092"/>
      <c r="G276" s="1092"/>
      <c r="H276" s="1092"/>
      <c r="I276" s="1092"/>
      <c r="J276" s="1092"/>
      <c r="K276" s="1092"/>
      <c r="L276" s="1092"/>
      <c r="M276" s="1092"/>
      <c r="N276" s="27">
        <f t="shared" si="39"/>
        <v>0</v>
      </c>
    </row>
    <row r="277" spans="1:14">
      <c r="A277" s="32" t="s">
        <v>56</v>
      </c>
      <c r="B277" s="1092">
        <v>0</v>
      </c>
      <c r="C277" s="1092">
        <v>0</v>
      </c>
      <c r="D277" s="1092">
        <v>0</v>
      </c>
      <c r="E277" s="1092">
        <v>0</v>
      </c>
      <c r="F277" s="1092">
        <v>0</v>
      </c>
      <c r="G277" s="1092">
        <v>0</v>
      </c>
      <c r="H277" s="1092">
        <v>0</v>
      </c>
      <c r="I277" s="1092">
        <v>0</v>
      </c>
      <c r="J277" s="1092">
        <v>0</v>
      </c>
      <c r="K277" s="1092">
        <v>0</v>
      </c>
      <c r="L277" s="1092">
        <v>0</v>
      </c>
      <c r="M277" s="1092">
        <v>0</v>
      </c>
      <c r="N277" s="27">
        <f t="shared" si="39"/>
        <v>0</v>
      </c>
    </row>
    <row r="278" spans="1:14">
      <c r="A278" s="78" t="s">
        <v>122</v>
      </c>
      <c r="B278" s="1092">
        <v>0</v>
      </c>
      <c r="C278" s="1092">
        <v>0</v>
      </c>
      <c r="D278" s="1092">
        <v>0</v>
      </c>
      <c r="E278" s="1092">
        <v>0</v>
      </c>
      <c r="F278" s="1092">
        <v>0</v>
      </c>
      <c r="G278" s="1092">
        <v>0</v>
      </c>
      <c r="H278" s="1092">
        <v>0</v>
      </c>
      <c r="I278" s="1092">
        <v>0</v>
      </c>
      <c r="J278" s="1092">
        <v>0</v>
      </c>
      <c r="K278" s="1092">
        <v>0</v>
      </c>
      <c r="L278" s="1092">
        <v>0</v>
      </c>
      <c r="M278" s="1092">
        <v>0</v>
      </c>
      <c r="N278" s="27">
        <f t="shared" si="39"/>
        <v>0</v>
      </c>
    </row>
    <row r="279" spans="1:14" hidden="1">
      <c r="A279" s="32" t="s">
        <v>102</v>
      </c>
      <c r="B279" s="1092"/>
      <c r="C279" s="1092"/>
      <c r="D279" s="1092"/>
      <c r="E279" s="1092"/>
      <c r="F279" s="1092"/>
      <c r="G279" s="1092"/>
      <c r="H279" s="1092"/>
      <c r="I279" s="1092"/>
      <c r="J279" s="1092"/>
      <c r="K279" s="1092"/>
      <c r="L279" s="1092"/>
      <c r="M279" s="1092"/>
      <c r="N279" s="27">
        <f t="shared" si="39"/>
        <v>0</v>
      </c>
    </row>
    <row r="280" spans="1:14">
      <c r="A280" s="78" t="s">
        <v>184</v>
      </c>
      <c r="B280" s="1092">
        <v>0</v>
      </c>
      <c r="C280" s="1092">
        <v>0</v>
      </c>
      <c r="D280" s="1092">
        <v>0</v>
      </c>
      <c r="E280" s="1092">
        <v>0</v>
      </c>
      <c r="F280" s="1092">
        <v>0</v>
      </c>
      <c r="G280" s="1092">
        <v>0</v>
      </c>
      <c r="H280" s="1092">
        <v>0</v>
      </c>
      <c r="I280" s="1092">
        <v>0</v>
      </c>
      <c r="J280" s="1092">
        <v>0</v>
      </c>
      <c r="K280" s="1092">
        <v>0</v>
      </c>
      <c r="L280" s="1092">
        <v>0</v>
      </c>
      <c r="M280" s="1092">
        <v>0</v>
      </c>
      <c r="N280" s="27">
        <f t="shared" si="39"/>
        <v>0</v>
      </c>
    </row>
    <row r="281" spans="1:14">
      <c r="A281" s="78" t="s">
        <v>187</v>
      </c>
      <c r="B281" s="1092">
        <v>0</v>
      </c>
      <c r="C281" s="1092">
        <v>0</v>
      </c>
      <c r="D281" s="1092">
        <v>0</v>
      </c>
      <c r="E281" s="1092">
        <v>0</v>
      </c>
      <c r="F281" s="1092">
        <v>0</v>
      </c>
      <c r="G281" s="1092">
        <v>0</v>
      </c>
      <c r="H281" s="1092">
        <v>0</v>
      </c>
      <c r="I281" s="1092">
        <v>0</v>
      </c>
      <c r="J281" s="1092">
        <v>0</v>
      </c>
      <c r="K281" s="1092">
        <v>0</v>
      </c>
      <c r="L281" s="1092">
        <v>0</v>
      </c>
      <c r="M281" s="1092">
        <v>0</v>
      </c>
      <c r="N281" s="27">
        <f t="shared" si="39"/>
        <v>0</v>
      </c>
    </row>
    <row r="282" spans="1:14">
      <c r="A282" s="78" t="s">
        <v>188</v>
      </c>
      <c r="B282" s="1092">
        <v>0</v>
      </c>
      <c r="C282" s="1092">
        <v>0</v>
      </c>
      <c r="D282" s="1092">
        <v>0</v>
      </c>
      <c r="E282" s="1092">
        <v>0</v>
      </c>
      <c r="F282" s="1092">
        <v>0</v>
      </c>
      <c r="G282" s="1092">
        <v>0</v>
      </c>
      <c r="H282" s="1092">
        <v>0</v>
      </c>
      <c r="I282" s="1092">
        <v>0</v>
      </c>
      <c r="J282" s="1092">
        <v>0</v>
      </c>
      <c r="K282" s="1092">
        <v>0</v>
      </c>
      <c r="L282" s="1092">
        <v>0</v>
      </c>
      <c r="M282" s="1092">
        <v>0</v>
      </c>
      <c r="N282" s="27">
        <f t="shared" si="39"/>
        <v>0</v>
      </c>
    </row>
    <row r="283" spans="1:14" ht="14" thickBot="1">
      <c r="A283" s="78" t="s">
        <v>213</v>
      </c>
      <c r="B283" s="1092">
        <v>0</v>
      </c>
      <c r="C283" s="1092">
        <v>0</v>
      </c>
      <c r="D283" s="1092">
        <v>0</v>
      </c>
      <c r="E283" s="1092">
        <v>0</v>
      </c>
      <c r="F283" s="1092">
        <v>0</v>
      </c>
      <c r="G283" s="1092">
        <v>0</v>
      </c>
      <c r="H283" s="1092">
        <v>0</v>
      </c>
      <c r="I283" s="1092">
        <v>0</v>
      </c>
      <c r="J283" s="1092">
        <v>0</v>
      </c>
      <c r="K283" s="1092">
        <v>0</v>
      </c>
      <c r="L283" s="1092">
        <v>0</v>
      </c>
      <c r="M283" s="1092">
        <v>0</v>
      </c>
      <c r="N283" s="27">
        <f>SUM(B283:M283)</f>
        <v>0</v>
      </c>
    </row>
    <row r="284" spans="1:14" ht="14" thickBot="1">
      <c r="A284" s="38" t="s">
        <v>192</v>
      </c>
      <c r="B284" s="39"/>
      <c r="C284" s="39"/>
      <c r="D284" s="39"/>
      <c r="E284" s="39"/>
      <c r="F284" s="39"/>
      <c r="G284" s="39"/>
      <c r="H284" s="39"/>
      <c r="I284" s="39"/>
      <c r="J284" s="39"/>
      <c r="K284" s="39"/>
      <c r="L284" s="39"/>
      <c r="M284" s="39"/>
      <c r="N284" s="40"/>
    </row>
    <row r="285" spans="1:14" hidden="1">
      <c r="A285" s="78" t="s">
        <v>167</v>
      </c>
      <c r="B285" s="168"/>
      <c r="C285" s="168"/>
      <c r="D285" s="168"/>
      <c r="E285" s="168"/>
      <c r="F285" s="168"/>
      <c r="G285" s="168"/>
      <c r="H285" s="168"/>
      <c r="I285" s="168"/>
      <c r="J285" s="168"/>
      <c r="K285" s="168"/>
      <c r="L285" s="168"/>
      <c r="M285" s="168"/>
      <c r="N285" s="27"/>
    </row>
    <row r="286" spans="1:14" ht="14" thickBot="1">
      <c r="A286" s="32" t="s">
        <v>165</v>
      </c>
      <c r="B286" s="1092">
        <v>0</v>
      </c>
      <c r="C286" s="1092">
        <v>0</v>
      </c>
      <c r="D286" s="1092">
        <v>0</v>
      </c>
      <c r="E286" s="1092">
        <v>0</v>
      </c>
      <c r="F286" s="1092">
        <v>0</v>
      </c>
      <c r="G286" s="1092">
        <v>0</v>
      </c>
      <c r="H286" s="1092">
        <v>0</v>
      </c>
      <c r="I286" s="1092">
        <v>0</v>
      </c>
      <c r="J286" s="1092">
        <v>0</v>
      </c>
      <c r="K286" s="1092">
        <v>0</v>
      </c>
      <c r="L286" s="1092">
        <v>0</v>
      </c>
      <c r="M286" s="1092">
        <v>0</v>
      </c>
      <c r="N286" s="27">
        <f>SUM(B286:M286)</f>
        <v>0</v>
      </c>
    </row>
    <row r="287" spans="1:14" ht="14" thickBot="1">
      <c r="A287" s="53" t="s">
        <v>60</v>
      </c>
      <c r="B287" s="55">
        <f>SUM(B270:B286)</f>
        <v>0</v>
      </c>
      <c r="C287" s="55">
        <f t="shared" ref="C287:N287" si="40">SUM(C270:C286)</f>
        <v>0</v>
      </c>
      <c r="D287" s="55">
        <f t="shared" si="40"/>
        <v>0</v>
      </c>
      <c r="E287" s="55">
        <f t="shared" si="40"/>
        <v>0</v>
      </c>
      <c r="F287" s="55">
        <f t="shared" si="40"/>
        <v>0</v>
      </c>
      <c r="G287" s="55">
        <f t="shared" si="40"/>
        <v>0</v>
      </c>
      <c r="H287" s="55">
        <f t="shared" si="40"/>
        <v>0</v>
      </c>
      <c r="I287" s="55">
        <f t="shared" si="40"/>
        <v>0</v>
      </c>
      <c r="J287" s="55">
        <f t="shared" si="40"/>
        <v>0</v>
      </c>
      <c r="K287" s="55">
        <f t="shared" si="40"/>
        <v>0</v>
      </c>
      <c r="L287" s="55">
        <f t="shared" si="40"/>
        <v>0</v>
      </c>
      <c r="M287" s="55">
        <f t="shared" si="40"/>
        <v>0</v>
      </c>
      <c r="N287" s="302">
        <f t="shared" si="40"/>
        <v>0</v>
      </c>
    </row>
    <row r="289" spans="1:14" ht="14" thickBot="1">
      <c r="B289" s="43" t="s">
        <v>35</v>
      </c>
      <c r="C289" s="43" t="s">
        <v>36</v>
      </c>
      <c r="D289" s="43" t="s">
        <v>37</v>
      </c>
      <c r="E289" s="43" t="s">
        <v>38</v>
      </c>
      <c r="F289" s="43" t="s">
        <v>39</v>
      </c>
      <c r="G289" s="43" t="s">
        <v>40</v>
      </c>
      <c r="H289" s="43" t="s">
        <v>41</v>
      </c>
      <c r="I289" s="43" t="s">
        <v>42</v>
      </c>
      <c r="J289" s="43" t="s">
        <v>43</v>
      </c>
      <c r="K289" s="43" t="s">
        <v>44</v>
      </c>
      <c r="L289" s="43" t="s">
        <v>45</v>
      </c>
      <c r="M289" s="43" t="s">
        <v>46</v>
      </c>
      <c r="N289" s="43" t="s">
        <v>10</v>
      </c>
    </row>
    <row r="290" spans="1:14" ht="17" thickBot="1">
      <c r="A290" s="31" t="s">
        <v>263</v>
      </c>
      <c r="B290" s="24"/>
      <c r="C290" s="24"/>
      <c r="D290" s="22"/>
      <c r="E290" s="22"/>
      <c r="F290" s="25"/>
      <c r="G290" s="25"/>
      <c r="H290" s="22"/>
      <c r="I290" s="22"/>
      <c r="J290" s="22"/>
      <c r="K290" s="22"/>
      <c r="L290" s="24"/>
      <c r="M290" s="24"/>
      <c r="N290" s="26"/>
    </row>
    <row r="291" spans="1:14" ht="14" thickBot="1">
      <c r="A291" s="38" t="s">
        <v>189</v>
      </c>
      <c r="B291" s="39"/>
      <c r="C291" s="39"/>
      <c r="D291" s="39"/>
      <c r="E291" s="39"/>
      <c r="F291" s="39"/>
      <c r="G291" s="39"/>
      <c r="H291" s="39"/>
      <c r="I291" s="39"/>
      <c r="J291" s="39"/>
      <c r="K291" s="39"/>
      <c r="L291" s="39"/>
      <c r="M291" s="39"/>
      <c r="N291" s="40"/>
    </row>
    <row r="292" spans="1:14">
      <c r="A292" s="32" t="s">
        <v>29</v>
      </c>
      <c r="B292" s="1092">
        <v>0</v>
      </c>
      <c r="C292" s="1092">
        <v>2</v>
      </c>
      <c r="D292" s="1092">
        <v>3</v>
      </c>
      <c r="E292" s="1092">
        <v>3</v>
      </c>
      <c r="F292" s="1092">
        <v>5</v>
      </c>
      <c r="G292" s="1092">
        <v>0</v>
      </c>
      <c r="H292" s="1092">
        <v>0</v>
      </c>
      <c r="I292" s="1092">
        <v>0</v>
      </c>
      <c r="J292" s="1092">
        <v>3</v>
      </c>
      <c r="K292" s="1092">
        <v>1</v>
      </c>
      <c r="L292" s="1092">
        <v>0</v>
      </c>
      <c r="M292" s="1092">
        <v>0</v>
      </c>
      <c r="N292" s="27">
        <f t="shared" ref="N292:N298" si="41">SUM(B292:M292)</f>
        <v>17</v>
      </c>
    </row>
    <row r="293" spans="1:14">
      <c r="A293" s="32" t="s">
        <v>33</v>
      </c>
      <c r="B293" s="1092">
        <v>0</v>
      </c>
      <c r="C293" s="1092">
        <v>0</v>
      </c>
      <c r="D293" s="1092">
        <v>1</v>
      </c>
      <c r="E293" s="1092">
        <v>0</v>
      </c>
      <c r="F293" s="1092">
        <v>0</v>
      </c>
      <c r="G293" s="1092">
        <v>0</v>
      </c>
      <c r="H293" s="1092">
        <v>0</v>
      </c>
      <c r="I293" s="1092">
        <v>0</v>
      </c>
      <c r="J293" s="1092">
        <v>1</v>
      </c>
      <c r="K293" s="1092">
        <v>0</v>
      </c>
      <c r="L293" s="1092">
        <v>0</v>
      </c>
      <c r="M293" s="1092">
        <v>0</v>
      </c>
      <c r="N293" s="27">
        <f t="shared" si="41"/>
        <v>2</v>
      </c>
    </row>
    <row r="294" spans="1:14">
      <c r="A294" s="32" t="s">
        <v>56</v>
      </c>
      <c r="B294" s="1092">
        <v>0</v>
      </c>
      <c r="C294" s="1092">
        <v>0</v>
      </c>
      <c r="D294" s="1092">
        <v>0</v>
      </c>
      <c r="E294" s="1092">
        <v>0</v>
      </c>
      <c r="F294" s="1092">
        <v>0</v>
      </c>
      <c r="G294" s="1092">
        <v>0</v>
      </c>
      <c r="H294" s="1092">
        <v>0</v>
      </c>
      <c r="I294" s="1092">
        <v>0</v>
      </c>
      <c r="J294" s="1092">
        <v>0</v>
      </c>
      <c r="K294" s="1092">
        <v>0</v>
      </c>
      <c r="L294" s="1092">
        <v>0</v>
      </c>
      <c r="M294" s="1092">
        <v>0</v>
      </c>
      <c r="N294" s="27">
        <f t="shared" si="41"/>
        <v>0</v>
      </c>
    </row>
    <row r="295" spans="1:14">
      <c r="A295" s="78" t="s">
        <v>30</v>
      </c>
      <c r="B295" s="1092">
        <v>0</v>
      </c>
      <c r="C295" s="1092">
        <v>0</v>
      </c>
      <c r="D295" s="1092">
        <v>0</v>
      </c>
      <c r="E295" s="1092">
        <v>0</v>
      </c>
      <c r="F295" s="1092">
        <v>0</v>
      </c>
      <c r="G295" s="1092">
        <v>0</v>
      </c>
      <c r="H295" s="1092">
        <v>0</v>
      </c>
      <c r="I295" s="1092">
        <v>0</v>
      </c>
      <c r="J295" s="1092">
        <v>0</v>
      </c>
      <c r="K295" s="1092">
        <v>0</v>
      </c>
      <c r="L295" s="1092">
        <v>0</v>
      </c>
      <c r="M295" s="1092">
        <v>0</v>
      </c>
      <c r="N295" s="27">
        <f t="shared" si="41"/>
        <v>0</v>
      </c>
    </row>
    <row r="296" spans="1:14">
      <c r="A296" s="76" t="s">
        <v>213</v>
      </c>
      <c r="B296" s="1092">
        <v>0</v>
      </c>
      <c r="C296" s="1092">
        <v>0</v>
      </c>
      <c r="D296" s="1092">
        <v>0</v>
      </c>
      <c r="E296" s="1092">
        <v>1</v>
      </c>
      <c r="F296" s="1092">
        <v>0</v>
      </c>
      <c r="G296" s="1092">
        <v>2</v>
      </c>
      <c r="H296" s="1092">
        <v>0</v>
      </c>
      <c r="I296" s="1092">
        <v>3</v>
      </c>
      <c r="J296" s="1092">
        <v>4</v>
      </c>
      <c r="K296" s="1092">
        <v>0</v>
      </c>
      <c r="L296" s="1092">
        <v>0</v>
      </c>
      <c r="M296" s="1092">
        <v>0</v>
      </c>
      <c r="N296" s="27">
        <f t="shared" si="41"/>
        <v>10</v>
      </c>
    </row>
    <row r="297" spans="1:14">
      <c r="A297" s="76" t="s">
        <v>212</v>
      </c>
      <c r="B297" s="1092">
        <v>0</v>
      </c>
      <c r="C297" s="1092">
        <v>0</v>
      </c>
      <c r="D297" s="1092">
        <v>0</v>
      </c>
      <c r="E297" s="1092">
        <v>0</v>
      </c>
      <c r="F297" s="1092">
        <v>0</v>
      </c>
      <c r="G297" s="1092">
        <v>0</v>
      </c>
      <c r="H297" s="1092">
        <v>0</v>
      </c>
      <c r="I297" s="1092">
        <v>0</v>
      </c>
      <c r="J297" s="1092">
        <v>4</v>
      </c>
      <c r="K297" s="1092">
        <v>0</v>
      </c>
      <c r="L297" s="1092">
        <v>0</v>
      </c>
      <c r="M297" s="1092">
        <v>0</v>
      </c>
      <c r="N297" s="27">
        <f t="shared" si="41"/>
        <v>4</v>
      </c>
    </row>
    <row r="298" spans="1:14" ht="14" thickBot="1">
      <c r="A298" s="76" t="s">
        <v>267</v>
      </c>
      <c r="B298" s="1092">
        <v>0</v>
      </c>
      <c r="C298" s="1092">
        <v>0</v>
      </c>
      <c r="D298" s="1092">
        <v>0</v>
      </c>
      <c r="E298" s="1092">
        <v>0</v>
      </c>
      <c r="F298" s="1092">
        <v>0</v>
      </c>
      <c r="G298" s="1092">
        <v>0</v>
      </c>
      <c r="H298" s="1092">
        <v>0</v>
      </c>
      <c r="I298" s="1092">
        <v>0</v>
      </c>
      <c r="J298" s="1092">
        <v>0</v>
      </c>
      <c r="K298" s="1092">
        <v>0</v>
      </c>
      <c r="L298" s="1092">
        <v>0</v>
      </c>
      <c r="M298" s="1092">
        <v>0</v>
      </c>
      <c r="N298" s="27">
        <f t="shared" si="41"/>
        <v>0</v>
      </c>
    </row>
    <row r="299" spans="1:14" ht="14" thickBot="1">
      <c r="A299" s="38" t="s">
        <v>190</v>
      </c>
      <c r="B299" s="281"/>
      <c r="C299" s="39"/>
      <c r="D299" s="39"/>
      <c r="E299" s="39"/>
      <c r="F299" s="39"/>
      <c r="G299" s="39"/>
      <c r="H299" s="39"/>
      <c r="I299" s="39"/>
      <c r="J299" s="39"/>
      <c r="K299" s="39"/>
      <c r="L299" s="39"/>
      <c r="M299" s="39"/>
      <c r="N299" s="280"/>
    </row>
    <row r="300" spans="1:14">
      <c r="A300" s="76" t="s">
        <v>165</v>
      </c>
      <c r="B300" s="1092">
        <v>0</v>
      </c>
      <c r="C300" s="1092">
        <v>0</v>
      </c>
      <c r="D300" s="1092">
        <v>0</v>
      </c>
      <c r="E300" s="1092">
        <v>0</v>
      </c>
      <c r="F300" s="1092">
        <v>0</v>
      </c>
      <c r="G300" s="1092">
        <v>0</v>
      </c>
      <c r="H300" s="1092">
        <v>0</v>
      </c>
      <c r="I300" s="1092">
        <v>0</v>
      </c>
      <c r="J300" s="1092">
        <v>0</v>
      </c>
      <c r="K300" s="1092">
        <v>0</v>
      </c>
      <c r="L300" s="1092">
        <v>0</v>
      </c>
      <c r="M300" s="1092">
        <v>0</v>
      </c>
      <c r="N300" s="27">
        <f>SUM(B300:M300)</f>
        <v>0</v>
      </c>
    </row>
    <row r="301" spans="1:14">
      <c r="A301" s="76" t="s">
        <v>166</v>
      </c>
      <c r="B301" s="1092">
        <v>0</v>
      </c>
      <c r="C301" s="1092">
        <v>1</v>
      </c>
      <c r="D301" s="1092">
        <v>2</v>
      </c>
      <c r="E301" s="1092">
        <v>0</v>
      </c>
      <c r="F301" s="1092">
        <v>0</v>
      </c>
      <c r="G301" s="1092">
        <v>0</v>
      </c>
      <c r="H301" s="1092">
        <v>1</v>
      </c>
      <c r="I301" s="1092">
        <v>0</v>
      </c>
      <c r="J301" s="1092">
        <v>1</v>
      </c>
      <c r="K301" s="1092">
        <v>0</v>
      </c>
      <c r="L301" s="1092">
        <v>0</v>
      </c>
      <c r="M301" s="1092">
        <v>0</v>
      </c>
      <c r="N301" s="27">
        <f>SUM(B301:M301)</f>
        <v>5</v>
      </c>
    </row>
    <row r="302" spans="1:14">
      <c r="A302" s="76" t="s">
        <v>193</v>
      </c>
      <c r="B302" s="1092">
        <v>0</v>
      </c>
      <c r="C302" s="1092">
        <v>0</v>
      </c>
      <c r="D302" s="1092">
        <v>0</v>
      </c>
      <c r="E302" s="1092">
        <v>0</v>
      </c>
      <c r="F302" s="1092">
        <v>0</v>
      </c>
      <c r="G302" s="1092">
        <v>0</v>
      </c>
      <c r="H302" s="1092">
        <v>0</v>
      </c>
      <c r="I302" s="1092">
        <v>0</v>
      </c>
      <c r="J302" s="1092">
        <v>0</v>
      </c>
      <c r="K302" s="1092">
        <v>0</v>
      </c>
      <c r="L302" s="1092">
        <v>0</v>
      </c>
      <c r="M302" s="1092">
        <v>0</v>
      </c>
      <c r="N302" s="27">
        <f>SUM(B302:M302)</f>
        <v>0</v>
      </c>
    </row>
    <row r="303" spans="1:14" ht="14" thickBot="1">
      <c r="A303" s="76" t="s">
        <v>266</v>
      </c>
      <c r="B303" s="1092">
        <v>0</v>
      </c>
      <c r="C303" s="1092">
        <v>0</v>
      </c>
      <c r="D303" s="1092">
        <v>0</v>
      </c>
      <c r="E303" s="1092">
        <v>0</v>
      </c>
      <c r="F303" s="1092">
        <v>0</v>
      </c>
      <c r="G303" s="1092">
        <v>0</v>
      </c>
      <c r="H303" s="1092">
        <v>0</v>
      </c>
      <c r="I303" s="1092">
        <v>0</v>
      </c>
      <c r="J303" s="1092">
        <v>0</v>
      </c>
      <c r="K303" s="1092">
        <v>0</v>
      </c>
      <c r="L303" s="1092">
        <v>0</v>
      </c>
      <c r="M303" s="1092">
        <v>0</v>
      </c>
      <c r="N303" s="27">
        <f>SUM(B303:M303)</f>
        <v>0</v>
      </c>
    </row>
    <row r="304" spans="1:14" ht="14" thickBot="1">
      <c r="A304" s="53" t="s">
        <v>60</v>
      </c>
      <c r="B304" s="55">
        <f t="shared" ref="B304:L304" si="42">SUM(B292:B303)</f>
        <v>0</v>
      </c>
      <c r="C304" s="55">
        <f t="shared" si="42"/>
        <v>3</v>
      </c>
      <c r="D304" s="55">
        <f t="shared" si="42"/>
        <v>6</v>
      </c>
      <c r="E304" s="55">
        <f t="shared" si="42"/>
        <v>4</v>
      </c>
      <c r="F304" s="55">
        <f t="shared" si="42"/>
        <v>5</v>
      </c>
      <c r="G304" s="55">
        <f t="shared" si="42"/>
        <v>2</v>
      </c>
      <c r="H304" s="55">
        <f t="shared" si="42"/>
        <v>1</v>
      </c>
      <c r="I304" s="55">
        <f t="shared" si="42"/>
        <v>3</v>
      </c>
      <c r="J304" s="55">
        <f t="shared" si="42"/>
        <v>13</v>
      </c>
      <c r="K304" s="55">
        <f t="shared" si="42"/>
        <v>1</v>
      </c>
      <c r="L304" s="55">
        <f t="shared" si="42"/>
        <v>0</v>
      </c>
      <c r="M304" s="55">
        <f>SUM(M292:M303)</f>
        <v>0</v>
      </c>
      <c r="N304" s="54">
        <f>SUM(N292:N303)</f>
        <v>38</v>
      </c>
    </row>
    <row r="305" spans="1:14" ht="14" thickBot="1">
      <c r="A305" s="53"/>
      <c r="B305" s="55"/>
      <c r="C305" s="55"/>
      <c r="D305" s="55"/>
      <c r="E305" s="55"/>
      <c r="F305" s="55"/>
      <c r="G305" s="55"/>
      <c r="H305" s="55"/>
      <c r="I305" s="55"/>
      <c r="J305" s="55"/>
      <c r="K305" s="55"/>
      <c r="L305" s="55"/>
      <c r="M305" s="55"/>
      <c r="N305" s="54"/>
    </row>
    <row r="306" spans="1:14" ht="14" thickBot="1">
      <c r="A306" s="38" t="s">
        <v>194</v>
      </c>
      <c r="B306" s="39"/>
      <c r="C306" s="39"/>
      <c r="D306" s="39"/>
      <c r="E306" s="39"/>
      <c r="F306" s="39"/>
      <c r="G306" s="39"/>
      <c r="H306" s="39"/>
      <c r="I306" s="39"/>
      <c r="J306" s="39"/>
      <c r="K306" s="39"/>
      <c r="L306" s="39"/>
      <c r="M306" s="39"/>
      <c r="N306" s="40"/>
    </row>
    <row r="307" spans="1:14">
      <c r="A307" s="32" t="s">
        <v>29</v>
      </c>
      <c r="B307" s="1092">
        <v>0</v>
      </c>
      <c r="C307" s="1092">
        <v>0</v>
      </c>
      <c r="D307" s="1092">
        <v>0</v>
      </c>
      <c r="E307" s="1092">
        <v>0</v>
      </c>
      <c r="F307" s="1092">
        <v>0</v>
      </c>
      <c r="G307" s="1092">
        <v>0</v>
      </c>
      <c r="H307" s="1092">
        <v>0</v>
      </c>
      <c r="I307" s="1092">
        <v>0</v>
      </c>
      <c r="J307" s="1092">
        <v>0</v>
      </c>
      <c r="K307" s="1092">
        <v>0</v>
      </c>
      <c r="L307" s="1092">
        <v>0</v>
      </c>
      <c r="M307" s="1092">
        <v>0</v>
      </c>
      <c r="N307" s="27">
        <f>SUM(B307:M307)</f>
        <v>0</v>
      </c>
    </row>
    <row r="308" spans="1:14">
      <c r="A308" s="78" t="s">
        <v>264</v>
      </c>
      <c r="B308" s="1092">
        <v>0</v>
      </c>
      <c r="C308" s="1092">
        <v>0</v>
      </c>
      <c r="D308" s="1092">
        <v>0</v>
      </c>
      <c r="E308" s="1092">
        <v>0</v>
      </c>
      <c r="F308" s="1092">
        <v>0</v>
      </c>
      <c r="G308" s="1092">
        <v>0</v>
      </c>
      <c r="H308" s="1092">
        <v>0</v>
      </c>
      <c r="I308" s="1092">
        <v>0</v>
      </c>
      <c r="J308" s="1092">
        <v>0</v>
      </c>
      <c r="K308" s="1092">
        <v>0</v>
      </c>
      <c r="L308" s="1092">
        <v>0</v>
      </c>
      <c r="M308" s="1092">
        <v>0</v>
      </c>
      <c r="N308" s="27">
        <f t="shared" ref="N308:N317" si="43">SUM(B308:M308)</f>
        <v>0</v>
      </c>
    </row>
    <row r="309" spans="1:14">
      <c r="A309" s="34" t="s">
        <v>204</v>
      </c>
      <c r="B309" s="1092">
        <v>0</v>
      </c>
      <c r="C309" s="1092">
        <v>0</v>
      </c>
      <c r="D309" s="1092">
        <v>0</v>
      </c>
      <c r="E309" s="1092">
        <v>0</v>
      </c>
      <c r="F309" s="1092">
        <v>0</v>
      </c>
      <c r="G309" s="1092">
        <v>0</v>
      </c>
      <c r="H309" s="1092">
        <v>0</v>
      </c>
      <c r="I309" s="1092">
        <v>0</v>
      </c>
      <c r="J309" s="1092">
        <v>0</v>
      </c>
      <c r="K309" s="1092">
        <v>0</v>
      </c>
      <c r="L309" s="1092">
        <v>0</v>
      </c>
      <c r="M309" s="1092">
        <v>0</v>
      </c>
      <c r="N309" s="27">
        <f t="shared" si="43"/>
        <v>0</v>
      </c>
    </row>
    <row r="310" spans="1:14">
      <c r="A310" s="76" t="s">
        <v>30</v>
      </c>
      <c r="B310" s="1092">
        <v>0</v>
      </c>
      <c r="C310" s="1092">
        <v>0</v>
      </c>
      <c r="D310" s="1092">
        <v>0</v>
      </c>
      <c r="E310" s="1092">
        <v>0</v>
      </c>
      <c r="F310" s="1092">
        <v>0</v>
      </c>
      <c r="G310" s="1092">
        <v>0</v>
      </c>
      <c r="H310" s="1092">
        <v>0</v>
      </c>
      <c r="I310" s="1092">
        <v>0</v>
      </c>
      <c r="J310" s="1092">
        <v>0</v>
      </c>
      <c r="K310" s="1092">
        <v>0</v>
      </c>
      <c r="L310" s="1092">
        <v>0</v>
      </c>
      <c r="M310" s="1092">
        <v>0</v>
      </c>
      <c r="N310" s="27">
        <f t="shared" si="43"/>
        <v>0</v>
      </c>
    </row>
    <row r="311" spans="1:14">
      <c r="A311" s="32" t="s">
        <v>56</v>
      </c>
      <c r="B311" s="1092">
        <v>0</v>
      </c>
      <c r="C311" s="1092">
        <v>0</v>
      </c>
      <c r="D311" s="1092">
        <v>0</v>
      </c>
      <c r="E311" s="1092">
        <v>0</v>
      </c>
      <c r="F311" s="1092">
        <v>0</v>
      </c>
      <c r="G311" s="1092">
        <v>0</v>
      </c>
      <c r="H311" s="1092">
        <v>0</v>
      </c>
      <c r="I311" s="1092">
        <v>0</v>
      </c>
      <c r="J311" s="1092">
        <v>0</v>
      </c>
      <c r="K311" s="1092">
        <v>0</v>
      </c>
      <c r="L311" s="1092">
        <v>0</v>
      </c>
      <c r="M311" s="1092">
        <v>0</v>
      </c>
      <c r="N311" s="27">
        <f t="shared" si="43"/>
        <v>0</v>
      </c>
    </row>
    <row r="312" spans="1:14">
      <c r="A312" s="78" t="s">
        <v>122</v>
      </c>
      <c r="B312" s="1092">
        <v>0</v>
      </c>
      <c r="C312" s="1092">
        <v>0</v>
      </c>
      <c r="D312" s="1092">
        <v>0</v>
      </c>
      <c r="E312" s="1092">
        <v>0</v>
      </c>
      <c r="F312" s="1092">
        <v>0</v>
      </c>
      <c r="G312" s="1092">
        <v>0</v>
      </c>
      <c r="H312" s="1092">
        <v>0</v>
      </c>
      <c r="I312" s="1092">
        <v>0</v>
      </c>
      <c r="J312" s="1092">
        <v>0</v>
      </c>
      <c r="K312" s="1092">
        <v>0</v>
      </c>
      <c r="L312" s="1092">
        <v>0</v>
      </c>
      <c r="M312" s="1092">
        <v>0</v>
      </c>
      <c r="N312" s="27">
        <f t="shared" si="43"/>
        <v>0</v>
      </c>
    </row>
    <row r="313" spans="1:14">
      <c r="A313" s="78" t="s">
        <v>184</v>
      </c>
      <c r="B313" s="1092">
        <v>0</v>
      </c>
      <c r="C313" s="1092">
        <v>0</v>
      </c>
      <c r="D313" s="1092">
        <v>0</v>
      </c>
      <c r="E313" s="1092">
        <v>0</v>
      </c>
      <c r="F313" s="1092">
        <v>0</v>
      </c>
      <c r="G313" s="1092">
        <v>0</v>
      </c>
      <c r="H313" s="1092">
        <v>0</v>
      </c>
      <c r="I313" s="1092">
        <v>0</v>
      </c>
      <c r="J313" s="1092">
        <v>0</v>
      </c>
      <c r="K313" s="1092">
        <v>0</v>
      </c>
      <c r="L313" s="1092">
        <v>0</v>
      </c>
      <c r="M313" s="1092">
        <v>0</v>
      </c>
      <c r="N313" s="27">
        <f t="shared" si="43"/>
        <v>0</v>
      </c>
    </row>
    <row r="314" spans="1:14">
      <c r="A314" s="78" t="s">
        <v>187</v>
      </c>
      <c r="B314" s="1092">
        <v>0</v>
      </c>
      <c r="C314" s="1092">
        <v>0</v>
      </c>
      <c r="D314" s="1092">
        <v>0</v>
      </c>
      <c r="E314" s="1092">
        <v>0</v>
      </c>
      <c r="F314" s="1092">
        <v>0</v>
      </c>
      <c r="G314" s="1092">
        <v>0</v>
      </c>
      <c r="H314" s="1092">
        <v>0</v>
      </c>
      <c r="I314" s="1092">
        <v>0</v>
      </c>
      <c r="J314" s="1092">
        <v>0</v>
      </c>
      <c r="K314" s="1092">
        <v>0</v>
      </c>
      <c r="L314" s="1092">
        <v>0</v>
      </c>
      <c r="M314" s="1092">
        <v>0</v>
      </c>
      <c r="N314" s="27">
        <f t="shared" si="43"/>
        <v>0</v>
      </c>
    </row>
    <row r="315" spans="1:14">
      <c r="A315" s="78" t="s">
        <v>188</v>
      </c>
      <c r="B315" s="1092">
        <v>0</v>
      </c>
      <c r="C315" s="1092">
        <v>0</v>
      </c>
      <c r="D315" s="1092">
        <v>0</v>
      </c>
      <c r="E315" s="1092">
        <v>0</v>
      </c>
      <c r="F315" s="1092">
        <v>0</v>
      </c>
      <c r="G315" s="1092">
        <v>0</v>
      </c>
      <c r="H315" s="1092">
        <v>0</v>
      </c>
      <c r="I315" s="1092">
        <v>0</v>
      </c>
      <c r="J315" s="1092">
        <v>0</v>
      </c>
      <c r="K315" s="1092">
        <v>0</v>
      </c>
      <c r="L315" s="1092">
        <v>0</v>
      </c>
      <c r="M315" s="1092">
        <v>0</v>
      </c>
      <c r="N315" s="27">
        <f t="shared" si="43"/>
        <v>0</v>
      </c>
    </row>
    <row r="316" spans="1:14">
      <c r="A316" s="78" t="s">
        <v>213</v>
      </c>
      <c r="B316" s="1092">
        <v>0</v>
      </c>
      <c r="C316" s="1092">
        <v>0</v>
      </c>
      <c r="D316" s="1092">
        <v>0</v>
      </c>
      <c r="E316" s="1092">
        <v>0</v>
      </c>
      <c r="F316" s="1092">
        <v>0</v>
      </c>
      <c r="G316" s="1092">
        <v>0</v>
      </c>
      <c r="H316" s="1092">
        <v>0</v>
      </c>
      <c r="I316" s="1092">
        <v>0</v>
      </c>
      <c r="J316" s="1092">
        <v>0</v>
      </c>
      <c r="K316" s="1092">
        <v>0</v>
      </c>
      <c r="L316" s="1092">
        <v>0</v>
      </c>
      <c r="M316" s="1092">
        <v>0</v>
      </c>
      <c r="N316" s="27">
        <f t="shared" si="43"/>
        <v>0</v>
      </c>
    </row>
    <row r="317" spans="1:14">
      <c r="A317" s="76" t="s">
        <v>267</v>
      </c>
      <c r="B317" s="1092">
        <v>0</v>
      </c>
      <c r="C317" s="1092">
        <v>0</v>
      </c>
      <c r="D317" s="1092">
        <v>0</v>
      </c>
      <c r="E317" s="1092">
        <v>0</v>
      </c>
      <c r="F317" s="1092">
        <v>0</v>
      </c>
      <c r="G317" s="1092">
        <v>0</v>
      </c>
      <c r="H317" s="1092">
        <v>0</v>
      </c>
      <c r="I317" s="1092">
        <v>0</v>
      </c>
      <c r="J317" s="1092">
        <v>0</v>
      </c>
      <c r="K317" s="1092">
        <v>0</v>
      </c>
      <c r="L317" s="1092">
        <v>0</v>
      </c>
      <c r="M317" s="1092">
        <v>0</v>
      </c>
      <c r="N317" s="27">
        <f t="shared" si="43"/>
        <v>0</v>
      </c>
    </row>
    <row r="318" spans="1:14" ht="14" thickBot="1">
      <c r="A318" s="32" t="s">
        <v>268</v>
      </c>
      <c r="B318" s="1092">
        <v>0</v>
      </c>
      <c r="C318" s="1092">
        <v>0</v>
      </c>
      <c r="D318" s="1092">
        <v>0</v>
      </c>
      <c r="E318" s="1092">
        <v>0</v>
      </c>
      <c r="F318" s="1092">
        <v>0</v>
      </c>
      <c r="G318" s="1092">
        <v>0</v>
      </c>
      <c r="H318" s="1092">
        <v>0</v>
      </c>
      <c r="I318" s="1092">
        <v>0</v>
      </c>
      <c r="J318" s="1092">
        <v>0</v>
      </c>
      <c r="K318" s="1092">
        <v>0</v>
      </c>
      <c r="L318" s="1092">
        <v>0</v>
      </c>
      <c r="M318" s="1092">
        <v>0</v>
      </c>
      <c r="N318" s="27">
        <f>SUM(B318:M318)</f>
        <v>0</v>
      </c>
    </row>
    <row r="319" spans="1:14" ht="14" thickBot="1">
      <c r="A319" s="38" t="s">
        <v>192</v>
      </c>
      <c r="B319" s="281"/>
      <c r="C319" s="39"/>
      <c r="D319" s="39"/>
      <c r="E319" s="39"/>
      <c r="F319" s="39"/>
      <c r="G319" s="39"/>
      <c r="H319" s="39"/>
      <c r="I319" s="39"/>
      <c r="J319" s="39"/>
      <c r="K319" s="39"/>
      <c r="L319" s="39"/>
      <c r="M319" s="39"/>
      <c r="N319" s="303"/>
    </row>
    <row r="320" spans="1:14" ht="14" thickBot="1">
      <c r="A320" s="32" t="s">
        <v>165</v>
      </c>
      <c r="B320" s="1092">
        <v>0</v>
      </c>
      <c r="C320" s="1092">
        <v>0</v>
      </c>
      <c r="D320" s="1092">
        <v>0</v>
      </c>
      <c r="E320" s="1092">
        <v>0</v>
      </c>
      <c r="F320" s="1092">
        <v>0</v>
      </c>
      <c r="G320" s="1092">
        <v>0</v>
      </c>
      <c r="H320" s="1092">
        <v>0</v>
      </c>
      <c r="I320" s="1092">
        <v>0</v>
      </c>
      <c r="J320" s="1092">
        <v>0</v>
      </c>
      <c r="K320" s="1092">
        <v>0</v>
      </c>
      <c r="L320" s="1092">
        <v>0</v>
      </c>
      <c r="M320" s="1092">
        <v>0</v>
      </c>
      <c r="N320" s="27">
        <f>SUM(B320:M320)</f>
        <v>0</v>
      </c>
    </row>
    <row r="321" spans="1:14" ht="14" thickBot="1">
      <c r="A321" s="53" t="s">
        <v>60</v>
      </c>
      <c r="B321" s="55">
        <f>SUM(B307:B320)</f>
        <v>0</v>
      </c>
      <c r="C321" s="55">
        <f t="shared" ref="C321:M321" si="44">SUM(C307:C320)</f>
        <v>0</v>
      </c>
      <c r="D321" s="55">
        <f t="shared" si="44"/>
        <v>0</v>
      </c>
      <c r="E321" s="55">
        <f t="shared" si="44"/>
        <v>0</v>
      </c>
      <c r="F321" s="55">
        <f t="shared" si="44"/>
        <v>0</v>
      </c>
      <c r="G321" s="55">
        <f t="shared" si="44"/>
        <v>0</v>
      </c>
      <c r="H321" s="55">
        <f t="shared" si="44"/>
        <v>0</v>
      </c>
      <c r="I321" s="55">
        <f t="shared" si="44"/>
        <v>0</v>
      </c>
      <c r="J321" s="55">
        <f t="shared" si="44"/>
        <v>0</v>
      </c>
      <c r="K321" s="55">
        <f t="shared" si="44"/>
        <v>0</v>
      </c>
      <c r="L321" s="55">
        <f t="shared" si="44"/>
        <v>0</v>
      </c>
      <c r="M321" s="55">
        <f t="shared" si="44"/>
        <v>0</v>
      </c>
      <c r="N321" s="302">
        <f>SUM(N307:N320)</f>
        <v>0</v>
      </c>
    </row>
    <row r="323" spans="1:14" ht="14" thickBot="1">
      <c r="B323" s="43" t="s">
        <v>35</v>
      </c>
      <c r="C323" s="43" t="s">
        <v>36</v>
      </c>
      <c r="D323" s="43" t="s">
        <v>37</v>
      </c>
      <c r="E323" s="43" t="s">
        <v>38</v>
      </c>
      <c r="F323" s="43" t="s">
        <v>39</v>
      </c>
      <c r="G323" s="43" t="s">
        <v>40</v>
      </c>
      <c r="H323" s="43" t="s">
        <v>41</v>
      </c>
      <c r="I323" s="43" t="s">
        <v>42</v>
      </c>
      <c r="J323" s="43" t="s">
        <v>43</v>
      </c>
      <c r="K323" s="43" t="s">
        <v>44</v>
      </c>
      <c r="L323" s="43" t="s">
        <v>45</v>
      </c>
      <c r="M323" s="43" t="s">
        <v>46</v>
      </c>
      <c r="N323" s="43" t="s">
        <v>10</v>
      </c>
    </row>
    <row r="324" spans="1:14" ht="17" thickBot="1">
      <c r="A324" s="31" t="s">
        <v>317</v>
      </c>
      <c r="B324" s="24"/>
      <c r="C324" s="24"/>
      <c r="D324" s="22"/>
      <c r="E324" s="22"/>
      <c r="F324" s="25"/>
      <c r="G324" s="25"/>
      <c r="H324" s="22"/>
      <c r="I324" s="22"/>
      <c r="J324" s="22"/>
      <c r="K324" s="22"/>
      <c r="L324" s="24"/>
      <c r="M324" s="24"/>
      <c r="N324" s="26"/>
    </row>
    <row r="325" spans="1:14" ht="14" thickBot="1">
      <c r="A325" s="38" t="s">
        <v>189</v>
      </c>
      <c r="B325" s="39"/>
      <c r="C325" s="39"/>
      <c r="D325" s="39"/>
      <c r="E325" s="39"/>
      <c r="F325" s="39"/>
      <c r="G325" s="39"/>
      <c r="H325" s="39"/>
      <c r="I325" s="39"/>
      <c r="J325" s="39"/>
      <c r="K325" s="39"/>
      <c r="L325" s="39"/>
      <c r="M325" s="39"/>
      <c r="N325" s="40"/>
    </row>
    <row r="326" spans="1:14">
      <c r="A326" s="32" t="s">
        <v>29</v>
      </c>
      <c r="B326" s="1092">
        <v>0</v>
      </c>
      <c r="C326" s="1092">
        <v>0</v>
      </c>
      <c r="D326" s="1092">
        <v>0</v>
      </c>
      <c r="E326" s="1092">
        <v>2</v>
      </c>
      <c r="F326" s="1092">
        <v>0</v>
      </c>
      <c r="G326" s="1092">
        <v>0</v>
      </c>
      <c r="H326" s="1092">
        <v>0</v>
      </c>
      <c r="I326" s="1092">
        <v>0</v>
      </c>
      <c r="J326" s="1092">
        <v>0</v>
      </c>
      <c r="K326" s="1092">
        <v>0</v>
      </c>
      <c r="L326" s="1092">
        <v>0</v>
      </c>
      <c r="M326" s="1092">
        <v>0</v>
      </c>
      <c r="N326" s="27">
        <f t="shared" ref="N326:N333" si="45">SUM(B326:M326)</f>
        <v>2</v>
      </c>
    </row>
    <row r="327" spans="1:14">
      <c r="A327" s="32" t="s">
        <v>33</v>
      </c>
      <c r="B327" s="1092">
        <v>0</v>
      </c>
      <c r="C327" s="1092">
        <v>0</v>
      </c>
      <c r="D327" s="1092">
        <v>2</v>
      </c>
      <c r="E327" s="1092">
        <v>0</v>
      </c>
      <c r="F327" s="1092">
        <v>0</v>
      </c>
      <c r="G327" s="1092">
        <v>0</v>
      </c>
      <c r="H327" s="1092">
        <v>1</v>
      </c>
      <c r="I327" s="1092">
        <v>0</v>
      </c>
      <c r="J327" s="1092">
        <v>1</v>
      </c>
      <c r="K327" s="1092">
        <v>1</v>
      </c>
      <c r="L327" s="1092">
        <v>0</v>
      </c>
      <c r="M327" s="1092">
        <v>0</v>
      </c>
      <c r="N327" s="27">
        <f t="shared" si="45"/>
        <v>5</v>
      </c>
    </row>
    <row r="328" spans="1:14">
      <c r="A328" s="32" t="s">
        <v>56</v>
      </c>
      <c r="B328" s="1092">
        <v>0</v>
      </c>
      <c r="C328" s="1092">
        <v>0</v>
      </c>
      <c r="D328" s="1092">
        <v>0</v>
      </c>
      <c r="E328" s="1092">
        <v>0</v>
      </c>
      <c r="F328" s="1092">
        <v>0</v>
      </c>
      <c r="G328" s="1092">
        <v>0</v>
      </c>
      <c r="H328" s="1092">
        <v>0</v>
      </c>
      <c r="I328" s="1092">
        <v>0</v>
      </c>
      <c r="J328" s="1092">
        <v>0</v>
      </c>
      <c r="K328" s="1092">
        <v>0</v>
      </c>
      <c r="L328" s="1092">
        <v>0</v>
      </c>
      <c r="M328" s="1092">
        <v>0</v>
      </c>
      <c r="N328" s="27">
        <f t="shared" si="45"/>
        <v>0</v>
      </c>
    </row>
    <row r="329" spans="1:14">
      <c r="A329" s="78" t="s">
        <v>30</v>
      </c>
      <c r="B329" s="1092">
        <v>0</v>
      </c>
      <c r="C329" s="1092">
        <v>0</v>
      </c>
      <c r="D329" s="1092">
        <v>0</v>
      </c>
      <c r="E329" s="1092">
        <v>0</v>
      </c>
      <c r="F329" s="1092">
        <v>0</v>
      </c>
      <c r="G329" s="1092">
        <v>0</v>
      </c>
      <c r="H329" s="1092">
        <v>0</v>
      </c>
      <c r="I329" s="1092">
        <v>0</v>
      </c>
      <c r="J329" s="1092">
        <v>0</v>
      </c>
      <c r="K329" s="1092">
        <v>1</v>
      </c>
      <c r="L329" s="1092">
        <v>0</v>
      </c>
      <c r="M329" s="1092">
        <v>0</v>
      </c>
      <c r="N329" s="27">
        <f t="shared" si="45"/>
        <v>1</v>
      </c>
    </row>
    <row r="330" spans="1:14">
      <c r="A330" s="76" t="s">
        <v>213</v>
      </c>
      <c r="B330" s="1092">
        <v>0</v>
      </c>
      <c r="C330" s="1092">
        <v>0</v>
      </c>
      <c r="D330" s="1092">
        <v>1</v>
      </c>
      <c r="E330" s="1092">
        <v>0</v>
      </c>
      <c r="F330" s="1092">
        <v>0</v>
      </c>
      <c r="G330" s="1092">
        <v>0</v>
      </c>
      <c r="H330" s="1092">
        <v>0</v>
      </c>
      <c r="I330" s="1092">
        <v>0</v>
      </c>
      <c r="J330" s="1092">
        <v>0</v>
      </c>
      <c r="K330" s="1092">
        <v>1</v>
      </c>
      <c r="L330" s="1092">
        <v>0</v>
      </c>
      <c r="M330" s="1092">
        <v>0</v>
      </c>
      <c r="N330" s="27">
        <f t="shared" si="45"/>
        <v>2</v>
      </c>
    </row>
    <row r="331" spans="1:14">
      <c r="A331" s="76" t="s">
        <v>212</v>
      </c>
      <c r="B331" s="1092">
        <v>0</v>
      </c>
      <c r="C331" s="1092">
        <v>0</v>
      </c>
      <c r="D331" s="1092">
        <v>0</v>
      </c>
      <c r="E331" s="1092">
        <v>0</v>
      </c>
      <c r="F331" s="1092">
        <v>0</v>
      </c>
      <c r="G331" s="1092">
        <v>0</v>
      </c>
      <c r="H331" s="1092">
        <v>0</v>
      </c>
      <c r="I331" s="1092">
        <v>0</v>
      </c>
      <c r="J331" s="1092">
        <v>0</v>
      </c>
      <c r="K331" s="1092">
        <v>0</v>
      </c>
      <c r="L331" s="1092">
        <v>0</v>
      </c>
      <c r="M331" s="1092">
        <v>0</v>
      </c>
      <c r="N331" s="27">
        <f t="shared" si="45"/>
        <v>0</v>
      </c>
    </row>
    <row r="332" spans="1:14">
      <c r="A332" s="76" t="s">
        <v>331</v>
      </c>
      <c r="B332" s="1092">
        <v>0</v>
      </c>
      <c r="C332" s="1092">
        <v>0</v>
      </c>
      <c r="D332" s="1092">
        <v>0</v>
      </c>
      <c r="E332" s="1092">
        <v>0</v>
      </c>
      <c r="F332" s="1092">
        <v>0</v>
      </c>
      <c r="G332" s="1092">
        <v>0</v>
      </c>
      <c r="H332" s="1092">
        <v>0</v>
      </c>
      <c r="I332" s="1092">
        <v>0</v>
      </c>
      <c r="J332" s="1092">
        <v>0</v>
      </c>
      <c r="K332" s="1092">
        <v>0</v>
      </c>
      <c r="L332" s="1092">
        <v>0</v>
      </c>
      <c r="M332" s="1092">
        <v>0</v>
      </c>
      <c r="N332" s="27">
        <f t="shared" si="45"/>
        <v>0</v>
      </c>
    </row>
    <row r="333" spans="1:14" ht="14" thickBot="1">
      <c r="A333" s="76" t="s">
        <v>267</v>
      </c>
      <c r="B333" s="1092">
        <v>0</v>
      </c>
      <c r="C333" s="1092">
        <v>0</v>
      </c>
      <c r="D333" s="1092">
        <v>0</v>
      </c>
      <c r="E333" s="1092">
        <v>0</v>
      </c>
      <c r="F333" s="1092">
        <v>0</v>
      </c>
      <c r="G333" s="1092">
        <v>0</v>
      </c>
      <c r="H333" s="1092">
        <v>0</v>
      </c>
      <c r="I333" s="1092">
        <v>0</v>
      </c>
      <c r="J333" s="1092">
        <v>0</v>
      </c>
      <c r="K333" s="1092">
        <v>0</v>
      </c>
      <c r="L333" s="1092">
        <v>0</v>
      </c>
      <c r="M333" s="1092">
        <v>0</v>
      </c>
      <c r="N333" s="27">
        <f t="shared" si="45"/>
        <v>0</v>
      </c>
    </row>
    <row r="334" spans="1:14" ht="14" thickBot="1">
      <c r="A334" s="38" t="s">
        <v>190</v>
      </c>
      <c r="B334" s="281"/>
      <c r="C334" s="39"/>
      <c r="D334" s="39"/>
      <c r="E334" s="39"/>
      <c r="F334" s="39"/>
      <c r="G334" s="39"/>
      <c r="H334" s="39"/>
      <c r="I334" s="39"/>
      <c r="J334" s="39"/>
      <c r="K334" s="39"/>
      <c r="L334" s="39"/>
      <c r="M334" s="39"/>
      <c r="N334" s="280"/>
    </row>
    <row r="335" spans="1:14">
      <c r="A335" s="76" t="s">
        <v>165</v>
      </c>
      <c r="B335" s="1092">
        <v>0</v>
      </c>
      <c r="C335" s="1092">
        <v>0</v>
      </c>
      <c r="D335" s="1092">
        <v>0</v>
      </c>
      <c r="E335" s="1092">
        <v>0</v>
      </c>
      <c r="F335" s="1092">
        <v>0</v>
      </c>
      <c r="G335" s="1092">
        <v>0</v>
      </c>
      <c r="H335" s="1092">
        <v>0</v>
      </c>
      <c r="I335" s="1092">
        <v>0</v>
      </c>
      <c r="J335" s="1092">
        <v>0</v>
      </c>
      <c r="K335" s="1092">
        <v>0</v>
      </c>
      <c r="L335" s="1092">
        <v>0</v>
      </c>
      <c r="M335" s="1092">
        <v>0</v>
      </c>
      <c r="N335" s="27">
        <f>SUM(B335:M335)</f>
        <v>0</v>
      </c>
    </row>
    <row r="336" spans="1:14">
      <c r="A336" s="76" t="s">
        <v>166</v>
      </c>
      <c r="B336" s="1092">
        <v>0</v>
      </c>
      <c r="C336" s="1092">
        <v>0</v>
      </c>
      <c r="D336" s="1092">
        <v>1</v>
      </c>
      <c r="E336" s="1092">
        <v>0</v>
      </c>
      <c r="F336" s="1092">
        <v>0</v>
      </c>
      <c r="G336" s="1092">
        <v>0</v>
      </c>
      <c r="H336" s="1092">
        <v>0</v>
      </c>
      <c r="I336" s="1092">
        <v>0</v>
      </c>
      <c r="J336" s="1092">
        <v>0</v>
      </c>
      <c r="K336" s="1092">
        <v>0</v>
      </c>
      <c r="L336" s="1092">
        <v>0</v>
      </c>
      <c r="M336" s="1092">
        <v>0</v>
      </c>
      <c r="N336" s="27">
        <f>SUM(B336:M336)</f>
        <v>1</v>
      </c>
    </row>
    <row r="337" spans="1:14">
      <c r="A337" s="76" t="s">
        <v>336</v>
      </c>
      <c r="B337" s="1092">
        <v>0</v>
      </c>
      <c r="C337" s="1092">
        <v>0</v>
      </c>
      <c r="D337" s="1092">
        <v>0</v>
      </c>
      <c r="E337" s="1092">
        <v>0</v>
      </c>
      <c r="F337" s="1092">
        <v>0</v>
      </c>
      <c r="G337" s="1092">
        <v>0</v>
      </c>
      <c r="H337" s="1092">
        <v>0</v>
      </c>
      <c r="I337" s="1092">
        <v>0</v>
      </c>
      <c r="J337" s="1092">
        <v>0</v>
      </c>
      <c r="K337" s="1092">
        <v>0</v>
      </c>
      <c r="L337" s="1092">
        <v>0</v>
      </c>
      <c r="M337" s="1092">
        <v>0</v>
      </c>
      <c r="N337" s="27">
        <f>SUM(B337:M337)</f>
        <v>0</v>
      </c>
    </row>
    <row r="338" spans="1:14" ht="14" thickBot="1">
      <c r="A338" s="76" t="s">
        <v>266</v>
      </c>
      <c r="B338" s="1092">
        <v>0</v>
      </c>
      <c r="C338" s="1092">
        <v>0</v>
      </c>
      <c r="D338" s="1092">
        <v>0</v>
      </c>
      <c r="E338" s="1092">
        <v>2</v>
      </c>
      <c r="F338" s="1092">
        <v>0</v>
      </c>
      <c r="G338" s="1092">
        <v>1</v>
      </c>
      <c r="H338" s="1092">
        <v>0</v>
      </c>
      <c r="I338" s="1092">
        <v>0</v>
      </c>
      <c r="J338" s="1092">
        <v>0</v>
      </c>
      <c r="K338" s="1092">
        <v>0</v>
      </c>
      <c r="L338" s="1092">
        <v>0</v>
      </c>
      <c r="M338" s="1092">
        <v>0</v>
      </c>
      <c r="N338" s="27">
        <f>SUM(B338:M338)</f>
        <v>3</v>
      </c>
    </row>
    <row r="339" spans="1:14" ht="14" thickBot="1">
      <c r="A339" s="53" t="s">
        <v>60</v>
      </c>
      <c r="B339" s="55">
        <f t="shared" ref="B339:N339" si="46">SUM(B326:B338)</f>
        <v>0</v>
      </c>
      <c r="C339" s="55">
        <f t="shared" si="46"/>
        <v>0</v>
      </c>
      <c r="D339" s="55">
        <f t="shared" si="46"/>
        <v>4</v>
      </c>
      <c r="E339" s="55">
        <f t="shared" si="46"/>
        <v>4</v>
      </c>
      <c r="F339" s="55">
        <f t="shared" si="46"/>
        <v>0</v>
      </c>
      <c r="G339" s="55">
        <f t="shared" si="46"/>
        <v>1</v>
      </c>
      <c r="H339" s="55">
        <f t="shared" si="46"/>
        <v>1</v>
      </c>
      <c r="I339" s="55">
        <f t="shared" si="46"/>
        <v>0</v>
      </c>
      <c r="J339" s="55">
        <f t="shared" si="46"/>
        <v>1</v>
      </c>
      <c r="K339" s="55">
        <f t="shared" si="46"/>
        <v>3</v>
      </c>
      <c r="L339" s="55">
        <f t="shared" si="46"/>
        <v>0</v>
      </c>
      <c r="M339" s="55">
        <f t="shared" si="46"/>
        <v>0</v>
      </c>
      <c r="N339" s="54">
        <f t="shared" si="46"/>
        <v>14</v>
      </c>
    </row>
    <row r="340" spans="1:14" ht="14" thickBot="1">
      <c r="A340" s="38" t="s">
        <v>194</v>
      </c>
      <c r="B340" s="39"/>
      <c r="C340" s="39"/>
      <c r="D340" s="39"/>
      <c r="E340" s="39"/>
      <c r="F340" s="39"/>
      <c r="G340" s="39"/>
      <c r="H340" s="39"/>
      <c r="I340" s="39"/>
      <c r="J340" s="39"/>
      <c r="K340" s="39"/>
      <c r="L340" s="39"/>
      <c r="M340" s="39"/>
      <c r="N340" s="40"/>
    </row>
    <row r="341" spans="1:14">
      <c r="A341" s="32" t="s">
        <v>29</v>
      </c>
      <c r="B341" s="1092">
        <v>0</v>
      </c>
      <c r="C341" s="1092">
        <v>0</v>
      </c>
      <c r="D341" s="1092">
        <v>0</v>
      </c>
      <c r="E341" s="1092">
        <v>0</v>
      </c>
      <c r="F341" s="1092">
        <v>0</v>
      </c>
      <c r="G341" s="1092">
        <v>0</v>
      </c>
      <c r="H341" s="1092">
        <v>0</v>
      </c>
      <c r="I341" s="1092">
        <v>0</v>
      </c>
      <c r="J341" s="1092">
        <v>0</v>
      </c>
      <c r="K341" s="1092">
        <v>0</v>
      </c>
      <c r="L341" s="1092">
        <v>0</v>
      </c>
      <c r="M341" s="1092">
        <v>0</v>
      </c>
      <c r="N341" s="27">
        <f>SUM(B341:M341)</f>
        <v>0</v>
      </c>
    </row>
    <row r="342" spans="1:14">
      <c r="A342" s="78" t="s">
        <v>264</v>
      </c>
      <c r="B342" s="1092">
        <v>0</v>
      </c>
      <c r="C342" s="1092">
        <v>0</v>
      </c>
      <c r="D342" s="1092">
        <v>0</v>
      </c>
      <c r="E342" s="1092">
        <v>0</v>
      </c>
      <c r="F342" s="1092">
        <v>0</v>
      </c>
      <c r="G342" s="1092">
        <v>0</v>
      </c>
      <c r="H342" s="1092">
        <v>0</v>
      </c>
      <c r="I342" s="1092">
        <v>0</v>
      </c>
      <c r="J342" s="1092">
        <v>0</v>
      </c>
      <c r="K342" s="1092">
        <v>0</v>
      </c>
      <c r="L342" s="1092">
        <v>0</v>
      </c>
      <c r="M342" s="1092">
        <v>0</v>
      </c>
      <c r="N342" s="27">
        <f t="shared" ref="N342:N351" si="47">SUM(B342:M342)</f>
        <v>0</v>
      </c>
    </row>
    <row r="343" spans="1:14">
      <c r="A343" s="34" t="s">
        <v>204</v>
      </c>
      <c r="B343" s="1092">
        <v>0</v>
      </c>
      <c r="C343" s="1092">
        <v>0</v>
      </c>
      <c r="D343" s="1092">
        <v>0</v>
      </c>
      <c r="E343" s="1092">
        <v>0</v>
      </c>
      <c r="F343" s="1092">
        <v>0</v>
      </c>
      <c r="G343" s="1092">
        <v>0</v>
      </c>
      <c r="H343" s="1092">
        <v>0</v>
      </c>
      <c r="I343" s="1092">
        <v>0</v>
      </c>
      <c r="J343" s="1092">
        <v>0</v>
      </c>
      <c r="K343" s="1092">
        <v>0</v>
      </c>
      <c r="L343" s="1092">
        <v>0</v>
      </c>
      <c r="M343" s="1092">
        <v>0</v>
      </c>
      <c r="N343" s="27">
        <f t="shared" si="47"/>
        <v>0</v>
      </c>
    </row>
    <row r="344" spans="1:14">
      <c r="A344" s="76" t="s">
        <v>30</v>
      </c>
      <c r="B344" s="1092">
        <v>0</v>
      </c>
      <c r="C344" s="1092">
        <v>0</v>
      </c>
      <c r="D344" s="1092">
        <v>0</v>
      </c>
      <c r="E344" s="1092">
        <v>0</v>
      </c>
      <c r="F344" s="1092">
        <v>0</v>
      </c>
      <c r="G344" s="1092">
        <v>0</v>
      </c>
      <c r="H344" s="1092">
        <v>0</v>
      </c>
      <c r="I344" s="1092">
        <v>0</v>
      </c>
      <c r="J344" s="1092">
        <v>0</v>
      </c>
      <c r="K344" s="1092">
        <v>0</v>
      </c>
      <c r="L344" s="1092">
        <v>0</v>
      </c>
      <c r="M344" s="1092">
        <v>0</v>
      </c>
      <c r="N344" s="27">
        <f t="shared" si="47"/>
        <v>0</v>
      </c>
    </row>
    <row r="345" spans="1:14">
      <c r="A345" s="32" t="s">
        <v>56</v>
      </c>
      <c r="B345" s="1092">
        <v>0</v>
      </c>
      <c r="C345" s="1092">
        <v>0</v>
      </c>
      <c r="D345" s="1092">
        <v>0</v>
      </c>
      <c r="E345" s="1092">
        <v>0</v>
      </c>
      <c r="F345" s="1092">
        <v>0</v>
      </c>
      <c r="G345" s="1092">
        <v>0</v>
      </c>
      <c r="H345" s="1092">
        <v>0</v>
      </c>
      <c r="I345" s="1092">
        <v>0</v>
      </c>
      <c r="J345" s="1092">
        <v>0</v>
      </c>
      <c r="K345" s="1092">
        <v>0</v>
      </c>
      <c r="L345" s="1092">
        <v>0</v>
      </c>
      <c r="M345" s="1092">
        <v>0</v>
      </c>
      <c r="N345" s="27">
        <f t="shared" si="47"/>
        <v>0</v>
      </c>
    </row>
    <row r="346" spans="1:14">
      <c r="A346" s="78" t="s">
        <v>122</v>
      </c>
      <c r="B346" s="1092">
        <v>0</v>
      </c>
      <c r="C346" s="1092">
        <v>0</v>
      </c>
      <c r="D346" s="1092">
        <v>0</v>
      </c>
      <c r="E346" s="1092">
        <v>0</v>
      </c>
      <c r="F346" s="1092">
        <v>0</v>
      </c>
      <c r="G346" s="1092">
        <v>0</v>
      </c>
      <c r="H346" s="1092">
        <v>0</v>
      </c>
      <c r="I346" s="1092">
        <v>0</v>
      </c>
      <c r="J346" s="1092">
        <v>0</v>
      </c>
      <c r="K346" s="1092">
        <v>0</v>
      </c>
      <c r="L346" s="1092">
        <v>0</v>
      </c>
      <c r="M346" s="1092">
        <v>0</v>
      </c>
      <c r="N346" s="27">
        <f t="shared" si="47"/>
        <v>0</v>
      </c>
    </row>
    <row r="347" spans="1:14">
      <c r="A347" s="78" t="s">
        <v>184</v>
      </c>
      <c r="B347" s="1092">
        <v>0</v>
      </c>
      <c r="C347" s="1092">
        <v>0</v>
      </c>
      <c r="D347" s="1092">
        <v>0</v>
      </c>
      <c r="E347" s="1092">
        <v>0</v>
      </c>
      <c r="F347" s="1092">
        <v>0</v>
      </c>
      <c r="G347" s="1092">
        <v>0</v>
      </c>
      <c r="H347" s="1092">
        <v>0</v>
      </c>
      <c r="I347" s="1092">
        <v>0</v>
      </c>
      <c r="J347" s="1092">
        <v>0</v>
      </c>
      <c r="K347" s="1092">
        <v>0</v>
      </c>
      <c r="L347" s="1092">
        <v>0</v>
      </c>
      <c r="M347" s="1092">
        <v>0</v>
      </c>
      <c r="N347" s="27">
        <f t="shared" si="47"/>
        <v>0</v>
      </c>
    </row>
    <row r="348" spans="1:14">
      <c r="A348" s="78" t="s">
        <v>187</v>
      </c>
      <c r="B348" s="1092">
        <v>0</v>
      </c>
      <c r="C348" s="1092">
        <v>0</v>
      </c>
      <c r="D348" s="1092">
        <v>0</v>
      </c>
      <c r="E348" s="1092">
        <v>0</v>
      </c>
      <c r="F348" s="1092">
        <v>0</v>
      </c>
      <c r="G348" s="1092">
        <v>0</v>
      </c>
      <c r="H348" s="1092">
        <v>0</v>
      </c>
      <c r="I348" s="1092">
        <v>0</v>
      </c>
      <c r="J348" s="1092">
        <v>0</v>
      </c>
      <c r="K348" s="1092">
        <v>0</v>
      </c>
      <c r="L348" s="1092">
        <v>0</v>
      </c>
      <c r="M348" s="1092">
        <v>0</v>
      </c>
      <c r="N348" s="27">
        <f t="shared" si="47"/>
        <v>0</v>
      </c>
    </row>
    <row r="349" spans="1:14">
      <c r="A349" s="78" t="s">
        <v>188</v>
      </c>
      <c r="B349" s="1092">
        <v>0</v>
      </c>
      <c r="C349" s="1092">
        <v>0</v>
      </c>
      <c r="D349" s="1092">
        <v>0</v>
      </c>
      <c r="E349" s="1092">
        <v>0</v>
      </c>
      <c r="F349" s="1092">
        <v>0</v>
      </c>
      <c r="G349" s="1092">
        <v>0</v>
      </c>
      <c r="H349" s="1092">
        <v>0</v>
      </c>
      <c r="I349" s="1092">
        <v>0</v>
      </c>
      <c r="J349" s="1092">
        <v>0</v>
      </c>
      <c r="K349" s="1092">
        <v>0</v>
      </c>
      <c r="L349" s="1092">
        <v>0</v>
      </c>
      <c r="M349" s="1092">
        <v>0</v>
      </c>
      <c r="N349" s="27">
        <f t="shared" si="47"/>
        <v>0</v>
      </c>
    </row>
    <row r="350" spans="1:14">
      <c r="A350" s="78" t="s">
        <v>213</v>
      </c>
      <c r="B350" s="1092">
        <v>0</v>
      </c>
      <c r="C350" s="1092">
        <v>0</v>
      </c>
      <c r="D350" s="1092">
        <v>0</v>
      </c>
      <c r="E350" s="1092">
        <v>0</v>
      </c>
      <c r="F350" s="1092">
        <v>0</v>
      </c>
      <c r="G350" s="1092">
        <v>0</v>
      </c>
      <c r="H350" s="1092">
        <v>0</v>
      </c>
      <c r="I350" s="1092">
        <v>0</v>
      </c>
      <c r="J350" s="1092">
        <v>0</v>
      </c>
      <c r="K350" s="1092">
        <v>0</v>
      </c>
      <c r="L350" s="1092">
        <v>0</v>
      </c>
      <c r="M350" s="1092">
        <v>0</v>
      </c>
      <c r="N350" s="27">
        <f t="shared" si="47"/>
        <v>0</v>
      </c>
    </row>
    <row r="351" spans="1:14">
      <c r="A351" s="76" t="s">
        <v>267</v>
      </c>
      <c r="B351" s="1092">
        <v>0</v>
      </c>
      <c r="C351" s="1092">
        <v>0</v>
      </c>
      <c r="D351" s="1092">
        <v>0</v>
      </c>
      <c r="E351" s="1092">
        <v>0</v>
      </c>
      <c r="F351" s="1092">
        <v>0</v>
      </c>
      <c r="G351" s="1092">
        <v>0</v>
      </c>
      <c r="H351" s="1092">
        <v>0</v>
      </c>
      <c r="I351" s="1092">
        <v>0</v>
      </c>
      <c r="J351" s="1092">
        <v>0</v>
      </c>
      <c r="K351" s="1092">
        <v>0</v>
      </c>
      <c r="L351" s="1092">
        <v>0</v>
      </c>
      <c r="M351" s="1092">
        <v>0</v>
      </c>
      <c r="N351" s="27">
        <f t="shared" si="47"/>
        <v>0</v>
      </c>
    </row>
    <row r="352" spans="1:14" ht="14" thickBot="1">
      <c r="A352" s="32" t="s">
        <v>268</v>
      </c>
      <c r="B352" s="1092">
        <v>0</v>
      </c>
      <c r="C352" s="1092">
        <v>0</v>
      </c>
      <c r="D352" s="1092">
        <v>0</v>
      </c>
      <c r="E352" s="1092">
        <v>0</v>
      </c>
      <c r="F352" s="1092">
        <v>0</v>
      </c>
      <c r="G352" s="1092">
        <v>0</v>
      </c>
      <c r="H352" s="1092">
        <v>0</v>
      </c>
      <c r="I352" s="1092">
        <v>0</v>
      </c>
      <c r="J352" s="1092">
        <v>0</v>
      </c>
      <c r="K352" s="1092">
        <v>0</v>
      </c>
      <c r="L352" s="1092">
        <v>0</v>
      </c>
      <c r="M352" s="1092">
        <v>0</v>
      </c>
      <c r="N352" s="27">
        <f>SUM(B352:M352)</f>
        <v>0</v>
      </c>
    </row>
    <row r="353" spans="1:14" ht="14" thickBot="1">
      <c r="A353" s="38" t="s">
        <v>192</v>
      </c>
      <c r="B353" s="281"/>
      <c r="C353" s="39"/>
      <c r="D353" s="39"/>
      <c r="E353" s="39"/>
      <c r="F353" s="39"/>
      <c r="G353" s="39"/>
      <c r="H353" s="39"/>
      <c r="I353" s="39"/>
      <c r="J353" s="39"/>
      <c r="K353" s="39"/>
      <c r="L353" s="39"/>
      <c r="M353" s="39"/>
      <c r="N353" s="303"/>
    </row>
    <row r="354" spans="1:14" ht="14" thickBot="1">
      <c r="A354" s="32" t="s">
        <v>165</v>
      </c>
      <c r="B354" s="1092">
        <v>0</v>
      </c>
      <c r="C354" s="1092">
        <v>0</v>
      </c>
      <c r="D354" s="1092">
        <v>0</v>
      </c>
      <c r="E354" s="1092">
        <v>0</v>
      </c>
      <c r="F354" s="1092">
        <v>0</v>
      </c>
      <c r="G354" s="1092">
        <v>0</v>
      </c>
      <c r="H354" s="1092">
        <v>0</v>
      </c>
      <c r="I354" s="1092">
        <v>0</v>
      </c>
      <c r="J354" s="1092">
        <v>0</v>
      </c>
      <c r="K354" s="1092">
        <v>0</v>
      </c>
      <c r="L354" s="1092">
        <v>0</v>
      </c>
      <c r="M354" s="1092">
        <v>0</v>
      </c>
      <c r="N354" s="27">
        <f>SUM(B354:M354)</f>
        <v>0</v>
      </c>
    </row>
    <row r="355" spans="1:14" ht="14" thickBot="1">
      <c r="A355" s="53" t="s">
        <v>60</v>
      </c>
      <c r="B355" s="55">
        <f>SUM(B341:B354)</f>
        <v>0</v>
      </c>
      <c r="C355" s="55">
        <f t="shared" ref="C355:M355" si="48">SUM(C341:C354)</f>
        <v>0</v>
      </c>
      <c r="D355" s="55">
        <f t="shared" si="48"/>
        <v>0</v>
      </c>
      <c r="E355" s="55">
        <f t="shared" si="48"/>
        <v>0</v>
      </c>
      <c r="F355" s="55">
        <f t="shared" si="48"/>
        <v>0</v>
      </c>
      <c r="G355" s="55">
        <f t="shared" si="48"/>
        <v>0</v>
      </c>
      <c r="H355" s="55">
        <f t="shared" si="48"/>
        <v>0</v>
      </c>
      <c r="I355" s="55">
        <f t="shared" si="48"/>
        <v>0</v>
      </c>
      <c r="J355" s="55">
        <f t="shared" si="48"/>
        <v>0</v>
      </c>
      <c r="K355" s="55">
        <f t="shared" si="48"/>
        <v>0</v>
      </c>
      <c r="L355" s="55">
        <f t="shared" si="48"/>
        <v>0</v>
      </c>
      <c r="M355" s="55">
        <f t="shared" si="48"/>
        <v>0</v>
      </c>
      <c r="N355" s="302">
        <f>SUM(N341:N354)</f>
        <v>0</v>
      </c>
    </row>
    <row r="357" spans="1:14" ht="14" thickBot="1">
      <c r="B357" s="43" t="s">
        <v>35</v>
      </c>
      <c r="C357" s="43" t="s">
        <v>36</v>
      </c>
      <c r="D357" s="43" t="s">
        <v>37</v>
      </c>
      <c r="E357" s="43" t="s">
        <v>38</v>
      </c>
      <c r="F357" s="43" t="s">
        <v>39</v>
      </c>
      <c r="G357" s="43" t="s">
        <v>40</v>
      </c>
      <c r="H357" s="43" t="s">
        <v>41</v>
      </c>
      <c r="I357" s="43" t="s">
        <v>42</v>
      </c>
      <c r="J357" s="43" t="s">
        <v>43</v>
      </c>
      <c r="K357" s="43" t="s">
        <v>44</v>
      </c>
      <c r="L357" s="43" t="s">
        <v>45</v>
      </c>
      <c r="M357" s="43" t="s">
        <v>46</v>
      </c>
      <c r="N357" s="43" t="s">
        <v>10</v>
      </c>
    </row>
    <row r="358" spans="1:14" ht="17" thickBot="1">
      <c r="A358" s="31" t="s">
        <v>350</v>
      </c>
      <c r="B358" s="24"/>
      <c r="C358" s="24"/>
      <c r="D358" s="22"/>
      <c r="E358" s="22"/>
      <c r="F358" s="25"/>
      <c r="G358" s="25"/>
      <c r="H358" s="22"/>
      <c r="I358" s="22"/>
      <c r="J358" s="22"/>
      <c r="K358" s="22"/>
      <c r="L358" s="24"/>
      <c r="M358" s="24"/>
      <c r="N358" s="26"/>
    </row>
    <row r="359" spans="1:14" ht="14" thickBot="1">
      <c r="A359" s="38" t="s">
        <v>189</v>
      </c>
      <c r="B359" s="39"/>
      <c r="C359" s="39"/>
      <c r="D359" s="39"/>
      <c r="E359" s="39"/>
      <c r="F359" s="39"/>
      <c r="G359" s="39"/>
      <c r="H359" s="39"/>
      <c r="I359" s="39"/>
      <c r="J359" s="39"/>
      <c r="K359" s="39"/>
      <c r="L359" s="39"/>
      <c r="M359" s="39"/>
      <c r="N359" s="40"/>
    </row>
    <row r="360" spans="1:14">
      <c r="A360" s="32" t="s">
        <v>29</v>
      </c>
      <c r="B360" s="1092">
        <v>0</v>
      </c>
      <c r="C360" s="1092">
        <v>0</v>
      </c>
      <c r="D360" s="1092">
        <v>0</v>
      </c>
      <c r="E360" s="1092">
        <v>0</v>
      </c>
      <c r="F360" s="1092">
        <v>0</v>
      </c>
      <c r="G360" s="1092">
        <v>0</v>
      </c>
      <c r="H360" s="1092">
        <v>0</v>
      </c>
      <c r="I360" s="1092">
        <v>0</v>
      </c>
      <c r="J360" s="1092">
        <v>0</v>
      </c>
      <c r="K360" s="1092">
        <v>0</v>
      </c>
      <c r="L360" s="1092">
        <v>0</v>
      </c>
      <c r="M360" s="1092">
        <v>0</v>
      </c>
      <c r="N360" s="27">
        <f t="shared" ref="N360:N367" si="49">SUM(B360:M360)</f>
        <v>0</v>
      </c>
    </row>
    <row r="361" spans="1:14">
      <c r="A361" s="32" t="s">
        <v>33</v>
      </c>
      <c r="B361" s="1092">
        <v>0</v>
      </c>
      <c r="C361" s="1092">
        <v>1</v>
      </c>
      <c r="D361" s="1092">
        <v>0</v>
      </c>
      <c r="E361" s="1092">
        <v>0</v>
      </c>
      <c r="F361" s="1092">
        <v>0</v>
      </c>
      <c r="G361" s="1092">
        <v>0</v>
      </c>
      <c r="H361" s="1092">
        <v>0</v>
      </c>
      <c r="I361" s="1092">
        <v>2</v>
      </c>
      <c r="J361" s="1092">
        <v>1</v>
      </c>
      <c r="K361" s="1092">
        <v>0</v>
      </c>
      <c r="L361" s="1092">
        <v>0</v>
      </c>
      <c r="M361" s="1092">
        <v>0</v>
      </c>
      <c r="N361" s="27">
        <f t="shared" si="49"/>
        <v>4</v>
      </c>
    </row>
    <row r="362" spans="1:14">
      <c r="A362" s="32" t="s">
        <v>56</v>
      </c>
      <c r="B362" s="1092">
        <v>0</v>
      </c>
      <c r="C362" s="1092">
        <v>0</v>
      </c>
      <c r="D362" s="1092">
        <v>0</v>
      </c>
      <c r="E362" s="1092">
        <v>0</v>
      </c>
      <c r="F362" s="1092">
        <v>0</v>
      </c>
      <c r="G362" s="1092">
        <v>0</v>
      </c>
      <c r="H362" s="1092">
        <v>0</v>
      </c>
      <c r="I362" s="1092">
        <v>0</v>
      </c>
      <c r="J362" s="1092">
        <v>0</v>
      </c>
      <c r="K362" s="1092">
        <v>0</v>
      </c>
      <c r="L362" s="1092">
        <v>0</v>
      </c>
      <c r="M362" s="1092">
        <v>0</v>
      </c>
      <c r="N362" s="27">
        <f t="shared" si="49"/>
        <v>0</v>
      </c>
    </row>
    <row r="363" spans="1:14">
      <c r="A363" s="78" t="s">
        <v>30</v>
      </c>
      <c r="B363" s="1092">
        <v>0</v>
      </c>
      <c r="C363" s="1092">
        <v>0</v>
      </c>
      <c r="D363" s="1092">
        <v>0</v>
      </c>
      <c r="E363" s="1092">
        <v>0</v>
      </c>
      <c r="F363" s="1092">
        <v>0</v>
      </c>
      <c r="G363" s="1092">
        <v>0</v>
      </c>
      <c r="H363" s="1092">
        <v>0</v>
      </c>
      <c r="I363" s="1092">
        <v>2</v>
      </c>
      <c r="J363" s="1092">
        <v>0</v>
      </c>
      <c r="K363" s="1092">
        <v>0</v>
      </c>
      <c r="L363" s="1092">
        <v>0</v>
      </c>
      <c r="M363" s="1092">
        <v>0</v>
      </c>
      <c r="N363" s="27">
        <f t="shared" si="49"/>
        <v>2</v>
      </c>
    </row>
    <row r="364" spans="1:14">
      <c r="A364" s="76" t="s">
        <v>213</v>
      </c>
      <c r="B364" s="1092">
        <v>0</v>
      </c>
      <c r="C364" s="1092">
        <v>0</v>
      </c>
      <c r="D364" s="1092">
        <v>0</v>
      </c>
      <c r="E364" s="1092">
        <v>0</v>
      </c>
      <c r="F364" s="1092">
        <v>0</v>
      </c>
      <c r="G364" s="1092">
        <v>0</v>
      </c>
      <c r="H364" s="1092">
        <v>0</v>
      </c>
      <c r="I364" s="1092">
        <v>0</v>
      </c>
      <c r="J364" s="1092">
        <v>0</v>
      </c>
      <c r="K364" s="1092">
        <v>0</v>
      </c>
      <c r="L364" s="1092">
        <v>0</v>
      </c>
      <c r="M364" s="1092">
        <v>0</v>
      </c>
      <c r="N364" s="27">
        <f t="shared" si="49"/>
        <v>0</v>
      </c>
    </row>
    <row r="365" spans="1:14">
      <c r="A365" s="76" t="s">
        <v>212</v>
      </c>
      <c r="B365" s="1092">
        <v>0</v>
      </c>
      <c r="C365" s="1092">
        <v>0</v>
      </c>
      <c r="D365" s="1092">
        <v>0</v>
      </c>
      <c r="E365" s="1092">
        <v>0</v>
      </c>
      <c r="F365" s="1092">
        <v>0</v>
      </c>
      <c r="G365" s="1092">
        <v>0</v>
      </c>
      <c r="H365" s="1092">
        <v>0</v>
      </c>
      <c r="I365" s="1092">
        <v>0</v>
      </c>
      <c r="J365" s="1092">
        <v>0</v>
      </c>
      <c r="K365" s="1092">
        <v>0</v>
      </c>
      <c r="L365" s="1092">
        <v>0</v>
      </c>
      <c r="M365" s="1092">
        <v>0</v>
      </c>
      <c r="N365" s="27">
        <f t="shared" si="49"/>
        <v>0</v>
      </c>
    </row>
    <row r="366" spans="1:14">
      <c r="A366" s="76" t="s">
        <v>331</v>
      </c>
      <c r="B366" s="1092">
        <v>0</v>
      </c>
      <c r="C366" s="1092">
        <v>0</v>
      </c>
      <c r="D366" s="1092">
        <v>0</v>
      </c>
      <c r="E366" s="1092">
        <v>0</v>
      </c>
      <c r="F366" s="1092">
        <v>0</v>
      </c>
      <c r="G366" s="1092">
        <v>0</v>
      </c>
      <c r="H366" s="1092">
        <v>0</v>
      </c>
      <c r="I366" s="1092">
        <v>0</v>
      </c>
      <c r="J366" s="1092">
        <v>0</v>
      </c>
      <c r="K366" s="1092">
        <v>0</v>
      </c>
      <c r="L366" s="1092">
        <v>0</v>
      </c>
      <c r="M366" s="1092">
        <v>0</v>
      </c>
      <c r="N366" s="27">
        <f t="shared" si="49"/>
        <v>0</v>
      </c>
    </row>
    <row r="367" spans="1:14" ht="14" thickBot="1">
      <c r="A367" s="76" t="s">
        <v>267</v>
      </c>
      <c r="B367" s="1092">
        <v>0</v>
      </c>
      <c r="C367" s="1092">
        <v>0</v>
      </c>
      <c r="D367" s="1092">
        <v>0</v>
      </c>
      <c r="E367" s="1092">
        <v>0</v>
      </c>
      <c r="F367" s="1092">
        <v>0</v>
      </c>
      <c r="G367" s="1092">
        <v>0</v>
      </c>
      <c r="H367" s="1092">
        <v>0</v>
      </c>
      <c r="I367" s="1092">
        <v>0</v>
      </c>
      <c r="J367" s="1092">
        <v>0</v>
      </c>
      <c r="K367" s="1092">
        <v>0</v>
      </c>
      <c r="L367" s="1092">
        <v>0</v>
      </c>
      <c r="M367" s="1092">
        <v>0</v>
      </c>
      <c r="N367" s="27">
        <f t="shared" si="49"/>
        <v>0</v>
      </c>
    </row>
    <row r="368" spans="1:14" ht="14" thickBot="1">
      <c r="A368" s="38" t="s">
        <v>190</v>
      </c>
      <c r="B368" s="39"/>
      <c r="C368" s="39"/>
      <c r="D368" s="39"/>
      <c r="E368" s="39"/>
      <c r="F368" s="39"/>
      <c r="G368" s="39"/>
      <c r="H368" s="39"/>
      <c r="I368" s="39"/>
      <c r="J368" s="39"/>
      <c r="K368" s="39"/>
      <c r="L368" s="39"/>
      <c r="M368" s="39"/>
      <c r="N368" s="280"/>
    </row>
    <row r="369" spans="1:14">
      <c r="A369" s="76" t="s">
        <v>165</v>
      </c>
      <c r="B369" s="1092">
        <v>0</v>
      </c>
      <c r="C369" s="1092">
        <v>0</v>
      </c>
      <c r="D369" s="1092">
        <v>0</v>
      </c>
      <c r="E369" s="1092">
        <v>0</v>
      </c>
      <c r="F369" s="1092">
        <v>0</v>
      </c>
      <c r="G369" s="1092">
        <v>0</v>
      </c>
      <c r="H369" s="1092">
        <v>0</v>
      </c>
      <c r="I369" s="1092">
        <v>0</v>
      </c>
      <c r="J369" s="1092">
        <v>0</v>
      </c>
      <c r="K369" s="1092">
        <v>0</v>
      </c>
      <c r="L369" s="1092">
        <v>0</v>
      </c>
      <c r="M369" s="1092">
        <v>0</v>
      </c>
      <c r="N369" s="27">
        <f>SUM(B369:M369)</f>
        <v>0</v>
      </c>
    </row>
    <row r="370" spans="1:14">
      <c r="A370" s="76" t="s">
        <v>166</v>
      </c>
      <c r="B370" s="1092">
        <v>0</v>
      </c>
      <c r="C370" s="1092">
        <v>0</v>
      </c>
      <c r="D370" s="1092">
        <v>0</v>
      </c>
      <c r="E370" s="1092">
        <v>1</v>
      </c>
      <c r="F370" s="1092">
        <v>0</v>
      </c>
      <c r="G370" s="1092">
        <v>0</v>
      </c>
      <c r="H370" s="1092">
        <v>0</v>
      </c>
      <c r="I370" s="1092">
        <v>0</v>
      </c>
      <c r="J370" s="1092">
        <v>0</v>
      </c>
      <c r="K370" s="1092">
        <v>0</v>
      </c>
      <c r="L370" s="1092">
        <v>0</v>
      </c>
      <c r="M370" s="1092">
        <v>0</v>
      </c>
      <c r="N370" s="27">
        <f>SUM(B370:M370)</f>
        <v>1</v>
      </c>
    </row>
    <row r="371" spans="1:14">
      <c r="A371" s="76" t="s">
        <v>336</v>
      </c>
      <c r="B371" s="1092">
        <v>0</v>
      </c>
      <c r="C371" s="1092">
        <v>0</v>
      </c>
      <c r="D371" s="1092">
        <v>0</v>
      </c>
      <c r="E371" s="1092">
        <v>0</v>
      </c>
      <c r="F371" s="1092">
        <v>0</v>
      </c>
      <c r="G371" s="1092">
        <v>0</v>
      </c>
      <c r="H371" s="1092">
        <v>0</v>
      </c>
      <c r="I371" s="1092">
        <v>0</v>
      </c>
      <c r="J371" s="1092">
        <v>0</v>
      </c>
      <c r="K371" s="1092">
        <v>0</v>
      </c>
      <c r="L371" s="1092">
        <v>0</v>
      </c>
      <c r="M371" s="1092">
        <v>0</v>
      </c>
      <c r="N371" s="27">
        <f>SUM(B371:M371)</f>
        <v>0</v>
      </c>
    </row>
    <row r="372" spans="1:14" ht="14" thickBot="1">
      <c r="A372" s="76" t="s">
        <v>266</v>
      </c>
      <c r="B372" s="1092">
        <v>0</v>
      </c>
      <c r="C372" s="1092">
        <v>0</v>
      </c>
      <c r="D372" s="1092">
        <v>0</v>
      </c>
      <c r="E372" s="1092">
        <v>0</v>
      </c>
      <c r="F372" s="1092">
        <v>0</v>
      </c>
      <c r="G372" s="1092">
        <v>0</v>
      </c>
      <c r="H372" s="1092">
        <v>0</v>
      </c>
      <c r="I372" s="1092">
        <v>0</v>
      </c>
      <c r="J372" s="1092">
        <v>0</v>
      </c>
      <c r="K372" s="1092">
        <v>0</v>
      </c>
      <c r="L372" s="1092">
        <v>0</v>
      </c>
      <c r="M372" s="1092">
        <v>0</v>
      </c>
      <c r="N372" s="27">
        <f>SUM(B372:M372)</f>
        <v>0</v>
      </c>
    </row>
    <row r="373" spans="1:14" ht="14" thickBot="1">
      <c r="A373" s="53" t="s">
        <v>60</v>
      </c>
      <c r="B373" s="55">
        <f t="shared" ref="B373:M373" si="50">SUM(B360:B372)</f>
        <v>0</v>
      </c>
      <c r="C373" s="55">
        <f t="shared" si="50"/>
        <v>1</v>
      </c>
      <c r="D373" s="55">
        <f t="shared" si="50"/>
        <v>0</v>
      </c>
      <c r="E373" s="55">
        <f t="shared" si="50"/>
        <v>1</v>
      </c>
      <c r="F373" s="55">
        <f t="shared" si="50"/>
        <v>0</v>
      </c>
      <c r="G373" s="55">
        <f t="shared" si="50"/>
        <v>0</v>
      </c>
      <c r="H373" s="55">
        <f t="shared" si="50"/>
        <v>0</v>
      </c>
      <c r="I373" s="55">
        <f t="shared" si="50"/>
        <v>4</v>
      </c>
      <c r="J373" s="55">
        <f t="shared" si="50"/>
        <v>1</v>
      </c>
      <c r="K373" s="55">
        <f t="shared" si="50"/>
        <v>0</v>
      </c>
      <c r="L373" s="55">
        <f t="shared" si="50"/>
        <v>0</v>
      </c>
      <c r="M373" s="55">
        <f t="shared" si="50"/>
        <v>0</v>
      </c>
      <c r="N373" s="54"/>
    </row>
    <row r="374" spans="1:14" ht="14" thickBot="1">
      <c r="A374" s="38" t="s">
        <v>194</v>
      </c>
      <c r="B374" s="39"/>
      <c r="C374" s="39"/>
      <c r="D374" s="39"/>
      <c r="E374" s="39"/>
      <c r="F374" s="39"/>
      <c r="G374" s="39"/>
      <c r="H374" s="39"/>
      <c r="I374" s="39"/>
      <c r="J374" s="39"/>
      <c r="K374" s="39"/>
      <c r="L374" s="39"/>
      <c r="M374" s="39"/>
      <c r="N374" s="40"/>
    </row>
    <row r="375" spans="1:14">
      <c r="A375" s="32" t="s">
        <v>29</v>
      </c>
      <c r="B375" s="1092">
        <v>0</v>
      </c>
      <c r="C375" s="1092">
        <v>0</v>
      </c>
      <c r="D375" s="1092">
        <v>0</v>
      </c>
      <c r="E375" s="1092">
        <v>0</v>
      </c>
      <c r="F375" s="1092">
        <v>0</v>
      </c>
      <c r="G375" s="1092">
        <v>0</v>
      </c>
      <c r="H375" s="1092">
        <v>0</v>
      </c>
      <c r="I375" s="1092">
        <v>0</v>
      </c>
      <c r="J375" s="1092">
        <v>0</v>
      </c>
      <c r="K375" s="1092">
        <v>0</v>
      </c>
      <c r="L375" s="1092">
        <v>0</v>
      </c>
      <c r="M375" s="1092">
        <v>0</v>
      </c>
      <c r="N375" s="27">
        <f t="shared" ref="N375:N386" si="51">SUM(B375:M375)</f>
        <v>0</v>
      </c>
    </row>
    <row r="376" spans="1:14">
      <c r="A376" s="78" t="s">
        <v>264</v>
      </c>
      <c r="B376" s="1092">
        <v>0</v>
      </c>
      <c r="C376" s="1092">
        <v>0</v>
      </c>
      <c r="D376" s="1092">
        <v>0</v>
      </c>
      <c r="E376" s="1092">
        <v>0</v>
      </c>
      <c r="F376" s="1092">
        <v>0</v>
      </c>
      <c r="G376" s="1092">
        <v>0</v>
      </c>
      <c r="H376" s="1092">
        <v>0</v>
      </c>
      <c r="I376" s="1092">
        <v>0</v>
      </c>
      <c r="J376" s="1092">
        <v>0</v>
      </c>
      <c r="K376" s="1092">
        <v>0</v>
      </c>
      <c r="L376" s="1092">
        <v>0</v>
      </c>
      <c r="M376" s="1092">
        <v>0</v>
      </c>
      <c r="N376" s="27">
        <f t="shared" si="51"/>
        <v>0</v>
      </c>
    </row>
    <row r="377" spans="1:14">
      <c r="A377" s="34" t="s">
        <v>204</v>
      </c>
      <c r="B377" s="1092">
        <v>0</v>
      </c>
      <c r="C377" s="1092">
        <v>0</v>
      </c>
      <c r="D377" s="1092">
        <v>0</v>
      </c>
      <c r="E377" s="1092">
        <v>0</v>
      </c>
      <c r="F377" s="1092">
        <v>0</v>
      </c>
      <c r="G377" s="1092">
        <v>0</v>
      </c>
      <c r="H377" s="1092">
        <v>0</v>
      </c>
      <c r="I377" s="1092">
        <v>0</v>
      </c>
      <c r="J377" s="1092">
        <v>0</v>
      </c>
      <c r="K377" s="1092">
        <v>0</v>
      </c>
      <c r="L377" s="1092">
        <v>0</v>
      </c>
      <c r="M377" s="1092">
        <v>0</v>
      </c>
      <c r="N377" s="27">
        <f t="shared" si="51"/>
        <v>0</v>
      </c>
    </row>
    <row r="378" spans="1:14">
      <c r="A378" s="76" t="s">
        <v>30</v>
      </c>
      <c r="B378" s="1092">
        <v>0</v>
      </c>
      <c r="C378" s="1092">
        <v>0</v>
      </c>
      <c r="D378" s="1092">
        <v>0</v>
      </c>
      <c r="E378" s="1092">
        <v>0</v>
      </c>
      <c r="F378" s="1092">
        <v>0</v>
      </c>
      <c r="G378" s="1092">
        <v>0</v>
      </c>
      <c r="H378" s="1092">
        <v>0</v>
      </c>
      <c r="I378" s="1092">
        <v>0</v>
      </c>
      <c r="J378" s="1092">
        <v>0</v>
      </c>
      <c r="K378" s="1092">
        <v>0</v>
      </c>
      <c r="L378" s="1092">
        <v>0</v>
      </c>
      <c r="M378" s="1092">
        <v>0</v>
      </c>
      <c r="N378" s="27">
        <f t="shared" si="51"/>
        <v>0</v>
      </c>
    </row>
    <row r="379" spans="1:14">
      <c r="A379" s="32" t="s">
        <v>56</v>
      </c>
      <c r="B379" s="1092">
        <v>0</v>
      </c>
      <c r="C379" s="1092">
        <v>0</v>
      </c>
      <c r="D379" s="1092">
        <v>0</v>
      </c>
      <c r="E379" s="1092">
        <v>0</v>
      </c>
      <c r="F379" s="1092">
        <v>0</v>
      </c>
      <c r="G379" s="1092">
        <v>0</v>
      </c>
      <c r="H379" s="1092">
        <v>0</v>
      </c>
      <c r="I379" s="1092">
        <v>0</v>
      </c>
      <c r="J379" s="1092">
        <v>0</v>
      </c>
      <c r="K379" s="1092">
        <v>0</v>
      </c>
      <c r="L379" s="1092">
        <v>0</v>
      </c>
      <c r="M379" s="1092">
        <v>0</v>
      </c>
      <c r="N379" s="27">
        <f t="shared" si="51"/>
        <v>0</v>
      </c>
    </row>
    <row r="380" spans="1:14">
      <c r="A380" s="78" t="s">
        <v>122</v>
      </c>
      <c r="B380" s="1092">
        <v>0</v>
      </c>
      <c r="C380" s="1092">
        <v>0</v>
      </c>
      <c r="D380" s="1092">
        <v>0</v>
      </c>
      <c r="E380" s="1092">
        <v>0</v>
      </c>
      <c r="F380" s="1092">
        <v>0</v>
      </c>
      <c r="G380" s="1092">
        <v>0</v>
      </c>
      <c r="H380" s="1092">
        <v>0</v>
      </c>
      <c r="I380" s="1092">
        <v>0</v>
      </c>
      <c r="J380" s="1092">
        <v>0</v>
      </c>
      <c r="K380" s="1092">
        <v>0</v>
      </c>
      <c r="L380" s="1092">
        <v>0</v>
      </c>
      <c r="M380" s="1092">
        <v>0</v>
      </c>
      <c r="N380" s="27">
        <f t="shared" si="51"/>
        <v>0</v>
      </c>
    </row>
    <row r="381" spans="1:14">
      <c r="A381" s="78" t="s">
        <v>184</v>
      </c>
      <c r="B381" s="1092">
        <v>0</v>
      </c>
      <c r="C381" s="1092">
        <v>0</v>
      </c>
      <c r="D381" s="1092">
        <v>0</v>
      </c>
      <c r="E381" s="1092">
        <v>0</v>
      </c>
      <c r="F381" s="1092">
        <v>0</v>
      </c>
      <c r="G381" s="1092">
        <v>0</v>
      </c>
      <c r="H381" s="1092">
        <v>0</v>
      </c>
      <c r="I381" s="1092">
        <v>0</v>
      </c>
      <c r="J381" s="1092">
        <v>0</v>
      </c>
      <c r="K381" s="1092">
        <v>0</v>
      </c>
      <c r="L381" s="1092">
        <v>0</v>
      </c>
      <c r="M381" s="1092">
        <v>0</v>
      </c>
      <c r="N381" s="27">
        <f t="shared" si="51"/>
        <v>0</v>
      </c>
    </row>
    <row r="382" spans="1:14">
      <c r="A382" s="78" t="s">
        <v>187</v>
      </c>
      <c r="B382" s="1092">
        <v>0</v>
      </c>
      <c r="C382" s="1092">
        <v>0</v>
      </c>
      <c r="D382" s="1092">
        <v>0</v>
      </c>
      <c r="E382" s="1092">
        <v>0</v>
      </c>
      <c r="F382" s="1092">
        <v>0</v>
      </c>
      <c r="G382" s="1092">
        <v>0</v>
      </c>
      <c r="H382" s="1092">
        <v>0</v>
      </c>
      <c r="I382" s="1092">
        <v>0</v>
      </c>
      <c r="J382" s="1092">
        <v>0</v>
      </c>
      <c r="K382" s="1092">
        <v>0</v>
      </c>
      <c r="L382" s="1092">
        <v>0</v>
      </c>
      <c r="M382" s="1092">
        <v>0</v>
      </c>
      <c r="N382" s="27">
        <f t="shared" si="51"/>
        <v>0</v>
      </c>
    </row>
    <row r="383" spans="1:14">
      <c r="A383" s="78" t="s">
        <v>188</v>
      </c>
      <c r="B383" s="1092">
        <v>0</v>
      </c>
      <c r="C383" s="1092">
        <v>0</v>
      </c>
      <c r="D383" s="1092">
        <v>0</v>
      </c>
      <c r="E383" s="1092">
        <v>0</v>
      </c>
      <c r="F383" s="1092">
        <v>0</v>
      </c>
      <c r="G383" s="1092">
        <v>0</v>
      </c>
      <c r="H383" s="1092">
        <v>0</v>
      </c>
      <c r="I383" s="1092">
        <v>0</v>
      </c>
      <c r="J383" s="1092">
        <v>0</v>
      </c>
      <c r="K383" s="1092">
        <v>0</v>
      </c>
      <c r="L383" s="1092">
        <v>0</v>
      </c>
      <c r="M383" s="1092">
        <v>0</v>
      </c>
      <c r="N383" s="27">
        <f t="shared" si="51"/>
        <v>0</v>
      </c>
    </row>
    <row r="384" spans="1:14">
      <c r="A384" s="78" t="s">
        <v>213</v>
      </c>
      <c r="B384" s="1092">
        <v>0</v>
      </c>
      <c r="C384" s="1092">
        <v>0</v>
      </c>
      <c r="D384" s="1092">
        <v>0</v>
      </c>
      <c r="E384" s="1092">
        <v>0</v>
      </c>
      <c r="F384" s="1092">
        <v>0</v>
      </c>
      <c r="G384" s="1092">
        <v>0</v>
      </c>
      <c r="H384" s="1092">
        <v>0</v>
      </c>
      <c r="I384" s="1092">
        <v>0</v>
      </c>
      <c r="J384" s="1092">
        <v>0</v>
      </c>
      <c r="K384" s="1092">
        <v>0</v>
      </c>
      <c r="L384" s="1092">
        <v>0</v>
      </c>
      <c r="M384" s="1092">
        <v>0</v>
      </c>
      <c r="N384" s="27">
        <f t="shared" si="51"/>
        <v>0</v>
      </c>
    </row>
    <row r="385" spans="1:14">
      <c r="A385" s="76" t="s">
        <v>267</v>
      </c>
      <c r="B385" s="1092">
        <v>0</v>
      </c>
      <c r="C385" s="1092">
        <v>0</v>
      </c>
      <c r="D385" s="1092">
        <v>0</v>
      </c>
      <c r="E385" s="1092">
        <v>0</v>
      </c>
      <c r="F385" s="1092">
        <v>0</v>
      </c>
      <c r="G385" s="1092">
        <v>0</v>
      </c>
      <c r="H385" s="1092">
        <v>0</v>
      </c>
      <c r="I385" s="1092">
        <v>0</v>
      </c>
      <c r="J385" s="1092">
        <v>0</v>
      </c>
      <c r="K385" s="1092">
        <v>0</v>
      </c>
      <c r="L385" s="1092">
        <v>0</v>
      </c>
      <c r="M385" s="1092">
        <v>0</v>
      </c>
      <c r="N385" s="27">
        <f t="shared" si="51"/>
        <v>0</v>
      </c>
    </row>
    <row r="386" spans="1:14" ht="14" thickBot="1">
      <c r="A386" s="78" t="s">
        <v>268</v>
      </c>
      <c r="B386" s="1092">
        <v>0</v>
      </c>
      <c r="C386" s="1092">
        <v>0</v>
      </c>
      <c r="D386" s="1092">
        <v>0</v>
      </c>
      <c r="E386" s="1092">
        <v>0</v>
      </c>
      <c r="F386" s="1092">
        <v>0</v>
      </c>
      <c r="G386" s="1092">
        <v>0</v>
      </c>
      <c r="H386" s="1092">
        <v>0</v>
      </c>
      <c r="I386" s="1092">
        <v>0</v>
      </c>
      <c r="J386" s="1092">
        <v>0</v>
      </c>
      <c r="K386" s="1092">
        <v>0</v>
      </c>
      <c r="L386" s="1092">
        <v>0</v>
      </c>
      <c r="M386" s="1092">
        <v>0</v>
      </c>
      <c r="N386" s="27">
        <f t="shared" si="51"/>
        <v>0</v>
      </c>
    </row>
    <row r="387" spans="1:14" ht="14" thickBot="1">
      <c r="A387" s="38" t="s">
        <v>192</v>
      </c>
      <c r="B387" s="39"/>
      <c r="C387" s="39"/>
      <c r="D387" s="39"/>
      <c r="E387" s="39"/>
      <c r="F387" s="39"/>
      <c r="G387" s="39"/>
      <c r="H387" s="39"/>
      <c r="I387" s="39"/>
      <c r="J387" s="39"/>
      <c r="K387" s="39"/>
      <c r="L387" s="39"/>
      <c r="M387" s="39"/>
      <c r="N387" s="40"/>
    </row>
    <row r="388" spans="1:14" ht="14" thickBot="1">
      <c r="A388" s="32" t="s">
        <v>165</v>
      </c>
      <c r="B388" s="1092">
        <v>0</v>
      </c>
      <c r="C388" s="1092">
        <v>0</v>
      </c>
      <c r="D388" s="1092">
        <v>0</v>
      </c>
      <c r="E388" s="1092">
        <v>0</v>
      </c>
      <c r="F388" s="1092">
        <v>0</v>
      </c>
      <c r="G388" s="1092">
        <v>0</v>
      </c>
      <c r="H388" s="1092">
        <v>0</v>
      </c>
      <c r="I388" s="1092">
        <v>0</v>
      </c>
      <c r="J388" s="1092">
        <v>0</v>
      </c>
      <c r="K388" s="1092">
        <v>0</v>
      </c>
      <c r="L388" s="1092">
        <v>0</v>
      </c>
      <c r="M388" s="1092">
        <v>0</v>
      </c>
      <c r="N388" s="27">
        <f>SUM(B388:M388)</f>
        <v>0</v>
      </c>
    </row>
    <row r="389" spans="1:14" ht="14" thickBot="1">
      <c r="A389" s="53" t="s">
        <v>60</v>
      </c>
      <c r="B389" s="55">
        <f t="shared" ref="B389:M389" si="52">SUM(B375:B388)</f>
        <v>0</v>
      </c>
      <c r="C389" s="55">
        <f t="shared" si="52"/>
        <v>0</v>
      </c>
      <c r="D389" s="55">
        <f t="shared" si="52"/>
        <v>0</v>
      </c>
      <c r="E389" s="55">
        <f t="shared" si="52"/>
        <v>0</v>
      </c>
      <c r="F389" s="55">
        <f t="shared" si="52"/>
        <v>0</v>
      </c>
      <c r="G389" s="55">
        <f t="shared" si="52"/>
        <v>0</v>
      </c>
      <c r="H389" s="55">
        <f t="shared" si="52"/>
        <v>0</v>
      </c>
      <c r="I389" s="55">
        <f t="shared" si="52"/>
        <v>0</v>
      </c>
      <c r="J389" s="55">
        <f t="shared" si="52"/>
        <v>0</v>
      </c>
      <c r="K389" s="55">
        <f t="shared" si="52"/>
        <v>0</v>
      </c>
      <c r="L389" s="55">
        <f t="shared" si="52"/>
        <v>0</v>
      </c>
      <c r="M389" s="55">
        <f t="shared" si="52"/>
        <v>0</v>
      </c>
      <c r="N389" s="54"/>
    </row>
    <row r="391" spans="1:14" ht="14" thickBot="1">
      <c r="B391" s="43" t="s">
        <v>35</v>
      </c>
      <c r="C391" s="43" t="s">
        <v>36</v>
      </c>
      <c r="D391" s="43" t="s">
        <v>37</v>
      </c>
      <c r="E391" s="43" t="s">
        <v>38</v>
      </c>
      <c r="F391" s="43" t="s">
        <v>39</v>
      </c>
      <c r="G391" s="43" t="s">
        <v>40</v>
      </c>
      <c r="H391" s="43" t="s">
        <v>41</v>
      </c>
      <c r="I391" s="43" t="s">
        <v>42</v>
      </c>
      <c r="J391" s="43" t="s">
        <v>43</v>
      </c>
      <c r="K391" s="43" t="s">
        <v>44</v>
      </c>
      <c r="L391" s="43" t="s">
        <v>45</v>
      </c>
      <c r="M391" s="43" t="s">
        <v>46</v>
      </c>
      <c r="N391" s="43" t="s">
        <v>10</v>
      </c>
    </row>
    <row r="392" spans="1:14" ht="17" thickBot="1">
      <c r="A392" s="31" t="s">
        <v>392</v>
      </c>
      <c r="B392" s="24"/>
      <c r="C392" s="24"/>
      <c r="D392" s="22"/>
      <c r="E392" s="22"/>
      <c r="F392" s="25"/>
      <c r="G392" s="25"/>
      <c r="H392" s="22"/>
      <c r="I392" s="22"/>
      <c r="J392" s="22"/>
      <c r="K392" s="22"/>
      <c r="L392" s="24"/>
      <c r="M392" s="24"/>
      <c r="N392" s="26"/>
    </row>
    <row r="393" spans="1:14" ht="14" thickBot="1">
      <c r="A393" s="38" t="s">
        <v>189</v>
      </c>
      <c r="B393" s="39"/>
      <c r="C393" s="39"/>
      <c r="D393" s="39"/>
      <c r="E393" s="39"/>
      <c r="F393" s="39"/>
      <c r="G393" s="39"/>
      <c r="H393" s="39"/>
      <c r="I393" s="39"/>
      <c r="J393" s="39"/>
      <c r="K393" s="39"/>
      <c r="L393" s="39"/>
      <c r="M393" s="39"/>
      <c r="N393" s="40"/>
    </row>
    <row r="394" spans="1:14">
      <c r="A394" s="32" t="s">
        <v>29</v>
      </c>
      <c r="B394" s="1092">
        <v>0</v>
      </c>
      <c r="C394" s="1092">
        <v>0</v>
      </c>
      <c r="D394" s="1092">
        <v>0</v>
      </c>
      <c r="E394" s="1092">
        <v>0</v>
      </c>
      <c r="F394" s="1092">
        <v>0</v>
      </c>
      <c r="G394" s="1092">
        <v>2</v>
      </c>
      <c r="H394" s="1092">
        <v>0</v>
      </c>
      <c r="I394" s="1092">
        <v>0</v>
      </c>
      <c r="J394" s="1092">
        <v>0</v>
      </c>
      <c r="K394" s="1092">
        <v>0</v>
      </c>
      <c r="L394" s="1092">
        <v>0</v>
      </c>
      <c r="M394" s="1092">
        <v>0</v>
      </c>
      <c r="N394" s="27">
        <f t="shared" ref="N394:N401" si="53">SUM(B394:M394)</f>
        <v>2</v>
      </c>
    </row>
    <row r="395" spans="1:14">
      <c r="A395" s="32" t="s">
        <v>33</v>
      </c>
      <c r="B395" s="1092">
        <v>0</v>
      </c>
      <c r="C395" s="1092">
        <v>0</v>
      </c>
      <c r="D395" s="1092">
        <v>0</v>
      </c>
      <c r="E395" s="1092">
        <v>0</v>
      </c>
      <c r="F395" s="1092">
        <v>0</v>
      </c>
      <c r="G395" s="1092">
        <v>0</v>
      </c>
      <c r="H395" s="1092">
        <v>2</v>
      </c>
      <c r="I395" s="1092">
        <v>0</v>
      </c>
      <c r="J395" s="1092">
        <v>0</v>
      </c>
      <c r="K395" s="1092">
        <v>1</v>
      </c>
      <c r="L395" s="1092">
        <v>1</v>
      </c>
      <c r="M395" s="1092">
        <v>0</v>
      </c>
      <c r="N395" s="27">
        <f t="shared" si="53"/>
        <v>4</v>
      </c>
    </row>
    <row r="396" spans="1:14">
      <c r="A396" s="32" t="s">
        <v>56</v>
      </c>
      <c r="B396" s="1092">
        <v>0</v>
      </c>
      <c r="C396" s="1092">
        <v>0</v>
      </c>
      <c r="D396" s="1092">
        <v>0</v>
      </c>
      <c r="E396" s="1092">
        <v>0</v>
      </c>
      <c r="F396" s="1092">
        <v>0</v>
      </c>
      <c r="G396" s="1092">
        <v>0</v>
      </c>
      <c r="H396" s="1092">
        <v>0</v>
      </c>
      <c r="I396" s="1092">
        <v>0</v>
      </c>
      <c r="J396" s="1092">
        <v>0</v>
      </c>
      <c r="K396" s="1092">
        <v>0</v>
      </c>
      <c r="L396" s="1092">
        <v>0</v>
      </c>
      <c r="M396" s="1092">
        <v>0</v>
      </c>
      <c r="N396" s="27">
        <f t="shared" si="53"/>
        <v>0</v>
      </c>
    </row>
    <row r="397" spans="1:14">
      <c r="A397" s="78" t="s">
        <v>30</v>
      </c>
      <c r="B397" s="1092">
        <v>0</v>
      </c>
      <c r="C397" s="1092">
        <v>0</v>
      </c>
      <c r="D397" s="1092">
        <v>2</v>
      </c>
      <c r="E397" s="1092">
        <v>0</v>
      </c>
      <c r="F397" s="1092">
        <v>0</v>
      </c>
      <c r="G397" s="1092">
        <v>1</v>
      </c>
      <c r="H397" s="1092">
        <v>2</v>
      </c>
      <c r="I397" s="1092">
        <v>0</v>
      </c>
      <c r="J397" s="1092">
        <v>2</v>
      </c>
      <c r="K397" s="1092">
        <v>0</v>
      </c>
      <c r="L397" s="1092">
        <v>1</v>
      </c>
      <c r="M397" s="1092">
        <v>3</v>
      </c>
      <c r="N397" s="27">
        <f t="shared" si="53"/>
        <v>11</v>
      </c>
    </row>
    <row r="398" spans="1:14">
      <c r="A398" s="76" t="s">
        <v>213</v>
      </c>
      <c r="B398" s="1092">
        <v>0</v>
      </c>
      <c r="C398" s="1092">
        <v>0</v>
      </c>
      <c r="D398" s="1092">
        <v>0</v>
      </c>
      <c r="E398" s="1092">
        <v>0</v>
      </c>
      <c r="F398" s="1092">
        <v>0</v>
      </c>
      <c r="G398" s="1092">
        <v>0</v>
      </c>
      <c r="H398" s="1092">
        <v>0</v>
      </c>
      <c r="I398" s="1092">
        <v>0</v>
      </c>
      <c r="J398" s="1092">
        <v>0</v>
      </c>
      <c r="K398" s="1092">
        <v>0</v>
      </c>
      <c r="L398" s="1092">
        <v>0</v>
      </c>
      <c r="M398" s="1092">
        <v>0</v>
      </c>
      <c r="N398" s="27">
        <f t="shared" si="53"/>
        <v>0</v>
      </c>
    </row>
    <row r="399" spans="1:14">
      <c r="A399" s="76" t="s">
        <v>212</v>
      </c>
      <c r="B399" s="1092">
        <v>0</v>
      </c>
      <c r="C399" s="1092">
        <v>0</v>
      </c>
      <c r="D399" s="1092">
        <v>0</v>
      </c>
      <c r="E399" s="1092">
        <v>0</v>
      </c>
      <c r="F399" s="1092">
        <v>0</v>
      </c>
      <c r="G399" s="1092">
        <v>0</v>
      </c>
      <c r="H399" s="1092">
        <v>0</v>
      </c>
      <c r="I399" s="1092">
        <v>0</v>
      </c>
      <c r="J399" s="1092">
        <v>0</v>
      </c>
      <c r="K399" s="1092">
        <v>0</v>
      </c>
      <c r="L399" s="1092">
        <v>0</v>
      </c>
      <c r="M399" s="1092">
        <v>0</v>
      </c>
      <c r="N399" s="27">
        <f t="shared" si="53"/>
        <v>0</v>
      </c>
    </row>
    <row r="400" spans="1:14">
      <c r="A400" s="76" t="s">
        <v>331</v>
      </c>
      <c r="B400" s="1092">
        <v>0</v>
      </c>
      <c r="C400" s="1092">
        <v>0</v>
      </c>
      <c r="D400" s="1092">
        <v>0</v>
      </c>
      <c r="E400" s="1092">
        <v>0</v>
      </c>
      <c r="F400" s="1092">
        <v>0</v>
      </c>
      <c r="G400" s="1092">
        <v>0</v>
      </c>
      <c r="H400" s="1092">
        <v>0</v>
      </c>
      <c r="I400" s="1092">
        <v>0</v>
      </c>
      <c r="J400" s="1092">
        <v>0</v>
      </c>
      <c r="K400" s="1092">
        <v>0</v>
      </c>
      <c r="L400" s="1092">
        <v>0</v>
      </c>
      <c r="M400" s="1092">
        <v>0</v>
      </c>
      <c r="N400" s="27">
        <f t="shared" si="53"/>
        <v>0</v>
      </c>
    </row>
    <row r="401" spans="1:14" ht="14" thickBot="1">
      <c r="A401" s="76" t="s">
        <v>267</v>
      </c>
      <c r="B401" s="1092">
        <v>0</v>
      </c>
      <c r="C401" s="1092">
        <v>0</v>
      </c>
      <c r="D401" s="1092">
        <v>0</v>
      </c>
      <c r="E401" s="1092">
        <v>0</v>
      </c>
      <c r="F401" s="1092">
        <v>0</v>
      </c>
      <c r="G401" s="1092">
        <v>0</v>
      </c>
      <c r="H401" s="1092">
        <v>0</v>
      </c>
      <c r="I401" s="1092">
        <v>0</v>
      </c>
      <c r="J401" s="1092">
        <v>0</v>
      </c>
      <c r="K401" s="1092">
        <v>0</v>
      </c>
      <c r="L401" s="1092">
        <v>0</v>
      </c>
      <c r="M401" s="1092">
        <v>0</v>
      </c>
      <c r="N401" s="27">
        <f t="shared" si="53"/>
        <v>0</v>
      </c>
    </row>
    <row r="402" spans="1:14" ht="14" thickBot="1">
      <c r="A402" s="38" t="s">
        <v>190</v>
      </c>
      <c r="B402" s="39"/>
      <c r="C402" s="39"/>
      <c r="D402" s="39"/>
      <c r="E402" s="39"/>
      <c r="F402" s="39"/>
      <c r="G402" s="39"/>
      <c r="H402" s="39"/>
      <c r="I402" s="39"/>
      <c r="J402" s="39"/>
      <c r="K402" s="39"/>
      <c r="L402" s="39"/>
      <c r="M402" s="39"/>
      <c r="N402" s="280"/>
    </row>
    <row r="403" spans="1:14">
      <c r="A403" s="76" t="s">
        <v>393</v>
      </c>
      <c r="B403" s="1092">
        <v>0</v>
      </c>
      <c r="C403" s="1092">
        <v>0</v>
      </c>
      <c r="D403" s="1092">
        <v>0</v>
      </c>
      <c r="E403" s="1092">
        <v>0</v>
      </c>
      <c r="F403" s="1092">
        <v>0</v>
      </c>
      <c r="G403" s="1092">
        <v>0</v>
      </c>
      <c r="H403" s="1092">
        <v>0</v>
      </c>
      <c r="I403" s="1092">
        <v>0</v>
      </c>
      <c r="J403" s="1092">
        <v>0</v>
      </c>
      <c r="K403" s="1092">
        <v>0</v>
      </c>
      <c r="L403" s="1092">
        <v>0</v>
      </c>
      <c r="M403" s="1092">
        <v>0</v>
      </c>
      <c r="N403" s="27">
        <f>SUM(B403:M403)</f>
        <v>0</v>
      </c>
    </row>
    <row r="404" spans="1:14">
      <c r="A404" s="76" t="s">
        <v>166</v>
      </c>
      <c r="B404" s="1092">
        <v>0</v>
      </c>
      <c r="C404" s="1092">
        <v>0</v>
      </c>
      <c r="D404" s="1092">
        <v>0</v>
      </c>
      <c r="E404" s="1092">
        <v>0</v>
      </c>
      <c r="F404" s="1092">
        <v>0</v>
      </c>
      <c r="G404" s="1092">
        <v>0</v>
      </c>
      <c r="H404" s="1092">
        <v>0</v>
      </c>
      <c r="I404" s="1092">
        <v>0</v>
      </c>
      <c r="J404" s="1092">
        <v>0</v>
      </c>
      <c r="K404" s="1092">
        <v>0</v>
      </c>
      <c r="L404" s="1092">
        <v>0</v>
      </c>
      <c r="M404" s="1092">
        <v>0</v>
      </c>
      <c r="N404" s="27">
        <f>SUM(B404:M404)</f>
        <v>0</v>
      </c>
    </row>
    <row r="405" spans="1:14">
      <c r="A405" s="76" t="s">
        <v>336</v>
      </c>
      <c r="B405" s="1092">
        <v>0</v>
      </c>
      <c r="C405" s="1092">
        <v>0</v>
      </c>
      <c r="D405" s="1092">
        <v>0</v>
      </c>
      <c r="E405" s="1092">
        <v>0</v>
      </c>
      <c r="F405" s="1092">
        <v>0</v>
      </c>
      <c r="G405" s="1092">
        <v>0</v>
      </c>
      <c r="H405" s="1092">
        <v>0</v>
      </c>
      <c r="I405" s="1092">
        <v>0</v>
      </c>
      <c r="J405" s="1092">
        <v>0</v>
      </c>
      <c r="K405" s="1092">
        <v>0</v>
      </c>
      <c r="L405" s="1092">
        <v>0</v>
      </c>
      <c r="M405" s="1092">
        <v>0</v>
      </c>
      <c r="N405" s="27">
        <f>SUM(B405:M405)</f>
        <v>0</v>
      </c>
    </row>
    <row r="406" spans="1:14" ht="14" thickBot="1">
      <c r="A406" s="76" t="s">
        <v>266</v>
      </c>
      <c r="B406" s="1092">
        <v>0</v>
      </c>
      <c r="C406" s="1092">
        <v>0</v>
      </c>
      <c r="D406" s="1092">
        <v>0</v>
      </c>
      <c r="E406" s="1092">
        <v>0</v>
      </c>
      <c r="F406" s="1092">
        <v>0</v>
      </c>
      <c r="G406" s="1092">
        <v>0</v>
      </c>
      <c r="H406" s="1092">
        <v>0</v>
      </c>
      <c r="I406" s="1092">
        <v>0</v>
      </c>
      <c r="J406" s="1092">
        <v>0</v>
      </c>
      <c r="K406" s="1092">
        <v>0</v>
      </c>
      <c r="L406" s="1092">
        <v>0</v>
      </c>
      <c r="M406" s="1092">
        <v>0</v>
      </c>
      <c r="N406" s="27">
        <f>SUM(B406:M406)</f>
        <v>0</v>
      </c>
    </row>
    <row r="407" spans="1:14" ht="14" thickBot="1">
      <c r="A407" s="53" t="s">
        <v>60</v>
      </c>
      <c r="B407" s="55"/>
      <c r="C407" s="55"/>
      <c r="D407" s="55"/>
      <c r="E407" s="55"/>
      <c r="F407" s="55"/>
      <c r="G407" s="55"/>
      <c r="H407" s="55"/>
      <c r="I407" s="55"/>
      <c r="J407" s="55"/>
      <c r="K407" s="55"/>
      <c r="L407" s="55"/>
      <c r="M407" s="55"/>
      <c r="N407" s="54"/>
    </row>
    <row r="408" spans="1:14" ht="14" thickBot="1">
      <c r="A408" s="38" t="s">
        <v>194</v>
      </c>
      <c r="B408" s="39"/>
      <c r="C408" s="39"/>
      <c r="D408" s="39"/>
      <c r="E408" s="39"/>
      <c r="F408" s="39"/>
      <c r="G408" s="39"/>
      <c r="H408" s="39"/>
      <c r="I408" s="39"/>
      <c r="J408" s="39"/>
      <c r="K408" s="39"/>
      <c r="L408" s="39"/>
      <c r="M408" s="39"/>
      <c r="N408" s="40"/>
    </row>
    <row r="409" spans="1:14">
      <c r="A409" s="32" t="s">
        <v>29</v>
      </c>
      <c r="B409" s="1092">
        <v>0</v>
      </c>
      <c r="C409" s="1092">
        <v>0</v>
      </c>
      <c r="D409" s="1092">
        <v>0</v>
      </c>
      <c r="E409" s="1092">
        <v>0</v>
      </c>
      <c r="F409" s="1092">
        <v>0</v>
      </c>
      <c r="G409" s="1092">
        <v>0</v>
      </c>
      <c r="H409" s="1092">
        <v>0</v>
      </c>
      <c r="I409" s="1092">
        <v>0</v>
      </c>
      <c r="J409" s="1092">
        <v>0</v>
      </c>
      <c r="K409" s="1092">
        <v>0</v>
      </c>
      <c r="L409" s="1092">
        <v>0</v>
      </c>
      <c r="M409" s="1092">
        <v>0</v>
      </c>
      <c r="N409" s="27">
        <f t="shared" ref="N409:N420" si="54">SUM(B409:M409)</f>
        <v>0</v>
      </c>
    </row>
    <row r="410" spans="1:14">
      <c r="A410" s="78" t="s">
        <v>264</v>
      </c>
      <c r="B410" s="1092">
        <v>0</v>
      </c>
      <c r="C410" s="1092">
        <v>0</v>
      </c>
      <c r="D410" s="1092">
        <v>0</v>
      </c>
      <c r="E410" s="1092">
        <v>0</v>
      </c>
      <c r="F410" s="1092">
        <v>0</v>
      </c>
      <c r="G410" s="1092">
        <v>0</v>
      </c>
      <c r="H410" s="1092">
        <v>0</v>
      </c>
      <c r="I410" s="1092">
        <v>0</v>
      </c>
      <c r="J410" s="1092">
        <v>0</v>
      </c>
      <c r="K410" s="1092">
        <v>0</v>
      </c>
      <c r="L410" s="1092">
        <v>0</v>
      </c>
      <c r="M410" s="1092">
        <v>0</v>
      </c>
      <c r="N410" s="27">
        <f t="shared" si="54"/>
        <v>0</v>
      </c>
    </row>
    <row r="411" spans="1:14">
      <c r="A411" s="34" t="s">
        <v>204</v>
      </c>
      <c r="B411" s="1092">
        <v>0</v>
      </c>
      <c r="C411" s="1092">
        <v>0</v>
      </c>
      <c r="D411" s="1092">
        <v>0</v>
      </c>
      <c r="E411" s="1092">
        <v>0</v>
      </c>
      <c r="F411" s="1092">
        <v>0</v>
      </c>
      <c r="G411" s="1092">
        <v>0</v>
      </c>
      <c r="H411" s="1092">
        <v>0</v>
      </c>
      <c r="I411" s="1092">
        <v>0</v>
      </c>
      <c r="J411" s="1092">
        <v>0</v>
      </c>
      <c r="K411" s="1092">
        <v>0</v>
      </c>
      <c r="L411" s="1092">
        <v>0</v>
      </c>
      <c r="M411" s="1092">
        <v>0</v>
      </c>
      <c r="N411" s="27">
        <f t="shared" si="54"/>
        <v>0</v>
      </c>
    </row>
    <row r="412" spans="1:14">
      <c r="A412" s="76" t="s">
        <v>30</v>
      </c>
      <c r="B412" s="1092">
        <v>0</v>
      </c>
      <c r="C412" s="1092">
        <v>0</v>
      </c>
      <c r="D412" s="1092">
        <v>0</v>
      </c>
      <c r="E412" s="1092">
        <v>0</v>
      </c>
      <c r="F412" s="1092">
        <v>0</v>
      </c>
      <c r="G412" s="1092">
        <v>0</v>
      </c>
      <c r="H412" s="1092">
        <v>0</v>
      </c>
      <c r="I412" s="1092">
        <v>0</v>
      </c>
      <c r="J412" s="1092">
        <v>0</v>
      </c>
      <c r="K412" s="1092">
        <v>0</v>
      </c>
      <c r="L412" s="1092">
        <v>0</v>
      </c>
      <c r="M412" s="1092">
        <v>0</v>
      </c>
      <c r="N412" s="27">
        <f t="shared" si="54"/>
        <v>0</v>
      </c>
    </row>
    <row r="413" spans="1:14">
      <c r="A413" s="32" t="s">
        <v>56</v>
      </c>
      <c r="B413" s="1092">
        <v>0</v>
      </c>
      <c r="C413" s="1092">
        <v>0</v>
      </c>
      <c r="D413" s="1092">
        <v>0</v>
      </c>
      <c r="E413" s="1092">
        <v>0</v>
      </c>
      <c r="F413" s="1092">
        <v>0</v>
      </c>
      <c r="G413" s="1092">
        <v>0</v>
      </c>
      <c r="H413" s="1092">
        <v>0</v>
      </c>
      <c r="I413" s="1092">
        <v>0</v>
      </c>
      <c r="J413" s="1092">
        <v>0</v>
      </c>
      <c r="K413" s="1092">
        <v>0</v>
      </c>
      <c r="L413" s="1092">
        <v>0</v>
      </c>
      <c r="M413" s="1092">
        <v>0</v>
      </c>
      <c r="N413" s="27">
        <f t="shared" si="54"/>
        <v>0</v>
      </c>
    </row>
    <row r="414" spans="1:14">
      <c r="A414" s="78" t="s">
        <v>122</v>
      </c>
      <c r="B414" s="1092">
        <v>0</v>
      </c>
      <c r="C414" s="1092">
        <v>0</v>
      </c>
      <c r="D414" s="1092">
        <v>0</v>
      </c>
      <c r="E414" s="1092">
        <v>0</v>
      </c>
      <c r="F414" s="1092">
        <v>0</v>
      </c>
      <c r="G414" s="1092">
        <v>0</v>
      </c>
      <c r="H414" s="1092">
        <v>0</v>
      </c>
      <c r="I414" s="1092">
        <v>0</v>
      </c>
      <c r="J414" s="1092">
        <v>0</v>
      </c>
      <c r="K414" s="1092">
        <v>0</v>
      </c>
      <c r="L414" s="1092">
        <v>0</v>
      </c>
      <c r="M414" s="1092">
        <v>0</v>
      </c>
      <c r="N414" s="27">
        <f t="shared" si="54"/>
        <v>0</v>
      </c>
    </row>
    <row r="415" spans="1:14">
      <c r="A415" s="78" t="s">
        <v>184</v>
      </c>
      <c r="B415" s="1092">
        <v>0</v>
      </c>
      <c r="C415" s="1092">
        <v>0</v>
      </c>
      <c r="D415" s="1092">
        <v>0</v>
      </c>
      <c r="E415" s="1092">
        <v>0</v>
      </c>
      <c r="F415" s="1092">
        <v>0</v>
      </c>
      <c r="G415" s="1092">
        <v>0</v>
      </c>
      <c r="H415" s="1092">
        <v>0</v>
      </c>
      <c r="I415" s="1092">
        <v>0</v>
      </c>
      <c r="J415" s="1092">
        <v>0</v>
      </c>
      <c r="K415" s="1092">
        <v>0</v>
      </c>
      <c r="L415" s="1092">
        <v>0</v>
      </c>
      <c r="M415" s="1092">
        <v>0</v>
      </c>
      <c r="N415" s="27">
        <f t="shared" si="54"/>
        <v>0</v>
      </c>
    </row>
    <row r="416" spans="1:14">
      <c r="A416" s="78" t="s">
        <v>187</v>
      </c>
      <c r="B416" s="1092">
        <v>0</v>
      </c>
      <c r="C416" s="1092">
        <v>0</v>
      </c>
      <c r="D416" s="1092">
        <v>0</v>
      </c>
      <c r="E416" s="1092">
        <v>0</v>
      </c>
      <c r="F416" s="1092">
        <v>0</v>
      </c>
      <c r="G416" s="1092">
        <v>0</v>
      </c>
      <c r="H416" s="1092">
        <v>0</v>
      </c>
      <c r="I416" s="1092">
        <v>0</v>
      </c>
      <c r="J416" s="1092">
        <v>0</v>
      </c>
      <c r="K416" s="1092">
        <v>0</v>
      </c>
      <c r="L416" s="1092">
        <v>0</v>
      </c>
      <c r="M416" s="1092">
        <v>0</v>
      </c>
      <c r="N416" s="27">
        <f t="shared" si="54"/>
        <v>0</v>
      </c>
    </row>
    <row r="417" spans="1:14">
      <c r="A417" s="78" t="s">
        <v>188</v>
      </c>
      <c r="B417" s="1092">
        <v>0</v>
      </c>
      <c r="C417" s="1092">
        <v>0</v>
      </c>
      <c r="D417" s="1092">
        <v>0</v>
      </c>
      <c r="E417" s="1092">
        <v>0</v>
      </c>
      <c r="F417" s="1092">
        <v>0</v>
      </c>
      <c r="G417" s="1092">
        <v>0</v>
      </c>
      <c r="H417" s="1092">
        <v>0</v>
      </c>
      <c r="I417" s="1092">
        <v>0</v>
      </c>
      <c r="J417" s="1092">
        <v>0</v>
      </c>
      <c r="K417" s="1092">
        <v>0</v>
      </c>
      <c r="L417" s="1092">
        <v>0</v>
      </c>
      <c r="M417" s="1092">
        <v>0</v>
      </c>
      <c r="N417" s="27">
        <f t="shared" si="54"/>
        <v>0</v>
      </c>
    </row>
    <row r="418" spans="1:14">
      <c r="A418" s="78" t="s">
        <v>213</v>
      </c>
      <c r="B418" s="1092">
        <v>0</v>
      </c>
      <c r="C418" s="1092">
        <v>0</v>
      </c>
      <c r="D418" s="1092">
        <v>0</v>
      </c>
      <c r="E418" s="1092">
        <v>0</v>
      </c>
      <c r="F418" s="1092">
        <v>0</v>
      </c>
      <c r="G418" s="1092">
        <v>0</v>
      </c>
      <c r="H418" s="1092">
        <v>0</v>
      </c>
      <c r="I418" s="1092">
        <v>0</v>
      </c>
      <c r="J418" s="1092">
        <v>0</v>
      </c>
      <c r="K418" s="1092">
        <v>0</v>
      </c>
      <c r="L418" s="1092">
        <v>0</v>
      </c>
      <c r="M418" s="1092">
        <v>0</v>
      </c>
      <c r="N418" s="27">
        <f t="shared" si="54"/>
        <v>0</v>
      </c>
    </row>
    <row r="419" spans="1:14">
      <c r="A419" s="76" t="s">
        <v>267</v>
      </c>
      <c r="B419" s="1092">
        <v>0</v>
      </c>
      <c r="C419" s="1092">
        <v>0</v>
      </c>
      <c r="D419" s="1092">
        <v>0</v>
      </c>
      <c r="E419" s="1092">
        <v>0</v>
      </c>
      <c r="F419" s="1092">
        <v>0</v>
      </c>
      <c r="G419" s="1092">
        <v>0</v>
      </c>
      <c r="H419" s="1092">
        <v>0</v>
      </c>
      <c r="I419" s="1092">
        <v>0</v>
      </c>
      <c r="J419" s="1092">
        <v>0</v>
      </c>
      <c r="K419" s="1092">
        <v>0</v>
      </c>
      <c r="L419" s="1092">
        <v>0</v>
      </c>
      <c r="M419" s="1092">
        <v>0</v>
      </c>
      <c r="N419" s="27">
        <f t="shared" si="54"/>
        <v>0</v>
      </c>
    </row>
    <row r="420" spans="1:14" ht="14" thickBot="1">
      <c r="A420" s="78" t="s">
        <v>268</v>
      </c>
      <c r="B420" s="1092">
        <v>0</v>
      </c>
      <c r="C420" s="1092">
        <v>0</v>
      </c>
      <c r="D420" s="1092">
        <v>0</v>
      </c>
      <c r="E420" s="1092">
        <v>0</v>
      </c>
      <c r="F420" s="1092">
        <v>0</v>
      </c>
      <c r="G420" s="1092">
        <v>0</v>
      </c>
      <c r="H420" s="1092">
        <v>0</v>
      </c>
      <c r="I420" s="1092">
        <v>0</v>
      </c>
      <c r="J420" s="1092">
        <v>0</v>
      </c>
      <c r="K420" s="1092">
        <v>0</v>
      </c>
      <c r="L420" s="1092">
        <v>0</v>
      </c>
      <c r="M420" s="1092">
        <v>0</v>
      </c>
      <c r="N420" s="27">
        <f t="shared" si="54"/>
        <v>0</v>
      </c>
    </row>
    <row r="421" spans="1:14" ht="14" thickBot="1">
      <c r="A421" s="38" t="s">
        <v>192</v>
      </c>
      <c r="B421" s="39"/>
      <c r="C421" s="39"/>
      <c r="D421" s="39"/>
      <c r="E421" s="39"/>
      <c r="F421" s="39"/>
      <c r="G421" s="39"/>
      <c r="H421" s="39"/>
      <c r="I421" s="39"/>
      <c r="J421" s="39"/>
      <c r="K421" s="39"/>
      <c r="L421" s="39"/>
      <c r="M421" s="39"/>
      <c r="N421" s="40"/>
    </row>
    <row r="422" spans="1:14" ht="14" thickBot="1">
      <c r="A422" s="76" t="s">
        <v>193</v>
      </c>
      <c r="B422" s="1092"/>
      <c r="C422" s="1092"/>
      <c r="D422" s="1092"/>
      <c r="E422" s="1092"/>
      <c r="F422" s="1092"/>
      <c r="G422" s="1092"/>
      <c r="H422" s="1092"/>
      <c r="I422" s="1092"/>
      <c r="J422" s="1092"/>
      <c r="K422" s="1092"/>
      <c r="L422" s="1092"/>
      <c r="M422" s="1092"/>
      <c r="N422" s="27">
        <f>SUM(B422:M422)</f>
        <v>0</v>
      </c>
    </row>
    <row r="423" spans="1:14" ht="14" thickBot="1">
      <c r="A423" s="53" t="s">
        <v>60</v>
      </c>
      <c r="B423" s="55">
        <f t="shared" ref="B423:M423" si="55">SUM(B409:B422)</f>
        <v>0</v>
      </c>
      <c r="C423" s="55">
        <f t="shared" si="55"/>
        <v>0</v>
      </c>
      <c r="D423" s="55">
        <f t="shared" si="55"/>
        <v>0</v>
      </c>
      <c r="E423" s="55">
        <f t="shared" si="55"/>
        <v>0</v>
      </c>
      <c r="F423" s="55">
        <f t="shared" si="55"/>
        <v>0</v>
      </c>
      <c r="G423" s="55">
        <f t="shared" si="55"/>
        <v>0</v>
      </c>
      <c r="H423" s="55">
        <f t="shared" si="55"/>
        <v>0</v>
      </c>
      <c r="I423" s="55">
        <f t="shared" si="55"/>
        <v>0</v>
      </c>
      <c r="J423" s="55">
        <f t="shared" si="55"/>
        <v>0</v>
      </c>
      <c r="K423" s="55">
        <f t="shared" si="55"/>
        <v>0</v>
      </c>
      <c r="L423" s="55">
        <f t="shared" si="55"/>
        <v>0</v>
      </c>
      <c r="M423" s="55">
        <f t="shared" si="55"/>
        <v>0</v>
      </c>
      <c r="N423" s="54"/>
    </row>
    <row r="425" spans="1:14" ht="14" thickBot="1">
      <c r="B425" s="43" t="s">
        <v>35</v>
      </c>
      <c r="C425" s="43" t="s">
        <v>36</v>
      </c>
      <c r="D425" s="43" t="s">
        <v>37</v>
      </c>
      <c r="E425" s="43" t="s">
        <v>38</v>
      </c>
      <c r="F425" s="43" t="s">
        <v>39</v>
      </c>
      <c r="G425" s="43" t="s">
        <v>40</v>
      </c>
      <c r="H425" s="43" t="s">
        <v>41</v>
      </c>
      <c r="I425" s="43" t="s">
        <v>42</v>
      </c>
      <c r="J425" s="43" t="s">
        <v>43</v>
      </c>
      <c r="K425" s="43" t="s">
        <v>44</v>
      </c>
      <c r="L425" s="43" t="s">
        <v>45</v>
      </c>
      <c r="M425" s="43" t="s">
        <v>46</v>
      </c>
      <c r="N425" s="43" t="s">
        <v>10</v>
      </c>
    </row>
    <row r="426" spans="1:14" ht="17" thickBot="1">
      <c r="A426" s="31" t="s">
        <v>434</v>
      </c>
      <c r="B426" s="24"/>
      <c r="C426" s="24"/>
      <c r="D426" s="22"/>
      <c r="E426" s="22"/>
      <c r="F426" s="25"/>
      <c r="G426" s="25"/>
      <c r="H426" s="22"/>
      <c r="I426" s="22"/>
      <c r="J426" s="22"/>
      <c r="K426" s="22"/>
      <c r="L426" s="24"/>
      <c r="M426" s="24"/>
      <c r="N426" s="26"/>
    </row>
    <row r="427" spans="1:14" ht="14" thickBot="1">
      <c r="A427" s="38" t="s">
        <v>189</v>
      </c>
      <c r="B427" s="39"/>
      <c r="C427" s="39"/>
      <c r="D427" s="39"/>
      <c r="E427" s="39"/>
      <c r="F427" s="39"/>
      <c r="G427" s="39"/>
      <c r="H427" s="39"/>
      <c r="I427" s="39"/>
      <c r="J427" s="39"/>
      <c r="K427" s="39"/>
      <c r="L427" s="39"/>
      <c r="M427" s="39"/>
      <c r="N427" s="40"/>
    </row>
    <row r="428" spans="1:14">
      <c r="A428" s="32" t="s">
        <v>29</v>
      </c>
      <c r="B428" s="1092"/>
      <c r="C428" s="1092"/>
      <c r="D428" s="1092"/>
      <c r="E428" s="1092"/>
      <c r="F428" s="1092"/>
      <c r="G428" s="1092"/>
      <c r="H428" s="1092"/>
      <c r="I428" s="1092"/>
      <c r="J428" s="1092"/>
      <c r="K428" s="1092">
        <v>2</v>
      </c>
      <c r="L428" s="1092"/>
      <c r="M428" s="1092"/>
      <c r="N428" s="27">
        <f t="shared" ref="N428:N435" si="56">SUM(B428:M428)</f>
        <v>2</v>
      </c>
    </row>
    <row r="429" spans="1:14">
      <c r="A429" s="32" t="s">
        <v>33</v>
      </c>
      <c r="B429" s="1092"/>
      <c r="C429" s="1092"/>
      <c r="D429" s="1092">
        <v>1</v>
      </c>
      <c r="E429" s="1092">
        <v>1</v>
      </c>
      <c r="F429" s="1092"/>
      <c r="G429" s="1092"/>
      <c r="H429" s="1092"/>
      <c r="I429" s="1092"/>
      <c r="J429" s="1092"/>
      <c r="K429" s="1092"/>
      <c r="L429" s="1092"/>
      <c r="M429" s="1092"/>
      <c r="N429" s="27">
        <f t="shared" si="56"/>
        <v>2</v>
      </c>
    </row>
    <row r="430" spans="1:14">
      <c r="A430" s="32" t="s">
        <v>56</v>
      </c>
      <c r="B430" s="1092"/>
      <c r="C430" s="1092"/>
      <c r="D430" s="1092"/>
      <c r="E430" s="1092"/>
      <c r="F430" s="1092"/>
      <c r="G430" s="1092"/>
      <c r="H430" s="1092"/>
      <c r="I430" s="1092"/>
      <c r="J430" s="1092"/>
      <c r="K430" s="1092"/>
      <c r="L430" s="1092"/>
      <c r="M430" s="1092"/>
      <c r="N430" s="27">
        <f t="shared" si="56"/>
        <v>0</v>
      </c>
    </row>
    <row r="431" spans="1:14">
      <c r="A431" s="78" t="s">
        <v>30</v>
      </c>
      <c r="B431" s="1092">
        <v>1</v>
      </c>
      <c r="C431" s="1092">
        <v>2</v>
      </c>
      <c r="D431" s="1092"/>
      <c r="E431" s="1092"/>
      <c r="F431" s="1092">
        <v>1</v>
      </c>
      <c r="G431" s="1092"/>
      <c r="H431" s="1092"/>
      <c r="I431" s="1092"/>
      <c r="J431" s="1092"/>
      <c r="K431" s="1092"/>
      <c r="L431" s="1092"/>
      <c r="M431" s="1092"/>
      <c r="N431" s="27">
        <f t="shared" si="56"/>
        <v>4</v>
      </c>
    </row>
    <row r="432" spans="1:14">
      <c r="A432" s="76" t="s">
        <v>213</v>
      </c>
      <c r="B432" s="1092"/>
      <c r="C432" s="1092"/>
      <c r="D432" s="1092"/>
      <c r="E432" s="1092"/>
      <c r="F432" s="1092"/>
      <c r="G432" s="1092"/>
      <c r="H432" s="1092"/>
      <c r="I432" s="1092"/>
      <c r="J432" s="1092"/>
      <c r="K432" s="1092"/>
      <c r="L432" s="1092"/>
      <c r="M432" s="1092"/>
      <c r="N432" s="27">
        <f t="shared" si="56"/>
        <v>0</v>
      </c>
    </row>
    <row r="433" spans="1:14">
      <c r="A433" s="76" t="s">
        <v>212</v>
      </c>
      <c r="B433" s="1092"/>
      <c r="C433" s="1092"/>
      <c r="D433" s="1092"/>
      <c r="E433" s="1092"/>
      <c r="F433" s="1092"/>
      <c r="G433" s="1092"/>
      <c r="H433" s="1092"/>
      <c r="I433" s="1092"/>
      <c r="J433" s="1092"/>
      <c r="K433" s="1092"/>
      <c r="L433" s="1092"/>
      <c r="M433" s="1092"/>
      <c r="N433" s="27">
        <f t="shared" si="56"/>
        <v>0</v>
      </c>
    </row>
    <row r="434" spans="1:14">
      <c r="A434" s="76" t="s">
        <v>331</v>
      </c>
      <c r="B434" s="1092"/>
      <c r="C434" s="1092"/>
      <c r="D434" s="1092"/>
      <c r="E434" s="1092"/>
      <c r="F434" s="1092"/>
      <c r="G434" s="1092"/>
      <c r="H434" s="1092"/>
      <c r="I434" s="1092"/>
      <c r="J434" s="1092"/>
      <c r="K434" s="1092"/>
      <c r="L434" s="1092"/>
      <c r="M434" s="1092"/>
      <c r="N434" s="27">
        <f t="shared" si="56"/>
        <v>0</v>
      </c>
    </row>
    <row r="435" spans="1:14" ht="14" thickBot="1">
      <c r="A435" s="76" t="s">
        <v>267</v>
      </c>
      <c r="B435" s="1092"/>
      <c r="C435" s="1092"/>
      <c r="D435" s="1092"/>
      <c r="E435" s="1092"/>
      <c r="F435" s="1092"/>
      <c r="G435" s="1092"/>
      <c r="H435" s="1092"/>
      <c r="I435" s="1092"/>
      <c r="J435" s="1092"/>
      <c r="K435" s="1092"/>
      <c r="L435" s="1092"/>
      <c r="M435" s="1092"/>
      <c r="N435" s="27">
        <f t="shared" si="56"/>
        <v>0</v>
      </c>
    </row>
    <row r="436" spans="1:14" ht="14" thickBot="1">
      <c r="A436" s="38" t="s">
        <v>190</v>
      </c>
      <c r="B436" s="39"/>
      <c r="C436" s="39"/>
      <c r="D436" s="39"/>
      <c r="E436" s="39"/>
      <c r="F436" s="39"/>
      <c r="G436" s="39"/>
      <c r="H436" s="39"/>
      <c r="I436" s="39"/>
      <c r="J436" s="39"/>
      <c r="K436" s="39"/>
      <c r="L436" s="39"/>
      <c r="M436" s="39"/>
      <c r="N436" s="280"/>
    </row>
    <row r="437" spans="1:14">
      <c r="A437" s="76" t="s">
        <v>393</v>
      </c>
      <c r="B437" s="1092">
        <v>0</v>
      </c>
      <c r="C437" s="1092">
        <v>0</v>
      </c>
      <c r="D437" s="1092">
        <v>0</v>
      </c>
      <c r="E437" s="1092">
        <v>0</v>
      </c>
      <c r="F437" s="1092">
        <v>0</v>
      </c>
      <c r="G437" s="1092">
        <v>0</v>
      </c>
      <c r="H437" s="1092">
        <v>0</v>
      </c>
      <c r="I437" s="1092">
        <v>0</v>
      </c>
      <c r="J437" s="1092">
        <v>0</v>
      </c>
      <c r="K437" s="1092">
        <v>0</v>
      </c>
      <c r="L437" s="1092">
        <v>0</v>
      </c>
      <c r="M437" s="1092">
        <v>0</v>
      </c>
      <c r="N437" s="27">
        <f>SUM(B437:M437)</f>
        <v>0</v>
      </c>
    </row>
    <row r="438" spans="1:14">
      <c r="A438" s="76" t="s">
        <v>166</v>
      </c>
      <c r="B438" s="1092">
        <v>0</v>
      </c>
      <c r="C438" s="1092">
        <v>0</v>
      </c>
      <c r="D438" s="1092">
        <v>0</v>
      </c>
      <c r="E438" s="1092">
        <v>0</v>
      </c>
      <c r="F438" s="1092">
        <v>0</v>
      </c>
      <c r="G438" s="1092">
        <v>0</v>
      </c>
      <c r="H438" s="1092">
        <v>0</v>
      </c>
      <c r="I438" s="1092">
        <v>0</v>
      </c>
      <c r="J438" s="1092">
        <v>0</v>
      </c>
      <c r="K438" s="1092">
        <v>0</v>
      </c>
      <c r="L438" s="1092">
        <v>0</v>
      </c>
      <c r="M438" s="1092">
        <v>0</v>
      </c>
      <c r="N438" s="27">
        <f>SUM(B438:M438)</f>
        <v>0</v>
      </c>
    </row>
    <row r="439" spans="1:14">
      <c r="A439" s="76" t="s">
        <v>336</v>
      </c>
      <c r="B439" s="1092">
        <v>0</v>
      </c>
      <c r="C439" s="1092">
        <v>0</v>
      </c>
      <c r="D439" s="1092">
        <v>0</v>
      </c>
      <c r="E439" s="1092">
        <v>0</v>
      </c>
      <c r="F439" s="1092">
        <v>0</v>
      </c>
      <c r="G439" s="1092">
        <v>0</v>
      </c>
      <c r="H439" s="1092">
        <v>0</v>
      </c>
      <c r="I439" s="1092">
        <v>0</v>
      </c>
      <c r="J439" s="1092">
        <v>0</v>
      </c>
      <c r="K439" s="1092">
        <v>0</v>
      </c>
      <c r="L439" s="1092">
        <v>0</v>
      </c>
      <c r="M439" s="1092">
        <v>0</v>
      </c>
      <c r="N439" s="27">
        <f>SUM(B439:M439)</f>
        <v>0</v>
      </c>
    </row>
    <row r="440" spans="1:14">
      <c r="A440" s="76" t="s">
        <v>266</v>
      </c>
      <c r="B440" s="1092">
        <v>0</v>
      </c>
      <c r="C440" s="1092">
        <v>0</v>
      </c>
      <c r="D440" s="1092">
        <v>0</v>
      </c>
      <c r="E440" s="1092">
        <v>0</v>
      </c>
      <c r="F440" s="1092">
        <v>0</v>
      </c>
      <c r="G440" s="1092">
        <v>0</v>
      </c>
      <c r="H440" s="1092">
        <v>0</v>
      </c>
      <c r="I440" s="1092">
        <v>0</v>
      </c>
      <c r="J440" s="1092">
        <v>0</v>
      </c>
      <c r="K440" s="1092">
        <v>0</v>
      </c>
      <c r="L440" s="1092">
        <v>0</v>
      </c>
      <c r="M440" s="1092">
        <v>0</v>
      </c>
      <c r="N440" s="27">
        <f>SUM(B440:M440)</f>
        <v>0</v>
      </c>
    </row>
    <row r="441" spans="1:14" ht="14" thickBot="1">
      <c r="A441" s="76" t="s">
        <v>467</v>
      </c>
      <c r="B441" s="1092"/>
      <c r="C441" s="1092"/>
      <c r="D441" s="1092"/>
      <c r="E441" s="1092"/>
      <c r="F441" s="1092"/>
      <c r="G441" s="1092"/>
      <c r="H441" s="1092"/>
      <c r="I441" s="1092"/>
      <c r="J441" s="1092"/>
      <c r="K441" s="1092"/>
      <c r="L441" s="1092"/>
      <c r="M441" s="1092"/>
      <c r="N441" s="27">
        <f>SUM(B441:M441)</f>
        <v>0</v>
      </c>
    </row>
    <row r="442" spans="1:14" ht="14" thickBot="1">
      <c r="A442" s="53" t="s">
        <v>60</v>
      </c>
      <c r="B442" s="55">
        <f>SUM(B428:B441)</f>
        <v>1</v>
      </c>
      <c r="C442" s="55">
        <f t="shared" ref="C442:M442" si="57">SUM(C428:C441)</f>
        <v>2</v>
      </c>
      <c r="D442" s="55">
        <f t="shared" si="57"/>
        <v>1</v>
      </c>
      <c r="E442" s="55">
        <f t="shared" si="57"/>
        <v>1</v>
      </c>
      <c r="F442" s="55">
        <f t="shared" si="57"/>
        <v>1</v>
      </c>
      <c r="G442" s="55">
        <f t="shared" si="57"/>
        <v>0</v>
      </c>
      <c r="H442" s="55">
        <f t="shared" si="57"/>
        <v>0</v>
      </c>
      <c r="I442" s="55">
        <f t="shared" si="57"/>
        <v>0</v>
      </c>
      <c r="J442" s="55">
        <f t="shared" si="57"/>
        <v>0</v>
      </c>
      <c r="K442" s="55">
        <f t="shared" si="57"/>
        <v>2</v>
      </c>
      <c r="L442" s="55">
        <f t="shared" si="57"/>
        <v>0</v>
      </c>
      <c r="M442" s="55">
        <f t="shared" si="57"/>
        <v>0</v>
      </c>
      <c r="N442" s="54"/>
    </row>
    <row r="443" spans="1:14" ht="14" thickBot="1">
      <c r="A443" s="38" t="s">
        <v>194</v>
      </c>
      <c r="B443" s="39"/>
      <c r="C443" s="39"/>
      <c r="D443" s="39"/>
      <c r="E443" s="39"/>
      <c r="F443" s="39"/>
      <c r="G443" s="39"/>
      <c r="H443" s="39"/>
      <c r="I443" s="39"/>
      <c r="J443" s="39"/>
      <c r="K443" s="39"/>
      <c r="L443" s="39"/>
      <c r="M443" s="39"/>
      <c r="N443" s="40"/>
    </row>
    <row r="444" spans="1:14">
      <c r="A444" s="32" t="s">
        <v>29</v>
      </c>
      <c r="B444" s="1092"/>
      <c r="C444" s="1092"/>
      <c r="D444" s="1092"/>
      <c r="E444" s="1092"/>
      <c r="F444" s="1092"/>
      <c r="G444" s="1092"/>
      <c r="H444" s="1092"/>
      <c r="I444" s="1092"/>
      <c r="J444" s="1092"/>
      <c r="K444" s="1092"/>
      <c r="L444" s="1092"/>
      <c r="M444" s="1092"/>
      <c r="N444" s="27">
        <f t="shared" ref="N444:N455" si="58">SUM(B444:M444)</f>
        <v>0</v>
      </c>
    </row>
    <row r="445" spans="1:14">
      <c r="A445" s="78" t="s">
        <v>264</v>
      </c>
      <c r="B445" s="1092"/>
      <c r="C445" s="1092"/>
      <c r="D445" s="1092"/>
      <c r="E445" s="1092"/>
      <c r="F445" s="1092"/>
      <c r="G445" s="1092"/>
      <c r="H445" s="1092"/>
      <c r="I445" s="1092"/>
      <c r="J445" s="1092"/>
      <c r="K445" s="1092"/>
      <c r="L445" s="1092"/>
      <c r="M445" s="1092"/>
      <c r="N445" s="27">
        <f t="shared" si="58"/>
        <v>0</v>
      </c>
    </row>
    <row r="446" spans="1:14">
      <c r="A446" s="34" t="s">
        <v>204</v>
      </c>
      <c r="B446" s="1092"/>
      <c r="C446" s="1092"/>
      <c r="D446" s="1092"/>
      <c r="E446" s="1092"/>
      <c r="F446" s="1092"/>
      <c r="G446" s="1092"/>
      <c r="H446" s="1092"/>
      <c r="I446" s="1092"/>
      <c r="J446" s="1092"/>
      <c r="K446" s="1092"/>
      <c r="L446" s="1092"/>
      <c r="M446" s="1092"/>
      <c r="N446" s="27">
        <f t="shared" si="58"/>
        <v>0</v>
      </c>
    </row>
    <row r="447" spans="1:14">
      <c r="A447" s="76" t="s">
        <v>30</v>
      </c>
      <c r="B447" s="1092"/>
      <c r="C447" s="1092"/>
      <c r="D447" s="1092"/>
      <c r="E447" s="1092"/>
      <c r="F447" s="1092"/>
      <c r="G447" s="1092"/>
      <c r="H447" s="1092"/>
      <c r="I447" s="1092"/>
      <c r="J447" s="1092"/>
      <c r="K447" s="1092"/>
      <c r="L447" s="1092"/>
      <c r="M447" s="1092"/>
      <c r="N447" s="27">
        <f t="shared" si="58"/>
        <v>0</v>
      </c>
    </row>
    <row r="448" spans="1:14">
      <c r="A448" s="32" t="s">
        <v>56</v>
      </c>
      <c r="B448" s="1092"/>
      <c r="C448" s="1092"/>
      <c r="D448" s="1092"/>
      <c r="E448" s="1092"/>
      <c r="F448" s="1092"/>
      <c r="G448" s="1092"/>
      <c r="H448" s="1092"/>
      <c r="I448" s="1092"/>
      <c r="J448" s="1092"/>
      <c r="K448" s="1092"/>
      <c r="L448" s="1092"/>
      <c r="M448" s="1092"/>
      <c r="N448" s="27">
        <f t="shared" si="58"/>
        <v>0</v>
      </c>
    </row>
    <row r="449" spans="1:14">
      <c r="A449" s="78" t="s">
        <v>122</v>
      </c>
      <c r="B449" s="1092"/>
      <c r="C449" s="1092"/>
      <c r="D449" s="1092"/>
      <c r="E449" s="1092"/>
      <c r="F449" s="1092"/>
      <c r="G449" s="1092"/>
      <c r="H449" s="1092"/>
      <c r="I449" s="1092"/>
      <c r="J449" s="1092"/>
      <c r="K449" s="1092"/>
      <c r="L449" s="1092"/>
      <c r="M449" s="1092"/>
      <c r="N449" s="27">
        <f t="shared" si="58"/>
        <v>0</v>
      </c>
    </row>
    <row r="450" spans="1:14">
      <c r="A450" s="78" t="s">
        <v>184</v>
      </c>
      <c r="B450" s="1092"/>
      <c r="C450" s="1092"/>
      <c r="D450" s="1092"/>
      <c r="E450" s="1092"/>
      <c r="F450" s="1092"/>
      <c r="G450" s="1092"/>
      <c r="H450" s="1092"/>
      <c r="I450" s="1092"/>
      <c r="J450" s="1092"/>
      <c r="K450" s="1092"/>
      <c r="L450" s="1092"/>
      <c r="M450" s="1092"/>
      <c r="N450" s="27">
        <f t="shared" si="58"/>
        <v>0</v>
      </c>
    </row>
    <row r="451" spans="1:14">
      <c r="A451" s="78" t="s">
        <v>187</v>
      </c>
      <c r="B451" s="1092"/>
      <c r="C451" s="1092"/>
      <c r="D451" s="1092"/>
      <c r="E451" s="1092"/>
      <c r="F451" s="1092"/>
      <c r="G451" s="1092"/>
      <c r="H451" s="1092"/>
      <c r="I451" s="1092"/>
      <c r="J451" s="1092"/>
      <c r="K451" s="1092"/>
      <c r="L451" s="1092"/>
      <c r="M451" s="1092"/>
      <c r="N451" s="27">
        <f t="shared" si="58"/>
        <v>0</v>
      </c>
    </row>
    <row r="452" spans="1:14">
      <c r="A452" s="78" t="s">
        <v>188</v>
      </c>
      <c r="B452" s="1092"/>
      <c r="C452" s="1092"/>
      <c r="D452" s="1092"/>
      <c r="E452" s="1092"/>
      <c r="F452" s="1092"/>
      <c r="G452" s="1092"/>
      <c r="H452" s="1092"/>
      <c r="I452" s="1092"/>
      <c r="J452" s="1092"/>
      <c r="K452" s="1092"/>
      <c r="L452" s="1092"/>
      <c r="M452" s="1092"/>
      <c r="N452" s="27">
        <f t="shared" si="58"/>
        <v>0</v>
      </c>
    </row>
    <row r="453" spans="1:14">
      <c r="A453" s="78" t="s">
        <v>213</v>
      </c>
      <c r="B453" s="1092"/>
      <c r="C453" s="1092"/>
      <c r="D453" s="1092"/>
      <c r="E453" s="1092"/>
      <c r="F453" s="1092"/>
      <c r="G453" s="1092"/>
      <c r="H453" s="1092"/>
      <c r="I453" s="1092"/>
      <c r="J453" s="1092"/>
      <c r="K453" s="1092"/>
      <c r="L453" s="1092"/>
      <c r="M453" s="1092"/>
      <c r="N453" s="27">
        <f t="shared" si="58"/>
        <v>0</v>
      </c>
    </row>
    <row r="454" spans="1:14">
      <c r="A454" s="76" t="s">
        <v>267</v>
      </c>
      <c r="B454" s="1092"/>
      <c r="C454" s="1092"/>
      <c r="D454" s="1092"/>
      <c r="E454" s="1092"/>
      <c r="F454" s="1092"/>
      <c r="G454" s="1092"/>
      <c r="H454" s="1092"/>
      <c r="I454" s="1092"/>
      <c r="J454" s="1092"/>
      <c r="K454" s="1092"/>
      <c r="L454" s="1092"/>
      <c r="M454" s="1092"/>
      <c r="N454" s="27">
        <f t="shared" si="58"/>
        <v>0</v>
      </c>
    </row>
    <row r="455" spans="1:14" ht="14" thickBot="1">
      <c r="A455" s="78" t="s">
        <v>268</v>
      </c>
      <c r="B455" s="1092"/>
      <c r="C455" s="1092"/>
      <c r="D455" s="1092"/>
      <c r="E455" s="1092"/>
      <c r="F455" s="1092"/>
      <c r="G455" s="1092"/>
      <c r="H455" s="1092"/>
      <c r="I455" s="1092"/>
      <c r="J455" s="1092"/>
      <c r="K455" s="1092"/>
      <c r="L455" s="1092"/>
      <c r="M455" s="1092"/>
      <c r="N455" s="27">
        <f t="shared" si="58"/>
        <v>0</v>
      </c>
    </row>
    <row r="456" spans="1:14" ht="14" thickBot="1">
      <c r="A456" s="38" t="s">
        <v>192</v>
      </c>
      <c r="B456" s="39"/>
      <c r="C456" s="39"/>
      <c r="D456" s="39"/>
      <c r="E456" s="39"/>
      <c r="F456" s="39"/>
      <c r="G456" s="39"/>
      <c r="H456" s="39"/>
      <c r="I456" s="39"/>
      <c r="J456" s="39"/>
      <c r="K456" s="39"/>
      <c r="L456" s="39"/>
      <c r="M456" s="39"/>
      <c r="N456" s="40"/>
    </row>
    <row r="457" spans="1:14" ht="14" thickBot="1">
      <c r="A457" s="76" t="s">
        <v>193</v>
      </c>
      <c r="B457" s="1092"/>
      <c r="C457" s="1092"/>
      <c r="D457" s="1092"/>
      <c r="E457" s="1092"/>
      <c r="F457" s="1092"/>
      <c r="G457" s="1092"/>
      <c r="H457" s="1092"/>
      <c r="I457" s="1092"/>
      <c r="J457" s="1092"/>
      <c r="K457" s="1092"/>
      <c r="L457" s="1092"/>
      <c r="M457" s="1092"/>
      <c r="N457" s="27">
        <f>SUM(B457:M457)</f>
        <v>0</v>
      </c>
    </row>
    <row r="458" spans="1:14" ht="14" thickBot="1">
      <c r="A458" s="53" t="s">
        <v>60</v>
      </c>
      <c r="B458" s="55">
        <f t="shared" ref="B458:M458" si="59">SUM(B444:B457)</f>
        <v>0</v>
      </c>
      <c r="C458" s="55">
        <f t="shared" si="59"/>
        <v>0</v>
      </c>
      <c r="D458" s="55">
        <f t="shared" si="59"/>
        <v>0</v>
      </c>
      <c r="E458" s="55">
        <f t="shared" si="59"/>
        <v>0</v>
      </c>
      <c r="F458" s="55">
        <f t="shared" si="59"/>
        <v>0</v>
      </c>
      <c r="G458" s="55">
        <f t="shared" si="59"/>
        <v>0</v>
      </c>
      <c r="H458" s="55">
        <f t="shared" si="59"/>
        <v>0</v>
      </c>
      <c r="I458" s="55">
        <f t="shared" si="59"/>
        <v>0</v>
      </c>
      <c r="J458" s="55">
        <f t="shared" si="59"/>
        <v>0</v>
      </c>
      <c r="K458" s="55">
        <f t="shared" si="59"/>
        <v>0</v>
      </c>
      <c r="L458" s="55">
        <f t="shared" si="59"/>
        <v>0</v>
      </c>
      <c r="M458" s="55">
        <f t="shared" si="59"/>
        <v>0</v>
      </c>
      <c r="N458" s="54"/>
    </row>
  </sheetData>
  <printOptions gridLines="1"/>
  <pageMargins left="0.75" right="0.75" top="1" bottom="1" header="0.5" footer="0.5"/>
  <pageSetup scale="69"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FF0000"/>
    <pageSetUpPr fitToPage="1"/>
  </sheetPr>
  <dimension ref="A1:U649"/>
  <sheetViews>
    <sheetView showGridLines="0" view="pageBreakPreview" topLeftCell="B7" zoomScale="90" zoomScaleNormal="90" zoomScaleSheetLayoutView="90" workbookViewId="0">
      <selection activeCell="M2" sqref="M2:N3"/>
    </sheetView>
  </sheetViews>
  <sheetFormatPr baseColWidth="10" defaultColWidth="8.83203125" defaultRowHeight="13"/>
  <cols>
    <col min="1" max="1" width="58.5" customWidth="1"/>
    <col min="2" max="7" width="8.83203125" customWidth="1"/>
    <col min="8" max="12" width="17.1640625" customWidth="1"/>
    <col min="13" max="14" width="8.83203125" customWidth="1"/>
  </cols>
  <sheetData>
    <row r="1" spans="1:14" s="363" customFormat="1" ht="16">
      <c r="A1" s="98"/>
      <c r="B1" s="99"/>
      <c r="C1" s="99"/>
      <c r="D1" s="99"/>
      <c r="E1" s="99"/>
      <c r="F1" s="421"/>
      <c r="G1" s="421"/>
      <c r="H1" s="421"/>
      <c r="I1" s="1468" t="s">
        <v>0</v>
      </c>
      <c r="J1" s="1468"/>
      <c r="K1" s="1468"/>
      <c r="L1" s="1468"/>
      <c r="M1" s="99"/>
      <c r="N1" s="101"/>
    </row>
    <row r="2" spans="1:14" ht="16">
      <c r="A2" s="97"/>
      <c r="B2" s="1469" t="s">
        <v>1</v>
      </c>
      <c r="C2" s="1469"/>
      <c r="D2" s="1469" t="s">
        <v>2</v>
      </c>
      <c r="E2" s="1469"/>
      <c r="F2" s="1470" t="s">
        <v>3</v>
      </c>
      <c r="G2" s="1470"/>
      <c r="H2" s="1314" t="s">
        <v>3</v>
      </c>
      <c r="I2" s="127" t="s">
        <v>195</v>
      </c>
      <c r="J2" s="102"/>
      <c r="K2" s="102"/>
      <c r="L2" s="128"/>
      <c r="M2" s="1471" t="s">
        <v>469</v>
      </c>
      <c r="N2" s="1472"/>
    </row>
    <row r="3" spans="1:14" ht="19" thickBot="1">
      <c r="A3" s="103" t="s">
        <v>5</v>
      </c>
      <c r="B3" s="1473" t="s">
        <v>6</v>
      </c>
      <c r="C3" s="1473"/>
      <c r="D3" s="1473" t="s">
        <v>7</v>
      </c>
      <c r="E3" s="1473"/>
      <c r="F3" s="1474" t="s">
        <v>7</v>
      </c>
      <c r="G3" s="1474"/>
      <c r="H3" s="1317" t="s">
        <v>58</v>
      </c>
      <c r="I3" s="1318" t="s">
        <v>196</v>
      </c>
      <c r="J3" s="1316" t="s">
        <v>8</v>
      </c>
      <c r="K3" s="1316" t="s">
        <v>9</v>
      </c>
      <c r="L3" s="401" t="s">
        <v>10</v>
      </c>
      <c r="M3" s="1473" t="s">
        <v>470</v>
      </c>
      <c r="N3" s="1475"/>
    </row>
    <row r="4" spans="1:14" ht="24" thickBot="1">
      <c r="A4" s="88" t="s">
        <v>435</v>
      </c>
      <c r="B4" s="1476"/>
      <c r="C4" s="1477"/>
      <c r="D4" s="1478"/>
      <c r="E4" s="1479"/>
      <c r="F4" s="1480"/>
      <c r="G4" s="1481"/>
      <c r="H4" s="1324"/>
      <c r="I4" s="213"/>
      <c r="J4" s="213"/>
      <c r="K4" s="213"/>
      <c r="L4" s="214"/>
      <c r="M4" s="1482"/>
      <c r="N4" s="1483"/>
    </row>
    <row r="5" spans="1:14" s="1161" customFormat="1" ht="17" thickBot="1">
      <c r="A5" s="110" t="s">
        <v>189</v>
      </c>
      <c r="B5" s="1456"/>
      <c r="C5" s="1457"/>
      <c r="D5" s="1457"/>
      <c r="E5" s="1457"/>
      <c r="F5" s="1484"/>
      <c r="G5" s="1484"/>
      <c r="H5" s="1320"/>
      <c r="I5" s="1319"/>
      <c r="J5" s="1319"/>
      <c r="K5" s="1319"/>
      <c r="L5" s="1319"/>
      <c r="M5" s="1485"/>
      <c r="N5" s="1486"/>
    </row>
    <row r="6" spans="1:14" s="121" customFormat="1">
      <c r="A6" s="69" t="s">
        <v>29</v>
      </c>
      <c r="B6" s="1465">
        <f>SAWC!N428</f>
        <v>2</v>
      </c>
      <c r="C6" s="1466"/>
      <c r="D6" s="1432">
        <f>F6*325900</f>
        <v>16034.28</v>
      </c>
      <c r="E6" s="1433"/>
      <c r="F6" s="1467">
        <f>0.0246*B6</f>
        <v>4.9200000000000001E-2</v>
      </c>
      <c r="G6" s="1433"/>
      <c r="H6" s="1325">
        <f>F6*20</f>
        <v>0.98399999999999999</v>
      </c>
      <c r="I6" s="173">
        <v>0</v>
      </c>
      <c r="J6" s="173">
        <f>B6*60</f>
        <v>120</v>
      </c>
      <c r="K6" s="173">
        <f>B6*40</f>
        <v>80</v>
      </c>
      <c r="L6" s="174">
        <f>K6+J6+I6</f>
        <v>200</v>
      </c>
      <c r="M6" s="1427">
        <f>J6/(F6*830)</f>
        <v>2.9385836027034968</v>
      </c>
      <c r="N6" s="1428"/>
    </row>
    <row r="7" spans="1:14" s="121" customFormat="1">
      <c r="A7" s="69" t="s">
        <v>33</v>
      </c>
      <c r="B7" s="1435">
        <f>SAWC!N429</f>
        <v>2</v>
      </c>
      <c r="C7" s="1433"/>
      <c r="D7" s="1432">
        <f t="shared" ref="D7" si="0">F7*325900</f>
        <v>22487.100000000002</v>
      </c>
      <c r="E7" s="1433"/>
      <c r="F7" s="1467">
        <f>0.0345*B7</f>
        <v>6.9000000000000006E-2</v>
      </c>
      <c r="G7" s="1433"/>
      <c r="H7" s="1325">
        <f>F7*14</f>
        <v>0.96600000000000008</v>
      </c>
      <c r="I7" s="173">
        <f>0*B7</f>
        <v>0</v>
      </c>
      <c r="J7" s="173">
        <f>B7*75</f>
        <v>150</v>
      </c>
      <c r="K7" s="173">
        <f>B7*85</f>
        <v>170</v>
      </c>
      <c r="L7" s="174">
        <f t="shared" ref="L7:L8" si="1">K7+J7+I7</f>
        <v>320</v>
      </c>
      <c r="M7" s="1427">
        <f t="shared" ref="M7:M9" si="2">J7/(F7*830)</f>
        <v>2.6191723415400734</v>
      </c>
      <c r="N7" s="1428"/>
    </row>
    <row r="8" spans="1:14" s="121" customFormat="1">
      <c r="A8" s="254" t="s">
        <v>363</v>
      </c>
      <c r="B8" s="1435">
        <f>SAWC!N430</f>
        <v>0</v>
      </c>
      <c r="C8" s="1433"/>
      <c r="D8" s="1432">
        <f>F8*325900</f>
        <v>0</v>
      </c>
      <c r="E8" s="1433"/>
      <c r="F8" s="1460">
        <v>0</v>
      </c>
      <c r="G8" s="1461"/>
      <c r="H8" s="1325">
        <f>F8*5</f>
        <v>0</v>
      </c>
      <c r="I8" s="173">
        <f>0*0</f>
        <v>0</v>
      </c>
      <c r="J8" s="173">
        <f t="shared" ref="J8:K8" si="3">0*0</f>
        <v>0</v>
      </c>
      <c r="K8" s="173">
        <f t="shared" si="3"/>
        <v>0</v>
      </c>
      <c r="L8" s="174">
        <f t="shared" si="1"/>
        <v>0</v>
      </c>
      <c r="M8" s="1427">
        <v>0</v>
      </c>
      <c r="N8" s="1428"/>
    </row>
    <row r="9" spans="1:14" s="121" customFormat="1">
      <c r="A9" s="69" t="s">
        <v>52</v>
      </c>
      <c r="B9" s="1435">
        <f>SAWC!N431</f>
        <v>4</v>
      </c>
      <c r="C9" s="1433"/>
      <c r="D9" s="1432">
        <f>F9*325900</f>
        <v>53969.04</v>
      </c>
      <c r="E9" s="1433"/>
      <c r="F9" s="1467">
        <f>0.0414*B9</f>
        <v>0.1656</v>
      </c>
      <c r="G9" s="1433"/>
      <c r="H9" s="1325">
        <f>F9*10</f>
        <v>1.6559999999999999</v>
      </c>
      <c r="I9" s="173">
        <v>0</v>
      </c>
      <c r="J9" s="173">
        <f>B9*80</f>
        <v>320</v>
      </c>
      <c r="K9" s="173">
        <f>B9*80</f>
        <v>320</v>
      </c>
      <c r="L9" s="174">
        <f>K9+J9+I9</f>
        <v>640</v>
      </c>
      <c r="M9" s="1427">
        <f t="shared" si="2"/>
        <v>2.3281531924800651</v>
      </c>
      <c r="N9" s="1428"/>
    </row>
    <row r="10" spans="1:14" s="121" customFormat="1">
      <c r="A10" s="254" t="s">
        <v>323</v>
      </c>
      <c r="B10" s="1435">
        <f>SAWC!N432</f>
        <v>0</v>
      </c>
      <c r="C10" s="1433"/>
      <c r="D10" s="1451">
        <f>F10*325900</f>
        <v>0</v>
      </c>
      <c r="E10" s="1448"/>
      <c r="F10" s="1447">
        <f>0*43/325900</f>
        <v>0</v>
      </c>
      <c r="G10" s="1448"/>
      <c r="H10" s="1321">
        <f>F10*10</f>
        <v>0</v>
      </c>
      <c r="I10" s="173">
        <v>0</v>
      </c>
      <c r="J10" s="173">
        <v>0</v>
      </c>
      <c r="K10" s="173">
        <v>0</v>
      </c>
      <c r="L10" s="174">
        <f t="shared" ref="L10:L13" si="4">K10+J10+I10</f>
        <v>0</v>
      </c>
      <c r="M10" s="1427">
        <v>0</v>
      </c>
      <c r="N10" s="1428"/>
    </row>
    <row r="11" spans="1:14" s="121" customFormat="1">
      <c r="A11" s="254" t="s">
        <v>214</v>
      </c>
      <c r="B11" s="1435">
        <f>SAWC!N433</f>
        <v>0</v>
      </c>
      <c r="C11" s="1433"/>
      <c r="D11" s="1460">
        <f>0.0019*B11</f>
        <v>0</v>
      </c>
      <c r="E11" s="1461"/>
      <c r="F11" s="1460">
        <f>0.0019*B11</f>
        <v>0</v>
      </c>
      <c r="G11" s="1461"/>
      <c r="H11" s="1325">
        <f>F11*5</f>
        <v>0</v>
      </c>
      <c r="I11" s="173">
        <v>0</v>
      </c>
      <c r="J11" s="173">
        <f>B11*0</f>
        <v>0</v>
      </c>
      <c r="K11" s="173">
        <f>B11*35</f>
        <v>0</v>
      </c>
      <c r="L11" s="174">
        <f t="shared" si="4"/>
        <v>0</v>
      </c>
      <c r="M11" s="1427">
        <v>0</v>
      </c>
      <c r="N11" s="1428"/>
    </row>
    <row r="12" spans="1:14" s="121" customFormat="1">
      <c r="A12" s="254" t="s">
        <v>331</v>
      </c>
      <c r="B12" s="1435">
        <f>SAWC!N434</f>
        <v>0</v>
      </c>
      <c r="C12" s="1433"/>
      <c r="D12" s="1460">
        <v>0</v>
      </c>
      <c r="E12" s="1461"/>
      <c r="F12" s="1460">
        <v>0</v>
      </c>
      <c r="G12" s="1461"/>
      <c r="H12" s="1325">
        <v>0</v>
      </c>
      <c r="I12" s="173">
        <v>0</v>
      </c>
      <c r="J12" s="173">
        <f>B12*0</f>
        <v>0</v>
      </c>
      <c r="K12" s="173">
        <f>B12*300</f>
        <v>0</v>
      </c>
      <c r="L12" s="174">
        <f t="shared" si="4"/>
        <v>0</v>
      </c>
      <c r="M12" s="1427">
        <v>0</v>
      </c>
      <c r="N12" s="1428"/>
    </row>
    <row r="13" spans="1:14" s="121" customFormat="1" ht="14" thickBot="1">
      <c r="A13" s="254" t="s">
        <v>269</v>
      </c>
      <c r="B13" s="1462">
        <f>SAWC!N435</f>
        <v>0</v>
      </c>
      <c r="C13" s="1437"/>
      <c r="D13" s="1460">
        <f>0.0414*B13</f>
        <v>0</v>
      </c>
      <c r="E13" s="1461"/>
      <c r="F13" s="1460">
        <f>0.0414*B13</f>
        <v>0</v>
      </c>
      <c r="G13" s="1461"/>
      <c r="H13" s="1325">
        <f>F13*10</f>
        <v>0</v>
      </c>
      <c r="I13" s="173">
        <v>0</v>
      </c>
      <c r="J13" s="173">
        <f t="shared" ref="J13" si="5">B13*65</f>
        <v>0</v>
      </c>
      <c r="K13" s="173">
        <f t="shared" ref="K13" si="6">B13*40</f>
        <v>0</v>
      </c>
      <c r="L13" s="174">
        <f t="shared" si="4"/>
        <v>0</v>
      </c>
      <c r="M13" s="1427">
        <v>0</v>
      </c>
      <c r="N13" s="1428"/>
    </row>
    <row r="14" spans="1:14" s="1161" customFormat="1" ht="17" thickBot="1">
      <c r="A14" s="110" t="s">
        <v>190</v>
      </c>
      <c r="B14" s="1456"/>
      <c r="C14" s="1457"/>
      <c r="D14" s="1457"/>
      <c r="E14" s="1457"/>
      <c r="F14" s="1457"/>
      <c r="G14" s="1457"/>
      <c r="H14" s="1319"/>
      <c r="I14" s="195"/>
      <c r="J14" s="195"/>
      <c r="K14" s="195"/>
      <c r="L14" s="195"/>
      <c r="M14" s="195"/>
      <c r="N14" s="1190"/>
    </row>
    <row r="15" spans="1:14" s="121" customFormat="1">
      <c r="A15" s="76" t="s">
        <v>393</v>
      </c>
      <c r="B15" s="1435">
        <f>SAWC!N437</f>
        <v>0</v>
      </c>
      <c r="C15" s="1433"/>
      <c r="D15" s="1432">
        <f>F15*325900</f>
        <v>0</v>
      </c>
      <c r="E15" s="1433"/>
      <c r="F15" s="1463">
        <f>B15*0.232</f>
        <v>0</v>
      </c>
      <c r="G15" s="1464"/>
      <c r="H15" s="1413">
        <f>F15*2</f>
        <v>0</v>
      </c>
      <c r="I15" s="173">
        <f>B15*541.27</f>
        <v>0</v>
      </c>
      <c r="J15" s="173">
        <f>L15-K15</f>
        <v>0</v>
      </c>
      <c r="K15" s="173">
        <v>0</v>
      </c>
      <c r="L15" s="174">
        <v>0</v>
      </c>
      <c r="M15" s="1427">
        <v>0</v>
      </c>
      <c r="N15" s="1428"/>
    </row>
    <row r="16" spans="1:14" s="120" customFormat="1">
      <c r="A16" s="254" t="s">
        <v>353</v>
      </c>
      <c r="B16" s="1435">
        <f>SAWC!N438</f>
        <v>0</v>
      </c>
      <c r="C16" s="1433"/>
      <c r="D16" s="1451">
        <f>F16*325900</f>
        <v>0</v>
      </c>
      <c r="E16" s="1448"/>
      <c r="F16" s="1447">
        <v>0</v>
      </c>
      <c r="G16" s="1448"/>
      <c r="H16" s="1321">
        <v>0</v>
      </c>
      <c r="I16" s="173">
        <f>(B16*922.51)*0.49</f>
        <v>0</v>
      </c>
      <c r="J16" s="173">
        <f>(B16*922.5)*0</f>
        <v>0</v>
      </c>
      <c r="K16" s="173">
        <f>(B16*922.51)*0.51</f>
        <v>0</v>
      </c>
      <c r="L16" s="174">
        <f t="shared" ref="L16" si="7">K16+J16+I16</f>
        <v>0</v>
      </c>
      <c r="M16" s="1427">
        <v>0</v>
      </c>
      <c r="N16" s="1428"/>
    </row>
    <row r="17" spans="1:21" s="121" customFormat="1">
      <c r="A17" s="254" t="s">
        <v>416</v>
      </c>
      <c r="B17" s="1435">
        <f>SAWC!N439</f>
        <v>0</v>
      </c>
      <c r="C17" s="1433"/>
      <c r="D17" s="1451">
        <f>F17*325900</f>
        <v>0</v>
      </c>
      <c r="E17" s="1448"/>
      <c r="F17" s="1447">
        <v>0</v>
      </c>
      <c r="G17" s="1448"/>
      <c r="H17" s="1321">
        <f>F17*10</f>
        <v>0</v>
      </c>
      <c r="I17" s="173">
        <v>0</v>
      </c>
      <c r="J17" s="173">
        <f>(B17*674.7)*0.62</f>
        <v>0</v>
      </c>
      <c r="K17" s="173">
        <f>(B17*674.7)*0.38</f>
        <v>0</v>
      </c>
      <c r="L17" s="174">
        <f>K17+J17+I17</f>
        <v>0</v>
      </c>
      <c r="M17" s="1427">
        <v>0</v>
      </c>
      <c r="N17" s="1428"/>
      <c r="O17" s="5"/>
    </row>
    <row r="18" spans="1:21" s="121" customFormat="1">
      <c r="A18" s="254" t="s">
        <v>266</v>
      </c>
      <c r="B18" s="1435">
        <f>SAWC!N440</f>
        <v>0</v>
      </c>
      <c r="C18" s="1433"/>
      <c r="D18" s="1447">
        <f>F18*325900</f>
        <v>0</v>
      </c>
      <c r="E18" s="1448"/>
      <c r="F18" s="1451">
        <v>0</v>
      </c>
      <c r="G18" s="1448"/>
      <c r="H18" s="1321">
        <f>F18*10</f>
        <v>0</v>
      </c>
      <c r="I18" s="173">
        <v>0</v>
      </c>
      <c r="J18" s="286">
        <f>(B18*520.03)*0.51</f>
        <v>0</v>
      </c>
      <c r="K18" s="286">
        <f>(B18*520.03)*0.49</f>
        <v>0</v>
      </c>
      <c r="L18" s="174">
        <f t="shared" ref="L18" si="8">K18+J18+I18</f>
        <v>0</v>
      </c>
      <c r="M18" s="1427">
        <v>0</v>
      </c>
      <c r="N18" s="1428"/>
    </row>
    <row r="19" spans="1:21" s="121" customFormat="1" ht="14" thickBot="1">
      <c r="A19" s="76" t="s">
        <v>467</v>
      </c>
      <c r="B19" s="1435">
        <f>SAWC!N441</f>
        <v>0</v>
      </c>
      <c r="C19" s="1433"/>
      <c r="D19" s="1458">
        <f>F19*325900</f>
        <v>0</v>
      </c>
      <c r="E19" s="1459"/>
      <c r="F19" s="1458">
        <f>B19*0.075</f>
        <v>0</v>
      </c>
      <c r="G19" s="1459"/>
      <c r="H19" s="1410">
        <f>F19*10</f>
        <v>0</v>
      </c>
      <c r="I19" s="286">
        <v>0</v>
      </c>
      <c r="J19" s="286">
        <v>0</v>
      </c>
      <c r="K19" s="286">
        <v>0</v>
      </c>
      <c r="L19" s="174">
        <f>SUM(I19:K19)</f>
        <v>0</v>
      </c>
      <c r="M19" s="1427">
        <v>0</v>
      </c>
      <c r="N19" s="1428"/>
    </row>
    <row r="20" spans="1:21" ht="14" thickBot="1">
      <c r="A20" s="53" t="s">
        <v>60</v>
      </c>
      <c r="B20" s="1452">
        <f>SUM(B6:C19)</f>
        <v>8</v>
      </c>
      <c r="C20" s="1453"/>
      <c r="D20" s="1452">
        <f>SUM(D6:E19)</f>
        <v>92490.420000000013</v>
      </c>
      <c r="E20" s="1453"/>
      <c r="F20" s="1452">
        <f t="shared" ref="F20" si="9">SUM(F6:G19)</f>
        <v>0.2838</v>
      </c>
      <c r="G20" s="1453"/>
      <c r="H20" s="1322">
        <f>SUM(H6:H19)</f>
        <v>3.6059999999999999</v>
      </c>
      <c r="I20" s="1408">
        <f t="shared" ref="I20:L20" si="10">SUM(I6:I19)</f>
        <v>0</v>
      </c>
      <c r="J20" s="1408">
        <f t="shared" si="10"/>
        <v>590</v>
      </c>
      <c r="K20" s="1408">
        <f t="shared" si="10"/>
        <v>570</v>
      </c>
      <c r="L20" s="1408">
        <f t="shared" si="10"/>
        <v>1160</v>
      </c>
      <c r="M20" s="1454"/>
      <c r="N20" s="1455"/>
    </row>
    <row r="21" spans="1:21" s="1161" customFormat="1" ht="17" thickBot="1">
      <c r="A21" s="110" t="s">
        <v>194</v>
      </c>
      <c r="B21" s="1456"/>
      <c r="C21" s="1457"/>
      <c r="D21" s="1457"/>
      <c r="E21" s="1457"/>
      <c r="F21" s="1457"/>
      <c r="G21" s="1457"/>
      <c r="H21" s="1319"/>
      <c r="I21" s="1334"/>
      <c r="J21" s="1334"/>
      <c r="K21" s="1334"/>
      <c r="L21" s="1334"/>
      <c r="M21" s="1334"/>
      <c r="N21" s="1335"/>
    </row>
    <row r="22" spans="1:21">
      <c r="A22" s="68" t="s">
        <v>29</v>
      </c>
      <c r="B22" s="1421">
        <f>SAWC!N444</f>
        <v>0</v>
      </c>
      <c r="C22" s="1422"/>
      <c r="D22" s="1431">
        <f>F22*325900</f>
        <v>0</v>
      </c>
      <c r="E22" s="1422"/>
      <c r="F22" s="1444">
        <f>0.0246*B22</f>
        <v>0</v>
      </c>
      <c r="G22" s="1422"/>
      <c r="H22" s="1326">
        <f>F22*20</f>
        <v>0</v>
      </c>
      <c r="I22" s="151">
        <v>0</v>
      </c>
      <c r="J22" s="150">
        <f>B22*60</f>
        <v>0</v>
      </c>
      <c r="K22" s="150">
        <f>B22*40</f>
        <v>0</v>
      </c>
      <c r="L22" s="174">
        <f t="shared" ref="L22:L25" si="11">K22+J22+I22</f>
        <v>0</v>
      </c>
      <c r="M22" s="1427">
        <v>0</v>
      </c>
      <c r="N22" s="1428"/>
      <c r="U22" s="3"/>
    </row>
    <row r="23" spans="1:21">
      <c r="A23" s="68" t="s">
        <v>51</v>
      </c>
      <c r="B23" s="1421">
        <f>SAWC!N445</f>
        <v>0</v>
      </c>
      <c r="C23" s="1422"/>
      <c r="D23" s="1431">
        <f>F23*325900</f>
        <v>0</v>
      </c>
      <c r="E23" s="1422"/>
      <c r="F23" s="1444">
        <f>0.1227*B23</f>
        <v>0</v>
      </c>
      <c r="G23" s="1422"/>
      <c r="H23" s="1326">
        <f>F23*20</f>
        <v>0</v>
      </c>
      <c r="I23" s="151">
        <v>0</v>
      </c>
      <c r="J23" s="150">
        <f>B23*200</f>
        <v>0</v>
      </c>
      <c r="K23" s="150">
        <f>B23*200</f>
        <v>0</v>
      </c>
      <c r="L23" s="174">
        <f t="shared" si="11"/>
        <v>0</v>
      </c>
      <c r="M23" s="1427">
        <v>0</v>
      </c>
      <c r="N23" s="1428"/>
    </row>
    <row r="24" spans="1:21">
      <c r="A24" s="2" t="s">
        <v>204</v>
      </c>
      <c r="B24" s="1421">
        <f>SAWC!N446</f>
        <v>0</v>
      </c>
      <c r="C24" s="1422"/>
      <c r="D24" s="1431">
        <f>F24*325900</f>
        <v>0</v>
      </c>
      <c r="E24" s="1422"/>
      <c r="F24" s="1444">
        <f>0.644*B24</f>
        <v>0</v>
      </c>
      <c r="G24" s="1422"/>
      <c r="H24" s="1326">
        <f>F24*5</f>
        <v>0</v>
      </c>
      <c r="I24" s="151">
        <v>0</v>
      </c>
      <c r="J24" s="150">
        <f>B24*375</f>
        <v>0</v>
      </c>
      <c r="K24" s="150">
        <f>B24*625</f>
        <v>0</v>
      </c>
      <c r="L24" s="174">
        <f t="shared" si="11"/>
        <v>0</v>
      </c>
      <c r="M24" s="1427">
        <v>0</v>
      </c>
      <c r="N24" s="1428"/>
    </row>
    <row r="25" spans="1:21">
      <c r="A25" s="254" t="s">
        <v>30</v>
      </c>
      <c r="B25" s="1421">
        <f>SAWC!N447</f>
        <v>0</v>
      </c>
      <c r="C25" s="1422"/>
      <c r="D25" s="1431">
        <f t="shared" ref="D25:D33" si="12">F25*325900</f>
        <v>0</v>
      </c>
      <c r="E25" s="1422"/>
      <c r="F25" s="1449">
        <f>0.0129*B25</f>
        <v>0</v>
      </c>
      <c r="G25" s="1450"/>
      <c r="H25" s="1326">
        <f>F25*10</f>
        <v>0</v>
      </c>
      <c r="I25" s="151">
        <v>0</v>
      </c>
      <c r="J25" s="150">
        <f>B25*15</f>
        <v>0</v>
      </c>
      <c r="K25" s="150">
        <f>B25*35</f>
        <v>0</v>
      </c>
      <c r="L25" s="174">
        <f t="shared" si="11"/>
        <v>0</v>
      </c>
      <c r="M25" s="1427">
        <v>0</v>
      </c>
      <c r="N25" s="1428"/>
    </row>
    <row r="26" spans="1:21">
      <c r="A26" s="254" t="s">
        <v>436</v>
      </c>
      <c r="B26" s="1421">
        <f>SAWC!N448</f>
        <v>0</v>
      </c>
      <c r="C26" s="1422"/>
      <c r="D26" s="1431">
        <f t="shared" si="12"/>
        <v>0</v>
      </c>
      <c r="E26" s="1422"/>
      <c r="F26" s="1425">
        <f>0.0044*0</f>
        <v>0</v>
      </c>
      <c r="G26" s="1426"/>
      <c r="H26" s="1326">
        <f>F26*5</f>
        <v>0</v>
      </c>
      <c r="I26" s="151">
        <v>0</v>
      </c>
      <c r="J26" s="150"/>
      <c r="K26" s="150"/>
      <c r="L26" s="174">
        <f>K26+J26+I26</f>
        <v>0</v>
      </c>
      <c r="M26" s="1427">
        <v>0</v>
      </c>
      <c r="N26" s="1428"/>
    </row>
    <row r="27" spans="1:21">
      <c r="A27" s="254" t="s">
        <v>122</v>
      </c>
      <c r="B27" s="1421">
        <f>SAWC!N449</f>
        <v>0</v>
      </c>
      <c r="C27" s="1422"/>
      <c r="D27" s="1431">
        <f t="shared" si="12"/>
        <v>0</v>
      </c>
      <c r="E27" s="1422"/>
      <c r="F27" s="1444">
        <f>0.018*B27</f>
        <v>0</v>
      </c>
      <c r="G27" s="1422"/>
      <c r="H27" s="1326">
        <f>F27*10</f>
        <v>0</v>
      </c>
      <c r="I27" s="151">
        <v>0</v>
      </c>
      <c r="J27" s="150">
        <f>B27*5</f>
        <v>0</v>
      </c>
      <c r="K27" s="150">
        <f>B27*13</f>
        <v>0</v>
      </c>
      <c r="L27" s="174">
        <f t="shared" ref="L27:L33" si="13">K27+J27+I27</f>
        <v>0</v>
      </c>
      <c r="M27" s="1427">
        <v>0</v>
      </c>
      <c r="N27" s="1428"/>
    </row>
    <row r="28" spans="1:21">
      <c r="A28" s="257" t="s">
        <v>184</v>
      </c>
      <c r="B28" s="1421">
        <f>SAWC!N450</f>
        <v>0</v>
      </c>
      <c r="C28" s="1422"/>
      <c r="D28" s="1431">
        <f t="shared" si="12"/>
        <v>0</v>
      </c>
      <c r="E28" s="1422"/>
      <c r="F28" s="1444">
        <f>0.0129*B28</f>
        <v>0</v>
      </c>
      <c r="G28" s="1422"/>
      <c r="H28" s="1326">
        <f>F28*10</f>
        <v>0</v>
      </c>
      <c r="I28" s="151">
        <v>0</v>
      </c>
      <c r="J28" s="150">
        <f>B28*15</f>
        <v>0</v>
      </c>
      <c r="K28" s="150">
        <f>B28*35</f>
        <v>0</v>
      </c>
      <c r="L28" s="174">
        <f t="shared" si="13"/>
        <v>0</v>
      </c>
      <c r="M28" s="1427">
        <v>0</v>
      </c>
      <c r="N28" s="1428"/>
    </row>
    <row r="29" spans="1:21" s="57" customFormat="1">
      <c r="A29" s="258" t="s">
        <v>187</v>
      </c>
      <c r="B29" s="1421">
        <f>SAWC!N451</f>
        <v>0</v>
      </c>
      <c r="C29" s="1422"/>
      <c r="D29" s="1431">
        <f t="shared" si="12"/>
        <v>0</v>
      </c>
      <c r="E29" s="1422"/>
      <c r="F29" s="1444">
        <f>0.023*B29</f>
        <v>0</v>
      </c>
      <c r="G29" s="1422"/>
      <c r="H29" s="1326">
        <f>F29*5</f>
        <v>0</v>
      </c>
      <c r="I29" s="151">
        <v>0</v>
      </c>
      <c r="J29" s="150">
        <f>B29*10</f>
        <v>0</v>
      </c>
      <c r="K29" s="150">
        <f>B29*10</f>
        <v>0</v>
      </c>
      <c r="L29" s="174">
        <f t="shared" si="13"/>
        <v>0</v>
      </c>
      <c r="M29" s="1427">
        <v>0</v>
      </c>
      <c r="N29" s="1428"/>
    </row>
    <row r="30" spans="1:21" s="57" customFormat="1">
      <c r="A30" s="258" t="s">
        <v>188</v>
      </c>
      <c r="B30" s="1421">
        <f>SAWC!N452</f>
        <v>0</v>
      </c>
      <c r="C30" s="1422"/>
      <c r="D30" s="1431">
        <f t="shared" si="12"/>
        <v>0</v>
      </c>
      <c r="E30" s="1422"/>
      <c r="F30" s="1445">
        <f>B30*0.154</f>
        <v>0</v>
      </c>
      <c r="G30" s="1446"/>
      <c r="H30" s="1329">
        <f>F30*10</f>
        <v>0</v>
      </c>
      <c r="I30" s="151">
        <v>0</v>
      </c>
      <c r="J30" s="150">
        <f>B30*1000</f>
        <v>0</v>
      </c>
      <c r="K30" s="150">
        <f>B30*1000</f>
        <v>0</v>
      </c>
      <c r="L30" s="174">
        <f t="shared" si="13"/>
        <v>0</v>
      </c>
      <c r="M30" s="1427">
        <v>0</v>
      </c>
      <c r="N30" s="1428"/>
    </row>
    <row r="31" spans="1:21" s="57" customFormat="1">
      <c r="A31" s="258" t="s">
        <v>323</v>
      </c>
      <c r="B31" s="1421">
        <f>SAWC!N453</f>
        <v>0</v>
      </c>
      <c r="C31" s="1422"/>
      <c r="D31" s="1423">
        <f t="shared" si="12"/>
        <v>0</v>
      </c>
      <c r="E31" s="1424"/>
      <c r="F31" s="1447">
        <f>0*43/325900</f>
        <v>0</v>
      </c>
      <c r="G31" s="1448"/>
      <c r="H31" s="1321">
        <f>F31*10</f>
        <v>0</v>
      </c>
      <c r="I31" s="151">
        <v>0</v>
      </c>
      <c r="J31" s="150">
        <v>0</v>
      </c>
      <c r="K31" s="150">
        <v>0</v>
      </c>
      <c r="L31" s="174">
        <f t="shared" si="13"/>
        <v>0</v>
      </c>
      <c r="M31" s="1427">
        <v>0</v>
      </c>
      <c r="N31" s="1428"/>
    </row>
    <row r="32" spans="1:21" s="57" customFormat="1">
      <c r="A32" s="258" t="s">
        <v>269</v>
      </c>
      <c r="B32" s="1421">
        <f>SAWC!N454</f>
        <v>0</v>
      </c>
      <c r="C32" s="1422"/>
      <c r="D32" s="1423">
        <f t="shared" si="12"/>
        <v>0</v>
      </c>
      <c r="E32" s="1424"/>
      <c r="F32" s="1425">
        <f t="shared" ref="F32" si="14">0.0129*B32</f>
        <v>0</v>
      </c>
      <c r="G32" s="1426"/>
      <c r="H32" s="1323">
        <f>F32*10</f>
        <v>0</v>
      </c>
      <c r="I32" s="151">
        <v>0</v>
      </c>
      <c r="J32" s="150">
        <f>B32*15</f>
        <v>0</v>
      </c>
      <c r="K32" s="150">
        <f>B32*35</f>
        <v>0</v>
      </c>
      <c r="L32" s="174">
        <f t="shared" si="13"/>
        <v>0</v>
      </c>
      <c r="M32" s="1427">
        <v>0</v>
      </c>
      <c r="N32" s="1428"/>
    </row>
    <row r="33" spans="1:14" s="57" customFormat="1" ht="14" thickBot="1">
      <c r="A33" s="258" t="s">
        <v>268</v>
      </c>
      <c r="B33" s="1421">
        <f>SAWC!N455</f>
        <v>0</v>
      </c>
      <c r="C33" s="1422"/>
      <c r="D33" s="1431">
        <f t="shared" si="12"/>
        <v>0</v>
      </c>
      <c r="E33" s="1422"/>
      <c r="F33" s="1432">
        <f>(B33*0.0084)/2</f>
        <v>0</v>
      </c>
      <c r="G33" s="1433"/>
      <c r="H33" s="1325">
        <f>F33*10</f>
        <v>0</v>
      </c>
      <c r="I33" s="151">
        <v>0</v>
      </c>
      <c r="J33" s="150">
        <f>B33*5</f>
        <v>0</v>
      </c>
      <c r="K33" s="150">
        <f>B33*5</f>
        <v>0</v>
      </c>
      <c r="L33" s="174">
        <f t="shared" si="13"/>
        <v>0</v>
      </c>
      <c r="M33" s="1427">
        <v>0</v>
      </c>
      <c r="N33" s="1428"/>
    </row>
    <row r="34" spans="1:14" s="91" customFormat="1" ht="16.5" hidden="1" customHeight="1" thickBot="1">
      <c r="A34" s="1046" t="s">
        <v>192</v>
      </c>
      <c r="B34" s="1434"/>
      <c r="C34" s="1434"/>
      <c r="D34" s="1434"/>
      <c r="E34" s="1434"/>
      <c r="F34" s="1425">
        <f t="shared" ref="F34:F35" si="15">0.0129*B34</f>
        <v>0</v>
      </c>
      <c r="G34" s="1426"/>
      <c r="H34" s="1327"/>
      <c r="I34" s="1133"/>
      <c r="J34" s="1133"/>
      <c r="K34" s="1133"/>
      <c r="L34" s="1133"/>
      <c r="M34" s="1133"/>
      <c r="N34" s="1134"/>
    </row>
    <row r="35" spans="1:14" s="121" customFormat="1" ht="13.5" hidden="1" customHeight="1" thickBot="1">
      <c r="A35" s="76" t="s">
        <v>193</v>
      </c>
      <c r="B35" s="1435"/>
      <c r="C35" s="1433"/>
      <c r="D35" s="1436"/>
      <c r="E35" s="1437"/>
      <c r="F35" s="1425">
        <f t="shared" si="15"/>
        <v>0</v>
      </c>
      <c r="G35" s="1426"/>
      <c r="H35" s="1325">
        <f>F35*5</f>
        <v>0</v>
      </c>
      <c r="I35" s="216">
        <v>0</v>
      </c>
      <c r="J35" s="216">
        <f>L35-K35</f>
        <v>0</v>
      </c>
      <c r="K35" s="216">
        <f>B35*2</f>
        <v>0</v>
      </c>
      <c r="L35" s="174">
        <v>0</v>
      </c>
      <c r="M35" s="1427">
        <f>IF(ISERROR(L35/(F35*771)),0,L35/(F35*771))</f>
        <v>0</v>
      </c>
      <c r="N35" s="1428"/>
    </row>
    <row r="36" spans="1:14" ht="14" thickBot="1">
      <c r="A36" s="53" t="s">
        <v>60</v>
      </c>
      <c r="B36" s="1438">
        <f>SUM(B22:C35)</f>
        <v>0</v>
      </c>
      <c r="C36" s="1439"/>
      <c r="D36" s="1440">
        <f>SUM(D22:E35)</f>
        <v>0</v>
      </c>
      <c r="E36" s="1439"/>
      <c r="F36" s="1441">
        <f>SUM(F22:G35)</f>
        <v>0</v>
      </c>
      <c r="G36" s="1439"/>
      <c r="H36" s="1313">
        <f>SUM(H22:H35)</f>
        <v>0</v>
      </c>
      <c r="I36" s="1336">
        <f>SUM(I22:I35)</f>
        <v>0</v>
      </c>
      <c r="J36" s="1336">
        <f>SUM(J22:J35)</f>
        <v>0</v>
      </c>
      <c r="K36" s="1336">
        <f>SUM(K22:K35)</f>
        <v>0</v>
      </c>
      <c r="L36" s="1336">
        <f>SUM(L22:L35)</f>
        <v>0</v>
      </c>
      <c r="M36" s="1442"/>
      <c r="N36" s="1443"/>
    </row>
    <row r="37" spans="1:14" s="1161" customFormat="1" ht="17" thickBot="1">
      <c r="A37" s="1163" t="s">
        <v>17</v>
      </c>
      <c r="B37" s="1414">
        <f>SUM(,B20,B36)</f>
        <v>8</v>
      </c>
      <c r="C37" s="1415"/>
      <c r="D37" s="1416">
        <f>SUM(,D20,D36)</f>
        <v>92490.420000000013</v>
      </c>
      <c r="E37" s="1415"/>
      <c r="F37" s="1416">
        <f>SUM(,F20,F36)</f>
        <v>0.2838</v>
      </c>
      <c r="G37" s="1415"/>
      <c r="H37" s="1312">
        <f>SUM(H20,H36)</f>
        <v>3.6059999999999999</v>
      </c>
      <c r="I37" s="1165">
        <f>SUM(,I20,I36)</f>
        <v>0</v>
      </c>
      <c r="J37" s="1165">
        <f>SUM(,J20,J36)</f>
        <v>590</v>
      </c>
      <c r="K37" s="1165">
        <f>SUM(,K20,K36)</f>
        <v>570</v>
      </c>
      <c r="L37" s="1165">
        <f>SUM(,L20,L36)</f>
        <v>1160</v>
      </c>
      <c r="M37" s="1417"/>
      <c r="N37" s="1418"/>
    </row>
    <row r="38" spans="1:14">
      <c r="A38" s="50"/>
      <c r="B38" s="1332"/>
      <c r="C38" s="1332"/>
      <c r="D38" s="1332"/>
      <c r="E38" s="1332"/>
      <c r="F38" s="1331"/>
      <c r="G38" s="1331"/>
      <c r="H38" s="1331"/>
      <c r="I38" s="21"/>
      <c r="J38" s="21"/>
      <c r="K38" s="21"/>
      <c r="L38" s="21"/>
      <c r="M38" s="1328"/>
      <c r="N38" s="1328"/>
    </row>
    <row r="39" spans="1:14" ht="15">
      <c r="A39" s="9" t="s">
        <v>18</v>
      </c>
      <c r="B39" s="1419" t="s">
        <v>59</v>
      </c>
      <c r="C39" s="1419"/>
      <c r="D39" s="1419"/>
      <c r="E39" s="1419"/>
      <c r="F39" s="1331"/>
      <c r="G39" s="1331"/>
      <c r="H39" s="1331"/>
      <c r="I39" s="21"/>
      <c r="J39" s="21"/>
      <c r="K39" s="21"/>
      <c r="L39" s="21"/>
      <c r="M39" s="1328"/>
      <c r="N39" s="1328"/>
    </row>
    <row r="40" spans="1:14" ht="14" thickBot="1">
      <c r="B40" s="1420" t="s">
        <v>19</v>
      </c>
      <c r="C40" s="1420"/>
      <c r="D40" s="1420"/>
      <c r="E40" s="1420"/>
      <c r="F40" s="1331"/>
      <c r="G40" s="1331"/>
      <c r="H40" s="1331"/>
      <c r="I40" s="21"/>
      <c r="J40" s="21"/>
      <c r="K40" s="21"/>
      <c r="L40" s="21"/>
      <c r="N40" s="1328"/>
    </row>
    <row r="41" spans="1:14" s="363" customFormat="1" ht="16">
      <c r="A41" s="98"/>
      <c r="B41" s="99"/>
      <c r="C41" s="99"/>
      <c r="D41" s="99"/>
      <c r="E41" s="99"/>
      <c r="F41" s="421"/>
      <c r="G41" s="421"/>
      <c r="H41" s="421"/>
      <c r="I41" s="1468" t="s">
        <v>0</v>
      </c>
      <c r="J41" s="1468"/>
      <c r="K41" s="1468"/>
      <c r="L41" s="1468"/>
      <c r="M41" s="99"/>
      <c r="N41" s="101"/>
    </row>
    <row r="42" spans="1:14" ht="16">
      <c r="A42" s="97"/>
      <c r="B42" s="1469" t="s">
        <v>1</v>
      </c>
      <c r="C42" s="1469"/>
      <c r="D42" s="1469" t="s">
        <v>2</v>
      </c>
      <c r="E42" s="1469"/>
      <c r="F42" s="1470" t="s">
        <v>3</v>
      </c>
      <c r="G42" s="1470"/>
      <c r="H42" s="1116" t="s">
        <v>3</v>
      </c>
      <c r="I42" s="127" t="s">
        <v>195</v>
      </c>
      <c r="J42" s="102"/>
      <c r="K42" s="102"/>
      <c r="L42" s="128"/>
      <c r="M42" s="1525" t="s">
        <v>4</v>
      </c>
      <c r="N42" s="1526"/>
    </row>
    <row r="43" spans="1:14" ht="19" thickBot="1">
      <c r="A43" s="103" t="s">
        <v>5</v>
      </c>
      <c r="B43" s="1473" t="s">
        <v>6</v>
      </c>
      <c r="C43" s="1473"/>
      <c r="D43" s="1473" t="s">
        <v>7</v>
      </c>
      <c r="E43" s="1473"/>
      <c r="F43" s="1474" t="s">
        <v>7</v>
      </c>
      <c r="G43" s="1474"/>
      <c r="H43" s="1118" t="s">
        <v>58</v>
      </c>
      <c r="I43" s="1121" t="s">
        <v>196</v>
      </c>
      <c r="J43" s="1117" t="s">
        <v>8</v>
      </c>
      <c r="K43" s="1117" t="s">
        <v>9</v>
      </c>
      <c r="L43" s="401" t="s">
        <v>10</v>
      </c>
      <c r="M43" s="1527" t="s">
        <v>145</v>
      </c>
      <c r="N43" s="1475"/>
    </row>
    <row r="44" spans="1:14" ht="24" thickBot="1">
      <c r="A44" s="88" t="s">
        <v>391</v>
      </c>
      <c r="B44" s="1476"/>
      <c r="C44" s="1477"/>
      <c r="D44" s="1478"/>
      <c r="E44" s="1479"/>
      <c r="F44" s="1480"/>
      <c r="G44" s="1481"/>
      <c r="H44" s="1126"/>
      <c r="I44" s="213"/>
      <c r="J44" s="213"/>
      <c r="K44" s="213"/>
      <c r="L44" s="214"/>
      <c r="M44" s="1482"/>
      <c r="N44" s="1483"/>
    </row>
    <row r="45" spans="1:14" s="1161" customFormat="1" ht="17" thickBot="1">
      <c r="A45" s="110" t="s">
        <v>189</v>
      </c>
      <c r="B45" s="1456"/>
      <c r="C45" s="1457"/>
      <c r="D45" s="1457"/>
      <c r="E45" s="1457"/>
      <c r="F45" s="1484"/>
      <c r="G45" s="1484"/>
      <c r="H45" s="1158"/>
      <c r="I45" s="1141"/>
      <c r="J45" s="1141"/>
      <c r="K45" s="1141"/>
      <c r="L45" s="1141"/>
      <c r="M45" s="1485"/>
      <c r="N45" s="1486"/>
    </row>
    <row r="46" spans="1:14" s="121" customFormat="1">
      <c r="A46" s="69" t="s">
        <v>29</v>
      </c>
      <c r="B46" s="1435">
        <f>SAWC!N394</f>
        <v>2</v>
      </c>
      <c r="C46" s="1433"/>
      <c r="D46" s="1432">
        <f t="shared" ref="D46:D47" si="16">F46*325900</f>
        <v>16034.28</v>
      </c>
      <c r="E46" s="1433"/>
      <c r="F46" s="1888">
        <f>0.0246*B46</f>
        <v>4.9200000000000001E-2</v>
      </c>
      <c r="G46" s="1889"/>
      <c r="H46" s="1124">
        <f>F46*20</f>
        <v>0.98399999999999999</v>
      </c>
      <c r="I46" s="173">
        <v>0</v>
      </c>
      <c r="J46" s="173">
        <f>B46*60</f>
        <v>120</v>
      </c>
      <c r="K46" s="173">
        <f>B46*40</f>
        <v>80</v>
      </c>
      <c r="L46" s="174">
        <f>K46+J46+I46</f>
        <v>200</v>
      </c>
      <c r="M46" s="1427">
        <f>IF(ISERROR(L46/(F46*771)),0,L46/(F46*799))</f>
        <v>5.087660388493747</v>
      </c>
      <c r="N46" s="1428"/>
    </row>
    <row r="47" spans="1:14" s="121" customFormat="1">
      <c r="A47" s="69" t="s">
        <v>33</v>
      </c>
      <c r="B47" s="1435">
        <f>SAWC!N395</f>
        <v>4</v>
      </c>
      <c r="C47" s="1433"/>
      <c r="D47" s="1432">
        <f t="shared" si="16"/>
        <v>44974.200000000004</v>
      </c>
      <c r="E47" s="1433"/>
      <c r="F47" s="1888">
        <f>0.0345*B47</f>
        <v>0.13800000000000001</v>
      </c>
      <c r="G47" s="1889"/>
      <c r="H47" s="1124">
        <f>F47*14</f>
        <v>1.9320000000000002</v>
      </c>
      <c r="I47" s="173">
        <f>0*B47</f>
        <v>0</v>
      </c>
      <c r="J47" s="173">
        <f>B47*75</f>
        <v>300</v>
      </c>
      <c r="K47" s="173">
        <f>B47*85</f>
        <v>340</v>
      </c>
      <c r="L47" s="174">
        <f t="shared" ref="L47:L53" si="17">K47+J47+I47</f>
        <v>640</v>
      </c>
      <c r="M47" s="1427">
        <f t="shared" ref="M47:M53" si="18">IF(ISERROR(L47/(F47*771)),0,L47/(F47*799))</f>
        <v>5.804356895394605</v>
      </c>
      <c r="N47" s="1428"/>
    </row>
    <row r="48" spans="1:14" s="121" customFormat="1">
      <c r="A48" s="254" t="s">
        <v>363</v>
      </c>
      <c r="B48" s="1435">
        <f>SAWC!N396</f>
        <v>0</v>
      </c>
      <c r="C48" s="1433"/>
      <c r="D48" s="1432">
        <f>F48*325900</f>
        <v>0</v>
      </c>
      <c r="E48" s="1433"/>
      <c r="F48" s="1460">
        <f>0.0044*0</f>
        <v>0</v>
      </c>
      <c r="G48" s="1461"/>
      <c r="H48" s="1289">
        <f>F48*5</f>
        <v>0</v>
      </c>
      <c r="I48" s="173">
        <f>0*0</f>
        <v>0</v>
      </c>
      <c r="J48" s="173">
        <f t="shared" ref="J48:K48" si="19">0*0</f>
        <v>0</v>
      </c>
      <c r="K48" s="173">
        <f t="shared" si="19"/>
        <v>0</v>
      </c>
      <c r="L48" s="174">
        <f t="shared" si="17"/>
        <v>0</v>
      </c>
      <c r="M48" s="1427">
        <f t="shared" si="18"/>
        <v>0</v>
      </c>
      <c r="N48" s="1428"/>
    </row>
    <row r="49" spans="1:21" s="121" customFormat="1">
      <c r="A49" s="69" t="s">
        <v>52</v>
      </c>
      <c r="B49" s="1435">
        <f>SAWC!N397</f>
        <v>11</v>
      </c>
      <c r="C49" s="1433"/>
      <c r="D49" s="1432">
        <f t="shared" ref="D49" si="20">F49*325900</f>
        <v>148414.85999999999</v>
      </c>
      <c r="E49" s="1433"/>
      <c r="F49" s="1946">
        <f>0.0414*B49</f>
        <v>0.45539999999999997</v>
      </c>
      <c r="G49" s="1947"/>
      <c r="H49" s="1124">
        <f>F49*10</f>
        <v>4.5539999999999994</v>
      </c>
      <c r="I49" s="173">
        <v>0</v>
      </c>
      <c r="J49" s="173">
        <f>B49*80</f>
        <v>880</v>
      </c>
      <c r="K49" s="173">
        <f>B49*80</f>
        <v>880</v>
      </c>
      <c r="L49" s="174">
        <f t="shared" si="17"/>
        <v>1760</v>
      </c>
      <c r="M49" s="1427">
        <f t="shared" si="18"/>
        <v>4.8369640794955044</v>
      </c>
      <c r="N49" s="1428"/>
    </row>
    <row r="50" spans="1:21" s="121" customFormat="1">
      <c r="A50" s="254" t="s">
        <v>323</v>
      </c>
      <c r="B50" s="1435">
        <f>SAWC!N398</f>
        <v>0</v>
      </c>
      <c r="C50" s="1433"/>
      <c r="D50" s="1451">
        <f>F50*325900</f>
        <v>0</v>
      </c>
      <c r="E50" s="1448"/>
      <c r="F50" s="1946">
        <v>0</v>
      </c>
      <c r="G50" s="1947"/>
      <c r="H50" s="1115">
        <f>F50*10</f>
        <v>0</v>
      </c>
      <c r="I50" s="173">
        <v>0</v>
      </c>
      <c r="J50" s="173">
        <f t="shared" ref="J50" si="21">B50*65</f>
        <v>0</v>
      </c>
      <c r="K50" s="173">
        <f t="shared" ref="K50" si="22">B50*40</f>
        <v>0</v>
      </c>
      <c r="L50" s="174">
        <f t="shared" si="17"/>
        <v>0</v>
      </c>
      <c r="M50" s="1427">
        <f t="shared" si="18"/>
        <v>0</v>
      </c>
      <c r="N50" s="1428"/>
    </row>
    <row r="51" spans="1:21" s="121" customFormat="1">
      <c r="A51" s="254" t="s">
        <v>214</v>
      </c>
      <c r="B51" s="1435">
        <f>SAWC!N399</f>
        <v>0</v>
      </c>
      <c r="C51" s="1433"/>
      <c r="D51" s="1432">
        <f t="shared" ref="D51:D53" si="23">F51*325900</f>
        <v>0</v>
      </c>
      <c r="E51" s="1433"/>
      <c r="F51" s="1946">
        <f>0.0019*B51</f>
        <v>0</v>
      </c>
      <c r="G51" s="1947"/>
      <c r="H51" s="1124">
        <f>F51*5</f>
        <v>0</v>
      </c>
      <c r="I51" s="173">
        <v>0</v>
      </c>
      <c r="J51" s="173">
        <f>B51*0</f>
        <v>0</v>
      </c>
      <c r="K51" s="173">
        <f>B51*35</f>
        <v>0</v>
      </c>
      <c r="L51" s="174">
        <f t="shared" si="17"/>
        <v>0</v>
      </c>
      <c r="M51" s="1427">
        <f t="shared" si="18"/>
        <v>0</v>
      </c>
      <c r="N51" s="1428"/>
    </row>
    <row r="52" spans="1:21" s="121" customFormat="1">
      <c r="A52" s="254" t="s">
        <v>331</v>
      </c>
      <c r="B52" s="1435">
        <f>SAWC!N400</f>
        <v>0</v>
      </c>
      <c r="C52" s="1433"/>
      <c r="D52" s="1432">
        <f t="shared" si="23"/>
        <v>0</v>
      </c>
      <c r="E52" s="1433"/>
      <c r="F52" s="1888">
        <v>0</v>
      </c>
      <c r="G52" s="1889"/>
      <c r="H52" s="1124">
        <v>0</v>
      </c>
      <c r="I52" s="173">
        <v>0</v>
      </c>
      <c r="J52" s="173">
        <f>B52*0</f>
        <v>0</v>
      </c>
      <c r="K52" s="173">
        <f>B52*300</f>
        <v>0</v>
      </c>
      <c r="L52" s="174">
        <f t="shared" si="17"/>
        <v>0</v>
      </c>
      <c r="M52" s="1427">
        <f t="shared" si="18"/>
        <v>0</v>
      </c>
      <c r="N52" s="1428"/>
    </row>
    <row r="53" spans="1:21" s="121" customFormat="1" ht="14" thickBot="1">
      <c r="A53" s="254" t="s">
        <v>269</v>
      </c>
      <c r="B53" s="1435">
        <f>SAWC!N401</f>
        <v>0</v>
      </c>
      <c r="C53" s="1433"/>
      <c r="D53" s="1432">
        <f t="shared" si="23"/>
        <v>0</v>
      </c>
      <c r="E53" s="1433"/>
      <c r="F53" s="1888">
        <f>0.0414*B53</f>
        <v>0</v>
      </c>
      <c r="G53" s="1889"/>
      <c r="H53" s="1124">
        <f>F53*10</f>
        <v>0</v>
      </c>
      <c r="I53" s="173">
        <v>0</v>
      </c>
      <c r="J53" s="173">
        <f t="shared" ref="J53" si="24">B53*65</f>
        <v>0</v>
      </c>
      <c r="K53" s="173">
        <f t="shared" ref="K53" si="25">B53*40</f>
        <v>0</v>
      </c>
      <c r="L53" s="174">
        <f t="shared" si="17"/>
        <v>0</v>
      </c>
      <c r="M53" s="1427">
        <f t="shared" si="18"/>
        <v>0</v>
      </c>
      <c r="N53" s="1428"/>
    </row>
    <row r="54" spans="1:21" s="1161" customFormat="1" ht="17" thickBot="1">
      <c r="A54" s="110" t="s">
        <v>190</v>
      </c>
      <c r="B54" s="1456"/>
      <c r="C54" s="1457"/>
      <c r="D54" s="1457"/>
      <c r="E54" s="1457"/>
      <c r="F54" s="1457"/>
      <c r="G54" s="1457"/>
      <c r="H54" s="1141"/>
      <c r="I54" s="195"/>
      <c r="J54" s="195"/>
      <c r="K54" s="195"/>
      <c r="L54" s="195"/>
      <c r="M54" s="195"/>
      <c r="N54" s="1190"/>
    </row>
    <row r="55" spans="1:21" s="121" customFormat="1">
      <c r="A55" s="76" t="s">
        <v>418</v>
      </c>
      <c r="B55" s="1435">
        <f>SAWC!N403</f>
        <v>0</v>
      </c>
      <c r="C55" s="1433"/>
      <c r="D55" s="1432" t="s">
        <v>22</v>
      </c>
      <c r="E55" s="1433"/>
      <c r="F55" s="1467" t="s">
        <v>22</v>
      </c>
      <c r="G55" s="1433"/>
      <c r="H55" s="1292" t="s">
        <v>22</v>
      </c>
      <c r="I55" s="173">
        <f>B55*541.27</f>
        <v>0</v>
      </c>
      <c r="J55" s="173">
        <v>0</v>
      </c>
      <c r="K55" s="173">
        <v>0</v>
      </c>
      <c r="L55" s="174">
        <f>I55+J55+K55</f>
        <v>0</v>
      </c>
      <c r="M55" s="1427">
        <f>IF(ISERROR(L55/(F55*771)),0,L55/(F55*799))</f>
        <v>0</v>
      </c>
      <c r="N55" s="1428"/>
    </row>
    <row r="56" spans="1:21" s="121" customFormat="1">
      <c r="A56" s="254" t="s">
        <v>353</v>
      </c>
      <c r="B56" s="1435">
        <f>SAWC!N404</f>
        <v>0</v>
      </c>
      <c r="C56" s="1433"/>
      <c r="D56" s="1451">
        <f>F56*325900</f>
        <v>0</v>
      </c>
      <c r="E56" s="1448"/>
      <c r="F56" s="1447">
        <v>0</v>
      </c>
      <c r="G56" s="1448"/>
      <c r="H56" s="1115">
        <v>0</v>
      </c>
      <c r="I56" s="173">
        <f>(B56*922.51)*0.49</f>
        <v>0</v>
      </c>
      <c r="J56" s="173">
        <f>(B56*922.5)*0</f>
        <v>0</v>
      </c>
      <c r="K56" s="173">
        <f>(B56*922.51)*0.51</f>
        <v>0</v>
      </c>
      <c r="L56" s="174">
        <f t="shared" ref="L56:L58" si="26">K56+J56+I56</f>
        <v>0</v>
      </c>
      <c r="M56" s="1427">
        <f t="shared" ref="M56:M58" si="27">IF(ISERROR(L56/(F56*771)),0,L56/(F56*799))</f>
        <v>0</v>
      </c>
      <c r="N56" s="1428"/>
    </row>
    <row r="57" spans="1:21" s="121" customFormat="1">
      <c r="A57" s="254" t="s">
        <v>416</v>
      </c>
      <c r="B57" s="1435">
        <f>SAWC!N405</f>
        <v>0</v>
      </c>
      <c r="C57" s="1433"/>
      <c r="D57" s="1451">
        <f>F57*325900</f>
        <v>0</v>
      </c>
      <c r="E57" s="1448"/>
      <c r="F57" s="1447">
        <f>0.0414*0</f>
        <v>0</v>
      </c>
      <c r="G57" s="1448"/>
      <c r="H57" s="1115">
        <f>F57*10</f>
        <v>0</v>
      </c>
      <c r="I57" s="173">
        <v>0</v>
      </c>
      <c r="J57" s="173">
        <f>(B57*674.7)*0.62</f>
        <v>0</v>
      </c>
      <c r="K57" s="173">
        <f>(B57*674.7)*0.38</f>
        <v>0</v>
      </c>
      <c r="L57" s="174">
        <f>K57+J57+I57</f>
        <v>0</v>
      </c>
      <c r="M57" s="1427">
        <f t="shared" si="27"/>
        <v>0</v>
      </c>
      <c r="N57" s="1428"/>
    </row>
    <row r="58" spans="1:21" s="121" customFormat="1" ht="14" thickBot="1">
      <c r="A58" s="254" t="s">
        <v>266</v>
      </c>
      <c r="B58" s="1435">
        <f>SAWC!N406</f>
        <v>0</v>
      </c>
      <c r="C58" s="1433"/>
      <c r="D58" s="1458">
        <f>F58*325900</f>
        <v>0</v>
      </c>
      <c r="E58" s="1459"/>
      <c r="F58" s="1693">
        <f>B58*0.118</f>
        <v>0</v>
      </c>
      <c r="G58" s="1459"/>
      <c r="H58" s="1115">
        <f>F58*10</f>
        <v>0</v>
      </c>
      <c r="I58" s="173">
        <v>0</v>
      </c>
      <c r="J58" s="286">
        <f>(B58*520.03)*0.51</f>
        <v>0</v>
      </c>
      <c r="K58" s="286">
        <f>(B58*520.03)*0.49</f>
        <v>0</v>
      </c>
      <c r="L58" s="174">
        <f t="shared" si="26"/>
        <v>0</v>
      </c>
      <c r="M58" s="1427">
        <f t="shared" si="27"/>
        <v>0</v>
      </c>
      <c r="N58" s="1428"/>
    </row>
    <row r="59" spans="1:21" ht="14" thickBot="1">
      <c r="A59" s="53" t="s">
        <v>60</v>
      </c>
      <c r="B59" s="1452">
        <f>SUM(B46:C58)</f>
        <v>17</v>
      </c>
      <c r="C59" s="1453"/>
      <c r="D59" s="1694">
        <f>SUM(D46:E58)</f>
        <v>209423.34</v>
      </c>
      <c r="E59" s="1453"/>
      <c r="F59" s="1452">
        <f>SUM(F46:G58)</f>
        <v>0.64259999999999995</v>
      </c>
      <c r="G59" s="1453"/>
      <c r="H59" s="1122">
        <f>SUM(H46:H58)</f>
        <v>7.47</v>
      </c>
      <c r="I59" s="1132">
        <f>SUM(I46:I58)</f>
        <v>0</v>
      </c>
      <c r="J59" s="1132">
        <f>SUM(J46:J58)</f>
        <v>1300</v>
      </c>
      <c r="K59" s="1132">
        <f t="shared" ref="K59:L59" si="28">SUM(K46:K58)</f>
        <v>1300</v>
      </c>
      <c r="L59" s="1132">
        <f t="shared" si="28"/>
        <v>2600</v>
      </c>
      <c r="M59" s="1454">
        <f t="shared" ref="M59" si="29">IF(ISERROR(L59/(F59*744)),0,L59/(F59*744))</f>
        <v>5.4382565451509164</v>
      </c>
      <c r="N59" s="1455"/>
    </row>
    <row r="60" spans="1:21" s="1161" customFormat="1" ht="17" thickBot="1">
      <c r="A60" s="110" t="s">
        <v>194</v>
      </c>
      <c r="B60" s="1456"/>
      <c r="C60" s="1457"/>
      <c r="D60" s="1457"/>
      <c r="E60" s="1457"/>
      <c r="F60" s="1457"/>
      <c r="G60" s="1457"/>
      <c r="H60" s="1141"/>
      <c r="I60" s="997"/>
      <c r="J60" s="997"/>
      <c r="K60" s="997"/>
      <c r="L60" s="997"/>
      <c r="M60" s="997"/>
      <c r="N60" s="998"/>
    </row>
    <row r="61" spans="1:21">
      <c r="A61" s="68" t="s">
        <v>29</v>
      </c>
      <c r="B61" s="1421">
        <f>SAWC!N409</f>
        <v>0</v>
      </c>
      <c r="C61" s="1422"/>
      <c r="D61" s="1431">
        <f>F61*325900</f>
        <v>0</v>
      </c>
      <c r="E61" s="1422"/>
      <c r="F61" s="1431">
        <f>0.0246*B61</f>
        <v>0</v>
      </c>
      <c r="G61" s="1422"/>
      <c r="H61" s="1123">
        <f>F61*20</f>
        <v>0</v>
      </c>
      <c r="I61" s="151">
        <v>0</v>
      </c>
      <c r="J61" s="150">
        <f>B61*60</f>
        <v>0</v>
      </c>
      <c r="K61" s="150">
        <f>B61*40</f>
        <v>0</v>
      </c>
      <c r="L61" s="174">
        <f t="shared" ref="L61:L70" si="30">K61+J61+I61</f>
        <v>0</v>
      </c>
      <c r="M61" s="1427">
        <f t="shared" ref="M61:M72" si="31">IF(ISERROR(L61/(F61*771)),0,L61/(F61*799))</f>
        <v>0</v>
      </c>
      <c r="N61" s="1428"/>
      <c r="U61" s="3"/>
    </row>
    <row r="62" spans="1:21">
      <c r="A62" s="68" t="s">
        <v>51</v>
      </c>
      <c r="B62" s="1421">
        <f>SAWC!N410</f>
        <v>0</v>
      </c>
      <c r="C62" s="1422"/>
      <c r="D62" s="1431">
        <f>F62*325900</f>
        <v>0</v>
      </c>
      <c r="E62" s="1422"/>
      <c r="F62" s="1431">
        <f>0.1227*B62</f>
        <v>0</v>
      </c>
      <c r="G62" s="1422"/>
      <c r="H62" s="1123">
        <f>F62*20</f>
        <v>0</v>
      </c>
      <c r="I62" s="151">
        <v>0</v>
      </c>
      <c r="J62" s="150">
        <f>B62*200</f>
        <v>0</v>
      </c>
      <c r="K62" s="150">
        <f>B62*200</f>
        <v>0</v>
      </c>
      <c r="L62" s="174">
        <f t="shared" si="30"/>
        <v>0</v>
      </c>
      <c r="M62" s="1427">
        <f t="shared" si="31"/>
        <v>0</v>
      </c>
      <c r="N62" s="1428"/>
    </row>
    <row r="63" spans="1:21">
      <c r="A63" s="2" t="s">
        <v>204</v>
      </c>
      <c r="B63" s="1421">
        <f>SAWC!N411</f>
        <v>0</v>
      </c>
      <c r="C63" s="1422"/>
      <c r="D63" s="1431">
        <f>F63*325900</f>
        <v>0</v>
      </c>
      <c r="E63" s="1422"/>
      <c r="F63" s="1431">
        <f>0.644*B63</f>
        <v>0</v>
      </c>
      <c r="G63" s="1422"/>
      <c r="H63" s="1123">
        <f>F63*5</f>
        <v>0</v>
      </c>
      <c r="I63" s="151">
        <v>0</v>
      </c>
      <c r="J63" s="150">
        <f>B63*375</f>
        <v>0</v>
      </c>
      <c r="K63" s="150">
        <f>B63*625</f>
        <v>0</v>
      </c>
      <c r="L63" s="174">
        <f t="shared" si="30"/>
        <v>0</v>
      </c>
      <c r="M63" s="1427">
        <f t="shared" si="31"/>
        <v>0</v>
      </c>
      <c r="N63" s="1428"/>
    </row>
    <row r="64" spans="1:21">
      <c r="A64" s="254" t="s">
        <v>30</v>
      </c>
      <c r="B64" s="1421">
        <f>SAWC!N412</f>
        <v>0</v>
      </c>
      <c r="C64" s="1422"/>
      <c r="D64" s="1431">
        <f t="shared" ref="D64:D72" si="32">F64*325900</f>
        <v>0</v>
      </c>
      <c r="E64" s="1422"/>
      <c r="F64" s="1431">
        <f>0.0129*B64</f>
        <v>0</v>
      </c>
      <c r="G64" s="1422"/>
      <c r="H64" s="1123">
        <f>F64*10</f>
        <v>0</v>
      </c>
      <c r="I64" s="151">
        <v>0</v>
      </c>
      <c r="J64" s="150">
        <f>B64*15</f>
        <v>0</v>
      </c>
      <c r="K64" s="150">
        <f>B64*35</f>
        <v>0</v>
      </c>
      <c r="L64" s="174">
        <f t="shared" si="30"/>
        <v>0</v>
      </c>
      <c r="M64" s="1427">
        <f t="shared" si="31"/>
        <v>0</v>
      </c>
      <c r="N64" s="1428"/>
    </row>
    <row r="65" spans="1:14">
      <c r="A65" s="254" t="s">
        <v>363</v>
      </c>
      <c r="B65" s="1421">
        <f>SAWC!N413</f>
        <v>0</v>
      </c>
      <c r="C65" s="1422"/>
      <c r="D65" s="1431">
        <f t="shared" si="32"/>
        <v>0</v>
      </c>
      <c r="E65" s="1422"/>
      <c r="F65" s="1425">
        <f>0.0044*0</f>
        <v>0</v>
      </c>
      <c r="G65" s="1426"/>
      <c r="H65" s="1288">
        <f>F65*5</f>
        <v>0</v>
      </c>
      <c r="I65" s="151">
        <v>0</v>
      </c>
      <c r="J65" s="150">
        <f>0*3</f>
        <v>0</v>
      </c>
      <c r="K65" s="150">
        <f>0*2</f>
        <v>0</v>
      </c>
      <c r="L65" s="174">
        <f t="shared" si="30"/>
        <v>0</v>
      </c>
      <c r="M65" s="1427">
        <f t="shared" si="31"/>
        <v>0</v>
      </c>
      <c r="N65" s="1428"/>
    </row>
    <row r="66" spans="1:14">
      <c r="A66" s="254" t="s">
        <v>122</v>
      </c>
      <c r="B66" s="1421">
        <f>SAWC!N414</f>
        <v>0</v>
      </c>
      <c r="C66" s="1422"/>
      <c r="D66" s="1431">
        <f t="shared" si="32"/>
        <v>0</v>
      </c>
      <c r="E66" s="1422"/>
      <c r="F66" s="1431">
        <f>0.018*B66</f>
        <v>0</v>
      </c>
      <c r="G66" s="1422"/>
      <c r="H66" s="1123">
        <f>F66*10</f>
        <v>0</v>
      </c>
      <c r="I66" s="151">
        <v>0</v>
      </c>
      <c r="J66" s="150">
        <f>B66*5</f>
        <v>0</v>
      </c>
      <c r="K66" s="150">
        <f>B66*13</f>
        <v>0</v>
      </c>
      <c r="L66" s="174">
        <f t="shared" si="30"/>
        <v>0</v>
      </c>
      <c r="M66" s="1427">
        <f t="shared" si="31"/>
        <v>0</v>
      </c>
      <c r="N66" s="1428"/>
    </row>
    <row r="67" spans="1:14">
      <c r="A67" s="257" t="s">
        <v>184</v>
      </c>
      <c r="B67" s="1421">
        <f>SAWC!N415</f>
        <v>0</v>
      </c>
      <c r="C67" s="1422"/>
      <c r="D67" s="1431">
        <f t="shared" si="32"/>
        <v>0</v>
      </c>
      <c r="E67" s="1422"/>
      <c r="F67" s="1431">
        <f>0.0129*B67</f>
        <v>0</v>
      </c>
      <c r="G67" s="1422"/>
      <c r="H67" s="1123">
        <f>F67*10</f>
        <v>0</v>
      </c>
      <c r="I67" s="151">
        <v>0</v>
      </c>
      <c r="J67" s="150">
        <f>B67*15</f>
        <v>0</v>
      </c>
      <c r="K67" s="150">
        <f>B67*35</f>
        <v>0</v>
      </c>
      <c r="L67" s="174">
        <f t="shared" si="30"/>
        <v>0</v>
      </c>
      <c r="M67" s="1427">
        <f t="shared" si="31"/>
        <v>0</v>
      </c>
      <c r="N67" s="1428"/>
    </row>
    <row r="68" spans="1:14" s="57" customFormat="1">
      <c r="A68" s="258" t="s">
        <v>187</v>
      </c>
      <c r="B68" s="1421">
        <f>SAWC!N416</f>
        <v>0</v>
      </c>
      <c r="C68" s="1422"/>
      <c r="D68" s="1431">
        <f t="shared" si="32"/>
        <v>0</v>
      </c>
      <c r="E68" s="1422"/>
      <c r="F68" s="1431">
        <f>0.023*B68</f>
        <v>0</v>
      </c>
      <c r="G68" s="1422"/>
      <c r="H68" s="1123">
        <f>F68*5</f>
        <v>0</v>
      </c>
      <c r="I68" s="151">
        <v>0</v>
      </c>
      <c r="J68" s="150">
        <f>B68*10</f>
        <v>0</v>
      </c>
      <c r="K68" s="150">
        <f>B68*10</f>
        <v>0</v>
      </c>
      <c r="L68" s="174">
        <f t="shared" si="30"/>
        <v>0</v>
      </c>
      <c r="M68" s="1427">
        <f t="shared" si="31"/>
        <v>0</v>
      </c>
      <c r="N68" s="1428"/>
    </row>
    <row r="69" spans="1:14" s="57" customFormat="1">
      <c r="A69" s="258" t="s">
        <v>188</v>
      </c>
      <c r="B69" s="1421">
        <f>SAWC!N417</f>
        <v>0</v>
      </c>
      <c r="C69" s="1422"/>
      <c r="D69" s="1431">
        <f t="shared" si="32"/>
        <v>0</v>
      </c>
      <c r="E69" s="1422"/>
      <c r="F69" s="1736">
        <f>B69*154</f>
        <v>0</v>
      </c>
      <c r="G69" s="1446"/>
      <c r="H69" s="1130">
        <f>F69*10</f>
        <v>0</v>
      </c>
      <c r="I69" s="151">
        <v>0</v>
      </c>
      <c r="J69" s="150">
        <f>B69*1000</f>
        <v>0</v>
      </c>
      <c r="K69" s="150">
        <f>B69*1000</f>
        <v>0</v>
      </c>
      <c r="L69" s="174">
        <f t="shared" si="30"/>
        <v>0</v>
      </c>
      <c r="M69" s="1427">
        <f t="shared" si="31"/>
        <v>0</v>
      </c>
      <c r="N69" s="1428"/>
    </row>
    <row r="70" spans="1:14" s="57" customFormat="1">
      <c r="A70" s="258" t="s">
        <v>323</v>
      </c>
      <c r="B70" s="1421">
        <f>SAWC!N418</f>
        <v>0</v>
      </c>
      <c r="C70" s="1422"/>
      <c r="D70" s="1423">
        <f t="shared" si="32"/>
        <v>0</v>
      </c>
      <c r="E70" s="1424"/>
      <c r="F70" s="1736">
        <v>0</v>
      </c>
      <c r="G70" s="1446"/>
      <c r="H70" s="1115">
        <f>F70*10</f>
        <v>0</v>
      </c>
      <c r="I70" s="151">
        <v>0</v>
      </c>
      <c r="J70" s="150">
        <v>0</v>
      </c>
      <c r="K70" s="150">
        <v>0</v>
      </c>
      <c r="L70" s="174">
        <f t="shared" si="30"/>
        <v>0</v>
      </c>
      <c r="M70" s="1427">
        <f t="shared" si="31"/>
        <v>0</v>
      </c>
      <c r="N70" s="1428"/>
    </row>
    <row r="71" spans="1:14" s="57" customFormat="1">
      <c r="A71" s="258" t="s">
        <v>269</v>
      </c>
      <c r="B71" s="1421">
        <f>SAWC!N419</f>
        <v>0</v>
      </c>
      <c r="C71" s="1422"/>
      <c r="D71" s="1423">
        <f t="shared" si="32"/>
        <v>0</v>
      </c>
      <c r="E71" s="1424"/>
      <c r="F71" s="1736">
        <f>B71*0.0129</f>
        <v>0</v>
      </c>
      <c r="G71" s="1446"/>
      <c r="H71" s="1113">
        <f>F71*10</f>
        <v>0</v>
      </c>
      <c r="I71" s="151">
        <v>0</v>
      </c>
      <c r="J71" s="150">
        <f>B71*15</f>
        <v>0</v>
      </c>
      <c r="K71" s="150">
        <f>B71*35</f>
        <v>0</v>
      </c>
      <c r="L71" s="174">
        <f t="shared" ref="L71:L72" si="33">K71+J71+I71</f>
        <v>0</v>
      </c>
      <c r="M71" s="1427">
        <f t="shared" si="31"/>
        <v>0</v>
      </c>
      <c r="N71" s="1428"/>
    </row>
    <row r="72" spans="1:14" s="57" customFormat="1" ht="14" thickBot="1">
      <c r="A72" s="258" t="s">
        <v>268</v>
      </c>
      <c r="B72" s="1421">
        <f>SAWC!N420</f>
        <v>0</v>
      </c>
      <c r="C72" s="1422"/>
      <c r="D72" s="1431">
        <f t="shared" si="32"/>
        <v>0</v>
      </c>
      <c r="E72" s="1422"/>
      <c r="F72" s="1736">
        <f>(B72*0.0084)/2</f>
        <v>0</v>
      </c>
      <c r="G72" s="1446"/>
      <c r="H72" s="1124">
        <f>F72*10</f>
        <v>0</v>
      </c>
      <c r="I72" s="151">
        <v>0</v>
      </c>
      <c r="J72" s="150">
        <f>B72*5</f>
        <v>0</v>
      </c>
      <c r="K72" s="150">
        <f>B72*5</f>
        <v>0</v>
      </c>
      <c r="L72" s="174">
        <f t="shared" si="33"/>
        <v>0</v>
      </c>
      <c r="M72" s="1427">
        <f t="shared" si="31"/>
        <v>0</v>
      </c>
      <c r="N72" s="1428"/>
    </row>
    <row r="73" spans="1:14" s="91" customFormat="1" ht="17" hidden="1" thickBot="1">
      <c r="A73" s="1046" t="s">
        <v>192</v>
      </c>
      <c r="B73" s="1434"/>
      <c r="C73" s="1434"/>
      <c r="D73" s="1434"/>
      <c r="E73" s="1434"/>
      <c r="F73" s="1434"/>
      <c r="G73" s="1434"/>
      <c r="H73" s="1114"/>
      <c r="I73" s="1133"/>
      <c r="J73" s="1133"/>
      <c r="K73" s="1133"/>
      <c r="L73" s="1133"/>
      <c r="M73" s="1133"/>
      <c r="N73" s="1134"/>
    </row>
    <row r="74" spans="1:14" s="121" customFormat="1" ht="14" hidden="1" thickBot="1">
      <c r="A74" s="76" t="s">
        <v>193</v>
      </c>
      <c r="B74" s="1435">
        <f>SAWC!N422</f>
        <v>0</v>
      </c>
      <c r="C74" s="1433"/>
      <c r="D74" s="1436">
        <f>F74*325900</f>
        <v>0</v>
      </c>
      <c r="E74" s="1437"/>
      <c r="F74" s="1744">
        <f>0.004*B74</f>
        <v>0</v>
      </c>
      <c r="G74" s="1437"/>
      <c r="H74" s="1124">
        <f>F74*5</f>
        <v>0</v>
      </c>
      <c r="I74" s="216">
        <v>0</v>
      </c>
      <c r="J74" s="216">
        <f>L74-K74</f>
        <v>3607.5</v>
      </c>
      <c r="K74" s="216">
        <f>B74*2</f>
        <v>0</v>
      </c>
      <c r="L74" s="174">
        <v>3607.5</v>
      </c>
      <c r="M74" s="1427">
        <f>IF(ISERROR(L74/(F74*771)),0,L74/(F74*771))</f>
        <v>0</v>
      </c>
      <c r="N74" s="1428"/>
    </row>
    <row r="75" spans="1:14" ht="14" thickBot="1">
      <c r="A75" s="53" t="s">
        <v>60</v>
      </c>
      <c r="B75" s="1438">
        <f>SUM(B61:B74)</f>
        <v>0</v>
      </c>
      <c r="C75" s="1439"/>
      <c r="D75" s="1440">
        <f>SUM(D61:E74)</f>
        <v>0</v>
      </c>
      <c r="E75" s="1439"/>
      <c r="F75" s="1441">
        <f>SUM(F61:G74)</f>
        <v>0</v>
      </c>
      <c r="G75" s="1439"/>
      <c r="H75" s="1119">
        <f>SUM(H61:H74)</f>
        <v>0</v>
      </c>
      <c r="I75" s="146">
        <f>SUM(I61:I74)</f>
        <v>0</v>
      </c>
      <c r="J75" s="146">
        <f>SUM(J61:J74)</f>
        <v>3607.5</v>
      </c>
      <c r="K75" s="146">
        <f>SUM(K61:K74)</f>
        <v>0</v>
      </c>
      <c r="L75" s="146">
        <f>SUM(L61:L74)</f>
        <v>3607.5</v>
      </c>
      <c r="M75" s="1442"/>
      <c r="N75" s="1443"/>
    </row>
    <row r="76" spans="1:14" s="1161" customFormat="1" ht="17" thickBot="1">
      <c r="A76" s="1163" t="s">
        <v>17</v>
      </c>
      <c r="B76" s="1414">
        <f>SUM(,B59,B75)</f>
        <v>17</v>
      </c>
      <c r="C76" s="1415"/>
      <c r="D76" s="1416">
        <f>SUM(,D59,D75)</f>
        <v>209423.34</v>
      </c>
      <c r="E76" s="1415"/>
      <c r="F76" s="1416">
        <f>SUM(,F59,F75)</f>
        <v>0.64259999999999995</v>
      </c>
      <c r="G76" s="1415"/>
      <c r="H76" s="1164">
        <f>SUM(H59,H75)</f>
        <v>7.47</v>
      </c>
      <c r="I76" s="1165">
        <f>SUM(,I59,I75)</f>
        <v>0</v>
      </c>
      <c r="J76" s="1165">
        <f>SUM(,J59,J75)</f>
        <v>4907.5</v>
      </c>
      <c r="K76" s="1165">
        <f>SUM(,K59,K75)</f>
        <v>1300</v>
      </c>
      <c r="L76" s="1165">
        <f>SUM(,L59,L75)</f>
        <v>6207.5</v>
      </c>
      <c r="M76" s="1417"/>
      <c r="N76" s="1418"/>
    </row>
    <row r="77" spans="1:14">
      <c r="A77" s="50"/>
      <c r="B77" s="1127"/>
      <c r="C77" s="1127"/>
      <c r="D77" s="1127"/>
      <c r="E77" s="1127"/>
      <c r="F77" s="1128"/>
      <c r="G77" s="1128"/>
      <c r="H77" s="1128"/>
      <c r="I77" s="21"/>
      <c r="J77" s="21"/>
      <c r="K77" s="21"/>
      <c r="L77" s="21"/>
      <c r="M77" s="1125"/>
      <c r="N77" s="1125"/>
    </row>
    <row r="78" spans="1:14" ht="15">
      <c r="A78" s="9" t="s">
        <v>18</v>
      </c>
      <c r="B78" s="1419" t="s">
        <v>59</v>
      </c>
      <c r="C78" s="1419"/>
      <c r="D78" s="1419"/>
      <c r="E78" s="1419"/>
      <c r="F78" s="1128"/>
      <c r="G78" s="1128"/>
      <c r="H78" s="1128"/>
      <c r="I78" s="21"/>
      <c r="J78" s="21"/>
      <c r="K78" s="21"/>
      <c r="L78" s="21"/>
      <c r="M78" s="1125"/>
      <c r="N78" s="1125"/>
    </row>
    <row r="79" spans="1:14">
      <c r="B79" s="1420" t="s">
        <v>19</v>
      </c>
      <c r="C79" s="1420"/>
      <c r="D79" s="1420"/>
      <c r="E79" s="1420"/>
      <c r="F79" s="1128"/>
      <c r="G79" s="1128"/>
      <c r="H79" s="1128"/>
      <c r="I79" s="21"/>
      <c r="J79" s="21"/>
      <c r="K79" s="21"/>
      <c r="L79" s="21"/>
      <c r="N79" s="1125"/>
    </row>
    <row r="80" spans="1:14" s="363" customFormat="1" ht="16">
      <c r="A80" s="348"/>
      <c r="B80" s="349"/>
      <c r="C80" s="349"/>
      <c r="D80" s="349"/>
      <c r="E80" s="349"/>
      <c r="F80" s="350"/>
      <c r="G80" s="350"/>
      <c r="H80" s="350"/>
      <c r="I80" s="2046" t="s">
        <v>0</v>
      </c>
      <c r="J80" s="2046"/>
      <c r="K80" s="2046"/>
      <c r="L80" s="2046"/>
      <c r="M80" s="349"/>
      <c r="N80" s="344"/>
    </row>
    <row r="81" spans="1:14" ht="16">
      <c r="A81" s="97"/>
      <c r="B81" s="1469" t="s">
        <v>1</v>
      </c>
      <c r="C81" s="1469"/>
      <c r="D81" s="1469" t="s">
        <v>2</v>
      </c>
      <c r="E81" s="1469"/>
      <c r="F81" s="1863" t="s">
        <v>3</v>
      </c>
      <c r="G81" s="1863"/>
      <c r="H81" s="1028" t="s">
        <v>3</v>
      </c>
      <c r="I81" s="127" t="s">
        <v>195</v>
      </c>
      <c r="J81" s="102"/>
      <c r="K81" s="102"/>
      <c r="L81" s="128"/>
      <c r="M81" s="1525" t="s">
        <v>4</v>
      </c>
      <c r="N81" s="1526"/>
    </row>
    <row r="82" spans="1:14" ht="19" thickBot="1">
      <c r="A82" s="103" t="s">
        <v>5</v>
      </c>
      <c r="B82" s="1473" t="s">
        <v>6</v>
      </c>
      <c r="C82" s="1473"/>
      <c r="D82" s="1473" t="s">
        <v>7</v>
      </c>
      <c r="E82" s="1473"/>
      <c r="F82" s="1864" t="s">
        <v>7</v>
      </c>
      <c r="G82" s="1864"/>
      <c r="H82" s="1029" t="s">
        <v>58</v>
      </c>
      <c r="I82" s="1007" t="s">
        <v>196</v>
      </c>
      <c r="J82" s="1005" t="s">
        <v>8</v>
      </c>
      <c r="K82" s="1005" t="s">
        <v>9</v>
      </c>
      <c r="L82" s="401" t="s">
        <v>10</v>
      </c>
      <c r="M82" s="1527" t="s">
        <v>145</v>
      </c>
      <c r="N82" s="1475"/>
    </row>
    <row r="83" spans="1:14" ht="24" thickBot="1">
      <c r="A83" s="88" t="s">
        <v>351</v>
      </c>
      <c r="B83" s="1476"/>
      <c r="C83" s="1477"/>
      <c r="D83" s="1478"/>
      <c r="E83" s="1479"/>
      <c r="F83" s="1878"/>
      <c r="G83" s="1879"/>
      <c r="H83" s="1030"/>
      <c r="I83" s="304"/>
      <c r="J83" s="304"/>
      <c r="K83" s="304"/>
      <c r="L83" s="305"/>
      <c r="M83" s="1482"/>
      <c r="N83" s="1483"/>
    </row>
    <row r="84" spans="1:14" s="1161" customFormat="1" ht="17" thickBot="1">
      <c r="A84" s="110" t="s">
        <v>189</v>
      </c>
      <c r="B84" s="1456"/>
      <c r="C84" s="1457"/>
      <c r="D84" s="1457"/>
      <c r="E84" s="1457"/>
      <c r="F84" s="1854"/>
      <c r="G84" s="1854"/>
      <c r="H84" s="1212"/>
      <c r="I84" s="1141"/>
      <c r="J84" s="1141"/>
      <c r="K84" s="1141"/>
      <c r="L84" s="1141"/>
      <c r="M84" s="1485"/>
      <c r="N84" s="1486"/>
    </row>
    <row r="85" spans="1:14" s="121" customFormat="1">
      <c r="A85" s="69" t="s">
        <v>29</v>
      </c>
      <c r="B85" s="1465">
        <f>SAWC!N360</f>
        <v>0</v>
      </c>
      <c r="C85" s="1466"/>
      <c r="D85" s="1795">
        <f t="shared" ref="D85:D86" si="34">F85*325900</f>
        <v>0</v>
      </c>
      <c r="E85" s="1466"/>
      <c r="F85" s="2144">
        <f>0.0246*B85</f>
        <v>0</v>
      </c>
      <c r="G85" s="2145"/>
      <c r="H85" s="1078">
        <f>F85*20</f>
        <v>0</v>
      </c>
      <c r="I85" s="173">
        <v>0</v>
      </c>
      <c r="J85" s="173">
        <f>B85*60</f>
        <v>0</v>
      </c>
      <c r="K85" s="173">
        <f>B85*40</f>
        <v>0</v>
      </c>
      <c r="L85" s="174">
        <f>K85+J85+I85</f>
        <v>0</v>
      </c>
      <c r="M85" s="1807">
        <f t="shared" ref="M85:M92" si="35">IF(ISERROR(L85/(F85*771)),0,L85/(F85*771))</f>
        <v>0</v>
      </c>
      <c r="N85" s="1808"/>
    </row>
    <row r="86" spans="1:14" s="121" customFormat="1">
      <c r="A86" s="69" t="s">
        <v>33</v>
      </c>
      <c r="B86" s="1435">
        <f>SAWC!N361</f>
        <v>4</v>
      </c>
      <c r="C86" s="1433"/>
      <c r="D86" s="1467">
        <f t="shared" si="34"/>
        <v>44974.200000000004</v>
      </c>
      <c r="E86" s="1433"/>
      <c r="F86" s="1876">
        <f>0.0345*B86</f>
        <v>0.13800000000000001</v>
      </c>
      <c r="G86" s="1877"/>
      <c r="H86" s="1078">
        <f>F86*14</f>
        <v>1.9320000000000002</v>
      </c>
      <c r="I86" s="173">
        <f>0*B86</f>
        <v>0</v>
      </c>
      <c r="J86" s="173">
        <f>B86*65</f>
        <v>260</v>
      </c>
      <c r="K86" s="173">
        <f>B86*85</f>
        <v>340</v>
      </c>
      <c r="L86" s="174">
        <f t="shared" ref="L86:L92" si="36">K86+J86+I86</f>
        <v>600</v>
      </c>
      <c r="M86" s="1427">
        <f t="shared" si="35"/>
        <v>5.6392037444312857</v>
      </c>
      <c r="N86" s="1428"/>
    </row>
    <row r="87" spans="1:14" s="121" customFormat="1">
      <c r="A87" s="254" t="s">
        <v>363</v>
      </c>
      <c r="B87" s="1435">
        <f>SAWC!N362</f>
        <v>0</v>
      </c>
      <c r="C87" s="1433"/>
      <c r="D87" s="1467">
        <f>F87*325851</f>
        <v>0</v>
      </c>
      <c r="E87" s="1433"/>
      <c r="F87" s="1467">
        <f>0.0044*B87</f>
        <v>0</v>
      </c>
      <c r="G87" s="1433"/>
      <c r="H87" s="1078">
        <f>F87*5</f>
        <v>0</v>
      </c>
      <c r="I87" s="173">
        <f>0*B87</f>
        <v>0</v>
      </c>
      <c r="J87" s="173">
        <f>B87*3</f>
        <v>0</v>
      </c>
      <c r="K87" s="173">
        <f>B87*2</f>
        <v>0</v>
      </c>
      <c r="L87" s="174">
        <f t="shared" si="36"/>
        <v>0</v>
      </c>
      <c r="M87" s="1427">
        <f t="shared" si="35"/>
        <v>0</v>
      </c>
      <c r="N87" s="1428"/>
    </row>
    <row r="88" spans="1:14" s="121" customFormat="1">
      <c r="A88" s="254" t="s">
        <v>52</v>
      </c>
      <c r="B88" s="1435">
        <f>SAWC!N363</f>
        <v>2</v>
      </c>
      <c r="C88" s="1433"/>
      <c r="D88" s="1447">
        <f t="shared" ref="D88:D92" si="37">F88*325900</f>
        <v>26984.52</v>
      </c>
      <c r="E88" s="1448"/>
      <c r="F88" s="1447">
        <f>0.0414*B88</f>
        <v>8.2799999999999999E-2</v>
      </c>
      <c r="G88" s="1448"/>
      <c r="H88" s="1069">
        <f>F88*10</f>
        <v>0.82799999999999996</v>
      </c>
      <c r="I88" s="173">
        <v>0</v>
      </c>
      <c r="J88" s="173">
        <f>B88*70</f>
        <v>140</v>
      </c>
      <c r="K88" s="173">
        <f>B88*80</f>
        <v>160</v>
      </c>
      <c r="L88" s="174">
        <f t="shared" si="36"/>
        <v>300</v>
      </c>
      <c r="M88" s="1427">
        <f t="shared" si="35"/>
        <v>4.6993364536927382</v>
      </c>
      <c r="N88" s="1428"/>
    </row>
    <row r="89" spans="1:14" s="121" customFormat="1" ht="12.75" customHeight="1">
      <c r="A89" s="254" t="s">
        <v>323</v>
      </c>
      <c r="B89" s="1435">
        <f>SAWC!N364</f>
        <v>0</v>
      </c>
      <c r="C89" s="1433"/>
      <c r="D89" s="1447">
        <f t="shared" si="37"/>
        <v>0</v>
      </c>
      <c r="E89" s="1448"/>
      <c r="F89" s="1903">
        <v>0</v>
      </c>
      <c r="G89" s="1904"/>
      <c r="H89" s="1069">
        <f>F89*10</f>
        <v>0</v>
      </c>
      <c r="I89" s="173">
        <v>0</v>
      </c>
      <c r="J89" s="173">
        <f t="shared" ref="J89:J92" si="38">B89*65</f>
        <v>0</v>
      </c>
      <c r="K89" s="173">
        <f t="shared" ref="K89:K92" si="39">B89*40</f>
        <v>0</v>
      </c>
      <c r="L89" s="174">
        <f t="shared" si="36"/>
        <v>0</v>
      </c>
      <c r="M89" s="1427">
        <f t="shared" si="35"/>
        <v>0</v>
      </c>
      <c r="N89" s="1428"/>
    </row>
    <row r="90" spans="1:14" s="121" customFormat="1" ht="12.75" customHeight="1">
      <c r="A90" s="254" t="s">
        <v>214</v>
      </c>
      <c r="B90" s="1435">
        <f>SAWC!N365</f>
        <v>0</v>
      </c>
      <c r="C90" s="1433"/>
      <c r="D90" s="1447">
        <f t="shared" si="37"/>
        <v>0</v>
      </c>
      <c r="E90" s="1448"/>
      <c r="F90" s="1447">
        <f>0.0019*B90</f>
        <v>0</v>
      </c>
      <c r="G90" s="1448"/>
      <c r="H90" s="1069">
        <f>F90*5</f>
        <v>0</v>
      </c>
      <c r="I90" s="173">
        <v>0</v>
      </c>
      <c r="J90" s="173">
        <f>B90*0</f>
        <v>0</v>
      </c>
      <c r="K90" s="173">
        <f>B90*35</f>
        <v>0</v>
      </c>
      <c r="L90" s="174">
        <f t="shared" si="36"/>
        <v>0</v>
      </c>
      <c r="M90" s="1427">
        <f t="shared" si="35"/>
        <v>0</v>
      </c>
      <c r="N90" s="1428"/>
    </row>
    <row r="91" spans="1:14" s="121" customFormat="1" ht="12.75" customHeight="1">
      <c r="A91" s="254" t="s">
        <v>331</v>
      </c>
      <c r="B91" s="1435">
        <f>SAWC!N366</f>
        <v>0</v>
      </c>
      <c r="C91" s="1433"/>
      <c r="D91" s="1467">
        <f t="shared" si="37"/>
        <v>0</v>
      </c>
      <c r="E91" s="1433"/>
      <c r="F91" s="1467">
        <v>0</v>
      </c>
      <c r="G91" s="1433"/>
      <c r="H91" s="1078">
        <v>0</v>
      </c>
      <c r="I91" s="173">
        <v>0</v>
      </c>
      <c r="J91" s="173">
        <f>B91*0</f>
        <v>0</v>
      </c>
      <c r="K91" s="173">
        <f>B91*300</f>
        <v>0</v>
      </c>
      <c r="L91" s="174">
        <f t="shared" si="36"/>
        <v>0</v>
      </c>
      <c r="M91" s="1427">
        <f t="shared" si="35"/>
        <v>0</v>
      </c>
      <c r="N91" s="1428"/>
    </row>
    <row r="92" spans="1:14" s="121" customFormat="1" ht="12.75" customHeight="1" thickBot="1">
      <c r="A92" s="254" t="s">
        <v>269</v>
      </c>
      <c r="B92" s="1462">
        <f>SAWC!N367</f>
        <v>0</v>
      </c>
      <c r="C92" s="1437"/>
      <c r="D92" s="1744">
        <f t="shared" si="37"/>
        <v>0</v>
      </c>
      <c r="E92" s="1437"/>
      <c r="F92" s="1744">
        <f>0.0414*B92</f>
        <v>0</v>
      </c>
      <c r="G92" s="1437"/>
      <c r="H92" s="1078">
        <f>F92*10</f>
        <v>0</v>
      </c>
      <c r="I92" s="173">
        <v>0</v>
      </c>
      <c r="J92" s="173">
        <f t="shared" si="38"/>
        <v>0</v>
      </c>
      <c r="K92" s="173">
        <f t="shared" si="39"/>
        <v>0</v>
      </c>
      <c r="L92" s="174">
        <f t="shared" si="36"/>
        <v>0</v>
      </c>
      <c r="M92" s="1880">
        <f t="shared" si="35"/>
        <v>0</v>
      </c>
      <c r="N92" s="1881"/>
    </row>
    <row r="93" spans="1:14" s="1161" customFormat="1" ht="17" thickBot="1">
      <c r="A93" s="110" t="s">
        <v>190</v>
      </c>
      <c r="B93" s="1456"/>
      <c r="C93" s="1457"/>
      <c r="D93" s="1457"/>
      <c r="E93" s="1457"/>
      <c r="F93" s="1854"/>
      <c r="G93" s="1854"/>
      <c r="H93" s="1212"/>
      <c r="I93" s="195"/>
      <c r="J93" s="195"/>
      <c r="K93" s="195"/>
      <c r="L93" s="195"/>
      <c r="M93" s="1541"/>
      <c r="N93" s="1542"/>
    </row>
    <row r="94" spans="1:14" s="121" customFormat="1">
      <c r="A94" s="254" t="s">
        <v>388</v>
      </c>
      <c r="B94" s="1465">
        <f>SAWC!N369</f>
        <v>0</v>
      </c>
      <c r="C94" s="1466"/>
      <c r="D94" s="1795">
        <f>F94*325900</f>
        <v>0</v>
      </c>
      <c r="E94" s="1466"/>
      <c r="F94" s="1795">
        <f>B94*0.0044</f>
        <v>0</v>
      </c>
      <c r="G94" s="1466"/>
      <c r="H94" s="1078">
        <f>F94*5</f>
        <v>0</v>
      </c>
      <c r="I94" s="173">
        <v>0</v>
      </c>
      <c r="J94" s="173">
        <f>L94-K94</f>
        <v>0</v>
      </c>
      <c r="K94" s="173">
        <f>B94*2</f>
        <v>0</v>
      </c>
      <c r="L94" s="174">
        <v>0</v>
      </c>
      <c r="M94" s="1807">
        <f>IF(ISERROR(L94/(F94*771)),0,L94/(F94*771))</f>
        <v>0</v>
      </c>
      <c r="N94" s="1808"/>
    </row>
    <row r="95" spans="1:14" s="121" customFormat="1">
      <c r="A95" s="254" t="s">
        <v>357</v>
      </c>
      <c r="B95" s="1435">
        <f>SAWC!N370</f>
        <v>1</v>
      </c>
      <c r="C95" s="1433"/>
      <c r="D95" s="1447">
        <f>F95*325900</f>
        <v>247553.64</v>
      </c>
      <c r="E95" s="1448"/>
      <c r="F95" s="1903">
        <v>0.75960000000000005</v>
      </c>
      <c r="G95" s="1904"/>
      <c r="H95" s="1069">
        <f>F95*7.5</f>
        <v>5.6970000000000001</v>
      </c>
      <c r="I95" s="173">
        <f>(B95*958)*0.5</f>
        <v>479</v>
      </c>
      <c r="J95" s="173">
        <f>(B95*958)*0.02</f>
        <v>19.16</v>
      </c>
      <c r="K95" s="173">
        <f>(B95*958)*0.48</f>
        <v>459.84</v>
      </c>
      <c r="L95" s="174">
        <f t="shared" ref="L95:L97" si="40">K95+J95+I95</f>
        <v>958</v>
      </c>
      <c r="M95" s="1427">
        <f>IF(ISERROR(L95/(F95*771)),0,L95/(F95*771))</f>
        <v>1.6357848249710236</v>
      </c>
      <c r="N95" s="1428"/>
    </row>
    <row r="96" spans="1:14" s="121" customFormat="1">
      <c r="A96" s="254" t="s">
        <v>376</v>
      </c>
      <c r="B96" s="1435">
        <f>SAWC!N371</f>
        <v>0</v>
      </c>
      <c r="C96" s="1433"/>
      <c r="D96" s="1447">
        <f>F96*325900</f>
        <v>0</v>
      </c>
      <c r="E96" s="1448"/>
      <c r="F96" s="1447">
        <f>0.0414*0</f>
        <v>0</v>
      </c>
      <c r="G96" s="1448"/>
      <c r="H96" s="1069">
        <f>F96*10</f>
        <v>0</v>
      </c>
      <c r="I96" s="173">
        <v>0</v>
      </c>
      <c r="J96" s="173">
        <f>(B96*705)*0.84</f>
        <v>0</v>
      </c>
      <c r="K96" s="173">
        <f>(B96*705)*0.16</f>
        <v>0</v>
      </c>
      <c r="L96" s="174">
        <f t="shared" si="40"/>
        <v>0</v>
      </c>
      <c r="M96" s="1427">
        <f>IF(ISERROR(L96/(F96*771)),0,L96/(F96*771))</f>
        <v>0</v>
      </c>
      <c r="N96" s="1428"/>
    </row>
    <row r="97" spans="1:14" s="121" customFormat="1" ht="14" thickBot="1">
      <c r="A97" s="254" t="s">
        <v>266</v>
      </c>
      <c r="B97" s="1462">
        <f>SAWC!N372</f>
        <v>0</v>
      </c>
      <c r="C97" s="1437"/>
      <c r="D97" s="1458">
        <f>F97*325900</f>
        <v>0</v>
      </c>
      <c r="E97" s="1459"/>
      <c r="F97" s="2019">
        <f>B97*0.118</f>
        <v>0</v>
      </c>
      <c r="G97" s="1908"/>
      <c r="H97" s="1069">
        <f>F97*10</f>
        <v>0</v>
      </c>
      <c r="I97" s="173">
        <v>0</v>
      </c>
      <c r="J97" s="286">
        <f>(B97*461)*0.53</f>
        <v>0</v>
      </c>
      <c r="K97" s="286">
        <f>(B97*461)*0.47</f>
        <v>0</v>
      </c>
      <c r="L97" s="174">
        <f t="shared" si="40"/>
        <v>0</v>
      </c>
      <c r="M97" s="1880">
        <f>IF(ISERROR(L97/(F97*771)),0,L97/(F97*771))</f>
        <v>0</v>
      </c>
      <c r="N97" s="1881"/>
    </row>
    <row r="98" spans="1:14" ht="14" thickBot="1">
      <c r="A98" s="53" t="s">
        <v>60</v>
      </c>
      <c r="B98" s="1438">
        <f>SUM(B85:C97)</f>
        <v>7</v>
      </c>
      <c r="C98" s="1439"/>
      <c r="D98" s="1441">
        <f>SUM(D85:E97)</f>
        <v>319512.36</v>
      </c>
      <c r="E98" s="1439"/>
      <c r="F98" s="1441">
        <f>SUM(F85:G97)</f>
        <v>0.98040000000000005</v>
      </c>
      <c r="G98" s="1439"/>
      <c r="H98" s="1010">
        <f>SUM(H85:H97)</f>
        <v>8.4570000000000007</v>
      </c>
      <c r="I98" s="1040">
        <f>SUM(I85:I97)</f>
        <v>479</v>
      </c>
      <c r="J98" s="1040">
        <f t="shared" ref="J98:L98" si="41">SUM(J85:J97)</f>
        <v>419.16</v>
      </c>
      <c r="K98" s="1040">
        <f t="shared" si="41"/>
        <v>959.83999999999992</v>
      </c>
      <c r="L98" s="1040">
        <f t="shared" si="41"/>
        <v>1858</v>
      </c>
      <c r="M98" s="2142"/>
      <c r="N98" s="2143"/>
    </row>
    <row r="99" spans="1:14" s="1161" customFormat="1" ht="17" thickBot="1">
      <c r="A99" s="110" t="s">
        <v>194</v>
      </c>
      <c r="B99" s="1456"/>
      <c r="C99" s="1457"/>
      <c r="D99" s="1457"/>
      <c r="E99" s="1457"/>
      <c r="F99" s="1854"/>
      <c r="G99" s="1854"/>
      <c r="H99" s="1240"/>
      <c r="I99" s="997"/>
      <c r="J99" s="997"/>
      <c r="K99" s="997"/>
      <c r="L99" s="997"/>
      <c r="M99" s="997"/>
      <c r="N99" s="998"/>
    </row>
    <row r="100" spans="1:14">
      <c r="A100" s="68" t="s">
        <v>29</v>
      </c>
      <c r="B100" s="1731">
        <f>SAWC!N375</f>
        <v>0</v>
      </c>
      <c r="C100" s="1732"/>
      <c r="D100" s="1855">
        <f t="shared" ref="D100:D107" si="42">F100*325900</f>
        <v>0</v>
      </c>
      <c r="E100" s="1732"/>
      <c r="F100" s="1855">
        <f>0.0246*B100</f>
        <v>0</v>
      </c>
      <c r="G100" s="1732"/>
      <c r="H100" s="1014">
        <f>F100*20</f>
        <v>0</v>
      </c>
      <c r="I100" s="151">
        <v>0</v>
      </c>
      <c r="J100" s="150">
        <f>B100*60</f>
        <v>0</v>
      </c>
      <c r="K100" s="150">
        <f>B100*40</f>
        <v>0</v>
      </c>
      <c r="L100" s="174">
        <f t="shared" ref="L100:L111" si="43">K100+J100+I100</f>
        <v>0</v>
      </c>
      <c r="M100" s="1599">
        <f t="shared" ref="M100:M111" si="44">IF(ISERROR(L100/(F100*771)),0,L100/(F100*771))</f>
        <v>0</v>
      </c>
      <c r="N100" s="1600"/>
    </row>
    <row r="101" spans="1:14">
      <c r="A101" s="68" t="s">
        <v>51</v>
      </c>
      <c r="B101" s="1421">
        <f>SAWC!N376</f>
        <v>0</v>
      </c>
      <c r="C101" s="1422"/>
      <c r="D101" s="1431">
        <f t="shared" si="42"/>
        <v>0</v>
      </c>
      <c r="E101" s="1422"/>
      <c r="F101" s="1431">
        <f>0.1227*B101</f>
        <v>0</v>
      </c>
      <c r="G101" s="1422"/>
      <c r="H101" s="1014">
        <f>F101*20</f>
        <v>0</v>
      </c>
      <c r="I101" s="151">
        <v>0</v>
      </c>
      <c r="J101" s="150">
        <f>B101*200</f>
        <v>0</v>
      </c>
      <c r="K101" s="150">
        <f>B101*200</f>
        <v>0</v>
      </c>
      <c r="L101" s="174">
        <f t="shared" si="43"/>
        <v>0</v>
      </c>
      <c r="M101" s="1539">
        <f t="shared" si="44"/>
        <v>0</v>
      </c>
      <c r="N101" s="1540"/>
    </row>
    <row r="102" spans="1:14">
      <c r="A102" s="2" t="s">
        <v>204</v>
      </c>
      <c r="B102" s="1421">
        <f>SAWC!N377</f>
        <v>0</v>
      </c>
      <c r="C102" s="1422"/>
      <c r="D102" s="1431">
        <f t="shared" si="42"/>
        <v>0</v>
      </c>
      <c r="E102" s="1422"/>
      <c r="F102" s="1431">
        <f>0.644*B102</f>
        <v>0</v>
      </c>
      <c r="G102" s="1422"/>
      <c r="H102" s="1014">
        <f>F102*5</f>
        <v>0</v>
      </c>
      <c r="I102" s="151">
        <v>0</v>
      </c>
      <c r="J102" s="150">
        <f>B102*0</f>
        <v>0</v>
      </c>
      <c r="K102" s="150">
        <f>B102*0</f>
        <v>0</v>
      </c>
      <c r="L102" s="174">
        <f t="shared" si="43"/>
        <v>0</v>
      </c>
      <c r="M102" s="1539">
        <f t="shared" si="44"/>
        <v>0</v>
      </c>
      <c r="N102" s="1540"/>
    </row>
    <row r="103" spans="1:14">
      <c r="A103" s="254" t="s">
        <v>30</v>
      </c>
      <c r="B103" s="1421">
        <f>SAWC!N378</f>
        <v>0</v>
      </c>
      <c r="C103" s="1422"/>
      <c r="D103" s="1431">
        <f t="shared" si="42"/>
        <v>0</v>
      </c>
      <c r="E103" s="1422"/>
      <c r="F103" s="1431">
        <f>0.0129*B103</f>
        <v>0</v>
      </c>
      <c r="G103" s="1422"/>
      <c r="H103" s="1014">
        <f>F103*10</f>
        <v>0</v>
      </c>
      <c r="I103" s="151">
        <v>0</v>
      </c>
      <c r="J103" s="150">
        <f>B103*0</f>
        <v>0</v>
      </c>
      <c r="K103" s="150">
        <f>B103*0</f>
        <v>0</v>
      </c>
      <c r="L103" s="174">
        <f t="shared" si="43"/>
        <v>0</v>
      </c>
      <c r="M103" s="1539">
        <f t="shared" si="44"/>
        <v>0</v>
      </c>
      <c r="N103" s="1540"/>
    </row>
    <row r="104" spans="1:14">
      <c r="A104" s="254" t="s">
        <v>363</v>
      </c>
      <c r="B104" s="1421">
        <f>SAWC!N379</f>
        <v>0</v>
      </c>
      <c r="C104" s="1422"/>
      <c r="D104" s="1431">
        <f t="shared" si="42"/>
        <v>0</v>
      </c>
      <c r="E104" s="1422"/>
      <c r="F104" s="1431">
        <f>0.0044*B104</f>
        <v>0</v>
      </c>
      <c r="G104" s="1422"/>
      <c r="H104" s="1014">
        <f>F104*5</f>
        <v>0</v>
      </c>
      <c r="I104" s="151">
        <v>0</v>
      </c>
      <c r="J104" s="150">
        <f>B104*2</f>
        <v>0</v>
      </c>
      <c r="K104" s="150">
        <f>B104*2</f>
        <v>0</v>
      </c>
      <c r="L104" s="174">
        <f t="shared" si="43"/>
        <v>0</v>
      </c>
      <c r="M104" s="1539">
        <f t="shared" si="44"/>
        <v>0</v>
      </c>
      <c r="N104" s="1540"/>
    </row>
    <row r="105" spans="1:14" ht="12.75" customHeight="1">
      <c r="A105" s="254" t="s">
        <v>122</v>
      </c>
      <c r="B105" s="1421">
        <f>SAWC!N380</f>
        <v>0</v>
      </c>
      <c r="C105" s="1422"/>
      <c r="D105" s="1431">
        <f t="shared" si="42"/>
        <v>0</v>
      </c>
      <c r="E105" s="1422"/>
      <c r="F105" s="1431">
        <f>0.018*B105</f>
        <v>0</v>
      </c>
      <c r="G105" s="1422"/>
      <c r="H105" s="1014">
        <f>F105*10</f>
        <v>0</v>
      </c>
      <c r="I105" s="151">
        <v>0</v>
      </c>
      <c r="J105" s="150">
        <f>B105*2</f>
        <v>0</v>
      </c>
      <c r="K105" s="150">
        <f>B105*13</f>
        <v>0</v>
      </c>
      <c r="L105" s="174">
        <f t="shared" si="43"/>
        <v>0</v>
      </c>
      <c r="M105" s="1539">
        <f t="shared" si="44"/>
        <v>0</v>
      </c>
      <c r="N105" s="1540"/>
    </row>
    <row r="106" spans="1:14">
      <c r="A106" s="257" t="s">
        <v>184</v>
      </c>
      <c r="B106" s="1421">
        <f>SAWC!N381</f>
        <v>0</v>
      </c>
      <c r="C106" s="1422"/>
      <c r="D106" s="1431">
        <f t="shared" si="42"/>
        <v>0</v>
      </c>
      <c r="E106" s="1422"/>
      <c r="F106" s="1431">
        <f>0.0129*B106</f>
        <v>0</v>
      </c>
      <c r="G106" s="1422"/>
      <c r="H106" s="1014">
        <f>F106*10</f>
        <v>0</v>
      </c>
      <c r="I106" s="151">
        <v>0</v>
      </c>
      <c r="J106" s="150">
        <f>B106*0</f>
        <v>0</v>
      </c>
      <c r="K106" s="150">
        <f>B106*0</f>
        <v>0</v>
      </c>
      <c r="L106" s="174">
        <f t="shared" si="43"/>
        <v>0</v>
      </c>
      <c r="M106" s="1539">
        <f t="shared" si="44"/>
        <v>0</v>
      </c>
      <c r="N106" s="1540"/>
    </row>
    <row r="107" spans="1:14" s="57" customFormat="1">
      <c r="A107" s="258" t="s">
        <v>187</v>
      </c>
      <c r="B107" s="1421">
        <f>SAWC!N382</f>
        <v>0</v>
      </c>
      <c r="C107" s="1422"/>
      <c r="D107" s="1736">
        <f t="shared" si="42"/>
        <v>0</v>
      </c>
      <c r="E107" s="1446"/>
      <c r="F107" s="1431">
        <f>0.023*B107</f>
        <v>0</v>
      </c>
      <c r="G107" s="1422"/>
      <c r="H107" s="1014">
        <f>F107*5</f>
        <v>0</v>
      </c>
      <c r="I107" s="151">
        <v>0</v>
      </c>
      <c r="J107" s="150">
        <f>B107*10</f>
        <v>0</v>
      </c>
      <c r="K107" s="150">
        <f>B107*10</f>
        <v>0</v>
      </c>
      <c r="L107" s="174">
        <f t="shared" si="43"/>
        <v>0</v>
      </c>
      <c r="M107" s="1539">
        <f t="shared" si="44"/>
        <v>0</v>
      </c>
      <c r="N107" s="1540"/>
    </row>
    <row r="108" spans="1:14" s="57" customFormat="1">
      <c r="A108" s="258" t="s">
        <v>188</v>
      </c>
      <c r="B108" s="1421">
        <f>SAWC!N383</f>
        <v>0</v>
      </c>
      <c r="C108" s="1422"/>
      <c r="D108" s="1736">
        <f>F108*325900</f>
        <v>0</v>
      </c>
      <c r="E108" s="1446"/>
      <c r="F108" s="1736">
        <f>B108*154</f>
        <v>0</v>
      </c>
      <c r="G108" s="1446"/>
      <c r="H108" s="1016">
        <f>F108*10</f>
        <v>0</v>
      </c>
      <c r="I108" s="151">
        <v>0</v>
      </c>
      <c r="J108" s="150">
        <f>B108*1000</f>
        <v>0</v>
      </c>
      <c r="K108" s="150">
        <f>B108*1000</f>
        <v>0</v>
      </c>
      <c r="L108" s="174">
        <f t="shared" si="43"/>
        <v>0</v>
      </c>
      <c r="M108" s="1539">
        <f t="shared" si="44"/>
        <v>0</v>
      </c>
      <c r="N108" s="1540"/>
    </row>
    <row r="109" spans="1:14" s="57" customFormat="1">
      <c r="A109" s="258" t="s">
        <v>323</v>
      </c>
      <c r="B109" s="1421">
        <f>SAWC!N384</f>
        <v>0</v>
      </c>
      <c r="C109" s="1422"/>
      <c r="D109" s="1736">
        <f>F109*325900</f>
        <v>0</v>
      </c>
      <c r="E109" s="1446"/>
      <c r="F109" s="1736">
        <v>0</v>
      </c>
      <c r="G109" s="1446"/>
      <c r="H109" s="1016">
        <v>0</v>
      </c>
      <c r="I109" s="151">
        <v>0</v>
      </c>
      <c r="J109" s="150">
        <f>B109*0</f>
        <v>0</v>
      </c>
      <c r="K109" s="150">
        <f>B109*0</f>
        <v>0</v>
      </c>
      <c r="L109" s="174">
        <f t="shared" si="43"/>
        <v>0</v>
      </c>
      <c r="M109" s="1539">
        <f t="shared" si="44"/>
        <v>0</v>
      </c>
      <c r="N109" s="1540"/>
    </row>
    <row r="110" spans="1:14" s="57" customFormat="1">
      <c r="A110" s="258" t="s">
        <v>269</v>
      </c>
      <c r="B110" s="1421">
        <f>SAWC!N385</f>
        <v>0</v>
      </c>
      <c r="C110" s="1422"/>
      <c r="D110" s="1736">
        <f>F110*325900</f>
        <v>0</v>
      </c>
      <c r="E110" s="1446"/>
      <c r="F110" s="1736">
        <f>B110*0.0129</f>
        <v>0</v>
      </c>
      <c r="G110" s="1446"/>
      <c r="H110" s="1016">
        <v>0</v>
      </c>
      <c r="I110" s="151">
        <v>0</v>
      </c>
      <c r="J110" s="150">
        <f>B110*0</f>
        <v>0</v>
      </c>
      <c r="K110" s="150">
        <f>B110*0</f>
        <v>0</v>
      </c>
      <c r="L110" s="174">
        <f t="shared" si="43"/>
        <v>0</v>
      </c>
      <c r="M110" s="1539">
        <f t="shared" si="44"/>
        <v>0</v>
      </c>
      <c r="N110" s="1540"/>
    </row>
    <row r="111" spans="1:14" s="57" customFormat="1" ht="14" thickBot="1">
      <c r="A111" s="258" t="s">
        <v>268</v>
      </c>
      <c r="B111" s="1429">
        <f>SAWC!N386</f>
        <v>0</v>
      </c>
      <c r="C111" s="1430"/>
      <c r="D111" s="1737">
        <f>F111*32590</f>
        <v>0</v>
      </c>
      <c r="E111" s="1726"/>
      <c r="F111" s="1737">
        <f>(B111*0.0084)/2</f>
        <v>0</v>
      </c>
      <c r="G111" s="1726"/>
      <c r="H111" s="1016">
        <v>0</v>
      </c>
      <c r="I111" s="151">
        <v>0</v>
      </c>
      <c r="J111" s="150">
        <f>B111*10</f>
        <v>0</v>
      </c>
      <c r="K111" s="150">
        <f>B111*5</f>
        <v>0</v>
      </c>
      <c r="L111" s="174">
        <f t="shared" si="43"/>
        <v>0</v>
      </c>
      <c r="M111" s="1561">
        <f t="shared" si="44"/>
        <v>0</v>
      </c>
      <c r="N111" s="1562"/>
    </row>
    <row r="112" spans="1:14" s="1161" customFormat="1" ht="17" thickBot="1">
      <c r="A112" s="110" t="s">
        <v>192</v>
      </c>
      <c r="B112" s="1456"/>
      <c r="C112" s="1457"/>
      <c r="D112" s="1457"/>
      <c r="E112" s="1457"/>
      <c r="F112" s="1854"/>
      <c r="G112" s="1854"/>
      <c r="H112" s="1240"/>
      <c r="I112" s="997"/>
      <c r="J112" s="997"/>
      <c r="K112" s="997"/>
      <c r="L112" s="997"/>
      <c r="M112" s="2134"/>
      <c r="N112" s="2135"/>
    </row>
    <row r="113" spans="1:18" s="121" customFormat="1" ht="14" thickBot="1">
      <c r="A113" s="76" t="s">
        <v>383</v>
      </c>
      <c r="B113" s="2136">
        <f>SAWC!N388</f>
        <v>0</v>
      </c>
      <c r="C113" s="1805"/>
      <c r="D113" s="1804">
        <f>F113*325900</f>
        <v>0</v>
      </c>
      <c r="E113" s="1805"/>
      <c r="F113" s="2137">
        <f>0.004*B113</f>
        <v>0</v>
      </c>
      <c r="G113" s="2138"/>
      <c r="H113" s="1081">
        <f>F113*5</f>
        <v>0</v>
      </c>
      <c r="I113" s="216">
        <v>0</v>
      </c>
      <c r="J113" s="216">
        <f>L113-K113</f>
        <v>0</v>
      </c>
      <c r="K113" s="216">
        <f>B113*2</f>
        <v>0</v>
      </c>
      <c r="L113" s="174">
        <v>0</v>
      </c>
      <c r="M113" s="2139">
        <f>IF(ISERROR(L113/(F113*771)),0,L113/(F113*771))</f>
        <v>0</v>
      </c>
      <c r="N113" s="2139"/>
    </row>
    <row r="114" spans="1:18" ht="14" thickBot="1">
      <c r="A114" s="53" t="s">
        <v>60</v>
      </c>
      <c r="B114" s="1438">
        <f>SUM(B100:B113)</f>
        <v>0</v>
      </c>
      <c r="C114" s="1439"/>
      <c r="D114" s="1441">
        <f>SUM(D100:E113)</f>
        <v>0</v>
      </c>
      <c r="E114" s="1439"/>
      <c r="F114" s="1441">
        <f>SUM(F100:G113)</f>
        <v>0</v>
      </c>
      <c r="G114" s="1439"/>
      <c r="H114" s="1001">
        <f>SUM(H100:H113)</f>
        <v>0</v>
      </c>
      <c r="I114" s="146">
        <f>SUM(I100:I113)</f>
        <v>0</v>
      </c>
      <c r="J114" s="146">
        <f>SUM(J100:J113)</f>
        <v>0</v>
      </c>
      <c r="K114" s="146">
        <f>SUM(K100:K113)</f>
        <v>0</v>
      </c>
      <c r="L114" s="146">
        <f>SUM(L100:L113)</f>
        <v>0</v>
      </c>
      <c r="M114" s="2140"/>
      <c r="N114" s="2141"/>
    </row>
    <row r="115" spans="1:18" s="1161" customFormat="1" ht="17" thickBot="1">
      <c r="A115" s="1260" t="s">
        <v>17</v>
      </c>
      <c r="B115" s="2131">
        <f>SUM(,B98,B114)</f>
        <v>7</v>
      </c>
      <c r="C115" s="2132"/>
      <c r="D115" s="2133">
        <f>SUM(,D98,D114)</f>
        <v>319512.36</v>
      </c>
      <c r="E115" s="2132"/>
      <c r="F115" s="2133">
        <f>SUM(,F98,F114)</f>
        <v>0.98040000000000005</v>
      </c>
      <c r="G115" s="2132"/>
      <c r="H115" s="1199">
        <f>SUM(H98,H114)</f>
        <v>8.4570000000000007</v>
      </c>
      <c r="I115" s="1205">
        <f>SUM(,I98,I114)</f>
        <v>479</v>
      </c>
      <c r="J115" s="1205">
        <f>SUM(,J98,J114)</f>
        <v>419.16</v>
      </c>
      <c r="K115" s="1205">
        <f>SUM(,K98,K114)</f>
        <v>959.83999999999992</v>
      </c>
      <c r="L115" s="1205">
        <f>SUM(,L98,L114)</f>
        <v>1858</v>
      </c>
      <c r="M115" s="1417"/>
      <c r="N115" s="1418"/>
      <c r="R115" s="1196"/>
    </row>
    <row r="116" spans="1:18">
      <c r="A116" s="50"/>
      <c r="B116" s="1027"/>
      <c r="C116" s="1027"/>
      <c r="D116" s="1027"/>
      <c r="E116" s="1027"/>
      <c r="F116" s="51"/>
      <c r="G116" s="51"/>
      <c r="H116" s="51"/>
      <c r="I116" s="21"/>
      <c r="J116" s="21"/>
      <c r="K116" s="21"/>
      <c r="L116" s="21"/>
      <c r="M116" s="1012"/>
      <c r="N116" s="1012"/>
    </row>
    <row r="117" spans="1:18" ht="15">
      <c r="A117" s="9" t="s">
        <v>18</v>
      </c>
      <c r="B117" s="1695" t="s">
        <v>59</v>
      </c>
      <c r="C117" s="1695"/>
      <c r="D117" s="1695"/>
      <c r="E117" s="1695"/>
      <c r="F117" s="51"/>
      <c r="G117" s="51"/>
      <c r="H117" s="51"/>
      <c r="I117" s="21"/>
      <c r="J117" s="21"/>
      <c r="K117" s="21"/>
      <c r="L117" s="21"/>
      <c r="M117" s="1012"/>
      <c r="N117" s="1012"/>
    </row>
    <row r="118" spans="1:18">
      <c r="B118" s="1420" t="s">
        <v>19</v>
      </c>
      <c r="C118" s="1420"/>
      <c r="D118" s="1420"/>
      <c r="E118" s="1420"/>
      <c r="F118" s="51"/>
      <c r="G118" s="51"/>
      <c r="H118" s="51"/>
      <c r="I118" s="21"/>
      <c r="J118" s="21"/>
      <c r="K118" s="21"/>
      <c r="L118" s="21"/>
      <c r="M118" s="1012"/>
      <c r="N118" s="1012"/>
    </row>
    <row r="119" spans="1:18" ht="14" thickBot="1">
      <c r="B119" s="1012"/>
      <c r="C119" s="1012"/>
      <c r="D119" s="1012"/>
      <c r="E119" s="1012"/>
      <c r="F119" s="51"/>
      <c r="G119" s="51"/>
      <c r="H119" s="51"/>
      <c r="I119" s="21"/>
      <c r="J119" s="21"/>
      <c r="K119" s="21"/>
      <c r="L119" s="21"/>
      <c r="M119" s="1012"/>
      <c r="N119" s="1012"/>
    </row>
    <row r="120" spans="1:18" s="363" customFormat="1" ht="16">
      <c r="A120" s="98"/>
      <c r="B120" s="99"/>
      <c r="C120" s="99"/>
      <c r="D120" s="99"/>
      <c r="E120" s="99"/>
      <c r="F120" s="100"/>
      <c r="G120" s="100"/>
      <c r="H120" s="100"/>
      <c r="I120" s="1468" t="s">
        <v>0</v>
      </c>
      <c r="J120" s="1468"/>
      <c r="K120" s="1468"/>
      <c r="L120" s="1468"/>
      <c r="M120" s="99"/>
      <c r="N120" s="101"/>
    </row>
    <row r="121" spans="1:18" ht="16">
      <c r="A121" s="97"/>
      <c r="B121" s="1469" t="s">
        <v>1</v>
      </c>
      <c r="C121" s="1469"/>
      <c r="D121" s="1469" t="s">
        <v>2</v>
      </c>
      <c r="E121" s="1469"/>
      <c r="F121" s="1863" t="s">
        <v>3</v>
      </c>
      <c r="G121" s="1863"/>
      <c r="H121" s="1028" t="s">
        <v>3</v>
      </c>
      <c r="I121" s="127" t="s">
        <v>195</v>
      </c>
      <c r="J121" s="102"/>
      <c r="K121" s="102"/>
      <c r="L121" s="128"/>
      <c r="M121" s="1525" t="s">
        <v>4</v>
      </c>
      <c r="N121" s="1526"/>
    </row>
    <row r="122" spans="1:18" ht="19" thickBot="1">
      <c r="A122" s="103" t="s">
        <v>5</v>
      </c>
      <c r="B122" s="1473" t="s">
        <v>6</v>
      </c>
      <c r="C122" s="1473"/>
      <c r="D122" s="1473" t="s">
        <v>7</v>
      </c>
      <c r="E122" s="1473"/>
      <c r="F122" s="1864" t="s">
        <v>7</v>
      </c>
      <c r="G122" s="1864"/>
      <c r="H122" s="1029" t="s">
        <v>58</v>
      </c>
      <c r="I122" s="1007" t="s">
        <v>196</v>
      </c>
      <c r="J122" s="1005" t="s">
        <v>8</v>
      </c>
      <c r="K122" s="1005" t="s">
        <v>9</v>
      </c>
      <c r="L122" s="401" t="s">
        <v>10</v>
      </c>
      <c r="M122" s="1527" t="s">
        <v>145</v>
      </c>
      <c r="N122" s="1475"/>
    </row>
    <row r="123" spans="1:18" ht="24" thickBot="1">
      <c r="A123" s="88" t="s">
        <v>318</v>
      </c>
      <c r="B123" s="1476"/>
      <c r="C123" s="1477"/>
      <c r="D123" s="1478"/>
      <c r="E123" s="1479"/>
      <c r="F123" s="1878"/>
      <c r="G123" s="1879"/>
      <c r="H123" s="1033"/>
      <c r="I123" s="213"/>
      <c r="J123" s="213"/>
      <c r="K123" s="213"/>
      <c r="L123" s="214"/>
      <c r="M123" s="1482"/>
      <c r="N123" s="1483"/>
    </row>
    <row r="124" spans="1:18" s="1161" customFormat="1" ht="17" thickBot="1">
      <c r="A124" s="110" t="s">
        <v>189</v>
      </c>
      <c r="B124" s="1456"/>
      <c r="C124" s="1457"/>
      <c r="D124" s="1457"/>
      <c r="E124" s="1457"/>
      <c r="F124" s="1854"/>
      <c r="G124" s="1854"/>
      <c r="H124" s="1212"/>
      <c r="I124" s="1141"/>
      <c r="J124" s="1141"/>
      <c r="K124" s="1141"/>
      <c r="L124" s="1141"/>
      <c r="M124" s="1485"/>
      <c r="N124" s="1486"/>
    </row>
    <row r="125" spans="1:18">
      <c r="A125" s="68" t="s">
        <v>29</v>
      </c>
      <c r="B125" s="1421">
        <f>SAWC!N326</f>
        <v>2</v>
      </c>
      <c r="C125" s="1422"/>
      <c r="D125" s="1444">
        <f t="shared" ref="D125:D132" si="45">F125*325900</f>
        <v>16034.28</v>
      </c>
      <c r="E125" s="1422"/>
      <c r="F125" s="1871">
        <f>0.0246*B125</f>
        <v>4.9200000000000001E-2</v>
      </c>
      <c r="G125" s="1450"/>
      <c r="H125" s="760">
        <f>F125*20</f>
        <v>0.98399999999999999</v>
      </c>
      <c r="I125" s="151">
        <v>0</v>
      </c>
      <c r="J125" s="150">
        <v>220</v>
      </c>
      <c r="K125" s="150">
        <v>80</v>
      </c>
      <c r="L125" s="174">
        <f>K125+J125+I125</f>
        <v>300</v>
      </c>
      <c r="M125" s="1539">
        <f>IF(ISERROR(L125/(F125*744)),0,L125/(F125*744))</f>
        <v>8.1956464725937597</v>
      </c>
      <c r="N125" s="1540"/>
    </row>
    <row r="126" spans="1:18">
      <c r="A126" s="68" t="s">
        <v>33</v>
      </c>
      <c r="B126" s="1421">
        <f>SAWC!N327</f>
        <v>5</v>
      </c>
      <c r="C126" s="1422"/>
      <c r="D126" s="1431">
        <f t="shared" si="45"/>
        <v>56217.750000000007</v>
      </c>
      <c r="E126" s="1422"/>
      <c r="F126" s="1871">
        <f>0.0345*B126</f>
        <v>0.17250000000000001</v>
      </c>
      <c r="G126" s="1450"/>
      <c r="H126" s="760">
        <f>F126*14</f>
        <v>2.415</v>
      </c>
      <c r="I126" s="150">
        <f>0*B126</f>
        <v>0</v>
      </c>
      <c r="J126" s="150">
        <v>130</v>
      </c>
      <c r="K126" s="150">
        <v>425</v>
      </c>
      <c r="L126" s="174">
        <f t="shared" ref="L126:L153" si="46">K126+J126+I126</f>
        <v>555</v>
      </c>
      <c r="M126" s="1539">
        <f t="shared" ref="M126:M132" si="47">IF(ISERROR(L126/(F126*744)),0,L126/(F126*744))</f>
        <v>4.3244506778868628</v>
      </c>
      <c r="N126" s="1540"/>
    </row>
    <row r="127" spans="1:18">
      <c r="A127" s="68" t="s">
        <v>56</v>
      </c>
      <c r="B127" s="1421">
        <f>SAWC!N328</f>
        <v>0</v>
      </c>
      <c r="C127" s="1422"/>
      <c r="D127" s="1431">
        <f>F127*325851</f>
        <v>0</v>
      </c>
      <c r="E127" s="1422"/>
      <c r="F127" s="1431">
        <f>0.0044*B127</f>
        <v>0</v>
      </c>
      <c r="G127" s="1422"/>
      <c r="H127" s="760">
        <f>F127*5</f>
        <v>0</v>
      </c>
      <c r="I127" s="150">
        <f>0*B127</f>
        <v>0</v>
      </c>
      <c r="J127" s="150">
        <v>0</v>
      </c>
      <c r="K127" s="150">
        <v>0</v>
      </c>
      <c r="L127" s="174">
        <f t="shared" si="46"/>
        <v>0</v>
      </c>
      <c r="M127" s="1539">
        <f t="shared" si="47"/>
        <v>0</v>
      </c>
      <c r="N127" s="1540"/>
    </row>
    <row r="128" spans="1:18">
      <c r="A128" s="257" t="s">
        <v>52</v>
      </c>
      <c r="B128" s="1563">
        <f>SAWC!N329</f>
        <v>1</v>
      </c>
      <c r="C128" s="1424"/>
      <c r="D128" s="1423">
        <f t="shared" si="45"/>
        <v>13492.26</v>
      </c>
      <c r="E128" s="1424"/>
      <c r="F128" s="1447">
        <f>0.0414*B128</f>
        <v>4.1399999999999999E-2</v>
      </c>
      <c r="G128" s="1448"/>
      <c r="H128" s="905">
        <f>F128*10</f>
        <v>0.41399999999999998</v>
      </c>
      <c r="I128" s="151">
        <v>0</v>
      </c>
      <c r="J128" s="173">
        <v>0</v>
      </c>
      <c r="K128" s="173">
        <v>80</v>
      </c>
      <c r="L128" s="174">
        <f t="shared" si="46"/>
        <v>80</v>
      </c>
      <c r="M128" s="1539">
        <f t="shared" si="47"/>
        <v>2.5972676744065244</v>
      </c>
      <c r="N128" s="1540"/>
    </row>
    <row r="129" spans="1:14" ht="12.75" customHeight="1">
      <c r="A129" s="254" t="s">
        <v>326</v>
      </c>
      <c r="B129" s="1563">
        <f>SAWC!N330</f>
        <v>2</v>
      </c>
      <c r="C129" s="1424"/>
      <c r="D129" s="1423">
        <f t="shared" si="45"/>
        <v>173704.7</v>
      </c>
      <c r="E129" s="1424"/>
      <c r="F129" s="1903">
        <v>0.53300000000000003</v>
      </c>
      <c r="G129" s="1904"/>
      <c r="H129" s="905">
        <f>F129*10</f>
        <v>5.33</v>
      </c>
      <c r="I129" s="151">
        <v>0</v>
      </c>
      <c r="J129" s="173">
        <v>0</v>
      </c>
      <c r="K129" s="173">
        <v>8200</v>
      </c>
      <c r="L129" s="174">
        <f t="shared" si="46"/>
        <v>8200</v>
      </c>
      <c r="M129" s="1539">
        <f t="shared" si="47"/>
        <v>20.678246484698096</v>
      </c>
      <c r="N129" s="1540"/>
    </row>
    <row r="130" spans="1:14" ht="12.75" customHeight="1">
      <c r="A130" s="254" t="s">
        <v>214</v>
      </c>
      <c r="B130" s="1563">
        <f>SAWC!N331</f>
        <v>0</v>
      </c>
      <c r="C130" s="1424"/>
      <c r="D130" s="1423">
        <f t="shared" si="45"/>
        <v>0</v>
      </c>
      <c r="E130" s="1424"/>
      <c r="F130" s="1447">
        <f>0.0019*B130</f>
        <v>0</v>
      </c>
      <c r="G130" s="1448"/>
      <c r="H130" s="905">
        <f>F130*5</f>
        <v>0</v>
      </c>
      <c r="I130" s="151">
        <v>0</v>
      </c>
      <c r="J130" s="173">
        <v>0</v>
      </c>
      <c r="K130" s="173">
        <v>0</v>
      </c>
      <c r="L130" s="174">
        <f t="shared" si="46"/>
        <v>0</v>
      </c>
      <c r="M130" s="1539">
        <f t="shared" si="47"/>
        <v>0</v>
      </c>
      <c r="N130" s="1540"/>
    </row>
    <row r="131" spans="1:14" ht="12.75" customHeight="1">
      <c r="A131" s="254" t="s">
        <v>331</v>
      </c>
      <c r="B131" s="1421">
        <f>SAWC!N332</f>
        <v>0</v>
      </c>
      <c r="C131" s="1422"/>
      <c r="D131" s="1431">
        <f t="shared" ref="D131" si="48">F131*325900</f>
        <v>0</v>
      </c>
      <c r="E131" s="1422"/>
      <c r="F131" s="1467">
        <v>0</v>
      </c>
      <c r="G131" s="1433"/>
      <c r="H131" s="901">
        <v>0</v>
      </c>
      <c r="I131" s="151">
        <v>0</v>
      </c>
      <c r="J131" s="173">
        <v>0</v>
      </c>
      <c r="K131" s="173">
        <v>0</v>
      </c>
      <c r="L131" s="174">
        <f t="shared" si="46"/>
        <v>0</v>
      </c>
      <c r="M131" s="1539">
        <f t="shared" si="47"/>
        <v>0</v>
      </c>
      <c r="N131" s="1540"/>
    </row>
    <row r="132" spans="1:14" ht="12.75" customHeight="1" thickBot="1">
      <c r="A132" s="258" t="s">
        <v>269</v>
      </c>
      <c r="B132" s="1421">
        <f>SAWC!N333</f>
        <v>0</v>
      </c>
      <c r="C132" s="1422"/>
      <c r="D132" s="1444">
        <f t="shared" si="45"/>
        <v>0</v>
      </c>
      <c r="E132" s="1422"/>
      <c r="F132" s="1467">
        <f>0.0414*B132</f>
        <v>0</v>
      </c>
      <c r="G132" s="1433"/>
      <c r="H132" s="765">
        <f>F132*10</f>
        <v>0</v>
      </c>
      <c r="I132" s="151">
        <v>0</v>
      </c>
      <c r="J132" s="173">
        <v>0</v>
      </c>
      <c r="K132" s="173">
        <v>0</v>
      </c>
      <c r="L132" s="174">
        <f t="shared" si="46"/>
        <v>0</v>
      </c>
      <c r="M132" s="1539">
        <f t="shared" si="47"/>
        <v>0</v>
      </c>
      <c r="N132" s="1540"/>
    </row>
    <row r="133" spans="1:14" s="1161" customFormat="1" ht="17" thickBot="1">
      <c r="A133" s="110" t="s">
        <v>190</v>
      </c>
      <c r="B133" s="1456"/>
      <c r="C133" s="1457"/>
      <c r="D133" s="1457"/>
      <c r="E133" s="1457"/>
      <c r="F133" s="1854"/>
      <c r="G133" s="1854"/>
      <c r="H133" s="1212"/>
      <c r="I133" s="195"/>
      <c r="J133" s="195"/>
      <c r="K133" s="195"/>
      <c r="L133" s="195"/>
      <c r="M133" s="1541"/>
      <c r="N133" s="1542"/>
    </row>
    <row r="134" spans="1:14">
      <c r="A134" s="254" t="s">
        <v>205</v>
      </c>
      <c r="B134" s="1421">
        <f>SAWC!N335</f>
        <v>0</v>
      </c>
      <c r="C134" s="1422"/>
      <c r="D134" s="1444">
        <f>F134*325900</f>
        <v>0</v>
      </c>
      <c r="E134" s="1422"/>
      <c r="F134" s="1432">
        <f>B134*0.0044</f>
        <v>0</v>
      </c>
      <c r="G134" s="1433"/>
      <c r="H134" s="765">
        <f>F134*5</f>
        <v>0</v>
      </c>
      <c r="I134" s="151">
        <v>0</v>
      </c>
      <c r="J134" s="151">
        <v>0</v>
      </c>
      <c r="K134" s="173">
        <v>0</v>
      </c>
      <c r="L134" s="174">
        <f t="shared" si="46"/>
        <v>0</v>
      </c>
      <c r="M134" s="1539">
        <f>IF(ISERROR(L134/(F134*744)),0,L134/(F134*744))</f>
        <v>0</v>
      </c>
      <c r="N134" s="1540"/>
    </row>
    <row r="135" spans="1:14" s="121" customFormat="1">
      <c r="A135" s="254" t="s">
        <v>332</v>
      </c>
      <c r="B135" s="1563">
        <f>SAWC!N336</f>
        <v>1</v>
      </c>
      <c r="C135" s="1424"/>
      <c r="D135" s="1451">
        <f>F135*325900</f>
        <v>26984.52</v>
      </c>
      <c r="E135" s="1448"/>
      <c r="F135" s="1903">
        <v>8.2799999999999999E-2</v>
      </c>
      <c r="G135" s="1904"/>
      <c r="H135" s="905">
        <v>0.82799999999999996</v>
      </c>
      <c r="I135" s="173">
        <v>510.39</v>
      </c>
      <c r="J135" s="173">
        <v>0</v>
      </c>
      <c r="K135" s="173">
        <v>510.39</v>
      </c>
      <c r="L135" s="174">
        <f t="shared" si="46"/>
        <v>1020.78</v>
      </c>
      <c r="M135" s="1539">
        <f t="shared" ref="M135:M137" si="49">IF(ISERROR(L135/(F135*744)),0,L135/(F135*744))</f>
        <v>16.570243104254324</v>
      </c>
      <c r="N135" s="1540"/>
    </row>
    <row r="136" spans="1:14" s="121" customFormat="1">
      <c r="A136" s="254" t="s">
        <v>349</v>
      </c>
      <c r="B136" s="1563">
        <f>SAWC!N337</f>
        <v>0</v>
      </c>
      <c r="C136" s="1424"/>
      <c r="D136" s="1451">
        <f>F136*325900</f>
        <v>0</v>
      </c>
      <c r="E136" s="1448"/>
      <c r="F136" s="1447">
        <v>0</v>
      </c>
      <c r="G136" s="1448"/>
      <c r="H136" s="905">
        <f>F136*10</f>
        <v>0</v>
      </c>
      <c r="I136" s="173">
        <v>0</v>
      </c>
      <c r="J136" s="173">
        <v>0</v>
      </c>
      <c r="K136" s="173">
        <v>0</v>
      </c>
      <c r="L136" s="174">
        <f t="shared" si="46"/>
        <v>0</v>
      </c>
      <c r="M136" s="1539">
        <f t="shared" si="49"/>
        <v>0</v>
      </c>
      <c r="N136" s="1540"/>
    </row>
    <row r="137" spans="1:14" ht="14" thickBot="1">
      <c r="A137" s="254" t="s">
        <v>266</v>
      </c>
      <c r="B137" s="1560">
        <f>SAWC!N338</f>
        <v>3</v>
      </c>
      <c r="C137" s="1544"/>
      <c r="D137" s="1570">
        <f>F137*325900</f>
        <v>46929.599999999999</v>
      </c>
      <c r="E137" s="1544"/>
      <c r="F137" s="2019">
        <v>0.14399999999999999</v>
      </c>
      <c r="G137" s="1908"/>
      <c r="H137" s="905">
        <f>F137*10</f>
        <v>1.44</v>
      </c>
      <c r="I137" s="151">
        <v>0</v>
      </c>
      <c r="J137" s="286">
        <v>384.07</v>
      </c>
      <c r="K137" s="220">
        <v>280.93</v>
      </c>
      <c r="L137" s="174">
        <f t="shared" si="46"/>
        <v>665</v>
      </c>
      <c r="M137" s="1539">
        <f t="shared" si="49"/>
        <v>6.2070639187574672</v>
      </c>
      <c r="N137" s="1540"/>
    </row>
    <row r="138" spans="1:14" ht="14" thickBot="1">
      <c r="A138" s="53" t="s">
        <v>60</v>
      </c>
      <c r="B138" s="1827">
        <f>SUM(B125:C137)</f>
        <v>14</v>
      </c>
      <c r="C138" s="1827"/>
      <c r="D138" s="1694">
        <f>SUM(D125:E137)</f>
        <v>333363.11</v>
      </c>
      <c r="E138" s="1453"/>
      <c r="F138" s="1694">
        <f>SUM(F125:G137)</f>
        <v>1.0228999999999999</v>
      </c>
      <c r="G138" s="1453"/>
      <c r="H138" s="777">
        <f>SUM(H125:H137)</f>
        <v>11.411</v>
      </c>
      <c r="I138" s="859">
        <f>SUM(I125:I137)</f>
        <v>510.39</v>
      </c>
      <c r="J138" s="859">
        <f t="shared" ref="J138:K138" si="50">SUM(J125:J137)</f>
        <v>734.06999999999994</v>
      </c>
      <c r="K138" s="859">
        <f t="shared" si="50"/>
        <v>9576.32</v>
      </c>
      <c r="L138" s="859">
        <f t="shared" ref="L138" si="51">SUM(L125:L137)</f>
        <v>10820.78</v>
      </c>
      <c r="M138" s="2147"/>
      <c r="N138" s="2148"/>
    </row>
    <row r="139" spans="1:14" s="1161" customFormat="1" ht="17" thickBot="1">
      <c r="A139" s="110" t="s">
        <v>194</v>
      </c>
      <c r="B139" s="1456"/>
      <c r="C139" s="1457"/>
      <c r="D139" s="1457"/>
      <c r="E139" s="1457"/>
      <c r="F139" s="1854"/>
      <c r="G139" s="1854"/>
      <c r="H139" s="1240"/>
      <c r="I139" s="997"/>
      <c r="J139" s="997"/>
      <c r="K139" s="997"/>
      <c r="L139" s="997"/>
      <c r="M139" s="997"/>
      <c r="N139" s="998"/>
    </row>
    <row r="140" spans="1:14">
      <c r="A140" s="68" t="s">
        <v>29</v>
      </c>
      <c r="B140" s="1421">
        <f>SAWC!N341</f>
        <v>0</v>
      </c>
      <c r="C140" s="1422"/>
      <c r="D140" s="1444">
        <f t="shared" ref="D140:D147" si="52">F140*325900</f>
        <v>0</v>
      </c>
      <c r="E140" s="1422"/>
      <c r="F140" s="1431">
        <f>0.0246*B140</f>
        <v>0</v>
      </c>
      <c r="G140" s="1422"/>
      <c r="H140" s="760">
        <f>F140*20</f>
        <v>0</v>
      </c>
      <c r="I140" s="151">
        <v>0</v>
      </c>
      <c r="J140" s="150">
        <v>0</v>
      </c>
      <c r="K140" s="150">
        <v>0</v>
      </c>
      <c r="L140" s="174">
        <f t="shared" si="46"/>
        <v>0</v>
      </c>
      <c r="M140" s="1539">
        <f t="shared" ref="M140:M151" si="53">IF(ISERROR(L140/(F140*744)),0,L140/(F140*744))</f>
        <v>0</v>
      </c>
      <c r="N140" s="1540"/>
    </row>
    <row r="141" spans="1:14">
      <c r="A141" s="68" t="s">
        <v>51</v>
      </c>
      <c r="B141" s="1421">
        <f>SAWC!N342</f>
        <v>0</v>
      </c>
      <c r="C141" s="1422"/>
      <c r="D141" s="1444">
        <f t="shared" si="52"/>
        <v>0</v>
      </c>
      <c r="E141" s="1422"/>
      <c r="F141" s="1431">
        <f>0.1227*B141</f>
        <v>0</v>
      </c>
      <c r="G141" s="1422"/>
      <c r="H141" s="760">
        <f>F141*20</f>
        <v>0</v>
      </c>
      <c r="I141" s="151">
        <v>0</v>
      </c>
      <c r="J141" s="150">
        <v>0</v>
      </c>
      <c r="K141" s="150">
        <v>0</v>
      </c>
      <c r="L141" s="174">
        <f t="shared" si="46"/>
        <v>0</v>
      </c>
      <c r="M141" s="1539">
        <f t="shared" si="53"/>
        <v>0</v>
      </c>
      <c r="N141" s="1540"/>
    </row>
    <row r="142" spans="1:14">
      <c r="A142" s="2" t="s">
        <v>204</v>
      </c>
      <c r="B142" s="1421">
        <f>SAWC!N343</f>
        <v>0</v>
      </c>
      <c r="C142" s="1422"/>
      <c r="D142" s="1444">
        <f t="shared" si="52"/>
        <v>0</v>
      </c>
      <c r="E142" s="1422"/>
      <c r="F142" s="1431">
        <f>0.644*B142</f>
        <v>0</v>
      </c>
      <c r="G142" s="1422"/>
      <c r="H142" s="760">
        <f>F142*5</f>
        <v>0</v>
      </c>
      <c r="I142" s="151">
        <v>0</v>
      </c>
      <c r="J142" s="150">
        <v>0</v>
      </c>
      <c r="K142" s="150">
        <v>0</v>
      </c>
      <c r="L142" s="174">
        <f t="shared" si="46"/>
        <v>0</v>
      </c>
      <c r="M142" s="1539">
        <f t="shared" si="53"/>
        <v>0</v>
      </c>
      <c r="N142" s="1540"/>
    </row>
    <row r="143" spans="1:14">
      <c r="A143" s="254" t="s">
        <v>30</v>
      </c>
      <c r="B143" s="1421">
        <f>SAWC!N344</f>
        <v>0</v>
      </c>
      <c r="C143" s="1422"/>
      <c r="D143" s="1444">
        <f t="shared" si="52"/>
        <v>0</v>
      </c>
      <c r="E143" s="1422"/>
      <c r="F143" s="1431">
        <f>0.0129*B143</f>
        <v>0</v>
      </c>
      <c r="G143" s="1422"/>
      <c r="H143" s="760">
        <f>F143*10</f>
        <v>0</v>
      </c>
      <c r="I143" s="151">
        <v>0</v>
      </c>
      <c r="J143" s="150">
        <v>0</v>
      </c>
      <c r="K143" s="150">
        <v>0</v>
      </c>
      <c r="L143" s="174">
        <f t="shared" si="46"/>
        <v>0</v>
      </c>
      <c r="M143" s="1539">
        <f t="shared" si="53"/>
        <v>0</v>
      </c>
      <c r="N143" s="1540"/>
    </row>
    <row r="144" spans="1:14">
      <c r="A144" s="69" t="s">
        <v>56</v>
      </c>
      <c r="B144" s="1421">
        <f>SAWC!N345</f>
        <v>0</v>
      </c>
      <c r="C144" s="1422"/>
      <c r="D144" s="1444">
        <f t="shared" si="52"/>
        <v>0</v>
      </c>
      <c r="E144" s="1422"/>
      <c r="F144" s="1431">
        <f>0.0044*B144</f>
        <v>0</v>
      </c>
      <c r="G144" s="1422"/>
      <c r="H144" s="760">
        <f>F144*5</f>
        <v>0</v>
      </c>
      <c r="I144" s="151">
        <v>0</v>
      </c>
      <c r="J144" s="150">
        <v>0</v>
      </c>
      <c r="K144" s="150">
        <v>0</v>
      </c>
      <c r="L144" s="174">
        <f t="shared" si="46"/>
        <v>0</v>
      </c>
      <c r="M144" s="1539">
        <f t="shared" si="53"/>
        <v>0</v>
      </c>
      <c r="N144" s="1540"/>
    </row>
    <row r="145" spans="1:18" ht="12.75" customHeight="1">
      <c r="A145" s="254" t="s">
        <v>122</v>
      </c>
      <c r="B145" s="1421">
        <f>SAWC!N346</f>
        <v>0</v>
      </c>
      <c r="C145" s="1422"/>
      <c r="D145" s="1444">
        <f t="shared" si="52"/>
        <v>0</v>
      </c>
      <c r="E145" s="1422"/>
      <c r="F145" s="1431">
        <f>0.018*B145</f>
        <v>0</v>
      </c>
      <c r="G145" s="1422"/>
      <c r="H145" s="760">
        <f>F145*10</f>
        <v>0</v>
      </c>
      <c r="I145" s="151">
        <v>0</v>
      </c>
      <c r="J145" s="150">
        <v>0</v>
      </c>
      <c r="K145" s="150">
        <v>0</v>
      </c>
      <c r="L145" s="174">
        <f t="shared" si="46"/>
        <v>0</v>
      </c>
      <c r="M145" s="1539">
        <f t="shared" si="53"/>
        <v>0</v>
      </c>
      <c r="N145" s="1540"/>
    </row>
    <row r="146" spans="1:18">
      <c r="A146" s="257" t="s">
        <v>184</v>
      </c>
      <c r="B146" s="1421">
        <f>SAWC!N347</f>
        <v>0</v>
      </c>
      <c r="C146" s="1422"/>
      <c r="D146" s="1444">
        <f t="shared" si="52"/>
        <v>0</v>
      </c>
      <c r="E146" s="1422"/>
      <c r="F146" s="1431">
        <f>0.0129*B146</f>
        <v>0</v>
      </c>
      <c r="G146" s="1422"/>
      <c r="H146" s="760">
        <f>F146*10</f>
        <v>0</v>
      </c>
      <c r="I146" s="151">
        <v>0</v>
      </c>
      <c r="J146" s="150">
        <v>0</v>
      </c>
      <c r="K146" s="150">
        <v>0</v>
      </c>
      <c r="L146" s="174">
        <f t="shared" si="46"/>
        <v>0</v>
      </c>
      <c r="M146" s="1539">
        <f t="shared" si="53"/>
        <v>0</v>
      </c>
      <c r="N146" s="1540"/>
    </row>
    <row r="147" spans="1:18" s="57" customFormat="1">
      <c r="A147" s="258" t="s">
        <v>187</v>
      </c>
      <c r="B147" s="1421">
        <f>SAWC!N348</f>
        <v>0</v>
      </c>
      <c r="C147" s="1422"/>
      <c r="D147" s="1445">
        <f t="shared" si="52"/>
        <v>0</v>
      </c>
      <c r="E147" s="1446"/>
      <c r="F147" s="1431">
        <f>0.023*B147</f>
        <v>0</v>
      </c>
      <c r="G147" s="1422"/>
      <c r="H147" s="760">
        <f>F147*5</f>
        <v>0</v>
      </c>
      <c r="I147" s="151">
        <v>0</v>
      </c>
      <c r="J147" s="150">
        <v>0</v>
      </c>
      <c r="K147" s="150">
        <v>0</v>
      </c>
      <c r="L147" s="174">
        <f t="shared" si="46"/>
        <v>0</v>
      </c>
      <c r="M147" s="1539">
        <f t="shared" si="53"/>
        <v>0</v>
      </c>
      <c r="N147" s="1540"/>
    </row>
    <row r="148" spans="1:18" s="57" customFormat="1">
      <c r="A148" s="258" t="s">
        <v>188</v>
      </c>
      <c r="B148" s="1421">
        <f>SAWC!N349</f>
        <v>0</v>
      </c>
      <c r="C148" s="1422"/>
      <c r="D148" s="1445">
        <f>F148*325900</f>
        <v>0</v>
      </c>
      <c r="E148" s="1446"/>
      <c r="F148" s="1736">
        <f>B148*154</f>
        <v>0</v>
      </c>
      <c r="G148" s="1446"/>
      <c r="H148" s="761">
        <f>F148*10</f>
        <v>0</v>
      </c>
      <c r="I148" s="151">
        <v>0</v>
      </c>
      <c r="J148" s="150">
        <v>0</v>
      </c>
      <c r="K148" s="150">
        <v>0</v>
      </c>
      <c r="L148" s="174">
        <f t="shared" si="46"/>
        <v>0</v>
      </c>
      <c r="M148" s="1539">
        <f t="shared" si="53"/>
        <v>0</v>
      </c>
      <c r="N148" s="1540"/>
    </row>
    <row r="149" spans="1:18" s="57" customFormat="1">
      <c r="A149" s="258" t="s">
        <v>323</v>
      </c>
      <c r="B149" s="1421">
        <f>SAWC!N350</f>
        <v>0</v>
      </c>
      <c r="C149" s="1422"/>
      <c r="D149" s="1445">
        <f>F149*325900</f>
        <v>0</v>
      </c>
      <c r="E149" s="1446"/>
      <c r="F149" s="1736">
        <v>0</v>
      </c>
      <c r="G149" s="1446"/>
      <c r="H149" s="761">
        <v>0</v>
      </c>
      <c r="I149" s="151">
        <v>0</v>
      </c>
      <c r="J149" s="150">
        <v>0</v>
      </c>
      <c r="K149" s="150">
        <v>0</v>
      </c>
      <c r="L149" s="174">
        <f t="shared" si="46"/>
        <v>0</v>
      </c>
      <c r="M149" s="1539">
        <f t="shared" si="53"/>
        <v>0</v>
      </c>
      <c r="N149" s="1540"/>
    </row>
    <row r="150" spans="1:18" s="57" customFormat="1">
      <c r="A150" s="258" t="s">
        <v>269</v>
      </c>
      <c r="B150" s="1421">
        <f>SAWC!N351</f>
        <v>0</v>
      </c>
      <c r="C150" s="1422"/>
      <c r="D150" s="1445">
        <f>F150*325900</f>
        <v>0</v>
      </c>
      <c r="E150" s="1446"/>
      <c r="F150" s="1736">
        <f>B150*0.0129</f>
        <v>0</v>
      </c>
      <c r="G150" s="1446"/>
      <c r="H150" s="761">
        <v>0</v>
      </c>
      <c r="I150" s="151">
        <v>0</v>
      </c>
      <c r="J150" s="150">
        <v>0</v>
      </c>
      <c r="K150" s="150">
        <v>0</v>
      </c>
      <c r="L150" s="174">
        <f t="shared" si="46"/>
        <v>0</v>
      </c>
      <c r="M150" s="1539">
        <f t="shared" si="53"/>
        <v>0</v>
      </c>
      <c r="N150" s="1540"/>
    </row>
    <row r="151" spans="1:18" s="57" customFormat="1" ht="14" thickBot="1">
      <c r="A151" s="258" t="s">
        <v>268</v>
      </c>
      <c r="B151" s="1421">
        <f>SAWC!N352</f>
        <v>0</v>
      </c>
      <c r="C151" s="1422"/>
      <c r="D151" s="1445">
        <f>F151*32590</f>
        <v>0</v>
      </c>
      <c r="E151" s="1446"/>
      <c r="F151" s="1736">
        <f>(B151*0.0084)/2</f>
        <v>0</v>
      </c>
      <c r="G151" s="1446"/>
      <c r="H151" s="761">
        <v>0</v>
      </c>
      <c r="I151" s="151">
        <v>0</v>
      </c>
      <c r="J151" s="150">
        <v>0</v>
      </c>
      <c r="K151" s="150">
        <v>0</v>
      </c>
      <c r="L151" s="174">
        <f t="shared" si="46"/>
        <v>0</v>
      </c>
      <c r="M151" s="1539">
        <f t="shared" si="53"/>
        <v>0</v>
      </c>
      <c r="N151" s="1540"/>
    </row>
    <row r="152" spans="1:18" s="1161" customFormat="1" ht="17" thickBot="1">
      <c r="A152" s="110" t="s">
        <v>192</v>
      </c>
      <c r="B152" s="1456"/>
      <c r="C152" s="1457"/>
      <c r="D152" s="1457"/>
      <c r="E152" s="1457"/>
      <c r="F152" s="1854"/>
      <c r="G152" s="1854"/>
      <c r="H152" s="1240"/>
      <c r="I152" s="997"/>
      <c r="J152" s="997"/>
      <c r="K152" s="997"/>
      <c r="L152" s="997"/>
      <c r="M152" s="2134"/>
      <c r="N152" s="2135"/>
    </row>
    <row r="153" spans="1:18" ht="14" thickBot="1">
      <c r="A153" s="76" t="s">
        <v>165</v>
      </c>
      <c r="B153" s="1421">
        <f>SAWC!N354</f>
        <v>0</v>
      </c>
      <c r="C153" s="1422"/>
      <c r="D153" s="1734">
        <f>F153*325900</f>
        <v>0</v>
      </c>
      <c r="E153" s="1430"/>
      <c r="F153" s="1867">
        <f>0.004*B153</f>
        <v>0</v>
      </c>
      <c r="G153" s="1747"/>
      <c r="H153" s="763">
        <f>F153*5</f>
        <v>0</v>
      </c>
      <c r="I153" s="215">
        <v>0</v>
      </c>
      <c r="J153" s="140">
        <f>0*B153</f>
        <v>0</v>
      </c>
      <c r="K153" s="140">
        <f>B153*3.25</f>
        <v>0</v>
      </c>
      <c r="L153" s="174">
        <f t="shared" si="46"/>
        <v>0</v>
      </c>
      <c r="M153" s="2146"/>
      <c r="N153" s="2146"/>
    </row>
    <row r="154" spans="1:18" ht="14" thickBot="1">
      <c r="A154" s="53" t="s">
        <v>60</v>
      </c>
      <c r="B154" s="1438">
        <f>SUM(B140:B153)</f>
        <v>0</v>
      </c>
      <c r="C154" s="1439"/>
      <c r="D154" s="1441">
        <f>SUM(D140:E153)</f>
        <v>0</v>
      </c>
      <c r="E154" s="1439"/>
      <c r="F154" s="1441">
        <f>SUM(F140:G153)</f>
        <v>0</v>
      </c>
      <c r="G154" s="1439"/>
      <c r="H154" s="750">
        <f>SUM(H140:H153)</f>
        <v>0</v>
      </c>
      <c r="I154" s="146">
        <f>SUM(I140:I153)</f>
        <v>0</v>
      </c>
      <c r="J154" s="146">
        <f>SUM(J140:J153)</f>
        <v>0</v>
      </c>
      <c r="K154" s="146">
        <f>SUM(K140:K153)</f>
        <v>0</v>
      </c>
      <c r="L154" s="146">
        <f>SUM(L140:L153)</f>
        <v>0</v>
      </c>
      <c r="M154" s="1442"/>
      <c r="N154" s="1443"/>
    </row>
    <row r="155" spans="1:18" s="1161" customFormat="1" ht="17" thickBot="1">
      <c r="A155" s="1260" t="s">
        <v>17</v>
      </c>
      <c r="B155" s="2131">
        <f>SUM(,B138,B154)</f>
        <v>14</v>
      </c>
      <c r="C155" s="2132"/>
      <c r="D155" s="2133">
        <f>SUM(,D138,D154)</f>
        <v>333363.11</v>
      </c>
      <c r="E155" s="2132"/>
      <c r="F155" s="2133">
        <f>SUM(,F138,F154)</f>
        <v>1.0228999999999999</v>
      </c>
      <c r="G155" s="2132"/>
      <c r="H155" s="1199">
        <f>SUM(H138,H154)</f>
        <v>11.411</v>
      </c>
      <c r="I155" s="1205">
        <f>SUM(,I138,I154)</f>
        <v>510.39</v>
      </c>
      <c r="J155" s="1205">
        <f>SUM(,J138,J154)</f>
        <v>734.06999999999994</v>
      </c>
      <c r="K155" s="1205">
        <f>SUM(,K138,K154)</f>
        <v>9576.32</v>
      </c>
      <c r="L155" s="1205">
        <f>SUM(,L138,L154)</f>
        <v>10820.78</v>
      </c>
      <c r="M155" s="1417"/>
      <c r="N155" s="1418"/>
      <c r="R155" s="1196"/>
    </row>
    <row r="156" spans="1:18">
      <c r="A156" s="50"/>
      <c r="B156" s="770"/>
      <c r="C156" s="770"/>
      <c r="D156" s="770"/>
      <c r="E156" s="770"/>
      <c r="F156" s="51"/>
      <c r="G156" s="51"/>
      <c r="H156" s="51"/>
      <c r="I156" s="21"/>
      <c r="J156" s="21"/>
      <c r="K156" s="21"/>
      <c r="L156" s="21"/>
      <c r="M156" s="767"/>
      <c r="N156" s="767"/>
    </row>
    <row r="157" spans="1:18" ht="15">
      <c r="A157" s="9" t="s">
        <v>18</v>
      </c>
      <c r="B157" s="1695" t="s">
        <v>59</v>
      </c>
      <c r="C157" s="1695"/>
      <c r="D157" s="1695"/>
      <c r="E157" s="1695"/>
      <c r="F157" s="51"/>
      <c r="G157" s="51"/>
      <c r="H157" s="51"/>
      <c r="I157" s="21"/>
      <c r="J157" s="21"/>
      <c r="K157" s="21"/>
      <c r="L157" s="21"/>
      <c r="M157" s="767"/>
      <c r="N157" s="767"/>
    </row>
    <row r="158" spans="1:18">
      <c r="B158" s="1420" t="s">
        <v>19</v>
      </c>
      <c r="C158" s="1420"/>
      <c r="D158" s="1420"/>
      <c r="E158" s="1420"/>
      <c r="F158" s="51"/>
      <c r="G158" s="51"/>
      <c r="H158" s="51"/>
      <c r="I158" s="21"/>
      <c r="J158" s="21"/>
      <c r="K158" s="21"/>
      <c r="L158" s="21"/>
      <c r="M158" s="767"/>
      <c r="N158" s="767"/>
    </row>
    <row r="159" spans="1:18" ht="14" thickBot="1">
      <c r="B159" s="767"/>
      <c r="C159" s="767"/>
      <c r="D159" s="767"/>
      <c r="E159" s="767"/>
      <c r="F159" s="51"/>
      <c r="G159" s="51"/>
      <c r="H159" s="51"/>
      <c r="I159" s="21"/>
      <c r="J159" s="21"/>
      <c r="K159" s="21"/>
      <c r="L159" s="21"/>
      <c r="M159" s="767"/>
      <c r="N159" s="767"/>
    </row>
    <row r="160" spans="1:18" s="363" customFormat="1" ht="16">
      <c r="A160" s="98"/>
      <c r="B160" s="99"/>
      <c r="C160" s="99"/>
      <c r="D160" s="99"/>
      <c r="E160" s="99"/>
      <c r="F160" s="100"/>
      <c r="G160" s="100"/>
      <c r="H160" s="100"/>
      <c r="I160" s="1468" t="s">
        <v>0</v>
      </c>
      <c r="J160" s="1468"/>
      <c r="K160" s="1468"/>
      <c r="L160" s="1468"/>
      <c r="M160" s="99"/>
      <c r="N160" s="101"/>
    </row>
    <row r="161" spans="1:14" ht="16">
      <c r="A161" s="97"/>
      <c r="B161" s="1469" t="s">
        <v>1</v>
      </c>
      <c r="C161" s="1469"/>
      <c r="D161" s="1469" t="s">
        <v>2</v>
      </c>
      <c r="E161" s="1469"/>
      <c r="F161" s="1863" t="s">
        <v>3</v>
      </c>
      <c r="G161" s="1863"/>
      <c r="H161" s="1028" t="s">
        <v>3</v>
      </c>
      <c r="I161" s="127" t="s">
        <v>195</v>
      </c>
      <c r="J161" s="102"/>
      <c r="K161" s="102"/>
      <c r="L161" s="128"/>
      <c r="M161" s="1525" t="s">
        <v>4</v>
      </c>
      <c r="N161" s="1526"/>
    </row>
    <row r="162" spans="1:14" ht="19" thickBot="1">
      <c r="A162" s="103" t="s">
        <v>5</v>
      </c>
      <c r="B162" s="1473" t="s">
        <v>6</v>
      </c>
      <c r="C162" s="1473"/>
      <c r="D162" s="1473" t="s">
        <v>7</v>
      </c>
      <c r="E162" s="1473"/>
      <c r="F162" s="1864" t="s">
        <v>7</v>
      </c>
      <c r="G162" s="1864"/>
      <c r="H162" s="1029" t="s">
        <v>58</v>
      </c>
      <c r="I162" s="1007" t="s">
        <v>196</v>
      </c>
      <c r="J162" s="1005" t="s">
        <v>8</v>
      </c>
      <c r="K162" s="1005" t="s">
        <v>9</v>
      </c>
      <c r="L162" s="401" t="s">
        <v>10</v>
      </c>
      <c r="M162" s="1527" t="s">
        <v>145</v>
      </c>
      <c r="N162" s="1475"/>
    </row>
    <row r="163" spans="1:14" ht="24" thickBot="1">
      <c r="A163" s="88" t="s">
        <v>265</v>
      </c>
      <c r="B163" s="1476"/>
      <c r="C163" s="1477"/>
      <c r="D163" s="1478"/>
      <c r="E163" s="1479"/>
      <c r="F163" s="1878"/>
      <c r="G163" s="1879"/>
      <c r="H163" s="1033"/>
      <c r="I163" s="213"/>
      <c r="J163" s="213"/>
      <c r="K163" s="213"/>
      <c r="L163" s="214"/>
      <c r="M163" s="1482"/>
      <c r="N163" s="1483"/>
    </row>
    <row r="164" spans="1:14" s="1161" customFormat="1" ht="17" thickBot="1">
      <c r="A164" s="108" t="s">
        <v>189</v>
      </c>
      <c r="B164" s="1456"/>
      <c r="C164" s="1586"/>
      <c r="D164" s="1567"/>
      <c r="E164" s="1586"/>
      <c r="F164" s="1619"/>
      <c r="G164" s="1620"/>
      <c r="H164" s="1157"/>
      <c r="I164" s="109"/>
      <c r="J164" s="109"/>
      <c r="K164" s="109"/>
      <c r="L164" s="1141"/>
      <c r="M164" s="1617"/>
      <c r="N164" s="1486"/>
    </row>
    <row r="165" spans="1:14">
      <c r="A165" s="68" t="s">
        <v>29</v>
      </c>
      <c r="B165" s="1731">
        <f>SAWC!N292</f>
        <v>17</v>
      </c>
      <c r="C165" s="1732"/>
      <c r="D165" s="1767">
        <f t="shared" ref="D165:D171" si="54">F165*325900</f>
        <v>235462.75</v>
      </c>
      <c r="E165" s="1732"/>
      <c r="F165" s="1855">
        <f>0.0425*B165</f>
        <v>0.72250000000000003</v>
      </c>
      <c r="G165" s="1732"/>
      <c r="H165" s="295">
        <f>F165*20</f>
        <v>14.450000000000001</v>
      </c>
      <c r="I165" s="151">
        <v>0</v>
      </c>
      <c r="J165" s="150">
        <v>444</v>
      </c>
      <c r="K165" s="150">
        <v>1580</v>
      </c>
      <c r="L165" s="172">
        <f t="shared" ref="L165:L171" si="55">I165+J165+K165</f>
        <v>2024</v>
      </c>
      <c r="M165" s="1599">
        <f t="shared" ref="M165:M171" si="56">IF(ISERROR(L165/(F165*721)),0,L165/(F165*721))</f>
        <v>3.8854148169833325</v>
      </c>
      <c r="N165" s="1600"/>
    </row>
    <row r="166" spans="1:14">
      <c r="A166" s="68" t="s">
        <v>33</v>
      </c>
      <c r="B166" s="1421">
        <f>SAWC!N293</f>
        <v>2</v>
      </c>
      <c r="C166" s="1422"/>
      <c r="D166" s="1431">
        <f t="shared" si="54"/>
        <v>22487.100000000002</v>
      </c>
      <c r="E166" s="1422"/>
      <c r="F166" s="1871">
        <f>0.0345*B166</f>
        <v>6.9000000000000006E-2</v>
      </c>
      <c r="G166" s="1450"/>
      <c r="H166" s="295">
        <f>F166*15</f>
        <v>1.0350000000000001</v>
      </c>
      <c r="I166" s="150">
        <f>0*B166</f>
        <v>0</v>
      </c>
      <c r="J166" s="150">
        <f>B166*65</f>
        <v>130</v>
      </c>
      <c r="K166" s="150">
        <f>B166*85</f>
        <v>170</v>
      </c>
      <c r="L166" s="172">
        <f t="shared" si="55"/>
        <v>300</v>
      </c>
      <c r="M166" s="1539">
        <f t="shared" si="56"/>
        <v>6.0302719652656336</v>
      </c>
      <c r="N166" s="1540"/>
    </row>
    <row r="167" spans="1:14">
      <c r="A167" s="68" t="s">
        <v>56</v>
      </c>
      <c r="B167" s="1421">
        <f>SAWC!N294</f>
        <v>0</v>
      </c>
      <c r="C167" s="1422"/>
      <c r="D167" s="1431">
        <f t="shared" si="54"/>
        <v>0</v>
      </c>
      <c r="E167" s="1422"/>
      <c r="F167" s="1431">
        <f>0.0044*B167</f>
        <v>0</v>
      </c>
      <c r="G167" s="1422"/>
      <c r="H167" s="295">
        <f>F167*5</f>
        <v>0</v>
      </c>
      <c r="I167" s="150">
        <f>0*B167</f>
        <v>0</v>
      </c>
      <c r="J167" s="150">
        <f>1*B167</f>
        <v>0</v>
      </c>
      <c r="K167" s="150">
        <f>B167*4</f>
        <v>0</v>
      </c>
      <c r="L167" s="172">
        <f t="shared" si="55"/>
        <v>0</v>
      </c>
      <c r="M167" s="1539">
        <f t="shared" si="56"/>
        <v>0</v>
      </c>
      <c r="N167" s="1540"/>
    </row>
    <row r="168" spans="1:14">
      <c r="A168" s="68" t="s">
        <v>52</v>
      </c>
      <c r="B168" s="1421">
        <f>SAWC!N295</f>
        <v>0</v>
      </c>
      <c r="C168" s="1422"/>
      <c r="D168" s="1431">
        <f t="shared" si="54"/>
        <v>0</v>
      </c>
      <c r="E168" s="1422"/>
      <c r="F168" s="1467">
        <f>0.325*B168</f>
        <v>0</v>
      </c>
      <c r="G168" s="1433"/>
      <c r="H168" s="296">
        <f>F168*10</f>
        <v>0</v>
      </c>
      <c r="I168" s="151">
        <v>0</v>
      </c>
      <c r="J168" s="173">
        <f>70*B168</f>
        <v>0</v>
      </c>
      <c r="K168" s="173">
        <f>B168*80</f>
        <v>0</v>
      </c>
      <c r="L168" s="174">
        <f t="shared" si="55"/>
        <v>0</v>
      </c>
      <c r="M168" s="1539">
        <f t="shared" si="56"/>
        <v>0</v>
      </c>
      <c r="N168" s="1540"/>
    </row>
    <row r="169" spans="1:14" ht="12.75" customHeight="1">
      <c r="A169" s="254" t="s">
        <v>301</v>
      </c>
      <c r="B169" s="1421">
        <f>SAWC!N296</f>
        <v>10</v>
      </c>
      <c r="C169" s="1422"/>
      <c r="D169" s="1431">
        <f t="shared" si="54"/>
        <v>1029984.137</v>
      </c>
      <c r="E169" s="1422"/>
      <c r="F169" s="1467">
        <f>(24311*0.00013)</f>
        <v>3.1604299999999999</v>
      </c>
      <c r="G169" s="1433"/>
      <c r="H169" s="296">
        <f>F169*10</f>
        <v>31.604299999999999</v>
      </c>
      <c r="I169" s="151">
        <v>5000</v>
      </c>
      <c r="J169" s="173">
        <v>0</v>
      </c>
      <c r="K169" s="173">
        <v>48302</v>
      </c>
      <c r="L169" s="174">
        <f t="shared" si="55"/>
        <v>53302</v>
      </c>
      <c r="M169" s="1539">
        <f t="shared" si="56"/>
        <v>23.391715034756484</v>
      </c>
      <c r="N169" s="1540"/>
    </row>
    <row r="170" spans="1:14" ht="12.75" customHeight="1">
      <c r="A170" s="254" t="s">
        <v>214</v>
      </c>
      <c r="B170" s="1421">
        <f>SAWC!N297</f>
        <v>4</v>
      </c>
      <c r="C170" s="1422"/>
      <c r="D170" s="1431">
        <f>F170*325900</f>
        <v>2476.84</v>
      </c>
      <c r="E170" s="1422"/>
      <c r="F170" s="1876">
        <f>0.0019*B170</f>
        <v>7.6E-3</v>
      </c>
      <c r="G170" s="1877"/>
      <c r="H170" s="732">
        <f>F170*10</f>
        <v>7.5999999999999998E-2</v>
      </c>
      <c r="I170" s="151">
        <v>0</v>
      </c>
      <c r="J170" s="173">
        <f>0*B170</f>
        <v>0</v>
      </c>
      <c r="K170" s="173">
        <f>B170*75</f>
        <v>300</v>
      </c>
      <c r="L170" s="174">
        <f t="shared" si="55"/>
        <v>300</v>
      </c>
      <c r="M170" s="1539">
        <f t="shared" si="56"/>
        <v>54.748521789911678</v>
      </c>
      <c r="N170" s="1540"/>
    </row>
    <row r="171" spans="1:14" s="91" customFormat="1" ht="17" thickBot="1">
      <c r="A171" s="258" t="s">
        <v>269</v>
      </c>
      <c r="B171" s="1429">
        <f>SAWC!N298</f>
        <v>0</v>
      </c>
      <c r="C171" s="1430"/>
      <c r="D171" s="1768">
        <f t="shared" si="54"/>
        <v>0</v>
      </c>
      <c r="E171" s="1430"/>
      <c r="F171" s="1467">
        <f>0.0414*B171</f>
        <v>0</v>
      </c>
      <c r="G171" s="1433"/>
      <c r="H171" s="296">
        <f>F171*10</f>
        <v>0</v>
      </c>
      <c r="I171" s="151">
        <v>0</v>
      </c>
      <c r="J171" s="173">
        <f>0*B171</f>
        <v>0</v>
      </c>
      <c r="K171" s="173">
        <f>B171*75</f>
        <v>0</v>
      </c>
      <c r="L171" s="174">
        <f t="shared" si="55"/>
        <v>0</v>
      </c>
      <c r="M171" s="1539">
        <f t="shared" si="56"/>
        <v>0</v>
      </c>
      <c r="N171" s="1540"/>
    </row>
    <row r="172" spans="1:14" s="1168" customFormat="1" ht="17" thickBot="1">
      <c r="A172" s="110" t="s">
        <v>190</v>
      </c>
      <c r="B172" s="1456"/>
      <c r="C172" s="1586"/>
      <c r="D172" s="1457"/>
      <c r="E172" s="1586"/>
      <c r="F172" s="1619"/>
      <c r="G172" s="1620"/>
      <c r="H172" s="1157"/>
      <c r="I172" s="194"/>
      <c r="J172" s="194"/>
      <c r="K172" s="194"/>
      <c r="L172" s="195"/>
      <c r="M172" s="1593"/>
      <c r="N172" s="1542"/>
    </row>
    <row r="173" spans="1:14">
      <c r="A173" s="254" t="s">
        <v>205</v>
      </c>
      <c r="B173" s="1731">
        <f>SAWC!N300</f>
        <v>0</v>
      </c>
      <c r="C173" s="1732"/>
      <c r="D173" s="1767">
        <f>F173*325900</f>
        <v>0</v>
      </c>
      <c r="E173" s="1732"/>
      <c r="F173" s="1794">
        <f>B173*0.0044</f>
        <v>0</v>
      </c>
      <c r="G173" s="1466"/>
      <c r="H173" s="296">
        <f>F173*5</f>
        <v>0</v>
      </c>
      <c r="I173" s="151">
        <v>0</v>
      </c>
      <c r="J173" s="151">
        <v>0</v>
      </c>
      <c r="K173" s="173">
        <v>0</v>
      </c>
      <c r="L173" s="174">
        <f>I173+J173+K173</f>
        <v>0</v>
      </c>
      <c r="M173" s="1539">
        <f>IF(ISERROR(L173/(F173*721)),0,L173/(F173*721))</f>
        <v>0</v>
      </c>
      <c r="N173" s="1540"/>
    </row>
    <row r="174" spans="1:14">
      <c r="A174" s="254" t="s">
        <v>309</v>
      </c>
      <c r="B174" s="1435">
        <f>SAWC!N301</f>
        <v>5</v>
      </c>
      <c r="C174" s="1433"/>
      <c r="D174" s="1432">
        <f>F174*325900</f>
        <v>953257.50000000012</v>
      </c>
      <c r="E174" s="1433"/>
      <c r="F174" s="1467">
        <f>0.325*9</f>
        <v>2.9250000000000003</v>
      </c>
      <c r="G174" s="1433"/>
      <c r="H174" s="296">
        <f>F174*10</f>
        <v>29.250000000000004</v>
      </c>
      <c r="I174" s="173">
        <v>2895.83</v>
      </c>
      <c r="J174" s="173">
        <v>0</v>
      </c>
      <c r="K174" s="173">
        <v>2895.83</v>
      </c>
      <c r="L174" s="174">
        <f>I174+J174+K174</f>
        <v>5791.66</v>
      </c>
      <c r="M174" s="1539">
        <f>IF(ISERROR(L174/(F174*721)),0,L174/(F174*721))</f>
        <v>2.7462617210190023</v>
      </c>
      <c r="N174" s="1540"/>
    </row>
    <row r="175" spans="1:14">
      <c r="A175" s="254" t="s">
        <v>298</v>
      </c>
      <c r="B175" s="1421">
        <f>SAWC!N302</f>
        <v>0</v>
      </c>
      <c r="C175" s="1422"/>
      <c r="D175" s="1444">
        <f>F175*325900</f>
        <v>0</v>
      </c>
      <c r="E175" s="1422"/>
      <c r="F175" s="1467">
        <f>B175*0.00013</f>
        <v>0</v>
      </c>
      <c r="G175" s="1433"/>
      <c r="H175" s="296">
        <f>F175*5</f>
        <v>0</v>
      </c>
      <c r="I175" s="151">
        <v>0</v>
      </c>
      <c r="J175" s="173">
        <v>0</v>
      </c>
      <c r="K175" s="151">
        <v>0</v>
      </c>
      <c r="L175" s="170">
        <f>J175+K175</f>
        <v>0</v>
      </c>
      <c r="M175" s="1539">
        <f>IF(ISERROR(L175/(F175*752)),0,L175/(F175*752))</f>
        <v>0</v>
      </c>
      <c r="N175" s="1540"/>
    </row>
    <row r="176" spans="1:14" s="91" customFormat="1" ht="17" hidden="1" thickBot="1">
      <c r="A176" s="254" t="s">
        <v>266</v>
      </c>
      <c r="B176" s="1429">
        <f>SAWC!N303</f>
        <v>0</v>
      </c>
      <c r="C176" s="1430"/>
      <c r="D176" s="1768">
        <f>F176*325900</f>
        <v>0</v>
      </c>
      <c r="E176" s="1430"/>
      <c r="F176" s="1744">
        <v>0</v>
      </c>
      <c r="G176" s="1437"/>
      <c r="H176" s="296">
        <f>F176*5</f>
        <v>0</v>
      </c>
      <c r="I176" s="151">
        <v>0</v>
      </c>
      <c r="J176" s="286">
        <v>0</v>
      </c>
      <c r="K176" s="220">
        <v>0</v>
      </c>
      <c r="L176" s="170">
        <f>J176+K176</f>
        <v>0</v>
      </c>
      <c r="M176" s="1539">
        <f>IF(ISERROR(L176/(F176*752)),0,L176/(F176*752))</f>
        <v>0</v>
      </c>
      <c r="N176" s="1540"/>
    </row>
    <row r="177" spans="1:14" ht="14" hidden="1" thickBot="1">
      <c r="A177" s="256" t="s">
        <v>60</v>
      </c>
      <c r="B177" s="1438">
        <f>SUM(B165:B176)</f>
        <v>38</v>
      </c>
      <c r="C177" s="1439"/>
      <c r="D177" s="2149">
        <f>SUM(D165:E176)</f>
        <v>2243668.327</v>
      </c>
      <c r="E177" s="2149"/>
      <c r="F177" s="1441">
        <f>SUM(F165:G176)</f>
        <v>6.8845299999999998</v>
      </c>
      <c r="G177" s="1439"/>
      <c r="H177" s="293">
        <f>SUM(H165:H176)</f>
        <v>76.415300000000002</v>
      </c>
      <c r="I177" s="146">
        <f>SUM(I165:I176)</f>
        <v>7895.83</v>
      </c>
      <c r="J177" s="146">
        <f>SUM(J165:J176)</f>
        <v>574</v>
      </c>
      <c r="K177" s="146">
        <f>SUM(K165:K176)</f>
        <v>53247.83</v>
      </c>
      <c r="L177" s="160">
        <f>SUM(L165:L176)</f>
        <v>61717.66</v>
      </c>
      <c r="M177" s="1440"/>
      <c r="N177" s="1730"/>
    </row>
    <row r="178" spans="1:14" ht="17" hidden="1" thickBot="1">
      <c r="A178" s="108" t="s">
        <v>194</v>
      </c>
      <c r="B178" s="1456"/>
      <c r="C178" s="1586"/>
      <c r="D178" s="1457"/>
      <c r="E178" s="1586"/>
      <c r="F178" s="1619"/>
      <c r="G178" s="1620"/>
      <c r="H178" s="300"/>
      <c r="I178" s="184"/>
      <c r="J178" s="184"/>
      <c r="K178" s="184"/>
      <c r="L178" s="185"/>
      <c r="M178" s="1593"/>
      <c r="N178" s="1542"/>
    </row>
    <row r="179" spans="1:14" hidden="1">
      <c r="A179" s="68" t="s">
        <v>29</v>
      </c>
      <c r="B179" s="1731">
        <f>SAWC!N307</f>
        <v>0</v>
      </c>
      <c r="C179" s="1732"/>
      <c r="D179" s="1767">
        <f t="shared" ref="D179:D186" si="57">F179*325900</f>
        <v>0</v>
      </c>
      <c r="E179" s="1732"/>
      <c r="F179" s="1855">
        <f>0.0425*B179</f>
        <v>0</v>
      </c>
      <c r="G179" s="1732"/>
      <c r="H179" s="295">
        <f>F179*20</f>
        <v>0</v>
      </c>
      <c r="I179" s="151">
        <v>0</v>
      </c>
      <c r="J179" s="150">
        <v>0</v>
      </c>
      <c r="K179" s="150">
        <v>0</v>
      </c>
      <c r="L179" s="172">
        <f t="shared" ref="L179:L190" si="58">SUM(I179:K179)</f>
        <v>0</v>
      </c>
      <c r="M179" s="1539">
        <f>IF(ISERROR(L179/(F179*721)),0,L179/(F179*721))</f>
        <v>0</v>
      </c>
      <c r="N179" s="1540"/>
    </row>
    <row r="180" spans="1:14" s="91" customFormat="1" ht="16">
      <c r="A180" s="68" t="s">
        <v>51</v>
      </c>
      <c r="B180" s="1421">
        <f>SAWC!N308</f>
        <v>0</v>
      </c>
      <c r="C180" s="1422"/>
      <c r="D180" s="1444">
        <f t="shared" si="57"/>
        <v>0</v>
      </c>
      <c r="E180" s="1422"/>
      <c r="F180" s="1431">
        <f>0.1227*B180</f>
        <v>0</v>
      </c>
      <c r="G180" s="1422"/>
      <c r="H180" s="295">
        <f>F180*20</f>
        <v>0</v>
      </c>
      <c r="I180" s="151">
        <v>0</v>
      </c>
      <c r="J180" s="150">
        <v>0</v>
      </c>
      <c r="K180" s="150">
        <v>0</v>
      </c>
      <c r="L180" s="172">
        <f t="shared" si="58"/>
        <v>0</v>
      </c>
      <c r="M180" s="1539">
        <f>IF(ISERROR(L180/(F180*721)),0,L180/(F180*721))</f>
        <v>0</v>
      </c>
      <c r="N180" s="1540"/>
    </row>
    <row r="181" spans="1:14">
      <c r="A181" s="2" t="s">
        <v>204</v>
      </c>
      <c r="B181" s="1421">
        <f>SAWC!N309</f>
        <v>0</v>
      </c>
      <c r="C181" s="1422"/>
      <c r="D181" s="1444">
        <f t="shared" si="57"/>
        <v>0</v>
      </c>
      <c r="E181" s="1422"/>
      <c r="F181" s="1431">
        <f>0.644*B181</f>
        <v>0</v>
      </c>
      <c r="G181" s="1422"/>
      <c r="H181" s="295">
        <f>F181*5</f>
        <v>0</v>
      </c>
      <c r="I181" s="151">
        <v>0</v>
      </c>
      <c r="J181" s="150">
        <v>0</v>
      </c>
      <c r="K181" s="150">
        <v>0</v>
      </c>
      <c r="L181" s="172">
        <f t="shared" si="58"/>
        <v>0</v>
      </c>
      <c r="M181" s="1539">
        <f t="shared" ref="M181:M190" si="59">IF(ISERROR(L181/(F181*721)),0,L181/(F181*721))</f>
        <v>0</v>
      </c>
      <c r="N181" s="1540"/>
    </row>
    <row r="182" spans="1:14">
      <c r="A182" s="254" t="s">
        <v>30</v>
      </c>
      <c r="B182" s="1421">
        <f>SAWC!N310</f>
        <v>0</v>
      </c>
      <c r="C182" s="1422"/>
      <c r="D182" s="1444">
        <f t="shared" si="57"/>
        <v>0</v>
      </c>
      <c r="E182" s="1422"/>
      <c r="F182" s="1431">
        <f>0.325*B182</f>
        <v>0</v>
      </c>
      <c r="G182" s="1422"/>
      <c r="H182" s="295">
        <f>F182*10</f>
        <v>0</v>
      </c>
      <c r="I182" s="151">
        <v>0</v>
      </c>
      <c r="J182" s="150">
        <v>0</v>
      </c>
      <c r="K182" s="150">
        <v>0</v>
      </c>
      <c r="L182" s="172">
        <f t="shared" si="58"/>
        <v>0</v>
      </c>
      <c r="M182" s="1539">
        <f t="shared" si="59"/>
        <v>0</v>
      </c>
      <c r="N182" s="1540"/>
    </row>
    <row r="183" spans="1:14">
      <c r="A183" s="69" t="s">
        <v>56</v>
      </c>
      <c r="B183" s="1421">
        <f>SAWC!N311</f>
        <v>0</v>
      </c>
      <c r="C183" s="1422"/>
      <c r="D183" s="1444">
        <f t="shared" si="57"/>
        <v>0</v>
      </c>
      <c r="E183" s="1422"/>
      <c r="F183" s="1431">
        <f>0.0044*B183</f>
        <v>0</v>
      </c>
      <c r="G183" s="1422"/>
      <c r="H183" s="295">
        <f>F183*5</f>
        <v>0</v>
      </c>
      <c r="I183" s="151">
        <v>0</v>
      </c>
      <c r="J183" s="150">
        <v>0</v>
      </c>
      <c r="K183" s="150">
        <v>0</v>
      </c>
      <c r="L183" s="172">
        <f t="shared" si="58"/>
        <v>0</v>
      </c>
      <c r="M183" s="1539">
        <f t="shared" si="59"/>
        <v>0</v>
      </c>
      <c r="N183" s="1540"/>
    </row>
    <row r="184" spans="1:14" ht="12.75" hidden="1" customHeight="1">
      <c r="A184" s="254" t="s">
        <v>122</v>
      </c>
      <c r="B184" s="1421">
        <f>SAWC!N312</f>
        <v>0</v>
      </c>
      <c r="C184" s="1422"/>
      <c r="D184" s="1444">
        <f t="shared" si="57"/>
        <v>0</v>
      </c>
      <c r="E184" s="1422"/>
      <c r="F184" s="1431">
        <f>0.018*B184</f>
        <v>0</v>
      </c>
      <c r="G184" s="1422"/>
      <c r="H184" s="295">
        <f>F184*10</f>
        <v>0</v>
      </c>
      <c r="I184" s="151">
        <v>0</v>
      </c>
      <c r="J184" s="150">
        <v>0</v>
      </c>
      <c r="K184" s="150">
        <v>0</v>
      </c>
      <c r="L184" s="172">
        <f t="shared" si="58"/>
        <v>0</v>
      </c>
      <c r="M184" s="1539">
        <f t="shared" si="59"/>
        <v>0</v>
      </c>
      <c r="N184" s="1540"/>
    </row>
    <row r="185" spans="1:14" ht="12.75" hidden="1" customHeight="1">
      <c r="A185" s="257" t="s">
        <v>184</v>
      </c>
      <c r="B185" s="1421">
        <f>SAWC!N313</f>
        <v>0</v>
      </c>
      <c r="C185" s="1422"/>
      <c r="D185" s="1444">
        <f t="shared" si="57"/>
        <v>0</v>
      </c>
      <c r="E185" s="1422"/>
      <c r="F185" s="1431">
        <f>0.0129*B185</f>
        <v>0</v>
      </c>
      <c r="G185" s="1422"/>
      <c r="H185" s="295">
        <f>F185*10</f>
        <v>0</v>
      </c>
      <c r="I185" s="151">
        <v>0</v>
      </c>
      <c r="J185" s="150">
        <v>0</v>
      </c>
      <c r="K185" s="150">
        <v>0</v>
      </c>
      <c r="L185" s="172">
        <f t="shared" si="58"/>
        <v>0</v>
      </c>
      <c r="M185" s="1539">
        <f t="shared" si="59"/>
        <v>0</v>
      </c>
      <c r="N185" s="1540"/>
    </row>
    <row r="186" spans="1:14">
      <c r="A186" s="258" t="s">
        <v>187</v>
      </c>
      <c r="B186" s="1421">
        <f>SAWC!N314</f>
        <v>0</v>
      </c>
      <c r="C186" s="1422"/>
      <c r="D186" s="1445">
        <f t="shared" si="57"/>
        <v>0</v>
      </c>
      <c r="E186" s="1446"/>
      <c r="F186" s="1431">
        <f>0.023*B186</f>
        <v>0</v>
      </c>
      <c r="G186" s="1422"/>
      <c r="H186" s="295">
        <f>F186*5</f>
        <v>0</v>
      </c>
      <c r="I186" s="151">
        <v>0</v>
      </c>
      <c r="J186" s="150">
        <v>0</v>
      </c>
      <c r="K186" s="150">
        <v>0</v>
      </c>
      <c r="L186" s="170">
        <f t="shared" si="58"/>
        <v>0</v>
      </c>
      <c r="M186" s="1539">
        <f t="shared" si="59"/>
        <v>0</v>
      </c>
      <c r="N186" s="1540"/>
    </row>
    <row r="187" spans="1:14" ht="13.5" hidden="1" customHeight="1">
      <c r="A187" s="258" t="s">
        <v>188</v>
      </c>
      <c r="B187" s="1421">
        <f>SAWC!N315</f>
        <v>0</v>
      </c>
      <c r="C187" s="1422"/>
      <c r="D187" s="1445">
        <f>F187*325900</f>
        <v>0</v>
      </c>
      <c r="E187" s="1446"/>
      <c r="F187" s="1736">
        <f>B187*154</f>
        <v>0</v>
      </c>
      <c r="G187" s="1446"/>
      <c r="H187" s="292">
        <f>F187*10</f>
        <v>0</v>
      </c>
      <c r="I187" s="151">
        <v>0</v>
      </c>
      <c r="J187" s="150">
        <v>0</v>
      </c>
      <c r="K187" s="150">
        <v>0</v>
      </c>
      <c r="L187" s="170">
        <f t="shared" si="58"/>
        <v>0</v>
      </c>
      <c r="M187" s="1539">
        <f t="shared" si="59"/>
        <v>0</v>
      </c>
      <c r="N187" s="1540"/>
    </row>
    <row r="188" spans="1:14">
      <c r="A188" s="258" t="s">
        <v>283</v>
      </c>
      <c r="B188" s="1421">
        <f>SAWC!N316</f>
        <v>0</v>
      </c>
      <c r="C188" s="1422"/>
      <c r="D188" s="1445">
        <f>F188*325900</f>
        <v>0</v>
      </c>
      <c r="E188" s="1446"/>
      <c r="F188" s="1736">
        <v>0</v>
      </c>
      <c r="G188" s="1446"/>
      <c r="H188" s="292">
        <v>0</v>
      </c>
      <c r="I188" s="151">
        <v>0</v>
      </c>
      <c r="J188" s="150">
        <v>0</v>
      </c>
      <c r="K188" s="150">
        <v>0</v>
      </c>
      <c r="L188" s="170">
        <f t="shared" si="58"/>
        <v>0</v>
      </c>
      <c r="M188" s="1539">
        <f t="shared" si="59"/>
        <v>0</v>
      </c>
      <c r="N188" s="1540"/>
    </row>
    <row r="189" spans="1:14" ht="14" thickBot="1">
      <c r="A189" s="258" t="s">
        <v>269</v>
      </c>
      <c r="B189" s="1421">
        <f>SAWC!N317</f>
        <v>0</v>
      </c>
      <c r="C189" s="1422"/>
      <c r="D189" s="1445">
        <f>F189*325900</f>
        <v>0</v>
      </c>
      <c r="E189" s="1446"/>
      <c r="F189" s="1736">
        <f>B189*0.0129</f>
        <v>0</v>
      </c>
      <c r="G189" s="1446"/>
      <c r="H189" s="292">
        <v>0</v>
      </c>
      <c r="I189" s="151">
        <v>0</v>
      </c>
      <c r="J189" s="150">
        <v>0</v>
      </c>
      <c r="K189" s="150">
        <v>0</v>
      </c>
      <c r="L189" s="170">
        <f t="shared" si="58"/>
        <v>0</v>
      </c>
      <c r="M189" s="1539">
        <f t="shared" si="59"/>
        <v>0</v>
      </c>
      <c r="N189" s="1540"/>
    </row>
    <row r="190" spans="1:14" ht="13.5" hidden="1" customHeight="1">
      <c r="A190" s="258" t="s">
        <v>268</v>
      </c>
      <c r="B190" s="1421">
        <f>SAWC!N318</f>
        <v>0</v>
      </c>
      <c r="C190" s="1422"/>
      <c r="D190" s="1445">
        <f>F190*32590</f>
        <v>0</v>
      </c>
      <c r="E190" s="1446"/>
      <c r="F190" s="1737">
        <f>(B190*0.0084)/2</f>
        <v>0</v>
      </c>
      <c r="G190" s="1726"/>
      <c r="H190" s="292">
        <v>0</v>
      </c>
      <c r="I190" s="151">
        <v>0</v>
      </c>
      <c r="J190" s="150">
        <v>0</v>
      </c>
      <c r="K190" s="150">
        <v>0</v>
      </c>
      <c r="L190" s="170">
        <f t="shared" si="58"/>
        <v>0</v>
      </c>
      <c r="M190" s="1539">
        <f t="shared" si="59"/>
        <v>0</v>
      </c>
      <c r="N190" s="1540"/>
    </row>
    <row r="191" spans="1:14" s="1168" customFormat="1" ht="13.5" customHeight="1" thickBot="1">
      <c r="A191" s="108" t="s">
        <v>192</v>
      </c>
      <c r="B191" s="1456"/>
      <c r="C191" s="1586"/>
      <c r="D191" s="1457"/>
      <c r="E191" s="1586"/>
      <c r="F191" s="1619"/>
      <c r="G191" s="1620"/>
      <c r="H191" s="1150"/>
      <c r="I191" s="184"/>
      <c r="J191" s="184"/>
      <c r="K191" s="184"/>
      <c r="L191" s="997"/>
      <c r="M191" s="1593"/>
      <c r="N191" s="1542"/>
    </row>
    <row r="192" spans="1:14" s="57" customFormat="1" ht="13.5" customHeight="1" thickBot="1">
      <c r="A192" s="76" t="s">
        <v>165</v>
      </c>
      <c r="B192" s="1769">
        <f>SAWC!N320</f>
        <v>0</v>
      </c>
      <c r="C192" s="1770"/>
      <c r="D192" s="1734">
        <f>F192*325900</f>
        <v>0</v>
      </c>
      <c r="E192" s="1430"/>
      <c r="F192" s="1867">
        <f>0.004*B192</f>
        <v>0</v>
      </c>
      <c r="G192" s="1747"/>
      <c r="H192" s="297">
        <f>F192*5</f>
        <v>0</v>
      </c>
      <c r="I192" s="215">
        <v>0</v>
      </c>
      <c r="J192" s="140">
        <f>0*B192</f>
        <v>0</v>
      </c>
      <c r="K192" s="140">
        <f>B192*3.25</f>
        <v>0</v>
      </c>
      <c r="L192" s="217">
        <f>SUM(I192:K192)</f>
        <v>0</v>
      </c>
      <c r="M192" s="1561">
        <f>IF(ISERROR(L192/(F192*752)),0,L192/(F192*752))</f>
        <v>0</v>
      </c>
      <c r="N192" s="1562"/>
    </row>
    <row r="193" spans="1:14" s="57" customFormat="1" ht="13.5" customHeight="1" thickBot="1">
      <c r="A193" s="53" t="s">
        <v>60</v>
      </c>
      <c r="B193" s="1438">
        <f>SUM(B179:B192)</f>
        <v>0</v>
      </c>
      <c r="C193" s="1439"/>
      <c r="D193" s="1441">
        <f>SUM(D179:E192)</f>
        <v>0</v>
      </c>
      <c r="E193" s="1439"/>
      <c r="F193" s="1441">
        <f>SUM(F179:G192)</f>
        <v>0</v>
      </c>
      <c r="G193" s="1439"/>
      <c r="H193" s="293">
        <f>SUM(H179:H192)</f>
        <v>0</v>
      </c>
      <c r="I193" s="146">
        <f>SUM(I179:I192)</f>
        <v>0</v>
      </c>
      <c r="J193" s="146">
        <f>SUM(J179:J192)</f>
        <v>0</v>
      </c>
      <c r="K193" s="146">
        <f>SUM(K179:K192)</f>
        <v>0</v>
      </c>
      <c r="L193" s="146">
        <f>SUM(L179:L192)</f>
        <v>0</v>
      </c>
      <c r="M193" s="1442"/>
      <c r="N193" s="1443"/>
    </row>
    <row r="194" spans="1:14" s="1168" customFormat="1" ht="13.5" customHeight="1" thickBot="1">
      <c r="A194" s="1260" t="s">
        <v>17</v>
      </c>
      <c r="B194" s="2131">
        <f>SUM(,B177,B193)</f>
        <v>38</v>
      </c>
      <c r="C194" s="2132"/>
      <c r="D194" s="2133">
        <f>SUM(,D177,D193)</f>
        <v>2243668.327</v>
      </c>
      <c r="E194" s="2132"/>
      <c r="F194" s="2133">
        <f>SUM(,F177,F193)</f>
        <v>6.8845299999999998</v>
      </c>
      <c r="G194" s="2132"/>
      <c r="H194" s="1199">
        <f>SUM(H177,H193)</f>
        <v>76.415300000000002</v>
      </c>
      <c r="I194" s="1205">
        <f>SUM(,I177,I193)</f>
        <v>7895.83</v>
      </c>
      <c r="J194" s="1205">
        <f>SUM(,J177,J193)</f>
        <v>574</v>
      </c>
      <c r="K194" s="1205">
        <f>SUM(,K177,K193)</f>
        <v>53247.83</v>
      </c>
      <c r="L194" s="1205">
        <f>SUM(,L177,L193)</f>
        <v>61717.66</v>
      </c>
      <c r="M194" s="1417"/>
      <c r="N194" s="1418"/>
    </row>
    <row r="195" spans="1:14" s="57" customFormat="1">
      <c r="A195" s="50"/>
      <c r="B195" s="20"/>
      <c r="C195" s="20"/>
      <c r="D195" s="20"/>
      <c r="E195" s="20"/>
      <c r="F195" s="51"/>
      <c r="G195" s="51"/>
      <c r="H195" s="51"/>
      <c r="I195" s="21"/>
      <c r="J195" s="21"/>
      <c r="K195" s="21"/>
      <c r="L195" s="21"/>
      <c r="M195" s="270"/>
      <c r="N195" s="270"/>
    </row>
    <row r="196" spans="1:14" s="91" customFormat="1" ht="16">
      <c r="A196" s="9" t="s">
        <v>18</v>
      </c>
      <c r="B196" s="1695" t="s">
        <v>59</v>
      </c>
      <c r="C196" s="1695"/>
      <c r="D196" s="1695"/>
      <c r="E196" s="1695"/>
      <c r="F196" s="51"/>
      <c r="G196" s="51"/>
      <c r="H196" s="51"/>
      <c r="I196" s="21"/>
      <c r="J196" s="21"/>
      <c r="K196" s="21"/>
      <c r="L196" s="21"/>
      <c r="M196" s="270"/>
      <c r="N196" s="270"/>
    </row>
    <row r="197" spans="1:14">
      <c r="B197" s="1420" t="s">
        <v>19</v>
      </c>
      <c r="C197" s="1420"/>
      <c r="D197" s="1420"/>
      <c r="E197" s="1420"/>
      <c r="F197" s="51"/>
      <c r="G197" s="51"/>
      <c r="H197" s="51"/>
      <c r="I197" s="21"/>
      <c r="J197" s="21"/>
      <c r="K197" s="21"/>
      <c r="L197" s="21"/>
      <c r="M197" s="270"/>
      <c r="N197" s="270"/>
    </row>
    <row r="198" spans="1:14" ht="13.5" customHeight="1" thickBot="1">
      <c r="B198" s="729"/>
      <c r="C198" s="729"/>
      <c r="D198" s="729"/>
      <c r="E198" s="729"/>
      <c r="F198" s="51"/>
      <c r="G198" s="51"/>
      <c r="H198" s="51"/>
      <c r="I198" s="21"/>
      <c r="J198" s="21"/>
      <c r="K198" s="21"/>
      <c r="L198" s="21"/>
      <c r="M198" s="568"/>
      <c r="N198" s="568"/>
    </row>
    <row r="199" spans="1:14" ht="16">
      <c r="A199" s="98"/>
      <c r="B199" s="99"/>
      <c r="C199" s="99"/>
      <c r="D199" s="99"/>
      <c r="E199" s="99"/>
      <c r="F199" s="100"/>
      <c r="G199" s="100"/>
      <c r="H199" s="100"/>
      <c r="I199" s="1468" t="s">
        <v>0</v>
      </c>
      <c r="J199" s="1468"/>
      <c r="K199" s="1468"/>
      <c r="L199" s="1468"/>
      <c r="M199" s="1043"/>
      <c r="N199" s="1009"/>
    </row>
    <row r="200" spans="1:14" ht="16">
      <c r="A200" s="97"/>
      <c r="B200" s="1469" t="s">
        <v>1</v>
      </c>
      <c r="C200" s="1469"/>
      <c r="D200" s="1469" t="s">
        <v>2</v>
      </c>
      <c r="E200" s="1469"/>
      <c r="F200" s="1863" t="s">
        <v>3</v>
      </c>
      <c r="G200" s="1863"/>
      <c r="H200" s="1028" t="s">
        <v>3</v>
      </c>
      <c r="I200" s="127" t="s">
        <v>197</v>
      </c>
      <c r="J200" s="349"/>
      <c r="K200" s="349"/>
      <c r="L200" s="128"/>
      <c r="M200" s="1469" t="s">
        <v>4</v>
      </c>
      <c r="N200" s="1526"/>
    </row>
    <row r="201" spans="1:14" ht="19" thickBot="1">
      <c r="A201" s="97" t="s">
        <v>5</v>
      </c>
      <c r="B201" s="1469" t="s">
        <v>6</v>
      </c>
      <c r="C201" s="1469"/>
      <c r="D201" s="1469" t="s">
        <v>7</v>
      </c>
      <c r="E201" s="1469"/>
      <c r="F201" s="1863" t="s">
        <v>7</v>
      </c>
      <c r="G201" s="1863"/>
      <c r="H201" s="1028" t="s">
        <v>58</v>
      </c>
      <c r="I201" s="1004" t="s">
        <v>198</v>
      </c>
      <c r="J201" s="1002" t="s">
        <v>8</v>
      </c>
      <c r="K201" s="1002" t="s">
        <v>9</v>
      </c>
      <c r="L201" s="400" t="s">
        <v>10</v>
      </c>
      <c r="M201" s="1469" t="s">
        <v>145</v>
      </c>
      <c r="N201" s="1526"/>
    </row>
    <row r="202" spans="1:14" ht="24" thickBot="1">
      <c r="A202" s="88" t="s">
        <v>232</v>
      </c>
      <c r="B202" s="1031"/>
      <c r="C202" s="1017"/>
      <c r="D202" s="1018"/>
      <c r="E202" s="1019"/>
      <c r="F202" s="1032"/>
      <c r="G202" s="1034"/>
      <c r="H202" s="1044"/>
      <c r="I202" s="665"/>
      <c r="J202" s="177"/>
      <c r="K202" s="177"/>
      <c r="L202" s="178"/>
      <c r="M202" s="1021"/>
      <c r="N202" s="1022"/>
    </row>
    <row r="203" spans="1:14" s="1168" customFormat="1" ht="17" thickBot="1">
      <c r="A203" s="108" t="str">
        <f>'Ontario Total'!A204</f>
        <v>SoCal Water$mart Residential Rebates</v>
      </c>
      <c r="B203" s="1143"/>
      <c r="C203" s="1142"/>
      <c r="D203" s="1148"/>
      <c r="E203" s="1142"/>
      <c r="F203" s="1156"/>
      <c r="G203" s="1212"/>
      <c r="H203" s="1261"/>
      <c r="I203" s="1142"/>
      <c r="J203" s="179"/>
      <c r="K203" s="179"/>
      <c r="L203" s="180"/>
      <c r="M203" s="1154"/>
      <c r="N203" s="1155"/>
    </row>
    <row r="204" spans="1:14">
      <c r="A204" s="32" t="str">
        <f>'Ontario Total'!A205</f>
        <v>High Efficiency Toilets (HET)</v>
      </c>
      <c r="B204" s="1421">
        <f>SAWC!N253</f>
        <v>6</v>
      </c>
      <c r="C204" s="1422"/>
      <c r="D204" s="1431">
        <f t="shared" ref="D204:D208" si="60">F204*325900</f>
        <v>53969.04</v>
      </c>
      <c r="E204" s="1444"/>
      <c r="F204" s="1467">
        <f>0.0276*B204</f>
        <v>0.1656</v>
      </c>
      <c r="G204" s="1432"/>
      <c r="H204" s="4">
        <f>F204*20</f>
        <v>3.3119999999999998</v>
      </c>
      <c r="I204" s="220">
        <v>0</v>
      </c>
      <c r="J204" s="150">
        <f>50*B204</f>
        <v>300</v>
      </c>
      <c r="K204" s="150">
        <f>B204*50</f>
        <v>300</v>
      </c>
      <c r="L204" s="172">
        <f t="shared" ref="L204:L209" si="61">I204+J204+K204</f>
        <v>600</v>
      </c>
      <c r="M204" s="1539">
        <f t="shared" ref="M204:M209" si="62">IF(ISERROR(L204/(F204*752)),0,L204/(F204*752))</f>
        <v>4.8180696885599756</v>
      </c>
      <c r="N204" s="1540"/>
    </row>
    <row r="205" spans="1:14" s="363" customFormat="1">
      <c r="A205" s="32" t="str">
        <f>'Ontario Total'!A206</f>
        <v>High Efficiency Clothes Washers (HECW)</v>
      </c>
      <c r="B205" s="1421">
        <f>SAWC!N254</f>
        <v>7</v>
      </c>
      <c r="C205" s="1422"/>
      <c r="D205" s="1431">
        <f t="shared" si="60"/>
        <v>62963.88</v>
      </c>
      <c r="E205" s="1444"/>
      <c r="F205" s="1876">
        <f>0.0276*B205</f>
        <v>0.19319999999999998</v>
      </c>
      <c r="G205" s="1902"/>
      <c r="H205" s="4">
        <f>F205*15</f>
        <v>2.8979999999999997</v>
      </c>
      <c r="I205" s="221">
        <f>0*B205</f>
        <v>0</v>
      </c>
      <c r="J205" s="150">
        <f>65*B205</f>
        <v>455</v>
      </c>
      <c r="K205" s="150">
        <f>B205*80</f>
        <v>560</v>
      </c>
      <c r="L205" s="172">
        <f t="shared" si="61"/>
        <v>1015</v>
      </c>
      <c r="M205" s="1539">
        <f t="shared" si="62"/>
        <v>6.9862010484119645</v>
      </c>
      <c r="N205" s="1540"/>
    </row>
    <row r="206" spans="1:14">
      <c r="A206" s="32" t="str">
        <f>'Ontario Total'!A207</f>
        <v>Rotating Nozzles for Pop-up Spray Heads</v>
      </c>
      <c r="B206" s="1421">
        <f>SAWC!N255</f>
        <v>0</v>
      </c>
      <c r="C206" s="1422"/>
      <c r="D206" s="1431">
        <f t="shared" si="60"/>
        <v>0</v>
      </c>
      <c r="E206" s="1444"/>
      <c r="F206" s="1467">
        <f>0.004*B206</f>
        <v>0</v>
      </c>
      <c r="G206" s="1432"/>
      <c r="H206" s="4">
        <f>F206*5</f>
        <v>0</v>
      </c>
      <c r="I206" s="221">
        <f>0*B206</f>
        <v>0</v>
      </c>
      <c r="J206" s="150">
        <f>2*B206</f>
        <v>0</v>
      </c>
      <c r="K206" s="150">
        <f>B206*4</f>
        <v>0</v>
      </c>
      <c r="L206" s="172">
        <f t="shared" si="61"/>
        <v>0</v>
      </c>
      <c r="M206" s="1539">
        <f t="shared" si="62"/>
        <v>0</v>
      </c>
      <c r="N206" s="1540"/>
    </row>
    <row r="207" spans="1:14">
      <c r="A207" s="32" t="str">
        <f>'Ontario Total'!A208</f>
        <v>Weather based Irrigation Controllers (WBIC)</v>
      </c>
      <c r="B207" s="1421">
        <f>SAWC!N256</f>
        <v>3</v>
      </c>
      <c r="C207" s="1422"/>
      <c r="D207" s="1431">
        <f t="shared" si="60"/>
        <v>317752.5</v>
      </c>
      <c r="E207" s="1444"/>
      <c r="F207" s="1467">
        <f>0.325*B207</f>
        <v>0.97500000000000009</v>
      </c>
      <c r="G207" s="1432"/>
      <c r="H207" s="4">
        <f>F207*10</f>
        <v>9.75</v>
      </c>
      <c r="I207" s="220">
        <v>0</v>
      </c>
      <c r="J207" s="151">
        <f>B207*70</f>
        <v>210</v>
      </c>
      <c r="K207" s="150">
        <f>B207*80</f>
        <v>240</v>
      </c>
      <c r="L207" s="172">
        <f t="shared" si="61"/>
        <v>450</v>
      </c>
      <c r="M207" s="1539">
        <f t="shared" si="62"/>
        <v>0.61374795417348604</v>
      </c>
      <c r="N207" s="1540"/>
    </row>
    <row r="208" spans="1:14">
      <c r="A208" s="76" t="s">
        <v>283</v>
      </c>
      <c r="B208" s="1421">
        <f>SAWC!N257</f>
        <v>0</v>
      </c>
      <c r="C208" s="1422"/>
      <c r="D208" s="1431">
        <f t="shared" si="60"/>
        <v>0</v>
      </c>
      <c r="E208" s="1444"/>
      <c r="F208" s="1467">
        <f>0.325*B208</f>
        <v>0</v>
      </c>
      <c r="G208" s="1432"/>
      <c r="H208" s="4">
        <f>F208*10</f>
        <v>0</v>
      </c>
      <c r="I208" s="220">
        <v>0</v>
      </c>
      <c r="J208" s="151">
        <f>B208*70</f>
        <v>0</v>
      </c>
      <c r="K208" s="150">
        <f>B208*80</f>
        <v>0</v>
      </c>
      <c r="L208" s="172">
        <f t="shared" si="61"/>
        <v>0</v>
      </c>
      <c r="M208" s="1539">
        <f t="shared" si="62"/>
        <v>0</v>
      </c>
      <c r="N208" s="1540"/>
    </row>
    <row r="209" spans="1:14" s="91" customFormat="1" ht="17" thickBot="1">
      <c r="A209" s="76" t="s">
        <v>214</v>
      </c>
      <c r="B209" s="1421">
        <f>SAWC!N258</f>
        <v>8</v>
      </c>
      <c r="C209" s="1422"/>
      <c r="D209" s="1431">
        <v>847340</v>
      </c>
      <c r="E209" s="1444"/>
      <c r="F209" s="1876">
        <v>2.6</v>
      </c>
      <c r="G209" s="1902"/>
      <c r="H209" s="71">
        <v>26</v>
      </c>
      <c r="I209" s="220">
        <v>0</v>
      </c>
      <c r="J209" s="151">
        <f>B209*0</f>
        <v>0</v>
      </c>
      <c r="K209" s="150">
        <f>B209*75</f>
        <v>600</v>
      </c>
      <c r="L209" s="172">
        <f t="shared" si="61"/>
        <v>600</v>
      </c>
      <c r="M209" s="1539">
        <f t="shared" si="62"/>
        <v>0.30687397708674302</v>
      </c>
      <c r="N209" s="1540"/>
    </row>
    <row r="210" spans="1:14" s="1168" customFormat="1" ht="17" thickBot="1">
      <c r="A210" s="108" t="str">
        <f>'Ontario Total'!A211</f>
        <v>IEUA Locally Implemented Residential Programs</v>
      </c>
      <c r="B210" s="1143"/>
      <c r="C210" s="1142"/>
      <c r="D210" s="1148"/>
      <c r="E210" s="1141"/>
      <c r="F210" s="1156"/>
      <c r="G210" s="1212"/>
      <c r="H210" s="1261"/>
      <c r="I210" s="1242"/>
      <c r="J210" s="179"/>
      <c r="K210" s="179"/>
      <c r="L210" s="180"/>
      <c r="M210" s="1146"/>
      <c r="N210" s="1147"/>
    </row>
    <row r="211" spans="1:14">
      <c r="A211" s="32" t="s">
        <v>165</v>
      </c>
      <c r="B211" s="1421">
        <f>SAWC!N260</f>
        <v>0</v>
      </c>
      <c r="C211" s="1422"/>
      <c r="D211" s="1431">
        <f>F211*325851</f>
        <v>0</v>
      </c>
      <c r="E211" s="1444"/>
      <c r="F211" s="1431">
        <f>B211*0.004</f>
        <v>0</v>
      </c>
      <c r="G211" s="1444"/>
      <c r="H211" s="19">
        <v>0</v>
      </c>
      <c r="I211" s="220">
        <v>0</v>
      </c>
      <c r="J211" s="151">
        <v>0</v>
      </c>
      <c r="K211" s="235">
        <f>B211*3.6</f>
        <v>0</v>
      </c>
      <c r="L211" s="236">
        <f>SUM(I211:K211)</f>
        <v>0</v>
      </c>
      <c r="M211" s="1634">
        <f>IF(ISERROR(L211/(F211*752)),0,L211/(F211*752))</f>
        <v>0</v>
      </c>
      <c r="N211" s="1540"/>
    </row>
    <row r="212" spans="1:14">
      <c r="A212" s="78" t="s">
        <v>249</v>
      </c>
      <c r="B212" s="1421">
        <f>SAWC!N261</f>
        <v>9</v>
      </c>
      <c r="C212" s="1422"/>
      <c r="D212" s="1423">
        <f>F212*325900</f>
        <v>2118350</v>
      </c>
      <c r="E212" s="1536"/>
      <c r="F212" s="1868">
        <f>20*0.325</f>
        <v>6.5</v>
      </c>
      <c r="G212" s="1578"/>
      <c r="H212" s="654">
        <f>F212*10</f>
        <v>65</v>
      </c>
      <c r="I212" s="220">
        <v>10560.95</v>
      </c>
      <c r="J212" s="151">
        <v>0</v>
      </c>
      <c r="K212" s="151">
        <v>10560.95</v>
      </c>
      <c r="L212" s="221">
        <f>SUM(I212:K212)</f>
        <v>21121.9</v>
      </c>
      <c r="M212" s="1634">
        <f>IF(ISERROR(L212/(F212*752)),0,L212/(F212*752))</f>
        <v>4.3211743044189852</v>
      </c>
      <c r="N212" s="1540"/>
    </row>
    <row r="213" spans="1:14" ht="14" thickBot="1">
      <c r="A213" s="78" t="s">
        <v>241</v>
      </c>
      <c r="B213" s="1421">
        <f>SAWC!N262</f>
        <v>0</v>
      </c>
      <c r="C213" s="1422"/>
      <c r="D213" s="1431">
        <f>F213*325851</f>
        <v>0</v>
      </c>
      <c r="E213" s="1444"/>
      <c r="F213" s="1736">
        <v>0</v>
      </c>
      <c r="G213" s="1445"/>
      <c r="H213" s="106">
        <v>0</v>
      </c>
      <c r="I213" s="220">
        <v>0</v>
      </c>
      <c r="J213" s="151">
        <v>0</v>
      </c>
      <c r="K213" s="219">
        <v>0</v>
      </c>
      <c r="L213" s="221">
        <v>0</v>
      </c>
      <c r="M213" s="1634">
        <f>IF(ISERROR(L213/(F213*752)),0,L213/(F213*752))</f>
        <v>0</v>
      </c>
      <c r="N213" s="1540"/>
    </row>
    <row r="214" spans="1:14" ht="14" thickBot="1">
      <c r="A214" s="53" t="s">
        <v>60</v>
      </c>
      <c r="B214" s="1438">
        <f>SUM(B204:B213)</f>
        <v>33</v>
      </c>
      <c r="C214" s="1439"/>
      <c r="D214" s="1440">
        <f>SUM(D204:E213)</f>
        <v>3400375.42</v>
      </c>
      <c r="E214" s="1440"/>
      <c r="F214" s="1441">
        <f>SUM(F204:G213)</f>
        <v>10.4338</v>
      </c>
      <c r="G214" s="1440"/>
      <c r="H214" s="56">
        <f>SUM(H204:H213)</f>
        <v>106.96000000000001</v>
      </c>
      <c r="I214" s="136">
        <f>SUM(I204:I213)</f>
        <v>10560.95</v>
      </c>
      <c r="J214" s="136">
        <f>SUM(J204:J213)</f>
        <v>965</v>
      </c>
      <c r="K214" s="143">
        <f>SUM(K204:K213)</f>
        <v>12260.95</v>
      </c>
      <c r="L214" s="136">
        <f>SUM(L204:L213)</f>
        <v>23786.9</v>
      </c>
      <c r="M214" s="1440"/>
      <c r="N214" s="1730"/>
    </row>
    <row r="215" spans="1:14" ht="12.75" hidden="1" customHeight="1" thickBot="1">
      <c r="A215" s="108" t="str">
        <f>'Ontario Total'!A216</f>
        <v xml:space="preserve">IEUA High Efficiency Toilet (HET) Installation Prog. </v>
      </c>
      <c r="B215" s="259"/>
      <c r="C215" s="228"/>
      <c r="D215" s="227"/>
      <c r="E215" s="683"/>
      <c r="F215" s="229"/>
      <c r="G215" s="684"/>
      <c r="H215" s="685"/>
      <c r="I215" s="230"/>
      <c r="J215" s="231"/>
      <c r="K215" s="232"/>
      <c r="L215" s="237"/>
      <c r="M215" s="233"/>
      <c r="N215" s="191"/>
    </row>
    <row r="216" spans="1:14" s="91" customFormat="1" ht="16" hidden="1">
      <c r="A216" s="32" t="str">
        <f>'Ontario Total'!A217</f>
        <v>IEUA Multi-Family Direct Install Prog. (HET)</v>
      </c>
      <c r="B216" s="1421"/>
      <c r="C216" s="1422"/>
      <c r="D216" s="1855">
        <f>F216*325851</f>
        <v>0</v>
      </c>
      <c r="E216" s="1767"/>
      <c r="F216" s="1899">
        <f>0.0425*B216</f>
        <v>0</v>
      </c>
      <c r="G216" s="1884"/>
      <c r="H216" s="71">
        <f>F216*20</f>
        <v>0</v>
      </c>
      <c r="I216" s="222">
        <f>73.34*B216</f>
        <v>0</v>
      </c>
      <c r="J216" s="181">
        <f>35.66*B216</f>
        <v>0</v>
      </c>
      <c r="K216" s="225">
        <f>B216*50</f>
        <v>0</v>
      </c>
      <c r="L216" s="222">
        <f>I216+J216+K216</f>
        <v>0</v>
      </c>
      <c r="M216" s="2153">
        <f>IF(ISERROR(L216/(F216*727)),0,L216/(F216*727))</f>
        <v>0</v>
      </c>
      <c r="N216" s="2154"/>
    </row>
    <row r="217" spans="1:14" ht="14" hidden="1" thickBot="1">
      <c r="A217" s="32" t="str">
        <f>'Ontario Total'!A218</f>
        <v>IEUA Single-Family Direct Install Prog. (HET)</v>
      </c>
      <c r="B217" s="1421"/>
      <c r="C217" s="1422"/>
      <c r="D217" s="1734">
        <f>F217*325851</f>
        <v>0</v>
      </c>
      <c r="E217" s="1768"/>
      <c r="F217" s="1901">
        <f>0.0425*B217</f>
        <v>0</v>
      </c>
      <c r="G217" s="1886"/>
      <c r="H217" s="71">
        <f>F217*20</f>
        <v>0</v>
      </c>
      <c r="I217" s="222">
        <f>73.34*B217</f>
        <v>0</v>
      </c>
      <c r="J217" s="181">
        <f>35.66*B217</f>
        <v>0</v>
      </c>
      <c r="K217" s="225">
        <f>B217*50</f>
        <v>0</v>
      </c>
      <c r="L217" s="222">
        <f>I217+J217+K217</f>
        <v>0</v>
      </c>
      <c r="M217" s="2155">
        <f>IF(ISERROR(L217/(F217*727)),0,L217/(F217*727))</f>
        <v>0</v>
      </c>
      <c r="N217" s="2156"/>
    </row>
    <row r="218" spans="1:14" ht="14" hidden="1" thickBot="1">
      <c r="A218" s="53" t="s">
        <v>60</v>
      </c>
      <c r="B218" s="1564"/>
      <c r="C218" s="1603"/>
      <c r="D218" s="1564">
        <f>SUM(D216:D217)</f>
        <v>0</v>
      </c>
      <c r="E218" s="1452"/>
      <c r="F218" s="1694">
        <f>SUM(F216:F217)</f>
        <v>0</v>
      </c>
      <c r="G218" s="1452"/>
      <c r="H218" s="686">
        <f>SUM(H216:H217)</f>
        <v>0</v>
      </c>
      <c r="I218" s="223">
        <f>SUM(I216:I217)</f>
        <v>0</v>
      </c>
      <c r="J218" s="224">
        <f>SUM(J216:J217)</f>
        <v>0</v>
      </c>
      <c r="K218" s="226">
        <f>SUM(K216:K217)</f>
        <v>0</v>
      </c>
      <c r="L218" s="238">
        <f>SUM(L216:L217)</f>
        <v>0</v>
      </c>
      <c r="M218" s="2157"/>
      <c r="N218" s="2158"/>
    </row>
    <row r="219" spans="1:14" s="1168" customFormat="1" ht="17" thickBot="1">
      <c r="A219" s="108" t="str">
        <f>'Ontario Total'!A220</f>
        <v>SoCal Water$mart Commercial Rebates</v>
      </c>
      <c r="B219" s="1143"/>
      <c r="C219" s="1142"/>
      <c r="D219" s="1148"/>
      <c r="E219" s="1141"/>
      <c r="F219" s="1156"/>
      <c r="G219" s="1240"/>
      <c r="H219" s="1262"/>
      <c r="I219" s="1242"/>
      <c r="J219" s="179"/>
      <c r="K219" s="179"/>
      <c r="L219" s="1242"/>
      <c r="M219" s="1149"/>
      <c r="N219" s="1147"/>
    </row>
    <row r="220" spans="1:14">
      <c r="A220" s="32" t="str">
        <f>'Ontario Total'!A221</f>
        <v>High Efficiency Toilets (HET)</v>
      </c>
      <c r="B220" s="1421">
        <f>SAWC!N270</f>
        <v>0</v>
      </c>
      <c r="C220" s="1422"/>
      <c r="D220" s="1431">
        <f>F220*325851</f>
        <v>0</v>
      </c>
      <c r="E220" s="1444"/>
      <c r="F220" s="1720">
        <f t="shared" ref="F220:F226" si="63">0.004*B220</f>
        <v>0</v>
      </c>
      <c r="G220" s="1727"/>
      <c r="H220" s="444">
        <f>F220*20</f>
        <v>0</v>
      </c>
      <c r="I220" s="220">
        <v>0</v>
      </c>
      <c r="J220" s="150">
        <f>135*B220</f>
        <v>0</v>
      </c>
      <c r="K220" s="150">
        <f>165*B220</f>
        <v>0</v>
      </c>
      <c r="L220" s="221">
        <f t="shared" ref="L220:L225" si="64">SUM(I220:K220)</f>
        <v>0</v>
      </c>
      <c r="M220" s="1634">
        <f>IF(ISERROR(L220/(F220*752)),0,L220/(F220*752))</f>
        <v>0</v>
      </c>
      <c r="N220" s="1540"/>
    </row>
    <row r="221" spans="1:14" s="91" customFormat="1" ht="16">
      <c r="A221" s="32" t="str">
        <f>'Ontario Total'!A222</f>
        <v>Waterless Urinals</v>
      </c>
      <c r="B221" s="1421">
        <f>SAWC!N271</f>
        <v>0</v>
      </c>
      <c r="C221" s="1422"/>
      <c r="D221" s="1431">
        <f>F221*325851</f>
        <v>0</v>
      </c>
      <c r="E221" s="1444"/>
      <c r="F221" s="1720">
        <f t="shared" si="63"/>
        <v>0</v>
      </c>
      <c r="G221" s="1727"/>
      <c r="H221" s="444">
        <f>F221*20</f>
        <v>0</v>
      </c>
      <c r="I221" s="220">
        <v>0</v>
      </c>
      <c r="J221" s="150">
        <f>0*B221</f>
        <v>0</v>
      </c>
      <c r="K221" s="150">
        <f>400*B221</f>
        <v>0</v>
      </c>
      <c r="L221" s="221">
        <f t="shared" si="64"/>
        <v>0</v>
      </c>
      <c r="M221" s="1634">
        <f>IF(ISERROR(L221/(F221*752)),0,L221/(F221*752))</f>
        <v>0</v>
      </c>
      <c r="N221" s="1540"/>
    </row>
    <row r="222" spans="1:14">
      <c r="A222" s="32" t="s">
        <v>204</v>
      </c>
      <c r="B222" s="1421">
        <f>SAWC!N272</f>
        <v>0</v>
      </c>
      <c r="C222" s="1422"/>
      <c r="D222" s="1431">
        <f t="shared" ref="D222:D228" si="65">F222*325851</f>
        <v>0</v>
      </c>
      <c r="E222" s="1444"/>
      <c r="F222" s="1720">
        <f t="shared" si="63"/>
        <v>0</v>
      </c>
      <c r="G222" s="1727"/>
      <c r="H222" s="444">
        <f>F222*5</f>
        <v>0</v>
      </c>
      <c r="I222" s="220">
        <v>0</v>
      </c>
      <c r="J222" s="150">
        <f>43.75*B222</f>
        <v>0</v>
      </c>
      <c r="K222" s="150">
        <f>625*B222</f>
        <v>0</v>
      </c>
      <c r="L222" s="221">
        <f t="shared" si="64"/>
        <v>0</v>
      </c>
      <c r="M222" s="1634">
        <f>IF(ISERROR(L222/(F222*752)),0,L222/(F222*752))</f>
        <v>0</v>
      </c>
      <c r="N222" s="1540"/>
    </row>
    <row r="223" spans="1:14" hidden="1">
      <c r="A223" s="32" t="str">
        <f>'Ontario Total'!A224</f>
        <v>High Efficiency Clothes Washers</v>
      </c>
      <c r="B223" s="1421">
        <f>SAWC!N273</f>
        <v>0</v>
      </c>
      <c r="C223" s="1422"/>
      <c r="D223" s="1431">
        <f t="shared" si="65"/>
        <v>0</v>
      </c>
      <c r="E223" s="1444"/>
      <c r="F223" s="1720">
        <f t="shared" si="63"/>
        <v>0</v>
      </c>
      <c r="G223" s="1727"/>
      <c r="H223" s="444">
        <f>F223*10</f>
        <v>0</v>
      </c>
      <c r="I223" s="220">
        <v>0</v>
      </c>
      <c r="J223" s="150">
        <f>100*B223</f>
        <v>0</v>
      </c>
      <c r="K223" s="150">
        <f>80*B223</f>
        <v>0</v>
      </c>
      <c r="L223" s="221">
        <f t="shared" si="64"/>
        <v>0</v>
      </c>
      <c r="M223" s="1634">
        <f>IF(ISERROR(L223/(F223*727)),0,L223/(F223*727))</f>
        <v>0</v>
      </c>
      <c r="N223" s="1540"/>
    </row>
    <row r="224" spans="1:14" hidden="1">
      <c r="A224" s="35" t="s">
        <v>47</v>
      </c>
      <c r="B224" s="1421">
        <f>SAWC!N274</f>
        <v>0</v>
      </c>
      <c r="C224" s="1422"/>
      <c r="D224" s="1431">
        <f t="shared" si="65"/>
        <v>0</v>
      </c>
      <c r="E224" s="1444"/>
      <c r="F224" s="1720">
        <f t="shared" si="63"/>
        <v>0</v>
      </c>
      <c r="G224" s="1727"/>
      <c r="H224" s="444">
        <f>F224*5</f>
        <v>0</v>
      </c>
      <c r="I224" s="220">
        <v>0</v>
      </c>
      <c r="J224" s="150">
        <f>0*B224</f>
        <v>0</v>
      </c>
      <c r="K224" s="150">
        <f>150*B224</f>
        <v>0</v>
      </c>
      <c r="L224" s="221">
        <f t="shared" si="64"/>
        <v>0</v>
      </c>
      <c r="M224" s="301">
        <v>0</v>
      </c>
      <c r="N224" s="294"/>
    </row>
    <row r="225" spans="1:14" s="91" customFormat="1" ht="16">
      <c r="A225" s="32" t="str">
        <f>'Ontario Total'!A226</f>
        <v>Weather Based Irrigation Controllers (WBIC)</v>
      </c>
      <c r="B225" s="1421">
        <f>SAWC!N275</f>
        <v>0</v>
      </c>
      <c r="C225" s="1422"/>
      <c r="D225" s="1431">
        <f t="shared" si="65"/>
        <v>0</v>
      </c>
      <c r="E225" s="1444"/>
      <c r="F225" s="1720">
        <f t="shared" si="63"/>
        <v>0</v>
      </c>
      <c r="G225" s="1727"/>
      <c r="H225" s="444">
        <f>F225*10</f>
        <v>0</v>
      </c>
      <c r="I225" s="220">
        <v>0</v>
      </c>
      <c r="J225" s="150">
        <f>0*B225</f>
        <v>0</v>
      </c>
      <c r="K225" s="150">
        <f>669*B225</f>
        <v>0</v>
      </c>
      <c r="L225" s="221">
        <f t="shared" si="64"/>
        <v>0</v>
      </c>
      <c r="M225" s="1634">
        <f>IF(ISERROR(L225/(F225*752)),0,L225/(F225*752))</f>
        <v>0</v>
      </c>
      <c r="N225" s="1540"/>
    </row>
    <row r="226" spans="1:14" hidden="1">
      <c r="A226" s="33" t="s">
        <v>53</v>
      </c>
      <c r="B226" s="1421">
        <f>SAWC!N276</f>
        <v>0</v>
      </c>
      <c r="C226" s="1422"/>
      <c r="D226" s="1431">
        <f t="shared" si="65"/>
        <v>0</v>
      </c>
      <c r="E226" s="1444"/>
      <c r="F226" s="1720">
        <f t="shared" si="63"/>
        <v>0</v>
      </c>
      <c r="G226" s="1727"/>
      <c r="H226" s="444">
        <f>F226*10</f>
        <v>0</v>
      </c>
      <c r="I226" s="220">
        <v>0</v>
      </c>
      <c r="J226" s="150">
        <f>0.45*B226</f>
        <v>0</v>
      </c>
      <c r="K226" s="150">
        <f>0.3*B226</f>
        <v>0</v>
      </c>
      <c r="L226" s="221">
        <v>0</v>
      </c>
      <c r="M226" s="301">
        <v>0</v>
      </c>
      <c r="N226" s="294"/>
    </row>
    <row r="227" spans="1:14">
      <c r="A227" s="32" t="str">
        <f>'Ontario Total'!A228</f>
        <v>Rotating Nozzles for Pop-up Spray Heads</v>
      </c>
      <c r="B227" s="1421">
        <f>SAWC!N277</f>
        <v>0</v>
      </c>
      <c r="C227" s="1422"/>
      <c r="D227" s="1431">
        <f t="shared" si="65"/>
        <v>0</v>
      </c>
      <c r="E227" s="1444"/>
      <c r="F227" s="1720">
        <f>0.004*B227</f>
        <v>0</v>
      </c>
      <c r="G227" s="1727"/>
      <c r="H227" s="444">
        <f>F227*5</f>
        <v>0</v>
      </c>
      <c r="I227" s="220">
        <v>0</v>
      </c>
      <c r="J227" s="150">
        <f t="shared" ref="J227:J233" si="66">0*B227</f>
        <v>0</v>
      </c>
      <c r="K227" s="150">
        <f>4*B227</f>
        <v>0</v>
      </c>
      <c r="L227" s="221">
        <f t="shared" ref="L227:L233" si="67">SUM(I227:K227)</f>
        <v>0</v>
      </c>
      <c r="M227" s="1634">
        <f>IF(ISERROR(L227/(F227*752)),0,L227/(F227*752))</f>
        <v>0</v>
      </c>
      <c r="N227" s="1540"/>
    </row>
    <row r="228" spans="1:14">
      <c r="A228" s="32" t="str">
        <f>'Ontario Total'!A229</f>
        <v>Large Rotary Nozzles</v>
      </c>
      <c r="B228" s="1421">
        <f>SAWC!N278</f>
        <v>0</v>
      </c>
      <c r="C228" s="1422"/>
      <c r="D228" s="1431">
        <f t="shared" si="65"/>
        <v>0</v>
      </c>
      <c r="E228" s="1444"/>
      <c r="F228" s="1720">
        <f t="shared" ref="F228:F233" si="68">0.018*B228</f>
        <v>0</v>
      </c>
      <c r="G228" s="1727"/>
      <c r="H228" s="444">
        <f>F228*10</f>
        <v>0</v>
      </c>
      <c r="I228" s="220">
        <v>0</v>
      </c>
      <c r="J228" s="150">
        <f t="shared" si="66"/>
        <v>0</v>
      </c>
      <c r="K228" s="150">
        <f>13*B228</f>
        <v>0</v>
      </c>
      <c r="L228" s="221">
        <f t="shared" si="67"/>
        <v>0</v>
      </c>
      <c r="M228" s="1634">
        <f>IF(ISERROR(L228/(F228*752)),0,L228/(F228*752))</f>
        <v>0</v>
      </c>
      <c r="N228" s="1540"/>
    </row>
    <row r="229" spans="1:14" ht="12.75" hidden="1" customHeight="1">
      <c r="A229" s="33" t="s">
        <v>102</v>
      </c>
      <c r="B229" s="1421">
        <f>SAWC!N279</f>
        <v>0</v>
      </c>
      <c r="C229" s="1422"/>
      <c r="D229" s="1431">
        <f>F229*325851</f>
        <v>0</v>
      </c>
      <c r="E229" s="1444"/>
      <c r="F229" s="1720">
        <f t="shared" si="68"/>
        <v>0</v>
      </c>
      <c r="G229" s="1727"/>
      <c r="H229" s="444">
        <f>F229*5</f>
        <v>0</v>
      </c>
      <c r="I229" s="220">
        <v>0</v>
      </c>
      <c r="J229" s="150">
        <f t="shared" si="66"/>
        <v>0</v>
      </c>
      <c r="K229" s="150">
        <f>60*B229</f>
        <v>0</v>
      </c>
      <c r="L229" s="221">
        <f t="shared" si="67"/>
        <v>0</v>
      </c>
      <c r="M229" s="301">
        <v>0</v>
      </c>
      <c r="N229" s="294"/>
    </row>
    <row r="230" spans="1:14">
      <c r="A230" s="32" t="str">
        <f>'Ontario Total'!A231</f>
        <v xml:space="preserve">Central Computerized Irrigation Controller </v>
      </c>
      <c r="B230" s="1421">
        <f>SAWC!N280</f>
        <v>0</v>
      </c>
      <c r="C230" s="1422"/>
      <c r="D230" s="1431">
        <f>F230*325851</f>
        <v>0</v>
      </c>
      <c r="E230" s="1444"/>
      <c r="F230" s="1720">
        <f t="shared" si="68"/>
        <v>0</v>
      </c>
      <c r="G230" s="1727"/>
      <c r="H230" s="444">
        <f>F230*5</f>
        <v>0</v>
      </c>
      <c r="I230" s="220">
        <v>0</v>
      </c>
      <c r="J230" s="151">
        <f t="shared" si="66"/>
        <v>0</v>
      </c>
      <c r="K230" s="151">
        <f>60*B230</f>
        <v>0</v>
      </c>
      <c r="L230" s="220">
        <f t="shared" si="67"/>
        <v>0</v>
      </c>
      <c r="M230" s="2151">
        <f>IF(ISERROR(L230/(F230*752)),0,L230/(F230*752))</f>
        <v>0</v>
      </c>
      <c r="N230" s="1690"/>
    </row>
    <row r="231" spans="1:14">
      <c r="A231" s="144" t="str">
        <f>'Ontario Total'!A232</f>
        <v>Laminar Flow Restrictor</v>
      </c>
      <c r="B231" s="1421">
        <f>SAWC!N281</f>
        <v>0</v>
      </c>
      <c r="C231" s="1422"/>
      <c r="D231" s="1736">
        <f>F231*325851</f>
        <v>0</v>
      </c>
      <c r="E231" s="1445"/>
      <c r="F231" s="1723">
        <f t="shared" si="68"/>
        <v>0</v>
      </c>
      <c r="G231" s="2152"/>
      <c r="H231" s="449">
        <f>F231*5</f>
        <v>0</v>
      </c>
      <c r="I231" s="220">
        <v>0</v>
      </c>
      <c r="J231" s="151">
        <f t="shared" si="66"/>
        <v>0</v>
      </c>
      <c r="K231" s="151">
        <f>60*B231</f>
        <v>0</v>
      </c>
      <c r="L231" s="220">
        <f t="shared" si="67"/>
        <v>0</v>
      </c>
      <c r="M231" s="2151">
        <f>IF(ISERROR(L231/(F231*752)),0,L231/(F231*752))</f>
        <v>0</v>
      </c>
      <c r="N231" s="1690"/>
    </row>
    <row r="232" spans="1:14">
      <c r="A232" s="144" t="str">
        <f>'Ontario Total'!A233</f>
        <v>Air-Cooled Ice Machine</v>
      </c>
      <c r="B232" s="1421">
        <f>SAWC!N282</f>
        <v>0</v>
      </c>
      <c r="C232" s="1422"/>
      <c r="D232" s="1736">
        <f>F232*325851</f>
        <v>0</v>
      </c>
      <c r="E232" s="1445"/>
      <c r="F232" s="1723">
        <f t="shared" si="68"/>
        <v>0</v>
      </c>
      <c r="G232" s="2152"/>
      <c r="H232" s="449">
        <f>F232*5</f>
        <v>0</v>
      </c>
      <c r="I232" s="220">
        <v>0</v>
      </c>
      <c r="J232" s="151">
        <f t="shared" si="66"/>
        <v>0</v>
      </c>
      <c r="K232" s="151">
        <f>60*B232</f>
        <v>0</v>
      </c>
      <c r="L232" s="220">
        <f t="shared" si="67"/>
        <v>0</v>
      </c>
      <c r="M232" s="2151">
        <f>IF(ISERROR(L232/(F232*752)),0,L232/(F232*752))</f>
        <v>0</v>
      </c>
      <c r="N232" s="1690"/>
    </row>
    <row r="233" spans="1:14" ht="14" thickBot="1">
      <c r="A233" s="107" t="s">
        <v>283</v>
      </c>
      <c r="B233" s="1421">
        <f>SAWC!N283</f>
        <v>0</v>
      </c>
      <c r="C233" s="1422"/>
      <c r="D233" s="1736">
        <f>F233*325851</f>
        <v>0</v>
      </c>
      <c r="E233" s="1445"/>
      <c r="F233" s="1723">
        <f t="shared" si="68"/>
        <v>0</v>
      </c>
      <c r="G233" s="2152"/>
      <c r="H233" s="449">
        <f>F233*5</f>
        <v>0</v>
      </c>
      <c r="I233" s="220">
        <v>0</v>
      </c>
      <c r="J233" s="151">
        <f t="shared" si="66"/>
        <v>0</v>
      </c>
      <c r="K233" s="151">
        <f>60*B233</f>
        <v>0</v>
      </c>
      <c r="L233" s="220">
        <f t="shared" si="67"/>
        <v>0</v>
      </c>
      <c r="M233" s="2151">
        <f>IF(ISERROR(L233/(F233*752)),0,L233/(F233*752))</f>
        <v>0</v>
      </c>
      <c r="N233" s="1690"/>
    </row>
    <row r="234" spans="1:14" ht="14" hidden="1" thickBot="1">
      <c r="A234" s="107"/>
      <c r="B234" s="569"/>
      <c r="C234" s="570"/>
      <c r="D234" s="573"/>
      <c r="E234" s="641"/>
      <c r="F234" s="639"/>
      <c r="G234" s="643"/>
      <c r="H234" s="449"/>
      <c r="I234" s="220"/>
      <c r="J234" s="151"/>
      <c r="K234" s="151"/>
      <c r="L234" s="220"/>
      <c r="M234" s="584"/>
      <c r="N234" s="565"/>
    </row>
    <row r="235" spans="1:14" s="1168" customFormat="1" ht="17" thickBot="1">
      <c r="A235" s="108" t="str">
        <f>'Ontario Total'!A236</f>
        <v>IEUA Locally Implemented Commercial Programs</v>
      </c>
      <c r="B235" s="1143"/>
      <c r="C235" s="1142"/>
      <c r="D235" s="1148"/>
      <c r="E235" s="1141"/>
      <c r="F235" s="1144"/>
      <c r="G235" s="1158"/>
      <c r="H235" s="447"/>
      <c r="I235" s="1242"/>
      <c r="J235" s="179"/>
      <c r="K235" s="179"/>
      <c r="L235" s="1242"/>
      <c r="M235" s="1149"/>
      <c r="N235" s="1147"/>
    </row>
    <row r="236" spans="1:14" ht="13.5" hidden="1" customHeight="1">
      <c r="A236" s="32" t="str">
        <f>'Ontario Total'!A237</f>
        <v>Fontana Unified School Retrofit Program</v>
      </c>
      <c r="B236" s="1421"/>
      <c r="C236" s="1422"/>
      <c r="D236" s="1431">
        <v>0</v>
      </c>
      <c r="E236" s="1444"/>
      <c r="F236" s="1720">
        <v>0</v>
      </c>
      <c r="G236" s="1727"/>
      <c r="H236" s="444">
        <v>0</v>
      </c>
      <c r="I236" s="188">
        <v>0</v>
      </c>
      <c r="J236" s="181">
        <v>0</v>
      </c>
      <c r="K236" s="181">
        <v>0</v>
      </c>
      <c r="L236" s="222">
        <v>0</v>
      </c>
      <c r="M236" s="2150">
        <v>0</v>
      </c>
      <c r="N236" s="1991"/>
    </row>
    <row r="237" spans="1:14" s="57" customFormat="1" ht="13.5" customHeight="1" thickBot="1">
      <c r="A237" s="32" t="s">
        <v>165</v>
      </c>
      <c r="B237" s="1421">
        <f>SAWC!N286</f>
        <v>0</v>
      </c>
      <c r="C237" s="1422"/>
      <c r="D237" s="1431">
        <f>F237*325851</f>
        <v>0</v>
      </c>
      <c r="E237" s="1444"/>
      <c r="F237" s="1720">
        <f>0.018*B237</f>
        <v>0</v>
      </c>
      <c r="G237" s="1727"/>
      <c r="H237" s="687">
        <f>F237*5</f>
        <v>0</v>
      </c>
      <c r="I237" s="220">
        <v>0</v>
      </c>
      <c r="J237" s="150">
        <f>0*B237</f>
        <v>0</v>
      </c>
      <c r="K237" s="150">
        <f>60*B237</f>
        <v>0</v>
      </c>
      <c r="L237" s="221">
        <f>SUM(I237:K237)</f>
        <v>0</v>
      </c>
      <c r="M237" s="1634">
        <f>IF(ISERROR(L237/(F237*752)),0,L237/(F237*752))</f>
        <v>0</v>
      </c>
      <c r="N237" s="1540"/>
    </row>
    <row r="238" spans="1:14" s="57" customFormat="1" ht="13.5" customHeight="1" thickBot="1">
      <c r="A238" s="53" t="s">
        <v>60</v>
      </c>
      <c r="B238" s="1438">
        <f>SUM(B220:C237)</f>
        <v>0</v>
      </c>
      <c r="C238" s="1440"/>
      <c r="D238" s="1441">
        <f>SUM(D220:E237)</f>
        <v>0</v>
      </c>
      <c r="E238" s="1440"/>
      <c r="F238" s="1441">
        <f>SUM(F220:G237)</f>
        <v>0</v>
      </c>
      <c r="G238" s="1440"/>
      <c r="H238" s="56">
        <f>SUM(H220:H237)</f>
        <v>0</v>
      </c>
      <c r="I238" s="136">
        <f>SUM(I220:I237)</f>
        <v>0</v>
      </c>
      <c r="J238" s="136">
        <f>SUM(J220:J237)</f>
        <v>0</v>
      </c>
      <c r="K238" s="143">
        <f>SUM(K220:K237)</f>
        <v>0</v>
      </c>
      <c r="L238" s="136">
        <f>SUM(L220:L237)</f>
        <v>0</v>
      </c>
      <c r="M238" s="1979"/>
      <c r="N238" s="1443"/>
    </row>
    <row r="239" spans="1:14" s="1168" customFormat="1" ht="13.5" customHeight="1" thickBot="1">
      <c r="A239" s="1182" t="s">
        <v>17</v>
      </c>
      <c r="B239" s="1414">
        <f>SUM(B214+B218+B238)</f>
        <v>33</v>
      </c>
      <c r="C239" s="1415"/>
      <c r="D239" s="1416">
        <f>SUM(D214+D218+D238)</f>
        <v>3400375.42</v>
      </c>
      <c r="E239" s="1612"/>
      <c r="F239" s="1416">
        <f>SUM(F214+F218+F238)</f>
        <v>10.4338</v>
      </c>
      <c r="G239" s="1612"/>
      <c r="H239" s="1179">
        <f>SUM(H214+H218+H238)</f>
        <v>106.96000000000001</v>
      </c>
      <c r="I239" s="1169">
        <f>SUM(I214+I218+I238)</f>
        <v>10560.95</v>
      </c>
      <c r="J239" s="1169">
        <f>SUM(J214+J218+J238)</f>
        <v>965</v>
      </c>
      <c r="K239" s="1169">
        <f>SUM(K214+K218+K238)</f>
        <v>12260.95</v>
      </c>
      <c r="L239" s="1169">
        <f>SUM(L214+L218+L238)</f>
        <v>23786.9</v>
      </c>
      <c r="M239" s="1263"/>
      <c r="N239" s="1264"/>
    </row>
    <row r="240" spans="1:14" s="91" customFormat="1" ht="16">
      <c r="A240" s="60"/>
      <c r="B240" s="61"/>
      <c r="C240" s="61"/>
      <c r="D240" s="61"/>
      <c r="E240" s="61"/>
      <c r="F240" s="61"/>
      <c r="G240" s="61"/>
      <c r="H240" s="62"/>
      <c r="I240" s="62"/>
      <c r="J240" s="62"/>
      <c r="K240" s="62"/>
      <c r="L240" s="62"/>
      <c r="M240" s="64"/>
      <c r="N240" s="65"/>
    </row>
    <row r="241" spans="1:14" ht="16">
      <c r="A241" s="9" t="s">
        <v>18</v>
      </c>
      <c r="B241" s="1566" t="s">
        <v>59</v>
      </c>
      <c r="C241" s="1566"/>
      <c r="D241" s="1566"/>
      <c r="E241" s="1566"/>
      <c r="F241" s="61"/>
      <c r="G241" s="61"/>
      <c r="H241" s="62"/>
      <c r="I241" s="62"/>
      <c r="J241" s="62"/>
      <c r="K241" s="62"/>
      <c r="L241" s="62"/>
      <c r="M241" s="64"/>
      <c r="N241" s="65"/>
    </row>
    <row r="242" spans="1:14" ht="16">
      <c r="A242" s="57"/>
      <c r="B242" s="1420" t="s">
        <v>19</v>
      </c>
      <c r="C242" s="1420"/>
      <c r="D242" s="1420"/>
      <c r="E242" s="1420"/>
      <c r="F242" s="61"/>
      <c r="G242" s="61"/>
      <c r="H242" s="62"/>
      <c r="I242" s="62"/>
      <c r="J242" s="62"/>
      <c r="K242" s="62"/>
      <c r="L242" s="62"/>
      <c r="M242" s="64"/>
      <c r="N242" s="65"/>
    </row>
    <row r="243" spans="1:14" ht="17" thickBot="1">
      <c r="A243" s="57"/>
      <c r="B243" s="729"/>
      <c r="C243" s="729"/>
      <c r="D243" s="729"/>
      <c r="E243" s="729"/>
      <c r="F243" s="61"/>
      <c r="G243" s="61"/>
      <c r="H243" s="62"/>
      <c r="I243" s="62"/>
      <c r="J243" s="62"/>
      <c r="K243" s="62"/>
      <c r="L243" s="62"/>
      <c r="M243" s="64"/>
      <c r="N243" s="65"/>
    </row>
    <row r="244" spans="1:14" ht="16">
      <c r="A244" s="98"/>
      <c r="B244" s="99"/>
      <c r="C244" s="99"/>
      <c r="D244" s="99"/>
      <c r="E244" s="99"/>
      <c r="F244" s="100"/>
      <c r="G244" s="100"/>
      <c r="H244" s="100"/>
      <c r="I244" s="1468" t="s">
        <v>0</v>
      </c>
      <c r="J244" s="1468"/>
      <c r="K244" s="1468"/>
      <c r="L244" s="1468"/>
      <c r="M244" s="1043"/>
      <c r="N244" s="1009"/>
    </row>
    <row r="245" spans="1:14" ht="16">
      <c r="A245" s="97"/>
      <c r="B245" s="1469" t="s">
        <v>1</v>
      </c>
      <c r="C245" s="1469"/>
      <c r="D245" s="1469" t="s">
        <v>2</v>
      </c>
      <c r="E245" s="1469"/>
      <c r="F245" s="1863" t="s">
        <v>3</v>
      </c>
      <c r="G245" s="1863"/>
      <c r="H245" s="1028" t="s">
        <v>3</v>
      </c>
      <c r="I245" s="127" t="s">
        <v>197</v>
      </c>
      <c r="J245" s="349"/>
      <c r="K245" s="349"/>
      <c r="L245" s="128"/>
      <c r="M245" s="1469" t="s">
        <v>4</v>
      </c>
      <c r="N245" s="1526"/>
    </row>
    <row r="246" spans="1:14" ht="19" thickBot="1">
      <c r="A246" s="103" t="s">
        <v>5</v>
      </c>
      <c r="B246" s="1469" t="s">
        <v>6</v>
      </c>
      <c r="C246" s="1469"/>
      <c r="D246" s="1469" t="s">
        <v>7</v>
      </c>
      <c r="E246" s="1469"/>
      <c r="F246" s="1863" t="s">
        <v>7</v>
      </c>
      <c r="G246" s="1863"/>
      <c r="H246" s="1028" t="s">
        <v>58</v>
      </c>
      <c r="I246" s="1007" t="s">
        <v>198</v>
      </c>
      <c r="J246" s="1005" t="s">
        <v>8</v>
      </c>
      <c r="K246" s="1005" t="s">
        <v>9</v>
      </c>
      <c r="L246" s="401" t="s">
        <v>10</v>
      </c>
      <c r="M246" s="1469" t="s">
        <v>145</v>
      </c>
      <c r="N246" s="1526"/>
    </row>
    <row r="247" spans="1:14" ht="24" thickBot="1">
      <c r="A247" s="88" t="s">
        <v>211</v>
      </c>
      <c r="B247" s="1031"/>
      <c r="C247" s="1017"/>
      <c r="D247" s="1018"/>
      <c r="E247" s="1019"/>
      <c r="F247" s="1032"/>
      <c r="G247" s="1033"/>
      <c r="H247" s="1034"/>
      <c r="I247" s="213"/>
      <c r="J247" s="177"/>
      <c r="K247" s="177"/>
      <c r="L247" s="178"/>
      <c r="M247" s="1021"/>
      <c r="N247" s="1022"/>
    </row>
    <row r="248" spans="1:14" s="1168" customFormat="1" ht="17" thickBot="1">
      <c r="A248" s="108" t="str">
        <f>'Ontario Total'!A249</f>
        <v>SoCal Water$mart Residential Rebates</v>
      </c>
      <c r="B248" s="1143"/>
      <c r="C248" s="1142"/>
      <c r="D248" s="1148"/>
      <c r="E248" s="1142"/>
      <c r="F248" s="1156"/>
      <c r="G248" s="1212"/>
      <c r="H248" s="1212"/>
      <c r="I248" s="1142"/>
      <c r="J248" s="179"/>
      <c r="K248" s="179"/>
      <c r="L248" s="180"/>
      <c r="M248" s="1154"/>
      <c r="N248" s="1155"/>
    </row>
    <row r="249" spans="1:14" s="363" customFormat="1">
      <c r="A249" s="32" t="str">
        <f>'Ontario Total'!A250</f>
        <v>High Efficiency Toilets (HET)</v>
      </c>
      <c r="B249" s="1421">
        <f>SAWC!N215</f>
        <v>1</v>
      </c>
      <c r="C249" s="1422"/>
      <c r="D249" s="1431">
        <f t="shared" ref="D249:D254" si="69">F249*325851</f>
        <v>8993.4876000000004</v>
      </c>
      <c r="E249" s="1422"/>
      <c r="F249" s="1795">
        <f>0.0276*B249</f>
        <v>2.76E-2</v>
      </c>
      <c r="G249" s="1466"/>
      <c r="H249" s="714">
        <f>F249*20</f>
        <v>0.55200000000000005</v>
      </c>
      <c r="I249" s="220">
        <v>0</v>
      </c>
      <c r="J249" s="150">
        <f>50*B249</f>
        <v>50</v>
      </c>
      <c r="K249" s="150">
        <f>B249*50</f>
        <v>50</v>
      </c>
      <c r="L249" s="172">
        <f t="shared" ref="L249:L254" si="70">I249+J249+K249</f>
        <v>100</v>
      </c>
      <c r="M249" s="1539">
        <f>IF(ISERROR(L249/(F249*752)),0,L249/(F249*752))</f>
        <v>4.8180696885599756</v>
      </c>
      <c r="N249" s="1540"/>
    </row>
    <row r="250" spans="1:14">
      <c r="A250" s="32" t="str">
        <f>'Ontario Total'!A251</f>
        <v>High Efficiency Clothes Washers (HECW)</v>
      </c>
      <c r="B250" s="1421">
        <f>SAWC!N216</f>
        <v>13</v>
      </c>
      <c r="C250" s="1422"/>
      <c r="D250" s="1431">
        <f t="shared" si="69"/>
        <v>116915.3388</v>
      </c>
      <c r="E250" s="1422"/>
      <c r="F250" s="1876">
        <f>0.0276*B250</f>
        <v>0.35880000000000001</v>
      </c>
      <c r="G250" s="1877"/>
      <c r="H250" s="709">
        <f>F250*15</f>
        <v>5.3819999999999997</v>
      </c>
      <c r="I250" s="221">
        <f>0*B250</f>
        <v>0</v>
      </c>
      <c r="J250" s="150">
        <f>65*B250</f>
        <v>845</v>
      </c>
      <c r="K250" s="150">
        <f>B250*80</f>
        <v>1040</v>
      </c>
      <c r="L250" s="172">
        <f t="shared" si="70"/>
        <v>1885</v>
      </c>
      <c r="M250" s="1539">
        <f>IF(ISERROR(L250/(F250*752)),0,L250/(F250*752))</f>
        <v>6.9862010484119637</v>
      </c>
      <c r="N250" s="1540"/>
    </row>
    <row r="251" spans="1:14">
      <c r="A251" s="32" t="str">
        <f>'Ontario Total'!A252</f>
        <v>Rotating Nozzles for Pop-up Spray Heads</v>
      </c>
      <c r="B251" s="1421">
        <f>SAWC!N217</f>
        <v>2</v>
      </c>
      <c r="C251" s="1422"/>
      <c r="D251" s="1431">
        <f t="shared" si="69"/>
        <v>2606.808</v>
      </c>
      <c r="E251" s="1422"/>
      <c r="F251" s="1876">
        <f>0.004*B251</f>
        <v>8.0000000000000002E-3</v>
      </c>
      <c r="G251" s="1877"/>
      <c r="H251" s="712">
        <f>F251*5</f>
        <v>0.04</v>
      </c>
      <c r="I251" s="221">
        <f>0*B251</f>
        <v>0</v>
      </c>
      <c r="J251" s="150">
        <f>2*B251</f>
        <v>4</v>
      </c>
      <c r="K251" s="150">
        <f>B251*4</f>
        <v>8</v>
      </c>
      <c r="L251" s="172">
        <f t="shared" si="70"/>
        <v>12</v>
      </c>
      <c r="M251" s="1539">
        <f>IF(ISERROR(L251/(F251*752)),0,L251/(F251*752))</f>
        <v>1.9946808510638299</v>
      </c>
      <c r="N251" s="1540"/>
    </row>
    <row r="252" spans="1:14">
      <c r="A252" s="32" t="str">
        <f>'Ontario Total'!A253</f>
        <v>Weather based Irrigation Controllers (WBIC)</v>
      </c>
      <c r="B252" s="1421">
        <f>SAWC!N218</f>
        <v>1</v>
      </c>
      <c r="C252" s="1422"/>
      <c r="D252" s="1431">
        <f t="shared" si="69"/>
        <v>105901.575</v>
      </c>
      <c r="E252" s="1422"/>
      <c r="F252" s="1876">
        <f>0.325*B252</f>
        <v>0.32500000000000001</v>
      </c>
      <c r="G252" s="1877"/>
      <c r="H252" s="709">
        <f>F252*10</f>
        <v>3.25</v>
      </c>
      <c r="I252" s="220">
        <v>0</v>
      </c>
      <c r="J252" s="151">
        <f>B252*70</f>
        <v>70</v>
      </c>
      <c r="K252" s="150">
        <f>B252*80</f>
        <v>80</v>
      </c>
      <c r="L252" s="172">
        <f t="shared" si="70"/>
        <v>150</v>
      </c>
      <c r="M252" s="1539">
        <f>IF(ISERROR(L252/(F252*752)),0,L252/(F252*752))</f>
        <v>0.61374795417348604</v>
      </c>
      <c r="N252" s="1540"/>
    </row>
    <row r="253" spans="1:14" s="91" customFormat="1" ht="16" hidden="1">
      <c r="A253" s="76" t="s">
        <v>53</v>
      </c>
      <c r="B253" s="1421">
        <f>SAWC!N219</f>
        <v>0</v>
      </c>
      <c r="C253" s="1422"/>
      <c r="D253" s="1431">
        <f t="shared" si="69"/>
        <v>0</v>
      </c>
      <c r="E253" s="1422"/>
      <c r="F253" s="1876">
        <f>0.325*B253</f>
        <v>0</v>
      </c>
      <c r="G253" s="1877"/>
      <c r="H253" s="939">
        <f t="shared" ref="H253:H254" si="71">F253*10</f>
        <v>0</v>
      </c>
      <c r="I253" s="220">
        <v>0</v>
      </c>
      <c r="J253" s="151">
        <f>B253*70</f>
        <v>0</v>
      </c>
      <c r="K253" s="150">
        <f>B253*80</f>
        <v>0</v>
      </c>
      <c r="L253" s="172">
        <f t="shared" si="70"/>
        <v>0</v>
      </c>
      <c r="M253" s="261" t="e">
        <f>L253/(F253*498.5)</f>
        <v>#DIV/0!</v>
      </c>
      <c r="N253" s="262"/>
    </row>
    <row r="254" spans="1:14" ht="14" thickBot="1">
      <c r="A254" s="76" t="s">
        <v>214</v>
      </c>
      <c r="B254" s="1421">
        <f>SAWC!N220</f>
        <v>5</v>
      </c>
      <c r="C254" s="1422"/>
      <c r="D254" s="1431">
        <f t="shared" si="69"/>
        <v>529507.875</v>
      </c>
      <c r="E254" s="1422"/>
      <c r="F254" s="1876">
        <f>0.325*B254</f>
        <v>1.625</v>
      </c>
      <c r="G254" s="1877"/>
      <c r="H254" s="957">
        <f t="shared" si="71"/>
        <v>16.25</v>
      </c>
      <c r="I254" s="220">
        <v>0</v>
      </c>
      <c r="J254" s="151">
        <f>B254*0</f>
        <v>0</v>
      </c>
      <c r="K254" s="150">
        <f>B254*75</f>
        <v>375</v>
      </c>
      <c r="L254" s="172">
        <f t="shared" si="70"/>
        <v>375</v>
      </c>
      <c r="M254" s="1539"/>
      <c r="N254" s="1540"/>
    </row>
    <row r="255" spans="1:14" s="1168" customFormat="1" ht="17" thickBot="1">
      <c r="A255" s="108" t="str">
        <f>'Ontario Total'!A256</f>
        <v>IEUA Locally Implemented Residential Programs</v>
      </c>
      <c r="B255" s="1143"/>
      <c r="C255" s="1142"/>
      <c r="D255" s="1148"/>
      <c r="E255" s="1142"/>
      <c r="F255" s="1156"/>
      <c r="G255" s="1157"/>
      <c r="H255" s="1157"/>
      <c r="I255" s="1242"/>
      <c r="J255" s="179"/>
      <c r="K255" s="179"/>
      <c r="L255" s="180"/>
      <c r="M255" s="1146"/>
      <c r="N255" s="1147"/>
    </row>
    <row r="256" spans="1:14">
      <c r="A256" s="32" t="s">
        <v>165</v>
      </c>
      <c r="B256" s="1421">
        <f>SAWC!N222</f>
        <v>0</v>
      </c>
      <c r="C256" s="1422"/>
      <c r="D256" s="1431">
        <f>F256*325851</f>
        <v>0</v>
      </c>
      <c r="E256" s="1444"/>
      <c r="F256" s="1431">
        <f>B256*0.004</f>
        <v>0</v>
      </c>
      <c r="G256" s="1422"/>
      <c r="H256" s="265">
        <v>0</v>
      </c>
      <c r="I256" s="220">
        <v>0</v>
      </c>
      <c r="J256" s="151">
        <v>0</v>
      </c>
      <c r="K256" s="235">
        <f>B256*3.25</f>
        <v>0</v>
      </c>
      <c r="L256" s="236">
        <f>SUM(I256:K256)</f>
        <v>0</v>
      </c>
      <c r="M256" s="1634">
        <f>IF(ISERROR(L256/(F256*752)),0,L256/(F256*752))</f>
        <v>0</v>
      </c>
      <c r="N256" s="1540"/>
    </row>
    <row r="257" spans="1:14">
      <c r="A257" s="78" t="s">
        <v>231</v>
      </c>
      <c r="B257" s="1421">
        <f>SAWC!N223</f>
        <v>4</v>
      </c>
      <c r="C257" s="1422"/>
      <c r="D257" s="1431">
        <f>F257*325851</f>
        <v>651702</v>
      </c>
      <c r="E257" s="1422"/>
      <c r="F257" s="1736">
        <v>2</v>
      </c>
      <c r="G257" s="1446"/>
      <c r="H257" s="710">
        <v>22</v>
      </c>
      <c r="I257" s="220">
        <v>1843</v>
      </c>
      <c r="J257" s="151">
        <v>0</v>
      </c>
      <c r="K257" s="151">
        <v>1843.39</v>
      </c>
      <c r="L257" s="221">
        <f>SUM(I257:K257)</f>
        <v>3686.3900000000003</v>
      </c>
      <c r="M257" s="1634">
        <f>IF(ISERROR(L257/(F257*752)),0,L257/(F257*752))</f>
        <v>2.4510571808510639</v>
      </c>
      <c r="N257" s="1540"/>
    </row>
    <row r="258" spans="1:14" ht="14" thickBot="1">
      <c r="A258" s="32" t="s">
        <v>193</v>
      </c>
      <c r="B258" s="1421">
        <f>SAWC!N224</f>
        <v>0</v>
      </c>
      <c r="C258" s="1422"/>
      <c r="D258" s="1431">
        <f>F258*325851</f>
        <v>0</v>
      </c>
      <c r="E258" s="1422"/>
      <c r="F258" s="1736">
        <v>0</v>
      </c>
      <c r="G258" s="1446"/>
      <c r="H258" s="263">
        <v>0</v>
      </c>
      <c r="I258" s="220">
        <v>0</v>
      </c>
      <c r="J258" s="151">
        <v>0</v>
      </c>
      <c r="K258" s="219">
        <v>0</v>
      </c>
      <c r="L258" s="221">
        <v>0</v>
      </c>
      <c r="M258" s="1634">
        <f>IF(ISERROR(L258/(F258*752)),0,L258/(F258*752))</f>
        <v>0</v>
      </c>
      <c r="N258" s="1540"/>
    </row>
    <row r="259" spans="1:14" s="91" customFormat="1" ht="17" thickBot="1">
      <c r="A259" s="53" t="s">
        <v>60</v>
      </c>
      <c r="B259" s="1438">
        <f>SUM(B249:C258)</f>
        <v>26</v>
      </c>
      <c r="C259" s="1440"/>
      <c r="D259" s="1441">
        <f>SUM(D249:E258)</f>
        <v>1415627.0844000001</v>
      </c>
      <c r="E259" s="1439"/>
      <c r="F259" s="1440">
        <f>SUM(F249:G258)</f>
        <v>4.3444000000000003</v>
      </c>
      <c r="G259" s="1439"/>
      <c r="H259" s="266">
        <f>SUM(H249:H258)</f>
        <v>47.474000000000004</v>
      </c>
      <c r="I259" s="136">
        <f>SUM(I249:I258)</f>
        <v>1843</v>
      </c>
      <c r="J259" s="136">
        <f>SUM(J249:J258)</f>
        <v>969</v>
      </c>
      <c r="K259" s="152">
        <f>SUM(K249:K258)</f>
        <v>3396.3900000000003</v>
      </c>
      <c r="L259" s="136">
        <f>SUM(L249:L258)</f>
        <v>6208.39</v>
      </c>
      <c r="M259" s="1440"/>
      <c r="N259" s="1730"/>
    </row>
    <row r="260" spans="1:14" ht="17" hidden="1" thickBot="1">
      <c r="A260" s="108" t="str">
        <f>'Ontario Total'!A261</f>
        <v xml:space="preserve">IEUA High Efficiency Toilet (HET) Installation Prog. </v>
      </c>
      <c r="B260" s="259"/>
      <c r="C260" s="228"/>
      <c r="D260" s="227"/>
      <c r="E260" s="228"/>
      <c r="F260" s="229"/>
      <c r="G260" s="241"/>
      <c r="H260" s="239"/>
      <c r="I260" s="230"/>
      <c r="J260" s="231"/>
      <c r="K260" s="232"/>
      <c r="L260" s="237"/>
      <c r="M260" s="233"/>
      <c r="N260" s="191"/>
    </row>
    <row r="261" spans="1:14" hidden="1">
      <c r="A261" s="32" t="str">
        <f>'Ontario Total'!A262</f>
        <v>IEUA Multi-Family Direct Install Prog. (HET)</v>
      </c>
      <c r="B261" s="1421">
        <f>SAWC!N227</f>
        <v>0</v>
      </c>
      <c r="C261" s="1422"/>
      <c r="D261" s="1855">
        <f>F261*325851</f>
        <v>0</v>
      </c>
      <c r="E261" s="1732"/>
      <c r="F261" s="1899">
        <f>0.0425*B261</f>
        <v>0</v>
      </c>
      <c r="G261" s="1885"/>
      <c r="H261" s="264">
        <f>F261*20</f>
        <v>0</v>
      </c>
      <c r="I261" s="222">
        <f>73.34*B261</f>
        <v>0</v>
      </c>
      <c r="J261" s="181">
        <f>35.66*B261</f>
        <v>0</v>
      </c>
      <c r="K261" s="225">
        <f>B261*50</f>
        <v>0</v>
      </c>
      <c r="L261" s="222">
        <f>I261+J261+K261</f>
        <v>0</v>
      </c>
      <c r="M261" s="2153">
        <f>IF(ISERROR(L261/(F261*727)),0,L261/(F261*727))</f>
        <v>0</v>
      </c>
      <c r="N261" s="2154"/>
    </row>
    <row r="262" spans="1:14" ht="14" hidden="1" thickBot="1">
      <c r="A262" s="32" t="str">
        <f>'Ontario Total'!A263</f>
        <v>IEUA Single-Family Direct Install Prog. (HET)</v>
      </c>
      <c r="B262" s="1421">
        <f>SAWC!N228</f>
        <v>0</v>
      </c>
      <c r="C262" s="1422"/>
      <c r="D262" s="1734">
        <f>F262*325851</f>
        <v>0</v>
      </c>
      <c r="E262" s="1430"/>
      <c r="F262" s="1901">
        <f>0.0425*B262</f>
        <v>0</v>
      </c>
      <c r="G262" s="1887"/>
      <c r="H262" s="264">
        <f>F262*20</f>
        <v>0</v>
      </c>
      <c r="I262" s="222">
        <f>73.34*B262</f>
        <v>0</v>
      </c>
      <c r="J262" s="181">
        <f>35.66*B262</f>
        <v>0</v>
      </c>
      <c r="K262" s="225">
        <f>B262*50</f>
        <v>0</v>
      </c>
      <c r="L262" s="222">
        <f>I262+J262+K262</f>
        <v>0</v>
      </c>
      <c r="M262" s="2155">
        <f>IF(ISERROR(L262/(F262*727)),0,L262/(F262*727))</f>
        <v>0</v>
      </c>
      <c r="N262" s="2156"/>
    </row>
    <row r="263" spans="1:14" ht="14" hidden="1" thickBot="1">
      <c r="A263" s="53" t="s">
        <v>60</v>
      </c>
      <c r="B263" s="1564">
        <f>SUM(B261:B262)</f>
        <v>0</v>
      </c>
      <c r="C263" s="1603"/>
      <c r="D263" s="1564">
        <f>SUM(D261:D262)</f>
        <v>0</v>
      </c>
      <c r="E263" s="1603"/>
      <c r="F263" s="1564">
        <f>SUM(F261:F262)</f>
        <v>0</v>
      </c>
      <c r="G263" s="1453"/>
      <c r="H263" s="269">
        <f>SUM(H261:H262)</f>
        <v>0</v>
      </c>
      <c r="I263" s="223">
        <f>SUM(I261:I262)</f>
        <v>0</v>
      </c>
      <c r="J263" s="224">
        <f>SUM(J261:J262)</f>
        <v>0</v>
      </c>
      <c r="K263" s="226">
        <f>SUM(K261:K262)</f>
        <v>0</v>
      </c>
      <c r="L263" s="238">
        <f>SUM(L261:L262)</f>
        <v>0</v>
      </c>
      <c r="M263" s="2157"/>
      <c r="N263" s="2158"/>
    </row>
    <row r="264" spans="1:14" s="1161" customFormat="1" ht="17" thickBot="1">
      <c r="A264" s="108" t="str">
        <f>'Ontario Total'!A265</f>
        <v>SoCal Water$mart Commercial Rebates</v>
      </c>
      <c r="B264" s="1143"/>
      <c r="C264" s="1142"/>
      <c r="D264" s="1148"/>
      <c r="E264" s="1142"/>
      <c r="F264" s="1156"/>
      <c r="G264" s="1150"/>
      <c r="H264" s="1150"/>
      <c r="I264" s="1242"/>
      <c r="J264" s="179"/>
      <c r="K264" s="179"/>
      <c r="L264" s="1242"/>
      <c r="M264" s="1149"/>
      <c r="N264" s="1147"/>
    </row>
    <row r="265" spans="1:14">
      <c r="A265" s="32" t="str">
        <f>'Ontario Total'!A266</f>
        <v>High Efficiency Toilets (HET)</v>
      </c>
      <c r="B265" s="1421">
        <f>SAWC!N231</f>
        <v>0</v>
      </c>
      <c r="C265" s="1422"/>
      <c r="D265" s="1431">
        <f>F265*325851</f>
        <v>0</v>
      </c>
      <c r="E265" s="1422"/>
      <c r="F265" s="1720">
        <f t="shared" ref="F265:F271" si="72">0.004*B265</f>
        <v>0</v>
      </c>
      <c r="G265" s="1721"/>
      <c r="H265" s="260">
        <f>F265*20</f>
        <v>0</v>
      </c>
      <c r="I265" s="220">
        <v>0</v>
      </c>
      <c r="J265" s="150">
        <f>135*B265</f>
        <v>0</v>
      </c>
      <c r="K265" s="150">
        <f>165*B265</f>
        <v>0</v>
      </c>
      <c r="L265" s="221">
        <f t="shared" ref="L265:L270" si="73">SUM(I265:K265)</f>
        <v>0</v>
      </c>
      <c r="M265" s="1634">
        <f>IF(ISERROR(L265/(F265*752)),0,L265/(F265*752))</f>
        <v>0</v>
      </c>
      <c r="N265" s="1540"/>
    </row>
    <row r="266" spans="1:14">
      <c r="A266" s="32" t="str">
        <f>'Ontario Total'!A267</f>
        <v>Waterless Urinals</v>
      </c>
      <c r="B266" s="1421">
        <f>SAWC!N232</f>
        <v>0</v>
      </c>
      <c r="C266" s="1422"/>
      <c r="D266" s="1431">
        <f>F266*325851</f>
        <v>0</v>
      </c>
      <c r="E266" s="1422"/>
      <c r="F266" s="1720">
        <f t="shared" si="72"/>
        <v>0</v>
      </c>
      <c r="G266" s="1721"/>
      <c r="H266" s="260">
        <f>F266*20</f>
        <v>0</v>
      </c>
      <c r="I266" s="220">
        <v>0</v>
      </c>
      <c r="J266" s="150">
        <f>0*B266</f>
        <v>0</v>
      </c>
      <c r="K266" s="150">
        <f>400*B266</f>
        <v>0</v>
      </c>
      <c r="L266" s="221">
        <f t="shared" si="73"/>
        <v>0</v>
      </c>
      <c r="M266" s="1634">
        <f>IF(ISERROR(L266/(F266*752)),0,L266/(F266*752))</f>
        <v>0</v>
      </c>
      <c r="N266" s="1540"/>
    </row>
    <row r="267" spans="1:14">
      <c r="A267" s="32" t="s">
        <v>204</v>
      </c>
      <c r="B267" s="1421">
        <f>SAWC!N233</f>
        <v>0</v>
      </c>
      <c r="C267" s="1422"/>
      <c r="D267" s="1431">
        <f t="shared" ref="D267:D273" si="74">F267*325851</f>
        <v>0</v>
      </c>
      <c r="E267" s="1422"/>
      <c r="F267" s="1720">
        <f t="shared" si="72"/>
        <v>0</v>
      </c>
      <c r="G267" s="1721"/>
      <c r="H267" s="260">
        <f>F267*5</f>
        <v>0</v>
      </c>
      <c r="I267" s="220">
        <v>0</v>
      </c>
      <c r="J267" s="150">
        <f>43.75*B267</f>
        <v>0</v>
      </c>
      <c r="K267" s="150">
        <f>625*B267</f>
        <v>0</v>
      </c>
      <c r="L267" s="221">
        <f t="shared" si="73"/>
        <v>0</v>
      </c>
      <c r="M267" s="1634">
        <f>IF(ISERROR(L267/(F267*752)),0,L267/(F267*752))</f>
        <v>0</v>
      </c>
      <c r="N267" s="1540"/>
    </row>
    <row r="268" spans="1:14" s="91" customFormat="1" ht="14.25" hidden="1" customHeight="1">
      <c r="A268" s="32" t="str">
        <f>'Ontario Total'!A269</f>
        <v>High Efficiency Clothes Washers</v>
      </c>
      <c r="B268" s="1421">
        <f>SAWC!N234</f>
        <v>0</v>
      </c>
      <c r="C268" s="1422"/>
      <c r="D268" s="1431">
        <f t="shared" si="74"/>
        <v>0</v>
      </c>
      <c r="E268" s="1422"/>
      <c r="F268" s="1720">
        <f t="shared" si="72"/>
        <v>0</v>
      </c>
      <c r="G268" s="1721"/>
      <c r="H268" s="260">
        <f>F268*10</f>
        <v>0</v>
      </c>
      <c r="I268" s="220">
        <v>0</v>
      </c>
      <c r="J268" s="150">
        <f>100*B268</f>
        <v>0</v>
      </c>
      <c r="K268" s="150">
        <f>80*B268</f>
        <v>0</v>
      </c>
      <c r="L268" s="221">
        <f t="shared" si="73"/>
        <v>0</v>
      </c>
      <c r="M268" s="1634">
        <f>IF(ISERROR(L268/(F268*727)),0,L268/(F268*727))</f>
        <v>0</v>
      </c>
      <c r="N268" s="1540"/>
    </row>
    <row r="269" spans="1:14" hidden="1">
      <c r="A269" s="35" t="s">
        <v>47</v>
      </c>
      <c r="B269" s="1421">
        <f>SAWC!N235</f>
        <v>0</v>
      </c>
      <c r="C269" s="1422"/>
      <c r="D269" s="1431">
        <f t="shared" si="74"/>
        <v>0</v>
      </c>
      <c r="E269" s="1422"/>
      <c r="F269" s="1720">
        <f t="shared" si="72"/>
        <v>0</v>
      </c>
      <c r="G269" s="1721"/>
      <c r="H269" s="260">
        <f>F269*5</f>
        <v>0</v>
      </c>
      <c r="I269" s="220">
        <v>0</v>
      </c>
      <c r="J269" s="150">
        <f>0*B269</f>
        <v>0</v>
      </c>
      <c r="K269" s="150">
        <f>150*B269</f>
        <v>0</v>
      </c>
      <c r="L269" s="221">
        <f t="shared" si="73"/>
        <v>0</v>
      </c>
      <c r="M269" s="268">
        <v>0</v>
      </c>
      <c r="N269" s="262"/>
    </row>
    <row r="270" spans="1:14">
      <c r="A270" s="32" t="str">
        <f>'Ontario Total'!A271</f>
        <v>Weather Based Irrigation Controllers (WBIC)</v>
      </c>
      <c r="B270" s="1421">
        <f>SAWC!N236</f>
        <v>0</v>
      </c>
      <c r="C270" s="1422"/>
      <c r="D270" s="1431">
        <f t="shared" si="74"/>
        <v>0</v>
      </c>
      <c r="E270" s="1422"/>
      <c r="F270" s="1720">
        <f t="shared" si="72"/>
        <v>0</v>
      </c>
      <c r="G270" s="1721"/>
      <c r="H270" s="260">
        <f>F270*10</f>
        <v>0</v>
      </c>
      <c r="I270" s="220">
        <v>0</v>
      </c>
      <c r="J270" s="150">
        <f>0*B270</f>
        <v>0</v>
      </c>
      <c r="K270" s="150">
        <f>669*B270</f>
        <v>0</v>
      </c>
      <c r="L270" s="221">
        <f t="shared" si="73"/>
        <v>0</v>
      </c>
      <c r="M270" s="1634">
        <f>IF(ISERROR(L270/(F270*752)),0,L270/(F270*752))</f>
        <v>0</v>
      </c>
      <c r="N270" s="1540"/>
    </row>
    <row r="271" spans="1:14" hidden="1">
      <c r="A271" s="33" t="s">
        <v>53</v>
      </c>
      <c r="B271" s="1421">
        <f>SAWC!N237</f>
        <v>0</v>
      </c>
      <c r="C271" s="1422"/>
      <c r="D271" s="1431">
        <f t="shared" si="74"/>
        <v>0</v>
      </c>
      <c r="E271" s="1422"/>
      <c r="F271" s="1720">
        <f t="shared" si="72"/>
        <v>0</v>
      </c>
      <c r="G271" s="1721"/>
      <c r="H271" s="260">
        <f>F271*10</f>
        <v>0</v>
      </c>
      <c r="I271" s="220">
        <v>0</v>
      </c>
      <c r="J271" s="150">
        <f>0.45*B271</f>
        <v>0</v>
      </c>
      <c r="K271" s="150">
        <f>0.3*B271</f>
        <v>0</v>
      </c>
      <c r="L271" s="221">
        <v>0</v>
      </c>
      <c r="M271" s="268">
        <v>0</v>
      </c>
      <c r="N271" s="262"/>
    </row>
    <row r="272" spans="1:14">
      <c r="A272" s="32" t="str">
        <f>'Ontario Total'!A273</f>
        <v>Rotating Nozzles for Pop-up Spray Heads</v>
      </c>
      <c r="B272" s="1421">
        <f>SAWC!N238</f>
        <v>0</v>
      </c>
      <c r="C272" s="1422"/>
      <c r="D272" s="1431">
        <f t="shared" si="74"/>
        <v>0</v>
      </c>
      <c r="E272" s="1422"/>
      <c r="F272" s="1720">
        <f>0.004*B272</f>
        <v>0</v>
      </c>
      <c r="G272" s="1721"/>
      <c r="H272" s="260">
        <f>F272*5</f>
        <v>0</v>
      </c>
      <c r="I272" s="220">
        <v>0</v>
      </c>
      <c r="J272" s="150">
        <f t="shared" ref="J272:J278" si="75">0*B272</f>
        <v>0</v>
      </c>
      <c r="K272" s="150">
        <f>4*B272</f>
        <v>0</v>
      </c>
      <c r="L272" s="221">
        <f t="shared" ref="L272:L278" si="76">SUM(I272:K272)</f>
        <v>0</v>
      </c>
      <c r="M272" s="1634">
        <f>IF(ISERROR(L272/(F272*752)),0,L272/(F272*752))</f>
        <v>0</v>
      </c>
      <c r="N272" s="1540"/>
    </row>
    <row r="273" spans="1:14">
      <c r="A273" s="32" t="str">
        <f>'Ontario Total'!A274</f>
        <v>Large Rotary Nozzles</v>
      </c>
      <c r="B273" s="1421">
        <f>SAWC!N239</f>
        <v>0</v>
      </c>
      <c r="C273" s="1422"/>
      <c r="D273" s="1431">
        <f t="shared" si="74"/>
        <v>0</v>
      </c>
      <c r="E273" s="1422"/>
      <c r="F273" s="1720">
        <f t="shared" ref="F273:F278" si="77">0.018*B273</f>
        <v>0</v>
      </c>
      <c r="G273" s="1721"/>
      <c r="H273" s="260">
        <f>F273*10</f>
        <v>0</v>
      </c>
      <c r="I273" s="220">
        <v>0</v>
      </c>
      <c r="J273" s="150">
        <f t="shared" si="75"/>
        <v>0</v>
      </c>
      <c r="K273" s="150">
        <f>13*B273</f>
        <v>0</v>
      </c>
      <c r="L273" s="221">
        <f t="shared" si="76"/>
        <v>0</v>
      </c>
      <c r="M273" s="1634">
        <f>IF(ISERROR(L273/(F273*752)),0,L273/(F273*752))</f>
        <v>0</v>
      </c>
      <c r="N273" s="1540"/>
    </row>
    <row r="274" spans="1:14" hidden="1">
      <c r="A274" s="33" t="s">
        <v>102</v>
      </c>
      <c r="B274" s="1421">
        <f>SAWC!N240</f>
        <v>0</v>
      </c>
      <c r="C274" s="1422"/>
      <c r="D274" s="1431">
        <f>F274*325851</f>
        <v>0</v>
      </c>
      <c r="E274" s="1422"/>
      <c r="F274" s="1720">
        <f t="shared" si="77"/>
        <v>0</v>
      </c>
      <c r="G274" s="1721"/>
      <c r="H274" s="260">
        <f>F274*5</f>
        <v>0</v>
      </c>
      <c r="I274" s="220">
        <v>0</v>
      </c>
      <c r="J274" s="150">
        <f t="shared" si="75"/>
        <v>0</v>
      </c>
      <c r="K274" s="150">
        <f>60*B274</f>
        <v>0</v>
      </c>
      <c r="L274" s="221">
        <f t="shared" si="76"/>
        <v>0</v>
      </c>
      <c r="M274" s="268">
        <v>0</v>
      </c>
      <c r="N274" s="262"/>
    </row>
    <row r="275" spans="1:14">
      <c r="A275" s="32" t="str">
        <f>'Ontario Total'!A276</f>
        <v xml:space="preserve">Central Computerized Irrigation Controller </v>
      </c>
      <c r="B275" s="1421">
        <f>SAWC!N241</f>
        <v>0</v>
      </c>
      <c r="C275" s="1422"/>
      <c r="D275" s="1431">
        <f>F275*325851</f>
        <v>0</v>
      </c>
      <c r="E275" s="1422"/>
      <c r="F275" s="1720">
        <f t="shared" si="77"/>
        <v>0</v>
      </c>
      <c r="G275" s="1721"/>
      <c r="H275" s="260">
        <f>F275*5</f>
        <v>0</v>
      </c>
      <c r="I275" s="220">
        <v>0</v>
      </c>
      <c r="J275" s="151">
        <f t="shared" si="75"/>
        <v>0</v>
      </c>
      <c r="K275" s="151">
        <f>60*B275</f>
        <v>0</v>
      </c>
      <c r="L275" s="220">
        <f t="shared" si="76"/>
        <v>0</v>
      </c>
      <c r="M275" s="2151">
        <f>IF(ISERROR(L275/(F275*752)),0,L275/(F275*752))</f>
        <v>0</v>
      </c>
      <c r="N275" s="1690"/>
    </row>
    <row r="276" spans="1:14">
      <c r="A276" s="144" t="str">
        <f>'Ontario Total'!A277</f>
        <v>Laminar Flow Restrictor</v>
      </c>
      <c r="B276" s="1421">
        <f>SAWC!N242</f>
        <v>0</v>
      </c>
      <c r="C276" s="1422"/>
      <c r="D276" s="1736">
        <f>F276*325851</f>
        <v>0</v>
      </c>
      <c r="E276" s="1446"/>
      <c r="F276" s="1723">
        <f t="shared" si="77"/>
        <v>0</v>
      </c>
      <c r="G276" s="1724"/>
      <c r="H276" s="267">
        <f>F276*5</f>
        <v>0</v>
      </c>
      <c r="I276" s="220">
        <v>0</v>
      </c>
      <c r="J276" s="151">
        <f t="shared" si="75"/>
        <v>0</v>
      </c>
      <c r="K276" s="151">
        <f>60*B276</f>
        <v>0</v>
      </c>
      <c r="L276" s="220">
        <f t="shared" si="76"/>
        <v>0</v>
      </c>
      <c r="M276" s="2151">
        <f>IF(ISERROR(L276/(F276*752)),0,L276/(F276*752))</f>
        <v>0</v>
      </c>
      <c r="N276" s="1690"/>
    </row>
    <row r="277" spans="1:14">
      <c r="A277" s="144" t="str">
        <f>'Ontario Total'!A278</f>
        <v>Air-Cooled Ice Machine</v>
      </c>
      <c r="B277" s="1421">
        <f>SAWC!N243</f>
        <v>0</v>
      </c>
      <c r="C277" s="1422"/>
      <c r="D277" s="1736">
        <f>F277*325851</f>
        <v>0</v>
      </c>
      <c r="E277" s="1446"/>
      <c r="F277" s="1723">
        <f t="shared" si="77"/>
        <v>0</v>
      </c>
      <c r="G277" s="1724"/>
      <c r="H277" s="267">
        <f>F277*5</f>
        <v>0</v>
      </c>
      <c r="I277" s="220">
        <v>0</v>
      </c>
      <c r="J277" s="151">
        <f t="shared" si="75"/>
        <v>0</v>
      </c>
      <c r="K277" s="151">
        <f>60*B277</f>
        <v>0</v>
      </c>
      <c r="L277" s="220">
        <f t="shared" si="76"/>
        <v>0</v>
      </c>
      <c r="M277" s="2151">
        <f>IF(ISERROR(L277/(F277*752)),0,L277/(F277*752))</f>
        <v>0</v>
      </c>
      <c r="N277" s="1690"/>
    </row>
    <row r="278" spans="1:14" ht="14" thickBot="1">
      <c r="A278" s="144" t="s">
        <v>213</v>
      </c>
      <c r="B278" s="1421">
        <f>SAWC!N244</f>
        <v>0</v>
      </c>
      <c r="C278" s="1422"/>
      <c r="D278" s="1736">
        <f>F278*325851</f>
        <v>0</v>
      </c>
      <c r="E278" s="1446"/>
      <c r="F278" s="1723">
        <f t="shared" si="77"/>
        <v>0</v>
      </c>
      <c r="G278" s="1724"/>
      <c r="H278" s="267">
        <f>F278*5</f>
        <v>0</v>
      </c>
      <c r="I278" s="220">
        <v>0</v>
      </c>
      <c r="J278" s="151">
        <f t="shared" si="75"/>
        <v>0</v>
      </c>
      <c r="K278" s="151">
        <f>60*B278</f>
        <v>0</v>
      </c>
      <c r="L278" s="220">
        <f t="shared" si="76"/>
        <v>0</v>
      </c>
      <c r="M278" s="2151">
        <f>IF(ISERROR(L278/(F278*752)),0,L278/(F278*752))</f>
        <v>0</v>
      </c>
      <c r="N278" s="1690"/>
    </row>
    <row r="279" spans="1:14" s="1168" customFormat="1" ht="13.5" customHeight="1" thickBot="1">
      <c r="A279" s="108" t="str">
        <f>'Ontario Total'!A280</f>
        <v>IEUA Locally Implemented Commercial Programs</v>
      </c>
      <c r="B279" s="1143"/>
      <c r="C279" s="1142"/>
      <c r="D279" s="1148"/>
      <c r="E279" s="1142"/>
      <c r="F279" s="1158"/>
      <c r="G279" s="1145"/>
      <c r="H279" s="1145"/>
      <c r="I279" s="1242"/>
      <c r="J279" s="179"/>
      <c r="K279" s="179"/>
      <c r="L279" s="1242"/>
      <c r="M279" s="1149"/>
      <c r="N279" s="1147"/>
    </row>
    <row r="280" spans="1:14" s="57" customFormat="1" ht="13.5" hidden="1" customHeight="1">
      <c r="A280" s="32" t="str">
        <f>'Ontario Total'!A281</f>
        <v>Fontana Unified School Retrofit Program</v>
      </c>
      <c r="B280" s="1421">
        <f>SAWC!N246</f>
        <v>0</v>
      </c>
      <c r="C280" s="1422"/>
      <c r="D280" s="1431">
        <v>0</v>
      </c>
      <c r="E280" s="1444"/>
      <c r="F280" s="1720">
        <v>0</v>
      </c>
      <c r="G280" s="1721"/>
      <c r="H280" s="260">
        <v>0</v>
      </c>
      <c r="I280" s="188">
        <v>0</v>
      </c>
      <c r="J280" s="181">
        <v>0</v>
      </c>
      <c r="K280" s="181">
        <v>0</v>
      </c>
      <c r="L280" s="222">
        <v>0</v>
      </c>
      <c r="M280" s="2150">
        <v>0</v>
      </c>
      <c r="N280" s="1991"/>
    </row>
    <row r="281" spans="1:14" s="57" customFormat="1" ht="13.5" customHeight="1" thickBot="1">
      <c r="A281" s="32" t="s">
        <v>165</v>
      </c>
      <c r="B281" s="1421">
        <f>SAWC!N247</f>
        <v>0</v>
      </c>
      <c r="C281" s="1422"/>
      <c r="D281" s="1431">
        <f>F281*325851</f>
        <v>0</v>
      </c>
      <c r="E281" s="1422"/>
      <c r="F281" s="1720">
        <f>0.018*B281</f>
        <v>0</v>
      </c>
      <c r="G281" s="1721"/>
      <c r="H281" s="240">
        <f>F281*5</f>
        <v>0</v>
      </c>
      <c r="I281" s="220">
        <v>0</v>
      </c>
      <c r="J281" s="150">
        <f>0*B281</f>
        <v>0</v>
      </c>
      <c r="K281" s="150">
        <f>60*B281</f>
        <v>0</v>
      </c>
      <c r="L281" s="221">
        <f>SUM(I281:K281)</f>
        <v>0</v>
      </c>
      <c r="M281" s="1634">
        <f>IF(ISERROR(L281/(F281*752)),0,L281/(F281*752))</f>
        <v>0</v>
      </c>
      <c r="N281" s="1540"/>
    </row>
    <row r="282" spans="1:14" s="91" customFormat="1" ht="17" thickBot="1">
      <c r="A282" s="53" t="s">
        <v>60</v>
      </c>
      <c r="B282" s="1438">
        <f>SUM(B265:C281)</f>
        <v>0</v>
      </c>
      <c r="C282" s="1440"/>
      <c r="D282" s="1441">
        <f>SUM(D265:E281)</f>
        <v>0</v>
      </c>
      <c r="E282" s="1440"/>
      <c r="F282" s="1441">
        <f>SUM(F265:G281)</f>
        <v>0</v>
      </c>
      <c r="G282" s="1439"/>
      <c r="H282" s="707">
        <f>SUM(H265:H281)</f>
        <v>0</v>
      </c>
      <c r="I282" s="136">
        <f>SUM(I265:I281)</f>
        <v>0</v>
      </c>
      <c r="J282" s="136">
        <f>SUM(J265:J281)</f>
        <v>0</v>
      </c>
      <c r="K282" s="143">
        <f>SUM(K265:K281)</f>
        <v>0</v>
      </c>
      <c r="L282" s="136">
        <f>SUM(L265:L281)</f>
        <v>0</v>
      </c>
      <c r="M282" s="1979"/>
      <c r="N282" s="1443"/>
    </row>
    <row r="283" spans="1:14" s="1168" customFormat="1" ht="13.5" customHeight="1" thickBot="1">
      <c r="A283" s="1182" t="s">
        <v>17</v>
      </c>
      <c r="B283" s="1980">
        <f>SUM(B259+B263+B282)</f>
        <v>26</v>
      </c>
      <c r="C283" s="1664"/>
      <c r="D283" s="1665">
        <f>SUM(D259+D263+D282)</f>
        <v>1415627.0844000001</v>
      </c>
      <c r="E283" s="1664"/>
      <c r="F283" s="1665">
        <f>SUM(F259+F263+F282)</f>
        <v>4.3444000000000003</v>
      </c>
      <c r="G283" s="1663"/>
      <c r="H283" s="1265">
        <f>SUM(H259+H263+H282)</f>
        <v>47.474000000000004</v>
      </c>
      <c r="I283" s="1175">
        <f>SUM(I259+I263+I282)</f>
        <v>1843</v>
      </c>
      <c r="J283" s="1238">
        <f>SUM(J259+J263+J282)</f>
        <v>969</v>
      </c>
      <c r="K283" s="1238">
        <f>SUM(K259+K263+K282)</f>
        <v>3396.3900000000003</v>
      </c>
      <c r="L283" s="1238">
        <f>SUM(L259+L263+L282)</f>
        <v>6208.39</v>
      </c>
      <c r="M283" s="1266"/>
      <c r="N283" s="1267"/>
    </row>
    <row r="284" spans="1:14" ht="13.5" customHeight="1">
      <c r="A284" s="60"/>
      <c r="B284" s="61"/>
      <c r="C284" s="61"/>
      <c r="D284" s="61"/>
      <c r="E284" s="61"/>
      <c r="F284" s="61"/>
      <c r="G284" s="61"/>
      <c r="H284" s="62"/>
      <c r="I284" s="62"/>
      <c r="J284" s="62"/>
      <c r="K284" s="62"/>
      <c r="L284" s="62"/>
      <c r="M284" s="64"/>
      <c r="N284" s="65"/>
    </row>
    <row r="285" spans="1:14" ht="16">
      <c r="A285" s="9" t="s">
        <v>18</v>
      </c>
      <c r="B285" s="1695" t="s">
        <v>59</v>
      </c>
      <c r="C285" s="1695"/>
      <c r="D285" s="1695"/>
      <c r="E285" s="1695"/>
      <c r="F285" s="61"/>
      <c r="G285" s="61"/>
      <c r="H285" s="62"/>
      <c r="I285" s="62"/>
      <c r="J285" s="62"/>
      <c r="K285" s="62"/>
      <c r="L285" s="62"/>
      <c r="M285" s="64"/>
      <c r="N285" s="65"/>
    </row>
    <row r="286" spans="1:14" ht="16">
      <c r="A286" s="57"/>
      <c r="B286" s="1420" t="s">
        <v>19</v>
      </c>
      <c r="C286" s="1420"/>
      <c r="D286" s="1420"/>
      <c r="E286" s="1420"/>
      <c r="F286" s="61"/>
      <c r="G286" s="61"/>
      <c r="H286" s="62"/>
      <c r="I286" s="62"/>
      <c r="J286" s="62"/>
      <c r="K286" s="62"/>
      <c r="L286" s="62"/>
      <c r="M286" s="64"/>
      <c r="N286" s="65"/>
    </row>
    <row r="287" spans="1:14" ht="17" thickBot="1">
      <c r="A287" s="57"/>
      <c r="B287" s="729"/>
      <c r="C287" s="729"/>
      <c r="D287" s="729"/>
      <c r="E287" s="729"/>
      <c r="F287" s="61"/>
      <c r="G287" s="61"/>
      <c r="H287" s="62"/>
      <c r="I287" s="62"/>
      <c r="J287" s="62"/>
      <c r="K287" s="62"/>
      <c r="L287" s="62"/>
      <c r="M287" s="64"/>
      <c r="N287" s="65"/>
    </row>
    <row r="288" spans="1:14" ht="16">
      <c r="A288" s="98"/>
      <c r="B288" s="99"/>
      <c r="C288" s="99"/>
      <c r="D288" s="99"/>
      <c r="E288" s="99"/>
      <c r="F288" s="100"/>
      <c r="G288" s="100"/>
      <c r="H288" s="100"/>
      <c r="I288" s="1468" t="s">
        <v>0</v>
      </c>
      <c r="J288" s="1468"/>
      <c r="K288" s="1468"/>
      <c r="L288" s="1468"/>
      <c r="M288" s="99"/>
      <c r="N288" s="101"/>
    </row>
    <row r="289" spans="1:14" ht="16">
      <c r="A289" s="97"/>
      <c r="B289" s="1002" t="s">
        <v>1</v>
      </c>
      <c r="C289" s="1002"/>
      <c r="D289" s="1002" t="s">
        <v>2</v>
      </c>
      <c r="E289" s="1002"/>
      <c r="F289" s="1028" t="s">
        <v>3</v>
      </c>
      <c r="G289" s="1028"/>
      <c r="H289" s="1028" t="s">
        <v>3</v>
      </c>
      <c r="I289" s="127" t="s">
        <v>197</v>
      </c>
      <c r="J289" s="102"/>
      <c r="K289" s="102"/>
      <c r="L289" s="128"/>
      <c r="M289" s="1525" t="s">
        <v>4</v>
      </c>
      <c r="N289" s="1526"/>
    </row>
    <row r="290" spans="1:14" s="363" customFormat="1" ht="19" thickBot="1">
      <c r="A290" s="103" t="s">
        <v>5</v>
      </c>
      <c r="B290" s="1005" t="s">
        <v>6</v>
      </c>
      <c r="C290" s="1005"/>
      <c r="D290" s="1005" t="s">
        <v>7</v>
      </c>
      <c r="E290" s="1005"/>
      <c r="F290" s="1029" t="s">
        <v>7</v>
      </c>
      <c r="G290" s="1029"/>
      <c r="H290" s="1029" t="s">
        <v>58</v>
      </c>
      <c r="I290" s="1007" t="s">
        <v>198</v>
      </c>
      <c r="J290" s="1005" t="s">
        <v>8</v>
      </c>
      <c r="K290" s="1005" t="s">
        <v>9</v>
      </c>
      <c r="L290" s="401" t="s">
        <v>10</v>
      </c>
      <c r="M290" s="1527" t="s">
        <v>145</v>
      </c>
      <c r="N290" s="1475"/>
    </row>
    <row r="291" spans="1:14" ht="24" thickBot="1">
      <c r="A291" s="88" t="s">
        <v>185</v>
      </c>
      <c r="B291" s="1024"/>
      <c r="C291" s="1017"/>
      <c r="D291" s="1018"/>
      <c r="E291" s="1019"/>
      <c r="F291" s="1032"/>
      <c r="G291" s="1033"/>
      <c r="H291" s="1033"/>
      <c r="I291" s="7"/>
      <c r="J291" s="7"/>
      <c r="K291" s="7"/>
      <c r="L291" s="8"/>
      <c r="M291" s="1024"/>
      <c r="N291" s="1025"/>
    </row>
    <row r="292" spans="1:14" s="1168" customFormat="1" ht="17" thickBot="1">
      <c r="A292" s="108" t="str">
        <f>'Ontario Total'!A293</f>
        <v>SoCal Water$mart Residential Rebates</v>
      </c>
      <c r="B292" s="1148"/>
      <c r="C292" s="1142"/>
      <c r="D292" s="1148"/>
      <c r="E292" s="1142"/>
      <c r="F292" s="1156"/>
      <c r="G292" s="1157"/>
      <c r="H292" s="1157"/>
      <c r="I292" s="109"/>
      <c r="J292" s="109"/>
      <c r="K292" s="109"/>
      <c r="L292" s="1141"/>
      <c r="M292" s="1268"/>
      <c r="N292" s="1269"/>
    </row>
    <row r="293" spans="1:14">
      <c r="A293" s="32" t="str">
        <f>'Ontario Total'!A294</f>
        <v>High Efficiency Toilets (HET)</v>
      </c>
      <c r="B293" s="1731">
        <f>SAWC!N178</f>
        <v>0</v>
      </c>
      <c r="C293" s="1732"/>
      <c r="D293" s="1431">
        <f>F293*325851</f>
        <v>0</v>
      </c>
      <c r="E293" s="1422"/>
      <c r="F293" s="1467">
        <f>0.0276*B293</f>
        <v>0</v>
      </c>
      <c r="G293" s="1433"/>
      <c r="H293" s="153">
        <f>F293*20</f>
        <v>0</v>
      </c>
      <c r="I293" s="130">
        <v>0</v>
      </c>
      <c r="J293" s="131">
        <f>50*B293</f>
        <v>0</v>
      </c>
      <c r="K293" s="131">
        <f>B293*50</f>
        <v>0</v>
      </c>
      <c r="L293" s="147">
        <f>I293+J293+K293</f>
        <v>0</v>
      </c>
      <c r="M293" s="1942">
        <f>IF(ISERROR(L293/(F293*727)),0,L293/(F293*727))</f>
        <v>0</v>
      </c>
      <c r="N293" s="1793"/>
    </row>
    <row r="294" spans="1:14" s="91" customFormat="1" ht="16">
      <c r="A294" s="32" t="str">
        <f>'Ontario Total'!A295</f>
        <v>High Efficiency Clothes Washers (HECW)</v>
      </c>
      <c r="B294" s="1421">
        <f>SAWC!N179</f>
        <v>6</v>
      </c>
      <c r="C294" s="1422"/>
      <c r="D294" s="1431">
        <f>F294*325851</f>
        <v>53960.925600000002</v>
      </c>
      <c r="E294" s="1422"/>
      <c r="F294" s="1876">
        <f>0.0276*B294</f>
        <v>0.1656</v>
      </c>
      <c r="G294" s="1877"/>
      <c r="H294" s="402">
        <f>F294*15</f>
        <v>2.484</v>
      </c>
      <c r="I294" s="131">
        <f>0*B294</f>
        <v>0</v>
      </c>
      <c r="J294" s="131">
        <f>65*B294</f>
        <v>390</v>
      </c>
      <c r="K294" s="131">
        <f>B294*80</f>
        <v>480</v>
      </c>
      <c r="L294" s="131">
        <f>I294+J294+K294</f>
        <v>870</v>
      </c>
      <c r="M294" s="1943">
        <f>IF(ISERROR(L294/(F294*727)),0,L294/(F294*727))</f>
        <v>7.2264417997328714</v>
      </c>
      <c r="N294" s="1759"/>
    </row>
    <row r="295" spans="1:14">
      <c r="A295" s="32" t="str">
        <f>'Ontario Total'!A296</f>
        <v>Rotating Nozzles for Pop-up Spray Heads</v>
      </c>
      <c r="B295" s="1421">
        <f>SAWC!N180</f>
        <v>2</v>
      </c>
      <c r="C295" s="1422"/>
      <c r="D295" s="1431">
        <f>F295*325851</f>
        <v>2606.808</v>
      </c>
      <c r="E295" s="1422"/>
      <c r="F295" s="1876">
        <f>0.004*B295</f>
        <v>8.0000000000000002E-3</v>
      </c>
      <c r="G295" s="1877"/>
      <c r="H295" s="48">
        <f>F295*5</f>
        <v>0.04</v>
      </c>
      <c r="I295" s="131">
        <f>0*B295</f>
        <v>0</v>
      </c>
      <c r="J295" s="131">
        <f>2*B295</f>
        <v>4</v>
      </c>
      <c r="K295" s="131">
        <f>B295*4</f>
        <v>8</v>
      </c>
      <c r="L295" s="131">
        <f>I295+J295+K295</f>
        <v>12</v>
      </c>
      <c r="M295" s="1943">
        <f>IF(ISERROR(L295/(F295*727)),0,L295/(F295*727))</f>
        <v>2.0632737276478679</v>
      </c>
      <c r="N295" s="1759"/>
    </row>
    <row r="296" spans="1:14" ht="14" thickBot="1">
      <c r="A296" s="32" t="str">
        <f>'Ontario Total'!A297</f>
        <v>Weather based Irrigation Controllers (WBIC)</v>
      </c>
      <c r="B296" s="1421">
        <f>SAWC!N181</f>
        <v>1</v>
      </c>
      <c r="C296" s="1422"/>
      <c r="D296" s="1431">
        <f>F296*325851</f>
        <v>105901.575</v>
      </c>
      <c r="E296" s="1422"/>
      <c r="F296" s="1876">
        <f>0.325*B296</f>
        <v>0.32500000000000001</v>
      </c>
      <c r="G296" s="1877"/>
      <c r="H296" s="402">
        <f>F296*10</f>
        <v>3.25</v>
      </c>
      <c r="I296" s="130">
        <v>0</v>
      </c>
      <c r="J296" s="130">
        <f>B296*70</f>
        <v>70</v>
      </c>
      <c r="K296" s="131">
        <f>B296*80</f>
        <v>80</v>
      </c>
      <c r="L296" s="131">
        <f>I296+J296+K296</f>
        <v>150</v>
      </c>
      <c r="M296" s="1943">
        <f>IF(ISERROR(L296/(F296*727)),0,L296/(F296*727))</f>
        <v>0.63485345466088239</v>
      </c>
      <c r="N296" s="1759"/>
    </row>
    <row r="297" spans="1:14" ht="14" hidden="1" thickBot="1">
      <c r="A297" s="76" t="s">
        <v>53</v>
      </c>
      <c r="B297" s="1421">
        <f>SAWC!N182</f>
        <v>0</v>
      </c>
      <c r="C297" s="1422"/>
      <c r="D297" s="1431"/>
      <c r="E297" s="1422"/>
      <c r="F297" s="1876"/>
      <c r="G297" s="1877"/>
      <c r="H297" s="74">
        <f>F297*10</f>
        <v>0</v>
      </c>
      <c r="I297" s="124">
        <v>0</v>
      </c>
      <c r="J297" s="19">
        <v>0</v>
      </c>
      <c r="K297" s="19">
        <v>0</v>
      </c>
      <c r="L297" s="4">
        <v>0</v>
      </c>
      <c r="M297" s="317" t="e">
        <f>L297/(F297*498.5)</f>
        <v>#DIV/0!</v>
      </c>
      <c r="N297" s="112"/>
    </row>
    <row r="298" spans="1:14" s="1168" customFormat="1" ht="17" thickBot="1">
      <c r="A298" s="108" t="str">
        <f>'Ontario Total'!A299</f>
        <v>IEUA Locally Implemented Residential Programs</v>
      </c>
      <c r="B298" s="1148"/>
      <c r="C298" s="1142"/>
      <c r="D298" s="1148"/>
      <c r="E298" s="1142"/>
      <c r="F298" s="1156"/>
      <c r="G298" s="1157"/>
      <c r="H298" s="1157"/>
      <c r="I298" s="109"/>
      <c r="J298" s="109"/>
      <c r="K298" s="109"/>
      <c r="L298" s="109"/>
      <c r="M298" s="1270"/>
      <c r="N298" s="1269"/>
    </row>
    <row r="299" spans="1:14">
      <c r="A299" s="32" t="s">
        <v>165</v>
      </c>
      <c r="B299" s="1421">
        <f>SAWC!N184</f>
        <v>0</v>
      </c>
      <c r="C299" s="1422"/>
      <c r="D299" s="1431">
        <f>F299*325851</f>
        <v>0</v>
      </c>
      <c r="E299" s="1444"/>
      <c r="F299" s="1431">
        <f>B299*0.004</f>
        <v>0</v>
      </c>
      <c r="G299" s="1422"/>
      <c r="H299" s="156">
        <v>0</v>
      </c>
      <c r="I299" s="130">
        <v>0</v>
      </c>
      <c r="J299" s="130">
        <v>0</v>
      </c>
      <c r="K299" s="133">
        <f>B299*3.25</f>
        <v>0</v>
      </c>
      <c r="L299" s="131">
        <f>SUM(I299:K299)</f>
        <v>0</v>
      </c>
      <c r="M299" s="1942">
        <f>IF(ISERROR(L299/(F299*727)),0,L299/(F299*727))</f>
        <v>0</v>
      </c>
      <c r="N299" s="1793"/>
    </row>
    <row r="300" spans="1:14">
      <c r="A300" s="32" t="s">
        <v>166</v>
      </c>
      <c r="B300" s="1421">
        <f>SAWC!N185</f>
        <v>4</v>
      </c>
      <c r="C300" s="1422"/>
      <c r="D300" s="1431">
        <f>F300*325851</f>
        <v>651702</v>
      </c>
      <c r="E300" s="1422"/>
      <c r="F300" s="1736">
        <v>2</v>
      </c>
      <c r="G300" s="1446"/>
      <c r="H300" s="403">
        <v>22</v>
      </c>
      <c r="I300" s="130">
        <v>1598</v>
      </c>
      <c r="J300" s="130">
        <v>260</v>
      </c>
      <c r="K300" s="130">
        <v>1858</v>
      </c>
      <c r="L300" s="131">
        <f>SUM(I300:K300)</f>
        <v>3716</v>
      </c>
      <c r="M300" s="1758">
        <f>IF(ISERROR(L300/(F300*727)),0,L300/(F300*727))</f>
        <v>2.5557083906464926</v>
      </c>
      <c r="N300" s="1759"/>
    </row>
    <row r="301" spans="1:14" ht="14" thickBot="1">
      <c r="A301" s="32" t="s">
        <v>193</v>
      </c>
      <c r="B301" s="1421">
        <f>SAWC!N186</f>
        <v>0</v>
      </c>
      <c r="C301" s="1422"/>
      <c r="D301" s="1444">
        <f>F301*325851</f>
        <v>0</v>
      </c>
      <c r="E301" s="1422"/>
      <c r="F301" s="1737">
        <v>0</v>
      </c>
      <c r="G301" s="1726"/>
      <c r="H301" s="154">
        <v>0</v>
      </c>
      <c r="I301" s="130">
        <v>0</v>
      </c>
      <c r="J301" s="130">
        <v>0</v>
      </c>
      <c r="K301" s="130">
        <v>0</v>
      </c>
      <c r="L301" s="131">
        <v>0</v>
      </c>
      <c r="M301" s="1754">
        <f>IF(ISERROR(L301/(F301*727)),0,L301/(F301*727))</f>
        <v>0</v>
      </c>
      <c r="N301" s="1755"/>
    </row>
    <row r="302" spans="1:14" ht="14" thickBot="1">
      <c r="A302" s="53" t="s">
        <v>60</v>
      </c>
      <c r="B302" s="1438">
        <f>SUM(B293:C301)</f>
        <v>13</v>
      </c>
      <c r="C302" s="1439"/>
      <c r="D302" s="1440">
        <f>SUM(D293:E301)</f>
        <v>814171.30859999999</v>
      </c>
      <c r="E302" s="1440"/>
      <c r="F302" s="1441">
        <f>SUM(F293:G301)</f>
        <v>2.4986000000000002</v>
      </c>
      <c r="G302" s="1440"/>
      <c r="H302" s="56">
        <f>SUM(H293:H301)</f>
        <v>27.774000000000001</v>
      </c>
      <c r="I302" s="136">
        <f>SUM(I293:I301)</f>
        <v>1598</v>
      </c>
      <c r="J302" s="136">
        <f>SUM(J293:J301)</f>
        <v>724</v>
      </c>
      <c r="K302" s="136">
        <f>SUM(K293:K301)</f>
        <v>2426</v>
      </c>
      <c r="L302" s="143">
        <f>SUM(L293:L301)</f>
        <v>4748</v>
      </c>
      <c r="M302" s="1827"/>
      <c r="N302" s="1780"/>
    </row>
    <row r="303" spans="1:14" s="1161" customFormat="1" ht="17" thickBot="1">
      <c r="A303" s="108" t="str">
        <f>'Ontario Total'!A304</f>
        <v xml:space="preserve">IEUA High Efficiency Toilet (HET) Installation Prog. </v>
      </c>
      <c r="B303" s="1148"/>
      <c r="C303" s="1142"/>
      <c r="D303" s="1141"/>
      <c r="E303" s="1142"/>
      <c r="F303" s="1151"/>
      <c r="G303" s="1152"/>
      <c r="H303" s="1152"/>
      <c r="I303" s="109"/>
      <c r="J303" s="109"/>
      <c r="K303" s="109"/>
      <c r="L303" s="109"/>
      <c r="M303" s="412"/>
      <c r="N303" s="1155"/>
    </row>
    <row r="304" spans="1:14">
      <c r="A304" s="32" t="str">
        <f>'Ontario Total'!A305</f>
        <v>IEUA Multi-Family Direct Install Prog. (HET)</v>
      </c>
      <c r="B304" s="1731">
        <f>SAWC!N189</f>
        <v>0</v>
      </c>
      <c r="C304" s="1732"/>
      <c r="D304" s="1767">
        <f>F304*325851</f>
        <v>0</v>
      </c>
      <c r="E304" s="1732"/>
      <c r="F304" s="1855">
        <f>0.0425*B304</f>
        <v>0</v>
      </c>
      <c r="G304" s="1732"/>
      <c r="H304" s="709">
        <f>F304*20</f>
        <v>0</v>
      </c>
      <c r="I304" s="131">
        <f>73.34*B304</f>
        <v>0</v>
      </c>
      <c r="J304" s="131">
        <f>35.66*B304</f>
        <v>0</v>
      </c>
      <c r="K304" s="131">
        <f>B304*50</f>
        <v>0</v>
      </c>
      <c r="L304" s="131">
        <f>I304+J304+K304</f>
        <v>0</v>
      </c>
      <c r="M304" s="1942">
        <f>IF(ISERROR(L304/(F304*727)),0,L304/(F304*727))</f>
        <v>0</v>
      </c>
      <c r="N304" s="1793"/>
    </row>
    <row r="305" spans="1:14" ht="14" thickBot="1">
      <c r="A305" s="32" t="str">
        <f>'Ontario Total'!A306</f>
        <v>IEUA Single-Family Direct Install Prog. (HET)</v>
      </c>
      <c r="B305" s="1429">
        <f>SAWC!N190</f>
        <v>18</v>
      </c>
      <c r="C305" s="1430"/>
      <c r="D305" s="1768">
        <f>F305*325851</f>
        <v>249276.01500000001</v>
      </c>
      <c r="E305" s="1430"/>
      <c r="F305" s="1734">
        <f>0.0425*B305</f>
        <v>0.76500000000000001</v>
      </c>
      <c r="G305" s="1430"/>
      <c r="H305" s="402">
        <f>F305*20</f>
        <v>15.3</v>
      </c>
      <c r="I305" s="131">
        <f>73.34*B305</f>
        <v>1320.1200000000001</v>
      </c>
      <c r="J305" s="131">
        <f>35.66*B305</f>
        <v>641.87999999999988</v>
      </c>
      <c r="K305" s="131">
        <f>B305*50</f>
        <v>900</v>
      </c>
      <c r="L305" s="131">
        <f>I305+J305+K305</f>
        <v>2862</v>
      </c>
      <c r="M305" s="1909">
        <f>IF(ISERROR(L305/(F305*727)),0,L305/(F305*727))</f>
        <v>5.1460474148393889</v>
      </c>
      <c r="N305" s="1755"/>
    </row>
    <row r="306" spans="1:14" ht="14" thickBot="1">
      <c r="A306" s="53" t="s">
        <v>60</v>
      </c>
      <c r="B306" s="1438">
        <f>SUM(B304:B305)</f>
        <v>18</v>
      </c>
      <c r="C306" s="1439"/>
      <c r="D306" s="1440">
        <f>SUM(D304:D305)</f>
        <v>249276.01500000001</v>
      </c>
      <c r="E306" s="1440"/>
      <c r="F306" s="1441">
        <f>SUM(F304:F305)</f>
        <v>0.76500000000000001</v>
      </c>
      <c r="G306" s="1439"/>
      <c r="H306" s="165">
        <f>SUM(H304:H305)</f>
        <v>15.3</v>
      </c>
      <c r="I306" s="136">
        <f>SUM(I304:I305)</f>
        <v>1320.1200000000001</v>
      </c>
      <c r="J306" s="143">
        <f>SUM(J304:J305)</f>
        <v>641.87999999999988</v>
      </c>
      <c r="K306" s="143">
        <f>SUM(K304:K305)</f>
        <v>900</v>
      </c>
      <c r="L306" s="143">
        <f>SUM(L304:L305)</f>
        <v>2862</v>
      </c>
      <c r="M306" s="1637"/>
      <c r="N306" s="1636"/>
    </row>
    <row r="307" spans="1:14" s="1161" customFormat="1" ht="17" thickBot="1">
      <c r="A307" s="108" t="str">
        <f>'Ontario Total'!A308</f>
        <v>SoCal Water$mart Commercial Rebates</v>
      </c>
      <c r="B307" s="1148"/>
      <c r="C307" s="1142"/>
      <c r="D307" s="1141"/>
      <c r="E307" s="1142"/>
      <c r="F307" s="1156"/>
      <c r="G307" s="1150"/>
      <c r="H307" s="1150"/>
      <c r="I307" s="109"/>
      <c r="J307" s="109"/>
      <c r="K307" s="109"/>
      <c r="L307" s="109"/>
      <c r="M307" s="1271"/>
      <c r="N307" s="1272"/>
    </row>
    <row r="308" spans="1:14">
      <c r="A308" s="32" t="str">
        <f>'Ontario Total'!A309</f>
        <v>High Efficiency Toilets (HET)</v>
      </c>
      <c r="B308" s="1731">
        <f>SAWC!N193</f>
        <v>0</v>
      </c>
      <c r="C308" s="1732"/>
      <c r="D308" s="1767">
        <f>F308*325851</f>
        <v>0</v>
      </c>
      <c r="E308" s="1732"/>
      <c r="F308" s="1720">
        <f t="shared" ref="F308:F314" si="78">0.004*B308</f>
        <v>0</v>
      </c>
      <c r="G308" s="1721"/>
      <c r="H308" s="155">
        <f>F308*20</f>
        <v>0</v>
      </c>
      <c r="I308" s="130">
        <v>0</v>
      </c>
      <c r="J308" s="131">
        <f>135*B308</f>
        <v>0</v>
      </c>
      <c r="K308" s="131">
        <f>165*B308</f>
        <v>0</v>
      </c>
      <c r="L308" s="131">
        <f t="shared" ref="L308:L313" si="79">SUM(I308:K308)</f>
        <v>0</v>
      </c>
      <c r="M308" s="1942">
        <f>IF(ISERROR(L308/(F308*727)),0,L308/(F308*727))</f>
        <v>0</v>
      </c>
      <c r="N308" s="1793"/>
    </row>
    <row r="309" spans="1:14">
      <c r="A309" s="32" t="str">
        <f>'Ontario Total'!A310</f>
        <v>Waterless Urinals</v>
      </c>
      <c r="B309" s="1421">
        <f>SAWC!N194</f>
        <v>0</v>
      </c>
      <c r="C309" s="1422"/>
      <c r="D309" s="1444">
        <f>F309*325851</f>
        <v>0</v>
      </c>
      <c r="E309" s="1422"/>
      <c r="F309" s="1720">
        <f t="shared" si="78"/>
        <v>0</v>
      </c>
      <c r="G309" s="1721"/>
      <c r="H309" s="155">
        <f>F309*20</f>
        <v>0</v>
      </c>
      <c r="I309" s="130">
        <v>0</v>
      </c>
      <c r="J309" s="131">
        <f>0*B309</f>
        <v>0</v>
      </c>
      <c r="K309" s="131">
        <f>400*B309</f>
        <v>0</v>
      </c>
      <c r="L309" s="131">
        <f t="shared" si="79"/>
        <v>0</v>
      </c>
      <c r="M309" s="1943">
        <f>IF(ISERROR(L309/(F309*727)),0,L309/(F309*727))</f>
        <v>0</v>
      </c>
      <c r="N309" s="1759"/>
    </row>
    <row r="310" spans="1:14">
      <c r="A310" s="32" t="s">
        <v>204</v>
      </c>
      <c r="B310" s="1421">
        <f>SAWC!N195</f>
        <v>0</v>
      </c>
      <c r="C310" s="1422"/>
      <c r="D310" s="1444">
        <f t="shared" ref="D310:D316" si="80">F310*325851</f>
        <v>0</v>
      </c>
      <c r="E310" s="1422"/>
      <c r="F310" s="1720">
        <f t="shared" si="78"/>
        <v>0</v>
      </c>
      <c r="G310" s="1721"/>
      <c r="H310" s="155">
        <f>F310*5</f>
        <v>0</v>
      </c>
      <c r="I310" s="130">
        <v>0</v>
      </c>
      <c r="J310" s="131">
        <f>43.75*B310</f>
        <v>0</v>
      </c>
      <c r="K310" s="131">
        <f>625*B310</f>
        <v>0</v>
      </c>
      <c r="L310" s="131">
        <f t="shared" si="79"/>
        <v>0</v>
      </c>
      <c r="M310" s="1943">
        <f>IF(ISERROR(L310/(F310*727)),0,L310/(F310*727))</f>
        <v>0</v>
      </c>
      <c r="N310" s="1759"/>
    </row>
    <row r="311" spans="1:14">
      <c r="A311" s="32" t="str">
        <f>'Ontario Total'!A312</f>
        <v>High Efficiency Clothes Washers</v>
      </c>
      <c r="B311" s="1421">
        <f>SAWC!N196</f>
        <v>0</v>
      </c>
      <c r="C311" s="1422"/>
      <c r="D311" s="1444">
        <f t="shared" si="80"/>
        <v>0</v>
      </c>
      <c r="E311" s="1422"/>
      <c r="F311" s="1720">
        <f t="shared" si="78"/>
        <v>0</v>
      </c>
      <c r="G311" s="1721"/>
      <c r="H311" s="155">
        <f>F311*10</f>
        <v>0</v>
      </c>
      <c r="I311" s="130">
        <v>0</v>
      </c>
      <c r="J311" s="131">
        <f>100*B311</f>
        <v>0</v>
      </c>
      <c r="K311" s="131">
        <f>80*B311</f>
        <v>0</v>
      </c>
      <c r="L311" s="131">
        <f t="shared" si="79"/>
        <v>0</v>
      </c>
      <c r="M311" s="1943">
        <f>IF(ISERROR(L311/(F311*727)),0,L311/(F311*727))</f>
        <v>0</v>
      </c>
      <c r="N311" s="1759"/>
    </row>
    <row r="312" spans="1:14" hidden="1">
      <c r="A312" s="35" t="s">
        <v>47</v>
      </c>
      <c r="B312" s="1421">
        <f>SAWC!N197</f>
        <v>0</v>
      </c>
      <c r="C312" s="1422"/>
      <c r="D312" s="1444">
        <f t="shared" si="80"/>
        <v>0</v>
      </c>
      <c r="E312" s="1422"/>
      <c r="F312" s="1720">
        <f t="shared" si="78"/>
        <v>0</v>
      </c>
      <c r="G312" s="1721"/>
      <c r="H312" s="155">
        <f>F312*5</f>
        <v>0</v>
      </c>
      <c r="I312" s="130">
        <v>0</v>
      </c>
      <c r="J312" s="131">
        <f>0*B312</f>
        <v>0</v>
      </c>
      <c r="K312" s="131">
        <f>150*B312</f>
        <v>0</v>
      </c>
      <c r="L312" s="131">
        <f t="shared" si="79"/>
        <v>0</v>
      </c>
      <c r="M312" s="317">
        <v>0</v>
      </c>
      <c r="N312" s="129"/>
    </row>
    <row r="313" spans="1:14">
      <c r="A313" s="32" t="str">
        <f>'Ontario Total'!A314</f>
        <v>Weather based Irrigation Controllers (WBIC)</v>
      </c>
      <c r="B313" s="1421">
        <f>SAWC!N198</f>
        <v>0</v>
      </c>
      <c r="C313" s="1422"/>
      <c r="D313" s="1444">
        <f t="shared" si="80"/>
        <v>0</v>
      </c>
      <c r="E313" s="1422"/>
      <c r="F313" s="1720">
        <f t="shared" si="78"/>
        <v>0</v>
      </c>
      <c r="G313" s="1721"/>
      <c r="H313" s="155">
        <f>F313*10</f>
        <v>0</v>
      </c>
      <c r="I313" s="130">
        <v>0</v>
      </c>
      <c r="J313" s="131">
        <f>0*B313</f>
        <v>0</v>
      </c>
      <c r="K313" s="131">
        <f>669*B313</f>
        <v>0</v>
      </c>
      <c r="L313" s="131">
        <f t="shared" si="79"/>
        <v>0</v>
      </c>
      <c r="M313" s="1943">
        <f>IF(ISERROR(L313/(F313*727)),0,L313/(F313*727))</f>
        <v>0</v>
      </c>
      <c r="N313" s="1759"/>
    </row>
    <row r="314" spans="1:14" ht="13.5" hidden="1" customHeight="1">
      <c r="A314" s="33" t="s">
        <v>53</v>
      </c>
      <c r="B314" s="1421">
        <f>SAWC!N199</f>
        <v>0</v>
      </c>
      <c r="C314" s="1422"/>
      <c r="D314" s="1444">
        <f t="shared" si="80"/>
        <v>0</v>
      </c>
      <c r="E314" s="1422"/>
      <c r="F314" s="1720">
        <f t="shared" si="78"/>
        <v>0</v>
      </c>
      <c r="G314" s="1721"/>
      <c r="H314" s="155">
        <f>F314*10</f>
        <v>0</v>
      </c>
      <c r="I314" s="130">
        <v>0</v>
      </c>
      <c r="J314" s="131">
        <f>0.45*B314</f>
        <v>0</v>
      </c>
      <c r="K314" s="131">
        <f>0.3*B314</f>
        <v>0</v>
      </c>
      <c r="L314" s="131">
        <v>0</v>
      </c>
      <c r="M314" s="317">
        <v>0</v>
      </c>
      <c r="N314" s="129"/>
    </row>
    <row r="315" spans="1:14">
      <c r="A315" s="32" t="str">
        <f>'Ontario Total'!A316</f>
        <v>Rotating Nozzles for Pop-up Spray Heads</v>
      </c>
      <c r="B315" s="1421">
        <f>SAWC!N200</f>
        <v>0</v>
      </c>
      <c r="C315" s="1422"/>
      <c r="D315" s="1444">
        <f t="shared" si="80"/>
        <v>0</v>
      </c>
      <c r="E315" s="1422"/>
      <c r="F315" s="1720">
        <f>0.004*B315</f>
        <v>0</v>
      </c>
      <c r="G315" s="1721"/>
      <c r="H315" s="155">
        <f>F315*5</f>
        <v>0</v>
      </c>
      <c r="I315" s="130">
        <v>0</v>
      </c>
      <c r="J315" s="131">
        <f t="shared" ref="J315:J320" si="81">0*B315</f>
        <v>0</v>
      </c>
      <c r="K315" s="131">
        <f>4*B315</f>
        <v>0</v>
      </c>
      <c r="L315" s="131">
        <f t="shared" ref="L315:L320" si="82">SUM(I315:K315)</f>
        <v>0</v>
      </c>
      <c r="M315" s="1943">
        <f>IF(ISERROR(L315/(F315*727)),0,L315/(F315*727))</f>
        <v>0</v>
      </c>
      <c r="N315" s="1759"/>
    </row>
    <row r="316" spans="1:14">
      <c r="A316" s="32" t="str">
        <f>'Ontario Total'!A317</f>
        <v>Large Rotary Nozzles</v>
      </c>
      <c r="B316" s="1421">
        <f>SAWC!N201</f>
        <v>0</v>
      </c>
      <c r="C316" s="1422"/>
      <c r="D316" s="1444">
        <f t="shared" si="80"/>
        <v>0</v>
      </c>
      <c r="E316" s="1422"/>
      <c r="F316" s="1720">
        <f>0.018*B316</f>
        <v>0</v>
      </c>
      <c r="G316" s="1721"/>
      <c r="H316" s="155">
        <f>F316*10</f>
        <v>0</v>
      </c>
      <c r="I316" s="130">
        <v>0</v>
      </c>
      <c r="J316" s="131">
        <f t="shared" si="81"/>
        <v>0</v>
      </c>
      <c r="K316" s="131">
        <f>13*B316</f>
        <v>0</v>
      </c>
      <c r="L316" s="131">
        <f t="shared" si="82"/>
        <v>0</v>
      </c>
      <c r="M316" s="1943">
        <f>IF(ISERROR(L316/(F316*727)),0,L316/(F316*727))</f>
        <v>0</v>
      </c>
      <c r="N316" s="1759"/>
    </row>
    <row r="317" spans="1:14" ht="13.5" hidden="1" customHeight="1">
      <c r="A317" s="33" t="s">
        <v>102</v>
      </c>
      <c r="B317" s="1421">
        <f>SAWC!N202</f>
        <v>0</v>
      </c>
      <c r="C317" s="1422"/>
      <c r="D317" s="1444">
        <f>F317*325851</f>
        <v>0</v>
      </c>
      <c r="E317" s="1422"/>
      <c r="F317" s="1720">
        <f>0.018*B317</f>
        <v>0</v>
      </c>
      <c r="G317" s="1721"/>
      <c r="H317" s="155">
        <f>F317*5</f>
        <v>0</v>
      </c>
      <c r="I317" s="130">
        <v>0</v>
      </c>
      <c r="J317" s="131">
        <f t="shared" si="81"/>
        <v>0</v>
      </c>
      <c r="K317" s="131">
        <f>60*B317</f>
        <v>0</v>
      </c>
      <c r="L317" s="131">
        <f t="shared" si="82"/>
        <v>0</v>
      </c>
      <c r="M317" s="317">
        <v>0</v>
      </c>
      <c r="N317" s="129"/>
    </row>
    <row r="318" spans="1:14" ht="13.5" hidden="1" customHeight="1" thickBot="1">
      <c r="A318" s="32" t="str">
        <f>'Ontario Total'!A319</f>
        <v xml:space="preserve">Central Computerized Irrigation Controller </v>
      </c>
      <c r="B318" s="1421">
        <f>SAWC!N203</f>
        <v>0</v>
      </c>
      <c r="C318" s="1422"/>
      <c r="D318" s="1444">
        <f>F318*325851</f>
        <v>0</v>
      </c>
      <c r="E318" s="1422"/>
      <c r="F318" s="1720">
        <f>0.018*B318</f>
        <v>0</v>
      </c>
      <c r="G318" s="1721"/>
      <c r="H318" s="155">
        <f>F318*5</f>
        <v>0</v>
      </c>
      <c r="I318" s="130">
        <v>0</v>
      </c>
      <c r="J318" s="130">
        <f t="shared" si="81"/>
        <v>0</v>
      </c>
      <c r="K318" s="130">
        <f>60*B318</f>
        <v>0</v>
      </c>
      <c r="L318" s="130">
        <f t="shared" si="82"/>
        <v>0</v>
      </c>
      <c r="M318" s="1944">
        <f>IF(ISERROR(L318/(F318*727)),0,L318/(F318*727))</f>
        <v>0</v>
      </c>
      <c r="N318" s="1860"/>
    </row>
    <row r="319" spans="1:14" ht="13.5" customHeight="1">
      <c r="A319" s="144" t="str">
        <f>'Ontario Total'!A320</f>
        <v>Laminar Flow Restrictor</v>
      </c>
      <c r="B319" s="1945">
        <f>SAWC!N204</f>
        <v>0</v>
      </c>
      <c r="C319" s="1446"/>
      <c r="D319" s="1445">
        <f>F319*325851</f>
        <v>0</v>
      </c>
      <c r="E319" s="1446"/>
      <c r="F319" s="1723">
        <f>0.018*B319</f>
        <v>0</v>
      </c>
      <c r="G319" s="1724"/>
      <c r="H319" s="157">
        <f>F319*5</f>
        <v>0</v>
      </c>
      <c r="I319" s="130">
        <v>0</v>
      </c>
      <c r="J319" s="130">
        <f t="shared" si="81"/>
        <v>0</v>
      </c>
      <c r="K319" s="130">
        <f>60*B319</f>
        <v>0</v>
      </c>
      <c r="L319" s="130">
        <f t="shared" si="82"/>
        <v>0</v>
      </c>
      <c r="M319" s="1944">
        <f>IF(ISERROR(L319/(F319*727)),0,L319/(F319*727))</f>
        <v>0</v>
      </c>
      <c r="N319" s="1860"/>
    </row>
    <row r="320" spans="1:14" ht="13.5" customHeight="1" thickBot="1">
      <c r="A320" s="144" t="str">
        <f>'Ontario Total'!A321</f>
        <v>Air-Cooled Ice Machine</v>
      </c>
      <c r="B320" s="2163">
        <f>SAWC!N205</f>
        <v>0</v>
      </c>
      <c r="C320" s="1726"/>
      <c r="D320" s="1445">
        <f>F320*325851</f>
        <v>0</v>
      </c>
      <c r="E320" s="1446"/>
      <c r="F320" s="1723">
        <f>0.018*B320</f>
        <v>0</v>
      </c>
      <c r="G320" s="1724"/>
      <c r="H320" s="157">
        <f>F320*5</f>
        <v>0</v>
      </c>
      <c r="I320" s="130">
        <v>0</v>
      </c>
      <c r="J320" s="130">
        <f t="shared" si="81"/>
        <v>0</v>
      </c>
      <c r="K320" s="130">
        <f>60*B320</f>
        <v>0</v>
      </c>
      <c r="L320" s="130">
        <f t="shared" si="82"/>
        <v>0</v>
      </c>
      <c r="M320" s="1738">
        <f>IF(ISERROR(L320/(F320*727)),0,L320/(F320*727))</f>
        <v>0</v>
      </c>
      <c r="N320" s="2164"/>
    </row>
    <row r="321" spans="1:14" s="1168" customFormat="1" ht="17" thickBot="1">
      <c r="A321" s="108" t="str">
        <f>'Ontario Total'!A322</f>
        <v>IEUA Locally Implemented Commercial Programs</v>
      </c>
      <c r="B321" s="1148"/>
      <c r="C321" s="1142"/>
      <c r="D321" s="1141"/>
      <c r="E321" s="1142"/>
      <c r="F321" s="1158"/>
      <c r="G321" s="1145"/>
      <c r="H321" s="1145"/>
      <c r="I321" s="109"/>
      <c r="J321" s="109"/>
      <c r="K321" s="109"/>
      <c r="L321" s="109"/>
      <c r="M321" s="412"/>
      <c r="N321" s="1155"/>
    </row>
    <row r="322" spans="1:14">
      <c r="A322" s="32" t="str">
        <f>'Ontario Total'!A323</f>
        <v>Fontana Unified School Retrofit Program</v>
      </c>
      <c r="B322" s="1421">
        <f>SAWC!N207</f>
        <v>0</v>
      </c>
      <c r="C322" s="1422"/>
      <c r="D322" s="1444">
        <v>0</v>
      </c>
      <c r="E322" s="1444"/>
      <c r="F322" s="2101">
        <v>0</v>
      </c>
      <c r="G322" s="2098"/>
      <c r="H322" s="155">
        <v>0</v>
      </c>
      <c r="I322" s="149">
        <v>0</v>
      </c>
      <c r="J322" s="131">
        <v>0</v>
      </c>
      <c r="K322" s="131">
        <v>0</v>
      </c>
      <c r="L322" s="131">
        <v>0</v>
      </c>
      <c r="M322" s="1942">
        <v>0</v>
      </c>
      <c r="N322" s="1793"/>
    </row>
    <row r="323" spans="1:14" ht="14" thickBot="1">
      <c r="A323" s="32" t="s">
        <v>165</v>
      </c>
      <c r="B323" s="1429">
        <f>SAWC!N208</f>
        <v>0</v>
      </c>
      <c r="C323" s="1430"/>
      <c r="D323" s="1444">
        <f>F323*325851</f>
        <v>0</v>
      </c>
      <c r="E323" s="1422"/>
      <c r="F323" s="1720">
        <f>0.018*B323</f>
        <v>0</v>
      </c>
      <c r="G323" s="1721"/>
      <c r="H323" s="155">
        <f>F323*5</f>
        <v>0</v>
      </c>
      <c r="I323" s="130">
        <v>0</v>
      </c>
      <c r="J323" s="131">
        <f>0*B323</f>
        <v>0</v>
      </c>
      <c r="K323" s="131">
        <f>60*B323</f>
        <v>0</v>
      </c>
      <c r="L323" s="131">
        <f>SUM(I323:K323)</f>
        <v>0</v>
      </c>
      <c r="M323" s="1909">
        <f>IF(ISERROR(L323/(F323*727)),0,L323/(F323*727))</f>
        <v>0</v>
      </c>
      <c r="N323" s="1755"/>
    </row>
    <row r="324" spans="1:14" ht="14" thickBot="1">
      <c r="A324" s="53" t="s">
        <v>60</v>
      </c>
      <c r="B324" s="1438">
        <f>SUM(B308:C323)</f>
        <v>0</v>
      </c>
      <c r="C324" s="1439"/>
      <c r="D324" s="1440">
        <f>SUM(D308:E323)</f>
        <v>0</v>
      </c>
      <c r="E324" s="1440"/>
      <c r="F324" s="1441">
        <f>SUM(F308:G323)</f>
        <v>0</v>
      </c>
      <c r="G324" s="1439"/>
      <c r="H324" s="707">
        <f>SUM(H308:H323)</f>
        <v>0</v>
      </c>
      <c r="I324" s="136">
        <f>SUM(I308:I323)</f>
        <v>0</v>
      </c>
      <c r="J324" s="136">
        <f>SUM(J308:J323)</f>
        <v>0</v>
      </c>
      <c r="K324" s="136">
        <f>SUM(K308:K323)</f>
        <v>0</v>
      </c>
      <c r="L324" s="143">
        <f>SUM(L308:L323)</f>
        <v>0</v>
      </c>
      <c r="M324" s="1637"/>
      <c r="N324" s="1636"/>
    </row>
    <row r="325" spans="1:14" s="1168" customFormat="1" ht="17" thickBot="1">
      <c r="A325" s="1182" t="s">
        <v>17</v>
      </c>
      <c r="B325" s="1416">
        <f>SUM(B302+B306+B324)</f>
        <v>31</v>
      </c>
      <c r="C325" s="1415"/>
      <c r="D325" s="1416">
        <f>SUM(D302+D306+D324)</f>
        <v>1063447.3236</v>
      </c>
      <c r="E325" s="1415"/>
      <c r="F325" s="1416">
        <f>SUM(F302+F306+F324)</f>
        <v>3.2636000000000003</v>
      </c>
      <c r="G325" s="1415"/>
      <c r="H325" s="1164">
        <f>SUM(H302+H306+H324)</f>
        <v>43.073999999999998</v>
      </c>
      <c r="I325" s="1169">
        <f>SUM(I302+I306+I324)</f>
        <v>2918.12</v>
      </c>
      <c r="J325" s="1169">
        <f>SUM(J302+J306+J324)</f>
        <v>1365.8799999999999</v>
      </c>
      <c r="K325" s="1169">
        <f>SUM(K302+K306+K324)</f>
        <v>3326</v>
      </c>
      <c r="L325" s="1175">
        <f>SUM(L302+L306+L324)</f>
        <v>7610</v>
      </c>
      <c r="M325" s="1273"/>
      <c r="N325" s="1274"/>
    </row>
    <row r="326" spans="1:14" ht="16">
      <c r="A326" s="60"/>
      <c r="B326" s="61"/>
      <c r="C326" s="61"/>
      <c r="D326" s="61"/>
      <c r="E326" s="61"/>
      <c r="F326" s="61"/>
      <c r="G326" s="61"/>
      <c r="H326" s="62"/>
      <c r="I326" s="62"/>
      <c r="J326" s="62"/>
      <c r="K326" s="62"/>
      <c r="L326" s="62"/>
      <c r="M326" s="64"/>
      <c r="N326" s="65"/>
    </row>
    <row r="327" spans="1:14" s="363" customFormat="1" ht="16">
      <c r="A327" s="9" t="s">
        <v>18</v>
      </c>
      <c r="B327" s="1695" t="s">
        <v>59</v>
      </c>
      <c r="C327" s="1695"/>
      <c r="D327" s="1695"/>
      <c r="E327" s="1695"/>
      <c r="F327" s="61"/>
      <c r="G327" s="61"/>
      <c r="H327" s="62"/>
      <c r="I327" s="62"/>
      <c r="J327" s="62"/>
      <c r="K327" s="62"/>
      <c r="L327" s="62"/>
      <c r="M327" s="64"/>
      <c r="N327" s="65"/>
    </row>
    <row r="328" spans="1:14" ht="16">
      <c r="A328" s="57"/>
      <c r="B328" s="1420" t="s">
        <v>19</v>
      </c>
      <c r="C328" s="1420"/>
      <c r="D328" s="1420"/>
      <c r="E328" s="1420"/>
      <c r="F328" s="61"/>
      <c r="G328" s="61"/>
      <c r="H328" s="62"/>
      <c r="I328" s="62"/>
      <c r="J328" s="62"/>
      <c r="K328" s="62"/>
      <c r="L328" s="62"/>
      <c r="M328" s="64"/>
      <c r="N328" s="65"/>
    </row>
    <row r="329" spans="1:14" ht="17" thickBot="1">
      <c r="A329" s="57"/>
      <c r="B329" s="943"/>
      <c r="C329" s="943"/>
      <c r="D329" s="943"/>
      <c r="E329" s="943"/>
      <c r="F329" s="61"/>
      <c r="G329" s="61"/>
      <c r="H329" s="62"/>
      <c r="I329" s="62"/>
      <c r="J329" s="62"/>
      <c r="K329" s="62"/>
      <c r="L329" s="62"/>
      <c r="M329" s="64"/>
      <c r="N329" s="65"/>
    </row>
    <row r="330" spans="1:14" ht="16">
      <c r="A330" s="98"/>
      <c r="B330" s="99"/>
      <c r="C330" s="99"/>
      <c r="D330" s="99"/>
      <c r="E330" s="99"/>
      <c r="F330" s="100"/>
      <c r="G330" s="100"/>
      <c r="H330" s="100"/>
      <c r="I330" s="1468" t="s">
        <v>0</v>
      </c>
      <c r="J330" s="1468"/>
      <c r="K330" s="1468"/>
      <c r="L330" s="1468"/>
      <c r="M330" s="99"/>
      <c r="N330" s="101"/>
    </row>
    <row r="331" spans="1:14" ht="16">
      <c r="A331" s="97"/>
      <c r="B331" s="720" t="s">
        <v>1</v>
      </c>
      <c r="C331" s="720"/>
      <c r="D331" s="720" t="s">
        <v>2</v>
      </c>
      <c r="E331" s="720"/>
      <c r="F331" s="730" t="s">
        <v>3</v>
      </c>
      <c r="G331" s="730"/>
      <c r="H331" s="730" t="s">
        <v>3</v>
      </c>
      <c r="I331" s="127" t="s">
        <v>195</v>
      </c>
      <c r="J331" s="102"/>
      <c r="K331" s="102"/>
      <c r="L331" s="128"/>
      <c r="M331" s="1525" t="s">
        <v>4</v>
      </c>
      <c r="N331" s="1526"/>
    </row>
    <row r="332" spans="1:14" s="91" customFormat="1" ht="19" thickBot="1">
      <c r="A332" s="103" t="s">
        <v>5</v>
      </c>
      <c r="B332" s="724" t="s">
        <v>6</v>
      </c>
      <c r="C332" s="724"/>
      <c r="D332" s="724" t="s">
        <v>7</v>
      </c>
      <c r="E332" s="724"/>
      <c r="F332" s="731" t="s">
        <v>7</v>
      </c>
      <c r="G332" s="731"/>
      <c r="H332" s="731" t="s">
        <v>58</v>
      </c>
      <c r="I332" s="726" t="s">
        <v>196</v>
      </c>
      <c r="J332" s="724" t="s">
        <v>8</v>
      </c>
      <c r="K332" s="724" t="s">
        <v>9</v>
      </c>
      <c r="L332" s="401" t="s">
        <v>10</v>
      </c>
      <c r="M332" s="1527" t="s">
        <v>145</v>
      </c>
      <c r="N332" s="1475"/>
    </row>
    <row r="333" spans="1:14" ht="24" thickBot="1">
      <c r="A333" s="88" t="s">
        <v>180</v>
      </c>
      <c r="B333" s="117"/>
      <c r="C333" s="113"/>
      <c r="D333" s="114"/>
      <c r="E333" s="115"/>
      <c r="F333" s="116"/>
      <c r="G333" s="49"/>
      <c r="H333" s="49"/>
      <c r="I333" s="7"/>
      <c r="J333" s="7"/>
      <c r="K333" s="7"/>
      <c r="L333" s="8"/>
      <c r="M333" s="117"/>
      <c r="N333" s="118"/>
    </row>
    <row r="334" spans="1:14" s="1168" customFormat="1" ht="17" thickBot="1">
      <c r="A334" s="108" t="s">
        <v>48</v>
      </c>
      <c r="B334" s="1148"/>
      <c r="C334" s="1142"/>
      <c r="D334" s="1148"/>
      <c r="E334" s="1142"/>
      <c r="F334" s="1156"/>
      <c r="G334" s="1157"/>
      <c r="H334" s="1157"/>
      <c r="I334" s="109"/>
      <c r="J334" s="109"/>
      <c r="K334" s="109"/>
      <c r="L334" s="1141"/>
      <c r="M334" s="1154"/>
      <c r="N334" s="1155"/>
    </row>
    <row r="335" spans="1:14" hidden="1">
      <c r="A335" s="32" t="s">
        <v>29</v>
      </c>
      <c r="B335" s="1731">
        <f>SAWC!N146</f>
        <v>0</v>
      </c>
      <c r="C335" s="1732"/>
      <c r="D335" s="1855"/>
      <c r="E335" s="1732"/>
      <c r="F335" s="1876"/>
      <c r="G335" s="1877"/>
      <c r="H335" s="48">
        <f>F335*20</f>
        <v>0</v>
      </c>
      <c r="I335" s="4">
        <v>0</v>
      </c>
      <c r="J335" s="4">
        <f>35*B335</f>
        <v>0</v>
      </c>
      <c r="K335" s="4">
        <f>B335*50</f>
        <v>0</v>
      </c>
      <c r="L335" s="6">
        <f>I335+J335+K335</f>
        <v>0</v>
      </c>
      <c r="M335" s="111">
        <v>0</v>
      </c>
      <c r="N335" s="112"/>
    </row>
    <row r="336" spans="1:14">
      <c r="A336" s="32" t="s">
        <v>33</v>
      </c>
      <c r="B336" s="1421">
        <f>SAWC!N147</f>
        <v>8</v>
      </c>
      <c r="C336" s="1422"/>
      <c r="D336" s="1431">
        <f>F336*325851</f>
        <v>71947.900800000003</v>
      </c>
      <c r="E336" s="1422"/>
      <c r="F336" s="1876">
        <f>0.0276*B336</f>
        <v>0.2208</v>
      </c>
      <c r="G336" s="1877"/>
      <c r="H336" s="957">
        <f>F336*15</f>
        <v>3.3119999999999998</v>
      </c>
      <c r="I336" s="131">
        <f>0*B336</f>
        <v>0</v>
      </c>
      <c r="J336" s="131">
        <f>50*B336</f>
        <v>400</v>
      </c>
      <c r="K336" s="131">
        <f>B336*110</f>
        <v>880</v>
      </c>
      <c r="L336" s="132">
        <f>I336+J336+K336</f>
        <v>1280</v>
      </c>
      <c r="M336" s="1758">
        <f>L336/(F336*681)</f>
        <v>8.5126306156760094</v>
      </c>
      <c r="N336" s="1759"/>
    </row>
    <row r="337" spans="1:14">
      <c r="A337" s="32" t="s">
        <v>56</v>
      </c>
      <c r="B337" s="1421">
        <f>SAWC!N148</f>
        <v>0</v>
      </c>
      <c r="C337" s="1422"/>
      <c r="D337" s="1431">
        <f>F337*325851</f>
        <v>0</v>
      </c>
      <c r="E337" s="1422"/>
      <c r="F337" s="1876">
        <f>0.004*B337</f>
        <v>0</v>
      </c>
      <c r="G337" s="1877"/>
      <c r="H337" s="957">
        <f>F337*5</f>
        <v>0</v>
      </c>
      <c r="I337" s="131">
        <f>0*B337</f>
        <v>0</v>
      </c>
      <c r="J337" s="131">
        <f>2*B337</f>
        <v>0</v>
      </c>
      <c r="K337" s="131">
        <f>B337*4</f>
        <v>0</v>
      </c>
      <c r="L337" s="132">
        <f>I337+J337+K337</f>
        <v>0</v>
      </c>
      <c r="M337" s="1758">
        <v>0</v>
      </c>
      <c r="N337" s="1759"/>
    </row>
    <row r="338" spans="1:14">
      <c r="A338" s="78" t="s">
        <v>30</v>
      </c>
      <c r="B338" s="1421">
        <f>SAWC!N149</f>
        <v>1</v>
      </c>
      <c r="C338" s="1422"/>
      <c r="D338" s="1431">
        <f>F338*325851</f>
        <v>105901.575</v>
      </c>
      <c r="E338" s="1422"/>
      <c r="F338" s="1876">
        <f>0.325*B338</f>
        <v>0.32500000000000001</v>
      </c>
      <c r="G338" s="1877"/>
      <c r="H338" s="957">
        <f>F338*10</f>
        <v>3.25</v>
      </c>
      <c r="I338" s="131">
        <v>0</v>
      </c>
      <c r="J338" s="131">
        <v>45</v>
      </c>
      <c r="K338" s="131">
        <f>B338*80</f>
        <v>80</v>
      </c>
      <c r="L338" s="132">
        <f>I338+J338+K338</f>
        <v>125</v>
      </c>
      <c r="M338" s="1758">
        <f>L338/(F338*681)</f>
        <v>0.56478030046311978</v>
      </c>
      <c r="N338" s="1759"/>
    </row>
    <row r="339" spans="1:14" hidden="1">
      <c r="A339" s="76" t="s">
        <v>53</v>
      </c>
      <c r="B339" s="1421">
        <f>SAWC!N150</f>
        <v>0</v>
      </c>
      <c r="C339" s="1422"/>
      <c r="D339" s="1431"/>
      <c r="E339" s="1422"/>
      <c r="F339" s="1876"/>
      <c r="G339" s="1877"/>
      <c r="H339" s="956">
        <f>F339*10</f>
        <v>0</v>
      </c>
      <c r="I339" s="131">
        <v>0</v>
      </c>
      <c r="J339" s="133">
        <v>0</v>
      </c>
      <c r="K339" s="133">
        <v>0</v>
      </c>
      <c r="L339" s="132">
        <v>0</v>
      </c>
      <c r="M339" s="111" t="e">
        <f>L339/(F339*498.5)</f>
        <v>#DIV/0!</v>
      </c>
      <c r="N339" s="112"/>
    </row>
    <row r="340" spans="1:14">
      <c r="A340" s="33" t="s">
        <v>165</v>
      </c>
      <c r="B340" s="1421">
        <f>SAWC!N151</f>
        <v>0</v>
      </c>
      <c r="C340" s="1422"/>
      <c r="D340" s="1431">
        <f>F340*325851</f>
        <v>0</v>
      </c>
      <c r="E340" s="1444"/>
      <c r="F340" s="1871">
        <f>B340*0.004</f>
        <v>0</v>
      </c>
      <c r="G340" s="1450"/>
      <c r="H340" s="956">
        <v>0</v>
      </c>
      <c r="I340" s="131">
        <v>0</v>
      </c>
      <c r="J340" s="133">
        <v>0</v>
      </c>
      <c r="K340" s="133">
        <v>0</v>
      </c>
      <c r="L340" s="132">
        <f>SUM(I340:K340)</f>
        <v>0</v>
      </c>
      <c r="M340" s="1758">
        <v>0</v>
      </c>
      <c r="N340" s="1759"/>
    </row>
    <row r="341" spans="1:14" ht="14" thickBot="1">
      <c r="A341" s="76" t="s">
        <v>166</v>
      </c>
      <c r="B341" s="1421">
        <v>6</v>
      </c>
      <c r="C341" s="1422"/>
      <c r="D341" s="1431">
        <f>F341*325851</f>
        <v>1955106</v>
      </c>
      <c r="E341" s="1422"/>
      <c r="F341" s="1886">
        <v>6</v>
      </c>
      <c r="G341" s="1887"/>
      <c r="H341" s="956">
        <v>55</v>
      </c>
      <c r="I341" s="131">
        <v>0</v>
      </c>
      <c r="J341" s="133">
        <v>3737</v>
      </c>
      <c r="K341" s="133">
        <v>3529</v>
      </c>
      <c r="L341" s="132">
        <f>SUM(I341:K341)</f>
        <v>7266</v>
      </c>
      <c r="M341" s="1754">
        <f>L341/(F341*498.5)</f>
        <v>2.4292878635907722</v>
      </c>
      <c r="N341" s="1755"/>
    </row>
    <row r="342" spans="1:14" s="91" customFormat="1" ht="17" thickBot="1">
      <c r="A342" s="53" t="s">
        <v>60</v>
      </c>
      <c r="B342" s="1438">
        <f>SUM(B335:C341)</f>
        <v>15</v>
      </c>
      <c r="C342" s="1439"/>
      <c r="D342" s="1440">
        <f>SUM(D335:E341)</f>
        <v>2132955.4758000001</v>
      </c>
      <c r="E342" s="1439"/>
      <c r="F342" s="1440">
        <f>SUM(F335:G341)</f>
        <v>6.5457999999999998</v>
      </c>
      <c r="G342" s="1439"/>
      <c r="H342" s="67">
        <f>SUM(H335:H341)</f>
        <v>61.561999999999998</v>
      </c>
      <c r="I342" s="136">
        <f>SUM(I335:I341)</f>
        <v>0</v>
      </c>
      <c r="J342" s="136">
        <f>SUM(J335:J341)</f>
        <v>4182</v>
      </c>
      <c r="K342" s="136">
        <f>SUM(K335:K341)</f>
        <v>4489</v>
      </c>
      <c r="L342" s="136">
        <f>SUM(L335:L341)</f>
        <v>8671</v>
      </c>
      <c r="M342" s="1610"/>
      <c r="N342" s="1636"/>
    </row>
    <row r="343" spans="1:14" s="1168" customFormat="1" ht="17" thickBot="1">
      <c r="A343" s="108" t="s">
        <v>146</v>
      </c>
      <c r="B343" s="1148"/>
      <c r="C343" s="1142"/>
      <c r="D343" s="1141"/>
      <c r="E343" s="1142"/>
      <c r="F343" s="1153"/>
      <c r="G343" s="1152"/>
      <c r="H343" s="1152"/>
      <c r="I343" s="161"/>
      <c r="J343" s="161"/>
      <c r="K343" s="161"/>
      <c r="L343" s="162"/>
      <c r="M343" s="1154"/>
      <c r="N343" s="1155"/>
    </row>
    <row r="344" spans="1:14">
      <c r="A344" s="76" t="s">
        <v>146</v>
      </c>
      <c r="B344" s="1731">
        <f>SAWC!N155</f>
        <v>0</v>
      </c>
      <c r="C344" s="1732"/>
      <c r="D344" s="1767">
        <f>F344*325851</f>
        <v>0</v>
      </c>
      <c r="E344" s="1732"/>
      <c r="F344" s="1884">
        <f>0.0425*B344</f>
        <v>0</v>
      </c>
      <c r="G344" s="1885"/>
      <c r="H344" s="957">
        <f>F344*20</f>
        <v>0</v>
      </c>
      <c r="I344" s="131">
        <f>73.34*B344</f>
        <v>0</v>
      </c>
      <c r="J344" s="131">
        <f>35.66*B344</f>
        <v>0</v>
      </c>
      <c r="K344" s="131">
        <f>B344*50</f>
        <v>0</v>
      </c>
      <c r="L344" s="132">
        <f>I344+J344+K344</f>
        <v>0</v>
      </c>
      <c r="M344" s="1792">
        <v>0</v>
      </c>
      <c r="N344" s="1793"/>
    </row>
    <row r="345" spans="1:14" s="91" customFormat="1" ht="17" thickBot="1">
      <c r="A345" s="76" t="s">
        <v>181</v>
      </c>
      <c r="B345" s="1429">
        <f>SAWC!N156</f>
        <v>12</v>
      </c>
      <c r="C345" s="1430"/>
      <c r="D345" s="1768">
        <f>F345*325851</f>
        <v>166184.01</v>
      </c>
      <c r="E345" s="1430"/>
      <c r="F345" s="1886">
        <f>0.0425*B345</f>
        <v>0.51</v>
      </c>
      <c r="G345" s="1887"/>
      <c r="H345" s="957">
        <f>F345*20</f>
        <v>10.199999999999999</v>
      </c>
      <c r="I345" s="131">
        <f>73.34*B345</f>
        <v>880.08</v>
      </c>
      <c r="J345" s="131">
        <f>35.66*B345</f>
        <v>427.91999999999996</v>
      </c>
      <c r="K345" s="131">
        <f>B345*50</f>
        <v>600</v>
      </c>
      <c r="L345" s="132">
        <f>I345+J345+K345</f>
        <v>1908</v>
      </c>
      <c r="M345" s="1754">
        <f>L345/(F345*681)</f>
        <v>5.4936512049753823</v>
      </c>
      <c r="N345" s="1755"/>
    </row>
    <row r="346" spans="1:14" ht="14" thickBot="1">
      <c r="A346" s="53" t="s">
        <v>60</v>
      </c>
      <c r="B346" s="1438">
        <f>SUM(B344:B345)</f>
        <v>12</v>
      </c>
      <c r="C346" s="1439"/>
      <c r="D346" s="1440">
        <f>SUM(D344:D345)</f>
        <v>166184.01</v>
      </c>
      <c r="E346" s="1439"/>
      <c r="F346" s="1440">
        <f>SUM(F344:F345)</f>
        <v>0.51</v>
      </c>
      <c r="G346" s="1439"/>
      <c r="H346" s="721">
        <f>SUM(H344:H345)</f>
        <v>10.199999999999999</v>
      </c>
      <c r="I346" s="136">
        <f>SUM(I344:I345)</f>
        <v>880.08</v>
      </c>
      <c r="J346" s="143">
        <f>SUM(J344:J345)</f>
        <v>427.91999999999996</v>
      </c>
      <c r="K346" s="143">
        <f>SUM(K344:K345)</f>
        <v>600</v>
      </c>
      <c r="L346" s="136">
        <f>SUM(L344:L345)</f>
        <v>1908</v>
      </c>
      <c r="M346" s="1610"/>
      <c r="N346" s="1636"/>
    </row>
    <row r="347" spans="1:14" s="1168" customFormat="1" ht="17" thickBot="1">
      <c r="A347" s="108" t="s">
        <v>50</v>
      </c>
      <c r="B347" s="1148"/>
      <c r="C347" s="1142"/>
      <c r="D347" s="1141"/>
      <c r="E347" s="1142"/>
      <c r="F347" s="1212"/>
      <c r="G347" s="1150"/>
      <c r="H347" s="1150"/>
      <c r="I347" s="161"/>
      <c r="J347" s="161"/>
      <c r="K347" s="161"/>
      <c r="L347" s="162"/>
      <c r="M347" s="1154"/>
      <c r="N347" s="1155"/>
    </row>
    <row r="348" spans="1:14">
      <c r="A348" s="32" t="s">
        <v>29</v>
      </c>
      <c r="B348" s="1731">
        <f>SAWC!N158</f>
        <v>0</v>
      </c>
      <c r="C348" s="1732"/>
      <c r="D348" s="1767">
        <f>F348*325851</f>
        <v>0</v>
      </c>
      <c r="E348" s="1732"/>
      <c r="F348" s="1760">
        <f t="shared" ref="F348:F354" si="83">0.004*B348</f>
        <v>0</v>
      </c>
      <c r="G348" s="1757"/>
      <c r="H348" s="941">
        <f>F348*20</f>
        <v>0</v>
      </c>
      <c r="I348" s="131">
        <v>0</v>
      </c>
      <c r="J348" s="131">
        <f>135*B348</f>
        <v>0</v>
      </c>
      <c r="K348" s="131">
        <f>165*B348</f>
        <v>0</v>
      </c>
      <c r="L348" s="132">
        <f t="shared" ref="L348:L353" si="84">SUM(I348:K348)</f>
        <v>0</v>
      </c>
      <c r="M348" s="1792">
        <v>0</v>
      </c>
      <c r="N348" s="1793"/>
    </row>
    <row r="349" spans="1:14">
      <c r="A349" s="32" t="s">
        <v>51</v>
      </c>
      <c r="B349" s="1421">
        <f>SAWC!N159</f>
        <v>0</v>
      </c>
      <c r="C349" s="1422"/>
      <c r="D349" s="1444">
        <f>F349*325851</f>
        <v>0</v>
      </c>
      <c r="E349" s="1422"/>
      <c r="F349" s="1760">
        <f t="shared" si="83"/>
        <v>0</v>
      </c>
      <c r="G349" s="1757"/>
      <c r="H349" s="941">
        <f>F349*20</f>
        <v>0</v>
      </c>
      <c r="I349" s="131">
        <v>0</v>
      </c>
      <c r="J349" s="131">
        <f>0*B349</f>
        <v>0</v>
      </c>
      <c r="K349" s="131">
        <f>400*B349</f>
        <v>0</v>
      </c>
      <c r="L349" s="132">
        <f t="shared" si="84"/>
        <v>0</v>
      </c>
      <c r="M349" s="1758">
        <v>0</v>
      </c>
      <c r="N349" s="1759"/>
    </row>
    <row r="350" spans="1:14">
      <c r="A350" s="34" t="s">
        <v>20</v>
      </c>
      <c r="B350" s="1421">
        <f>SAWC!N160</f>
        <v>0</v>
      </c>
      <c r="C350" s="1422"/>
      <c r="D350" s="1444">
        <f t="shared" ref="D350:D356" si="85">F350*325851</f>
        <v>0</v>
      </c>
      <c r="E350" s="1422"/>
      <c r="F350" s="1760">
        <f t="shared" si="83"/>
        <v>0</v>
      </c>
      <c r="G350" s="1757"/>
      <c r="H350" s="941">
        <f>F350*5</f>
        <v>0</v>
      </c>
      <c r="I350" s="131">
        <v>0</v>
      </c>
      <c r="J350" s="131">
        <f>43.75*B350</f>
        <v>0</v>
      </c>
      <c r="K350" s="131">
        <f>625*B350</f>
        <v>0</v>
      </c>
      <c r="L350" s="132">
        <f t="shared" si="84"/>
        <v>0</v>
      </c>
      <c r="M350" s="1758">
        <v>0</v>
      </c>
      <c r="N350" s="1759"/>
    </row>
    <row r="351" spans="1:14">
      <c r="A351" s="34" t="s">
        <v>13</v>
      </c>
      <c r="B351" s="1421">
        <f>SAWC!N161</f>
        <v>0</v>
      </c>
      <c r="C351" s="1422"/>
      <c r="D351" s="1444">
        <f t="shared" si="85"/>
        <v>0</v>
      </c>
      <c r="E351" s="1422"/>
      <c r="F351" s="1760">
        <f t="shared" si="83"/>
        <v>0</v>
      </c>
      <c r="G351" s="1757"/>
      <c r="H351" s="941">
        <f>F351*10</f>
        <v>0</v>
      </c>
      <c r="I351" s="131">
        <v>0</v>
      </c>
      <c r="J351" s="131">
        <f>100*B351</f>
        <v>0</v>
      </c>
      <c r="K351" s="131">
        <f>80*B351</f>
        <v>0</v>
      </c>
      <c r="L351" s="132">
        <f t="shared" si="84"/>
        <v>0</v>
      </c>
      <c r="M351" s="1758">
        <v>0</v>
      </c>
      <c r="N351" s="1759"/>
    </row>
    <row r="352" spans="1:14" hidden="1">
      <c r="A352" s="35" t="s">
        <v>47</v>
      </c>
      <c r="B352" s="1421">
        <f>SAWC!N162</f>
        <v>0</v>
      </c>
      <c r="C352" s="1422"/>
      <c r="D352" s="1444">
        <f t="shared" si="85"/>
        <v>0</v>
      </c>
      <c r="E352" s="1422"/>
      <c r="F352" s="1760">
        <f t="shared" si="83"/>
        <v>0</v>
      </c>
      <c r="G352" s="1757"/>
      <c r="H352" s="941">
        <f>F352*5</f>
        <v>0</v>
      </c>
      <c r="I352" s="131">
        <v>0</v>
      </c>
      <c r="J352" s="131">
        <f>0*B352</f>
        <v>0</v>
      </c>
      <c r="K352" s="131">
        <f>150*B352</f>
        <v>0</v>
      </c>
      <c r="L352" s="132">
        <f t="shared" si="84"/>
        <v>0</v>
      </c>
      <c r="M352" s="111">
        <v>0</v>
      </c>
      <c r="N352" s="112"/>
    </row>
    <row r="353" spans="1:14">
      <c r="A353" s="76" t="s">
        <v>30</v>
      </c>
      <c r="B353" s="1421">
        <f>SAWC!N163</f>
        <v>0</v>
      </c>
      <c r="C353" s="1422"/>
      <c r="D353" s="1444">
        <f t="shared" si="85"/>
        <v>0</v>
      </c>
      <c r="E353" s="1422"/>
      <c r="F353" s="1760">
        <f t="shared" si="83"/>
        <v>0</v>
      </c>
      <c r="G353" s="1757"/>
      <c r="H353" s="941">
        <f>F353*10</f>
        <v>0</v>
      </c>
      <c r="I353" s="131">
        <v>0</v>
      </c>
      <c r="J353" s="131">
        <f>0*B353</f>
        <v>0</v>
      </c>
      <c r="K353" s="131">
        <f>669*B353</f>
        <v>0</v>
      </c>
      <c r="L353" s="132">
        <f t="shared" si="84"/>
        <v>0</v>
      </c>
      <c r="M353" s="1758">
        <v>0</v>
      </c>
      <c r="N353" s="1759"/>
    </row>
    <row r="354" spans="1:14" hidden="1">
      <c r="A354" s="33" t="s">
        <v>53</v>
      </c>
      <c r="B354" s="1421">
        <f>SAWC!N164</f>
        <v>0</v>
      </c>
      <c r="C354" s="1422"/>
      <c r="D354" s="1444">
        <f t="shared" si="85"/>
        <v>0</v>
      </c>
      <c r="E354" s="1422"/>
      <c r="F354" s="1760">
        <f t="shared" si="83"/>
        <v>0</v>
      </c>
      <c r="G354" s="1757"/>
      <c r="H354" s="941">
        <f>F354*10</f>
        <v>0</v>
      </c>
      <c r="I354" s="131">
        <v>0</v>
      </c>
      <c r="J354" s="131">
        <f>0.45*B354</f>
        <v>0</v>
      </c>
      <c r="K354" s="131">
        <f>0.3*B354</f>
        <v>0</v>
      </c>
      <c r="L354" s="132">
        <v>0</v>
      </c>
      <c r="M354" s="111">
        <v>0</v>
      </c>
      <c r="N354" s="112"/>
    </row>
    <row r="355" spans="1:14">
      <c r="A355" s="33" t="s">
        <v>56</v>
      </c>
      <c r="B355" s="1421">
        <f>SAWC!N165</f>
        <v>0</v>
      </c>
      <c r="C355" s="1422"/>
      <c r="D355" s="1444">
        <f t="shared" si="85"/>
        <v>0</v>
      </c>
      <c r="E355" s="1422"/>
      <c r="F355" s="1760">
        <f>0.004*B355</f>
        <v>0</v>
      </c>
      <c r="G355" s="1757"/>
      <c r="H355" s="941">
        <f>F355*5</f>
        <v>0</v>
      </c>
      <c r="I355" s="131">
        <v>0</v>
      </c>
      <c r="J355" s="131">
        <f>0*B355</f>
        <v>0</v>
      </c>
      <c r="K355" s="131">
        <f>4*B355</f>
        <v>0</v>
      </c>
      <c r="L355" s="132">
        <f>SUM(I355:K355)</f>
        <v>0</v>
      </c>
      <c r="M355" s="1758">
        <v>0</v>
      </c>
      <c r="N355" s="1759"/>
    </row>
    <row r="356" spans="1:14">
      <c r="A356" s="76" t="s">
        <v>122</v>
      </c>
      <c r="B356" s="1421">
        <f>SAWC!N166</f>
        <v>0</v>
      </c>
      <c r="C356" s="1422"/>
      <c r="D356" s="1444">
        <f t="shared" si="85"/>
        <v>0</v>
      </c>
      <c r="E356" s="1422"/>
      <c r="F356" s="1760">
        <f>0.018*B356</f>
        <v>0</v>
      </c>
      <c r="G356" s="1757"/>
      <c r="H356" s="941">
        <f>F356*10</f>
        <v>0</v>
      </c>
      <c r="I356" s="131">
        <v>0</v>
      </c>
      <c r="J356" s="131">
        <f>0*B356</f>
        <v>0</v>
      </c>
      <c r="K356" s="131">
        <f>13*B356</f>
        <v>0</v>
      </c>
      <c r="L356" s="132">
        <f>SUM(I356:K356)</f>
        <v>0</v>
      </c>
      <c r="M356" s="1758">
        <v>0</v>
      </c>
      <c r="N356" s="1759"/>
    </row>
    <row r="357" spans="1:14">
      <c r="A357" s="33" t="s">
        <v>102</v>
      </c>
      <c r="B357" s="1421">
        <f>SAWC!N167</f>
        <v>0</v>
      </c>
      <c r="C357" s="1422"/>
      <c r="D357" s="1444">
        <f>F357*325851</f>
        <v>0</v>
      </c>
      <c r="E357" s="1422"/>
      <c r="F357" s="1760">
        <f>0.018*B357</f>
        <v>0</v>
      </c>
      <c r="G357" s="1757"/>
      <c r="H357" s="941">
        <f>F357*5</f>
        <v>0</v>
      </c>
      <c r="I357" s="131">
        <v>0</v>
      </c>
      <c r="J357" s="131">
        <f>0*B357</f>
        <v>0</v>
      </c>
      <c r="K357" s="131">
        <f>60*B357</f>
        <v>0</v>
      </c>
      <c r="L357" s="132">
        <f>SUM(I357:K357)</f>
        <v>0</v>
      </c>
      <c r="M357" s="111">
        <v>0</v>
      </c>
      <c r="N357" s="112"/>
    </row>
    <row r="358" spans="1:14" hidden="1">
      <c r="A358" s="33" t="s">
        <v>167</v>
      </c>
      <c r="B358" s="1431"/>
      <c r="C358" s="1422"/>
      <c r="D358" s="1444"/>
      <c r="E358" s="1422"/>
      <c r="F358" s="1760"/>
      <c r="G358" s="1757"/>
      <c r="H358" s="941"/>
      <c r="I358" s="169"/>
      <c r="J358" s="131"/>
      <c r="K358" s="131"/>
      <c r="L358" s="132"/>
      <c r="M358" s="1758"/>
      <c r="N358" s="1759"/>
    </row>
    <row r="359" spans="1:14">
      <c r="A359" s="33" t="s">
        <v>165</v>
      </c>
      <c r="B359" s="1421">
        <f>SAWC!N168</f>
        <v>0</v>
      </c>
      <c r="C359" s="1422"/>
      <c r="D359" s="1444">
        <f>F359*325851</f>
        <v>0</v>
      </c>
      <c r="E359" s="1444"/>
      <c r="F359" s="1760">
        <f>0.018*B359</f>
        <v>0</v>
      </c>
      <c r="G359" s="1757"/>
      <c r="H359" s="941">
        <f>F359*5</f>
        <v>0</v>
      </c>
      <c r="I359" s="131">
        <v>0</v>
      </c>
      <c r="J359" s="131">
        <f>0*B359</f>
        <v>0</v>
      </c>
      <c r="K359" s="131">
        <f>60*B359</f>
        <v>0</v>
      </c>
      <c r="L359" s="132">
        <f>SUM(I359:K359)</f>
        <v>0</v>
      </c>
      <c r="M359" s="1758">
        <v>0</v>
      </c>
      <c r="N359" s="1759"/>
    </row>
    <row r="360" spans="1:14" ht="14" thickBot="1">
      <c r="A360" s="78" t="s">
        <v>184</v>
      </c>
      <c r="B360" s="1444">
        <f>SAWC!N171</f>
        <v>0</v>
      </c>
      <c r="C360" s="1422"/>
      <c r="D360" s="1444">
        <f>F360*325851</f>
        <v>0</v>
      </c>
      <c r="E360" s="1422"/>
      <c r="F360" s="1760">
        <f>0.018*B360</f>
        <v>0</v>
      </c>
      <c r="G360" s="1757"/>
      <c r="H360" s="941">
        <f>F360*10</f>
        <v>0</v>
      </c>
      <c r="I360" s="131">
        <v>0</v>
      </c>
      <c r="J360" s="131">
        <f>0*B360</f>
        <v>0</v>
      </c>
      <c r="K360" s="131">
        <f>60*B360</f>
        <v>0</v>
      </c>
      <c r="L360" s="132">
        <f>SUM(I360:K360)</f>
        <v>0</v>
      </c>
      <c r="M360" s="1758">
        <v>0</v>
      </c>
      <c r="N360" s="1759"/>
    </row>
    <row r="361" spans="1:14" s="363" customFormat="1" ht="14" thickBot="1">
      <c r="A361" s="53" t="s">
        <v>60</v>
      </c>
      <c r="B361" s="1438">
        <f>SUM(B348:C360)</f>
        <v>0</v>
      </c>
      <c r="C361" s="1439"/>
      <c r="D361" s="1440">
        <f>SUM(D348:E360)</f>
        <v>0</v>
      </c>
      <c r="E361" s="1439"/>
      <c r="F361" s="1440">
        <f>SUM(F348:G360)</f>
        <v>0</v>
      </c>
      <c r="G361" s="1439"/>
      <c r="H361" s="482">
        <f>SUM(H348:H360)</f>
        <v>0</v>
      </c>
      <c r="I361" s="136">
        <f>SUM(I348:I360)</f>
        <v>0</v>
      </c>
      <c r="J361" s="136">
        <f>SUM(J348:J360)</f>
        <v>0</v>
      </c>
      <c r="K361" s="136">
        <f>SUM(K348:K360)</f>
        <v>0</v>
      </c>
      <c r="L361" s="136">
        <f>SUM(L348:L360)</f>
        <v>0</v>
      </c>
      <c r="M361" s="1610"/>
      <c r="N361" s="1636"/>
    </row>
    <row r="362" spans="1:14" s="1168" customFormat="1" ht="17" thickBot="1">
      <c r="A362" s="1182" t="s">
        <v>17</v>
      </c>
      <c r="B362" s="1416">
        <f>SUM(B342+B346+B361)</f>
        <v>27</v>
      </c>
      <c r="C362" s="1415"/>
      <c r="D362" s="1416">
        <f>SUM(D342+D346+D361)</f>
        <v>2299139.4857999999</v>
      </c>
      <c r="E362" s="1415"/>
      <c r="F362" s="1612">
        <f>7+1</f>
        <v>8</v>
      </c>
      <c r="G362" s="1415"/>
      <c r="H362" s="1164">
        <f>SUM(H342+H346+H361)</f>
        <v>71.762</v>
      </c>
      <c r="I362" s="1169">
        <f>SUM(I342+I346+I361)</f>
        <v>880.08</v>
      </c>
      <c r="J362" s="1169">
        <f>SUM(J342+J346+J361)</f>
        <v>4609.92</v>
      </c>
      <c r="K362" s="1169">
        <f>SUM(K342+K346+K361)</f>
        <v>5089</v>
      </c>
      <c r="L362" s="1169">
        <f>SUM(L342+L346+L361)</f>
        <v>10579</v>
      </c>
      <c r="M362" s="1275"/>
      <c r="N362" s="1276"/>
    </row>
    <row r="363" spans="1:14" ht="16">
      <c r="A363" s="60"/>
      <c r="B363" s="61"/>
      <c r="C363" s="61"/>
      <c r="D363" s="61"/>
      <c r="E363" s="61"/>
      <c r="F363" s="61"/>
      <c r="G363" s="61"/>
      <c r="H363" s="62"/>
      <c r="I363" s="62"/>
      <c r="J363" s="62"/>
      <c r="K363" s="62"/>
      <c r="L363" s="62"/>
      <c r="M363" s="64"/>
      <c r="N363" s="65"/>
    </row>
    <row r="364" spans="1:14" ht="16">
      <c r="A364" s="9" t="s">
        <v>18</v>
      </c>
      <c r="B364" s="1695" t="s">
        <v>59</v>
      </c>
      <c r="C364" s="1695"/>
      <c r="D364" s="1695"/>
      <c r="E364" s="1695"/>
      <c r="F364" s="61"/>
      <c r="G364" s="61"/>
      <c r="H364" s="62"/>
      <c r="I364" s="62"/>
      <c r="J364" s="62"/>
      <c r="K364" s="62"/>
      <c r="L364" s="62"/>
      <c r="M364" s="64"/>
      <c r="N364" s="65"/>
    </row>
    <row r="365" spans="1:14" s="91" customFormat="1" ht="16">
      <c r="A365" s="57"/>
      <c r="B365" s="1420" t="s">
        <v>19</v>
      </c>
      <c r="C365" s="1420"/>
      <c r="D365" s="1420"/>
      <c r="E365" s="1420"/>
      <c r="F365" s="61"/>
      <c r="G365" s="61"/>
      <c r="H365" s="62"/>
      <c r="I365" s="62"/>
      <c r="J365" s="62"/>
      <c r="K365" s="62"/>
      <c r="L365" s="62"/>
      <c r="M365" s="64"/>
      <c r="N365" s="65"/>
    </row>
    <row r="366" spans="1:14" ht="17" thickBot="1">
      <c r="A366" s="57"/>
      <c r="B366" s="729"/>
      <c r="C366" s="729"/>
      <c r="D366" s="729"/>
      <c r="E366" s="729"/>
      <c r="F366" s="61"/>
      <c r="G366" s="61"/>
      <c r="H366" s="62"/>
      <c r="I366" s="62"/>
      <c r="J366" s="62"/>
      <c r="K366" s="62"/>
      <c r="L366" s="62"/>
      <c r="M366" s="64"/>
      <c r="N366" s="65"/>
    </row>
    <row r="367" spans="1:14" ht="16">
      <c r="A367" s="98"/>
      <c r="B367" s="99"/>
      <c r="C367" s="99"/>
      <c r="D367" s="99"/>
      <c r="E367" s="99"/>
      <c r="F367" s="100"/>
      <c r="G367" s="100"/>
      <c r="H367" s="100"/>
      <c r="I367" s="1468" t="s">
        <v>0</v>
      </c>
      <c r="J367" s="1468"/>
      <c r="K367" s="1468"/>
      <c r="L367" s="1468"/>
      <c r="M367" s="99"/>
      <c r="N367" s="101"/>
    </row>
    <row r="368" spans="1:14" ht="16">
      <c r="A368" s="97"/>
      <c r="B368" s="1469" t="s">
        <v>1</v>
      </c>
      <c r="C368" s="1469"/>
      <c r="D368" s="1469" t="s">
        <v>2</v>
      </c>
      <c r="E368" s="1469"/>
      <c r="F368" s="1863" t="s">
        <v>3</v>
      </c>
      <c r="G368" s="1863"/>
      <c r="H368" s="730" t="s">
        <v>3</v>
      </c>
      <c r="I368" s="127" t="s">
        <v>195</v>
      </c>
      <c r="J368" s="102"/>
      <c r="K368" s="102"/>
      <c r="L368" s="128"/>
      <c r="M368" s="1469" t="s">
        <v>4</v>
      </c>
      <c r="N368" s="1526"/>
    </row>
    <row r="369" spans="1:14" ht="19" thickBot="1">
      <c r="A369" s="103" t="s">
        <v>5</v>
      </c>
      <c r="B369" s="1473" t="s">
        <v>6</v>
      </c>
      <c r="C369" s="1473"/>
      <c r="D369" s="1473" t="s">
        <v>7</v>
      </c>
      <c r="E369" s="1473"/>
      <c r="F369" s="1864" t="s">
        <v>7</v>
      </c>
      <c r="G369" s="1864"/>
      <c r="H369" s="731" t="s">
        <v>58</v>
      </c>
      <c r="I369" s="726" t="s">
        <v>196</v>
      </c>
      <c r="J369" s="724" t="s">
        <v>8</v>
      </c>
      <c r="K369" s="724" t="s">
        <v>9</v>
      </c>
      <c r="L369" s="401" t="s">
        <v>10</v>
      </c>
      <c r="M369" s="1473" t="s">
        <v>145</v>
      </c>
      <c r="N369" s="1475"/>
    </row>
    <row r="370" spans="1:14" ht="24" thickBot="1">
      <c r="A370" s="88" t="s">
        <v>163</v>
      </c>
      <c r="B370" s="1764"/>
      <c r="C370" s="1477"/>
      <c r="D370" s="1478"/>
      <c r="E370" s="1479"/>
      <c r="F370" s="1878"/>
      <c r="G370" s="1879"/>
      <c r="H370" s="49"/>
      <c r="I370" s="7"/>
      <c r="J370" s="7"/>
      <c r="K370" s="7"/>
      <c r="L370" s="8"/>
      <c r="M370" s="1764"/>
      <c r="N370" s="1765"/>
    </row>
    <row r="371" spans="1:14" s="1168" customFormat="1" ht="17" thickBot="1">
      <c r="A371" s="108" t="s">
        <v>48</v>
      </c>
      <c r="B371" s="1567"/>
      <c r="C371" s="1586"/>
      <c r="D371" s="1567"/>
      <c r="E371" s="1586"/>
      <c r="F371" s="1619"/>
      <c r="G371" s="1620"/>
      <c r="H371" s="1157"/>
      <c r="I371" s="109"/>
      <c r="J371" s="109"/>
      <c r="K371" s="109"/>
      <c r="L371" s="1141"/>
      <c r="M371" s="1617"/>
      <c r="N371" s="1486"/>
    </row>
    <row r="372" spans="1:14" hidden="1">
      <c r="A372" s="32" t="s">
        <v>28</v>
      </c>
      <c r="B372" s="1431">
        <f>SAWC!N37</f>
        <v>0</v>
      </c>
      <c r="C372" s="1422"/>
      <c r="D372" s="1431">
        <f t="shared" ref="D372:D378" si="86">F372*325851</f>
        <v>0</v>
      </c>
      <c r="E372" s="1422"/>
      <c r="F372" s="1871">
        <f>0.0379*B372</f>
        <v>0</v>
      </c>
      <c r="G372" s="1450"/>
      <c r="H372" s="48">
        <f>F372*20</f>
        <v>0</v>
      </c>
      <c r="I372" s="4">
        <v>0</v>
      </c>
      <c r="J372" s="4">
        <f>0*B372</f>
        <v>0</v>
      </c>
      <c r="K372" s="4">
        <f>60*B372</f>
        <v>0</v>
      </c>
      <c r="L372" s="6">
        <f t="shared" ref="L372:L378" si="87">I372+J372+K372</f>
        <v>0</v>
      </c>
      <c r="M372" s="1758">
        <v>0</v>
      </c>
      <c r="N372" s="1759"/>
    </row>
    <row r="373" spans="1:14">
      <c r="A373" s="32" t="s">
        <v>29</v>
      </c>
      <c r="B373" s="1431">
        <f>SAWC!N117</f>
        <v>0</v>
      </c>
      <c r="C373" s="1422"/>
      <c r="D373" s="1431">
        <f t="shared" si="86"/>
        <v>0</v>
      </c>
      <c r="E373" s="1422"/>
      <c r="F373" s="1871">
        <f>0.0425*B373</f>
        <v>0</v>
      </c>
      <c r="G373" s="1450"/>
      <c r="H373" s="957">
        <f>F373*20</f>
        <v>0</v>
      </c>
      <c r="I373" s="131">
        <v>0</v>
      </c>
      <c r="J373" s="131">
        <f>35*B373</f>
        <v>0</v>
      </c>
      <c r="K373" s="131">
        <f>B373*50</f>
        <v>0</v>
      </c>
      <c r="L373" s="132">
        <f t="shared" si="87"/>
        <v>0</v>
      </c>
      <c r="M373" s="1758">
        <v>0</v>
      </c>
      <c r="N373" s="1759"/>
    </row>
    <row r="374" spans="1:14" s="91" customFormat="1" ht="16">
      <c r="A374" s="32" t="s">
        <v>33</v>
      </c>
      <c r="B374" s="1431">
        <f>SAWC!N118</f>
        <v>9</v>
      </c>
      <c r="C374" s="1422"/>
      <c r="D374" s="1431">
        <f t="shared" si="86"/>
        <v>80941.388399999996</v>
      </c>
      <c r="E374" s="1422"/>
      <c r="F374" s="1871">
        <f>0.0276*B374</f>
        <v>0.24840000000000001</v>
      </c>
      <c r="G374" s="1450"/>
      <c r="H374" s="957">
        <f>F374*15</f>
        <v>3.726</v>
      </c>
      <c r="I374" s="131">
        <f>0*B374</f>
        <v>0</v>
      </c>
      <c r="J374" s="131">
        <f>50*B374</f>
        <v>450</v>
      </c>
      <c r="K374" s="131">
        <f>B374*110</f>
        <v>990</v>
      </c>
      <c r="L374" s="132">
        <f t="shared" si="87"/>
        <v>1440</v>
      </c>
      <c r="M374" s="1758">
        <f>L374/(F374*498.5)</f>
        <v>11.629090169057898</v>
      </c>
      <c r="N374" s="1759"/>
    </row>
    <row r="375" spans="1:14">
      <c r="A375" s="32" t="s">
        <v>56</v>
      </c>
      <c r="B375" s="1431">
        <f>SAWC!N119</f>
        <v>0</v>
      </c>
      <c r="C375" s="1422"/>
      <c r="D375" s="1431">
        <f t="shared" si="86"/>
        <v>0</v>
      </c>
      <c r="E375" s="1422"/>
      <c r="F375" s="1871">
        <f>0.004*B375</f>
        <v>0</v>
      </c>
      <c r="G375" s="1450"/>
      <c r="H375" s="957">
        <f>F375*5</f>
        <v>0</v>
      </c>
      <c r="I375" s="131">
        <f>0*B375</f>
        <v>0</v>
      </c>
      <c r="J375" s="131">
        <f>2*B375</f>
        <v>0</v>
      </c>
      <c r="K375" s="131">
        <f>B375*4</f>
        <v>0</v>
      </c>
      <c r="L375" s="132">
        <f t="shared" si="87"/>
        <v>0</v>
      </c>
      <c r="M375" s="1758">
        <v>0</v>
      </c>
      <c r="N375" s="1759"/>
    </row>
    <row r="376" spans="1:14">
      <c r="A376" s="78" t="s">
        <v>30</v>
      </c>
      <c r="B376" s="1431">
        <f>SAWC!N120</f>
        <v>0</v>
      </c>
      <c r="C376" s="1422"/>
      <c r="D376" s="1431">
        <f t="shared" si="86"/>
        <v>0</v>
      </c>
      <c r="E376" s="1422"/>
      <c r="F376" s="1871">
        <f>0.325*B376</f>
        <v>0</v>
      </c>
      <c r="G376" s="1450"/>
      <c r="H376" s="957">
        <f>F376*10</f>
        <v>0</v>
      </c>
      <c r="I376" s="131">
        <v>0</v>
      </c>
      <c r="J376" s="131">
        <f>0*B376</f>
        <v>0</v>
      </c>
      <c r="K376" s="131">
        <f>B376*80</f>
        <v>0</v>
      </c>
      <c r="L376" s="132">
        <f t="shared" si="87"/>
        <v>0</v>
      </c>
      <c r="M376" s="1758">
        <v>0</v>
      </c>
      <c r="N376" s="1759"/>
    </row>
    <row r="377" spans="1:14" s="91" customFormat="1" ht="16">
      <c r="A377" s="76" t="s">
        <v>57</v>
      </c>
      <c r="B377" s="1431">
        <f>SAWC!N121</f>
        <v>0</v>
      </c>
      <c r="C377" s="1422"/>
      <c r="D377" s="1431">
        <f t="shared" si="86"/>
        <v>0</v>
      </c>
      <c r="E377" s="1422"/>
      <c r="F377" s="1876">
        <f>0.00014*0</f>
        <v>0</v>
      </c>
      <c r="G377" s="1877"/>
      <c r="H377" s="956">
        <f>F377*10</f>
        <v>0</v>
      </c>
      <c r="I377" s="131">
        <v>0</v>
      </c>
      <c r="J377" s="133">
        <f>0</f>
        <v>0</v>
      </c>
      <c r="K377" s="133">
        <f>B377*0</f>
        <v>0</v>
      </c>
      <c r="L377" s="132">
        <f t="shared" si="87"/>
        <v>0</v>
      </c>
      <c r="M377" s="1758">
        <v>0</v>
      </c>
      <c r="N377" s="1759"/>
    </row>
    <row r="378" spans="1:14" ht="14" thickBot="1">
      <c r="A378" s="76" t="s">
        <v>154</v>
      </c>
      <c r="B378" s="1431">
        <v>8</v>
      </c>
      <c r="C378" s="1422"/>
      <c r="D378" s="1431">
        <f t="shared" si="86"/>
        <v>238816.19789999997</v>
      </c>
      <c r="E378" s="1422"/>
      <c r="F378" s="1902">
        <f>0.00014*5235</f>
        <v>0.73289999999999988</v>
      </c>
      <c r="G378" s="1877"/>
      <c r="H378" s="956">
        <f>F378*10</f>
        <v>7.3289999999999988</v>
      </c>
      <c r="I378" s="131">
        <v>0</v>
      </c>
      <c r="J378" s="133">
        <f>0.45*5235</f>
        <v>2355.75</v>
      </c>
      <c r="K378" s="133">
        <f>5235*0.3</f>
        <v>1570.5</v>
      </c>
      <c r="L378" s="132">
        <f t="shared" si="87"/>
        <v>3926.25</v>
      </c>
      <c r="M378" s="1758">
        <f>L378/(F378*498.5)</f>
        <v>10.746525290156185</v>
      </c>
      <c r="N378" s="1759"/>
    </row>
    <row r="379" spans="1:14" ht="14" hidden="1" thickBot="1">
      <c r="A379" s="76" t="s">
        <v>166</v>
      </c>
      <c r="B379" s="1429"/>
      <c r="C379" s="1430"/>
      <c r="D379" s="1744"/>
      <c r="E379" s="1437"/>
      <c r="F379" s="1436"/>
      <c r="G379" s="1437"/>
      <c r="H379" s="74"/>
      <c r="I379" s="334"/>
      <c r="J379" s="334"/>
      <c r="K379" s="334"/>
      <c r="L379" s="134"/>
      <c r="M379" s="1754"/>
      <c r="N379" s="1755"/>
    </row>
    <row r="380" spans="1:14" ht="14" thickBot="1">
      <c r="A380" s="53" t="s">
        <v>60</v>
      </c>
      <c r="B380" s="1438">
        <f>SUM(B372:C378)</f>
        <v>17</v>
      </c>
      <c r="C380" s="1609"/>
      <c r="D380" s="1441">
        <f>SUM(D372:E378)</f>
        <v>319757.58629999997</v>
      </c>
      <c r="E380" s="1609"/>
      <c r="F380" s="1440">
        <f>SUM(F372:G378)</f>
        <v>0.98129999999999984</v>
      </c>
      <c r="G380" s="1609"/>
      <c r="H380" s="67">
        <f>SUM(H372:H378)</f>
        <v>11.055</v>
      </c>
      <c r="I380" s="143">
        <f>SUM(I372:I378)</f>
        <v>0</v>
      </c>
      <c r="J380" s="143">
        <f>SUM(J372:J378)</f>
        <v>2805.75</v>
      </c>
      <c r="K380" s="143">
        <f>SUM(K372:K378)</f>
        <v>2560.5</v>
      </c>
      <c r="L380" s="152">
        <f>SUM(L372:L378)</f>
        <v>5366.25</v>
      </c>
      <c r="M380" s="1610"/>
      <c r="N380" s="1611"/>
    </row>
    <row r="381" spans="1:14" s="1168" customFormat="1" ht="17" thickBot="1">
      <c r="A381" s="108" t="s">
        <v>146</v>
      </c>
      <c r="B381" s="1567"/>
      <c r="C381" s="1586"/>
      <c r="D381" s="1567"/>
      <c r="E381" s="1586"/>
      <c r="F381" s="1882"/>
      <c r="G381" s="1883"/>
      <c r="H381" s="1152"/>
      <c r="I381" s="161"/>
      <c r="J381" s="161"/>
      <c r="K381" s="161"/>
      <c r="L381" s="162"/>
      <c r="M381" s="1617"/>
      <c r="N381" s="1486"/>
    </row>
    <row r="382" spans="1:14" ht="14" thickBot="1">
      <c r="A382" s="76" t="s">
        <v>146</v>
      </c>
      <c r="B382" s="1431">
        <f>SAWC!N126</f>
        <v>0</v>
      </c>
      <c r="C382" s="1422"/>
      <c r="D382" s="1431">
        <f>F382*325851</f>
        <v>0</v>
      </c>
      <c r="E382" s="1422"/>
      <c r="F382" s="1449">
        <f>0.0425*B382</f>
        <v>0</v>
      </c>
      <c r="G382" s="1450"/>
      <c r="H382" s="957">
        <f>F382*20</f>
        <v>0</v>
      </c>
      <c r="I382" s="131">
        <f>73.34*B382</f>
        <v>0</v>
      </c>
      <c r="J382" s="131">
        <f>35.66*B382</f>
        <v>0</v>
      </c>
      <c r="K382" s="131">
        <f>B382*165</f>
        <v>0</v>
      </c>
      <c r="L382" s="132">
        <f>I382+J382+K382</f>
        <v>0</v>
      </c>
      <c r="M382" s="1758">
        <v>0</v>
      </c>
      <c r="N382" s="1759"/>
    </row>
    <row r="383" spans="1:14" ht="14" thickBot="1">
      <c r="A383" s="53" t="s">
        <v>60</v>
      </c>
      <c r="B383" s="1438">
        <f>SUM(B382)</f>
        <v>0</v>
      </c>
      <c r="C383" s="1609"/>
      <c r="D383" s="1441">
        <f>SUM(D382)</f>
        <v>0</v>
      </c>
      <c r="E383" s="1609"/>
      <c r="F383" s="1440">
        <f>SUM(F382)</f>
        <v>0</v>
      </c>
      <c r="G383" s="1439"/>
      <c r="H383" s="707">
        <f>SUM(H382)</f>
        <v>0</v>
      </c>
      <c r="I383" s="136">
        <f>SUM(I382)</f>
        <v>0</v>
      </c>
      <c r="J383" s="143">
        <f>SUM(J382)</f>
        <v>0</v>
      </c>
      <c r="K383" s="143">
        <f>SUM(K382)</f>
        <v>0</v>
      </c>
      <c r="L383" s="136">
        <f>SUM(L382)</f>
        <v>0</v>
      </c>
      <c r="M383" s="1610"/>
      <c r="N383" s="1611"/>
    </row>
    <row r="384" spans="1:14" s="1168" customFormat="1" ht="17" thickBot="1">
      <c r="A384" s="108" t="s">
        <v>50</v>
      </c>
      <c r="B384" s="1567"/>
      <c r="C384" s="1586"/>
      <c r="D384" s="1567"/>
      <c r="E384" s="1586"/>
      <c r="F384" s="1854"/>
      <c r="G384" s="1913"/>
      <c r="H384" s="1150"/>
      <c r="I384" s="161"/>
      <c r="J384" s="161"/>
      <c r="K384" s="161"/>
      <c r="L384" s="162"/>
      <c r="M384" s="1617"/>
      <c r="N384" s="1486"/>
    </row>
    <row r="385" spans="1:14">
      <c r="A385" s="32" t="s">
        <v>51</v>
      </c>
      <c r="B385" s="1431">
        <f>SAWC!N130</f>
        <v>0</v>
      </c>
      <c r="C385" s="1422"/>
      <c r="D385" s="1431">
        <f t="shared" ref="D385:D390" si="88">F385*325851</f>
        <v>0</v>
      </c>
      <c r="E385" s="1422"/>
      <c r="F385" s="1760">
        <f>0.1227*B385</f>
        <v>0</v>
      </c>
      <c r="G385" s="1757"/>
      <c r="H385" s="941">
        <f>F385*20</f>
        <v>0</v>
      </c>
      <c r="I385" s="131">
        <v>0</v>
      </c>
      <c r="J385" s="131">
        <f>0*B385</f>
        <v>0</v>
      </c>
      <c r="K385" s="131">
        <f>400*B385</f>
        <v>0</v>
      </c>
      <c r="L385" s="132">
        <f>SUM(I385:K385)</f>
        <v>0</v>
      </c>
      <c r="M385" s="1758">
        <v>0</v>
      </c>
      <c r="N385" s="1759"/>
    </row>
    <row r="386" spans="1:14" hidden="1">
      <c r="A386" s="34" t="s">
        <v>20</v>
      </c>
      <c r="B386" s="1431">
        <f>SAWC!N131</f>
        <v>0</v>
      </c>
      <c r="C386" s="1422"/>
      <c r="D386" s="1431">
        <f t="shared" si="88"/>
        <v>0</v>
      </c>
      <c r="E386" s="1422"/>
      <c r="F386" s="1760">
        <f>0.644*B386</f>
        <v>0</v>
      </c>
      <c r="G386" s="1757"/>
      <c r="H386" s="941">
        <f>F386*5</f>
        <v>0</v>
      </c>
      <c r="I386" s="131">
        <v>0</v>
      </c>
      <c r="J386" s="131">
        <f>43.75*B386</f>
        <v>0</v>
      </c>
      <c r="K386" s="131">
        <f>625*B386</f>
        <v>0</v>
      </c>
      <c r="L386" s="132">
        <f>SUM(I386:K386)</f>
        <v>0</v>
      </c>
      <c r="M386" s="1758">
        <v>0</v>
      </c>
      <c r="N386" s="1759"/>
    </row>
    <row r="387" spans="1:14">
      <c r="A387" s="34" t="s">
        <v>13</v>
      </c>
      <c r="B387" s="1431">
        <f>SAWC!N132</f>
        <v>0</v>
      </c>
      <c r="C387" s="1422"/>
      <c r="D387" s="1431">
        <f t="shared" si="88"/>
        <v>0</v>
      </c>
      <c r="E387" s="1422"/>
      <c r="F387" s="1760">
        <f>0.0276*B387</f>
        <v>0</v>
      </c>
      <c r="G387" s="1757"/>
      <c r="H387" s="941">
        <f>F387*10</f>
        <v>0</v>
      </c>
      <c r="I387" s="131">
        <v>0</v>
      </c>
      <c r="J387" s="131">
        <f>100*B387</f>
        <v>0</v>
      </c>
      <c r="K387" s="131">
        <f>80*B387</f>
        <v>0</v>
      </c>
      <c r="L387" s="132">
        <f>SUM(I387:K387)</f>
        <v>0</v>
      </c>
      <c r="M387" s="1758">
        <v>0</v>
      </c>
      <c r="N387" s="1759"/>
    </row>
    <row r="388" spans="1:14">
      <c r="A388" s="35" t="s">
        <v>47</v>
      </c>
      <c r="B388" s="1431">
        <f>SAWC!N133</f>
        <v>0</v>
      </c>
      <c r="C388" s="1422"/>
      <c r="D388" s="1431">
        <f t="shared" si="88"/>
        <v>0</v>
      </c>
      <c r="E388" s="1422"/>
      <c r="F388" s="1760">
        <f>0.1534*B388</f>
        <v>0</v>
      </c>
      <c r="G388" s="1757"/>
      <c r="H388" s="941">
        <f>F388*5</f>
        <v>0</v>
      </c>
      <c r="I388" s="131">
        <v>0</v>
      </c>
      <c r="J388" s="131">
        <f>0*B388</f>
        <v>0</v>
      </c>
      <c r="K388" s="131">
        <f>150*B388</f>
        <v>0</v>
      </c>
      <c r="L388" s="132">
        <f>SUM(I388:K388)</f>
        <v>0</v>
      </c>
      <c r="M388" s="1758">
        <v>0</v>
      </c>
      <c r="N388" s="1759"/>
    </row>
    <row r="389" spans="1:14">
      <c r="A389" s="76" t="s">
        <v>30</v>
      </c>
      <c r="B389" s="1431">
        <f>SAWC!N134</f>
        <v>0</v>
      </c>
      <c r="C389" s="1422"/>
      <c r="D389" s="1431">
        <f t="shared" si="88"/>
        <v>0</v>
      </c>
      <c r="E389" s="1422"/>
      <c r="F389" s="1760">
        <f>0.325*B389</f>
        <v>0</v>
      </c>
      <c r="G389" s="1757"/>
      <c r="H389" s="941">
        <f>F389*10</f>
        <v>0</v>
      </c>
      <c r="I389" s="131">
        <v>0</v>
      </c>
      <c r="J389" s="131">
        <f>0*B389</f>
        <v>0</v>
      </c>
      <c r="K389" s="131">
        <f>669*B389</f>
        <v>0</v>
      </c>
      <c r="L389" s="132">
        <f>SUM(I389:K389)</f>
        <v>0</v>
      </c>
      <c r="M389" s="1758">
        <v>0</v>
      </c>
      <c r="N389" s="1759"/>
    </row>
    <row r="390" spans="1:14">
      <c r="A390" s="33" t="s">
        <v>53</v>
      </c>
      <c r="B390" s="1431">
        <f>SAWC!N135</f>
        <v>0</v>
      </c>
      <c r="C390" s="1422"/>
      <c r="D390" s="1431">
        <f t="shared" si="88"/>
        <v>0</v>
      </c>
      <c r="E390" s="1422"/>
      <c r="F390" s="1760">
        <f>0.00014*B390</f>
        <v>0</v>
      </c>
      <c r="G390" s="1757"/>
      <c r="H390" s="941">
        <f>F390*10</f>
        <v>0</v>
      </c>
      <c r="I390" s="131">
        <v>0</v>
      </c>
      <c r="J390" s="131">
        <f>0.45*B390</f>
        <v>0</v>
      </c>
      <c r="K390" s="131">
        <f>0.3*B390</f>
        <v>0</v>
      </c>
      <c r="L390" s="132">
        <v>0</v>
      </c>
      <c r="M390" s="1758">
        <v>0</v>
      </c>
      <c r="N390" s="1759"/>
    </row>
    <row r="391" spans="1:14" s="91" customFormat="1" ht="16">
      <c r="A391" s="33" t="s">
        <v>56</v>
      </c>
      <c r="B391" s="1431">
        <f>SAWC!N136</f>
        <v>0</v>
      </c>
      <c r="C391" s="1422"/>
      <c r="D391" s="1431">
        <f>F391*325851</f>
        <v>0</v>
      </c>
      <c r="E391" s="1422"/>
      <c r="F391" s="1760">
        <f>0.004*B391</f>
        <v>0</v>
      </c>
      <c r="G391" s="1757"/>
      <c r="H391" s="941">
        <f>F391*5</f>
        <v>0</v>
      </c>
      <c r="I391" s="131">
        <v>0</v>
      </c>
      <c r="J391" s="131">
        <f>0*B391</f>
        <v>0</v>
      </c>
      <c r="K391" s="131">
        <f>4*B391</f>
        <v>0</v>
      </c>
      <c r="L391" s="132">
        <f>SUM(I391:K391)</f>
        <v>0</v>
      </c>
      <c r="M391" s="1758">
        <v>0</v>
      </c>
      <c r="N391" s="1759"/>
    </row>
    <row r="392" spans="1:14" hidden="1">
      <c r="A392" s="76" t="s">
        <v>122</v>
      </c>
      <c r="B392" s="1431">
        <f>SAWC!N137</f>
        <v>0</v>
      </c>
      <c r="C392" s="1422"/>
      <c r="D392" s="1431">
        <f>F392*325851</f>
        <v>0</v>
      </c>
      <c r="E392" s="1422"/>
      <c r="F392" s="1760">
        <f>0.018*B392</f>
        <v>0</v>
      </c>
      <c r="G392" s="1757"/>
      <c r="H392" s="941">
        <f>F392*10</f>
        <v>0</v>
      </c>
      <c r="I392" s="131">
        <v>0</v>
      </c>
      <c r="J392" s="131">
        <f>0*B392</f>
        <v>0</v>
      </c>
      <c r="K392" s="131">
        <f>13*B392</f>
        <v>0</v>
      </c>
      <c r="L392" s="132">
        <f>SUM(I392:K392)</f>
        <v>0</v>
      </c>
      <c r="M392" s="1758">
        <v>0</v>
      </c>
      <c r="N392" s="1759"/>
    </row>
    <row r="393" spans="1:14" ht="14" thickBot="1">
      <c r="A393" s="33" t="s">
        <v>102</v>
      </c>
      <c r="B393" s="1431">
        <f>SAWC!N138</f>
        <v>0</v>
      </c>
      <c r="C393" s="1422"/>
      <c r="D393" s="1431">
        <f>F393*325851</f>
        <v>0</v>
      </c>
      <c r="E393" s="1422"/>
      <c r="F393" s="1766">
        <f>0.153*B393</f>
        <v>0</v>
      </c>
      <c r="G393" s="1763"/>
      <c r="H393" s="941">
        <f>F393*5</f>
        <v>0</v>
      </c>
      <c r="I393" s="131">
        <v>0</v>
      </c>
      <c r="J393" s="131">
        <f>0*B393</f>
        <v>0</v>
      </c>
      <c r="K393" s="131">
        <f>60*B393</f>
        <v>0</v>
      </c>
      <c r="L393" s="132">
        <f>SUM(I393:K393)</f>
        <v>0</v>
      </c>
      <c r="M393" s="1758">
        <v>0</v>
      </c>
      <c r="N393" s="1759"/>
    </row>
    <row r="394" spans="1:14" ht="14" hidden="1" thickBot="1">
      <c r="A394" s="78" t="s">
        <v>167</v>
      </c>
      <c r="B394" s="1429"/>
      <c r="C394" s="1430"/>
      <c r="D394" s="1744"/>
      <c r="E394" s="1437"/>
      <c r="F394" s="1436"/>
      <c r="G394" s="1437"/>
      <c r="H394" s="74"/>
      <c r="I394" s="334"/>
      <c r="J394" s="334"/>
      <c r="K394" s="334"/>
      <c r="L394" s="134"/>
      <c r="M394" s="1754"/>
      <c r="N394" s="1755"/>
    </row>
    <row r="395" spans="1:14" ht="14" thickBot="1">
      <c r="A395" s="53" t="s">
        <v>60</v>
      </c>
      <c r="B395" s="1438">
        <f>SUM(B385:C393)</f>
        <v>0</v>
      </c>
      <c r="C395" s="1609"/>
      <c r="D395" s="1441">
        <f>SUM(D385:E393)</f>
        <v>0</v>
      </c>
      <c r="E395" s="1609"/>
      <c r="F395" s="1440">
        <f>SUM(F385:G393)</f>
        <v>0</v>
      </c>
      <c r="G395" s="1439"/>
      <c r="H395" s="707">
        <f>SUM(H385:H393)</f>
        <v>0</v>
      </c>
      <c r="I395" s="136">
        <f>SUM(I385:I393)</f>
        <v>0</v>
      </c>
      <c r="J395" s="143">
        <f>SUM(J385:J393)</f>
        <v>0</v>
      </c>
      <c r="K395" s="143">
        <f>SUM(K385:K393)</f>
        <v>0</v>
      </c>
      <c r="L395" s="136">
        <f>SUM(L385:L393)</f>
        <v>0</v>
      </c>
      <c r="M395" s="1610"/>
      <c r="N395" s="1611"/>
    </row>
    <row r="396" spans="1:14" s="1168" customFormat="1" ht="17" thickBot="1">
      <c r="A396" s="1182" t="s">
        <v>17</v>
      </c>
      <c r="B396" s="1416">
        <f>SUM(B380+B383+B395)</f>
        <v>17</v>
      </c>
      <c r="C396" s="1415"/>
      <c r="D396" s="1612">
        <f>SUM(D380+D383+D395)</f>
        <v>319757.58629999997</v>
      </c>
      <c r="E396" s="1415"/>
      <c r="F396" s="1416">
        <f>SUM(F380+F383+F395)</f>
        <v>0.98129999999999984</v>
      </c>
      <c r="G396" s="1415"/>
      <c r="H396" s="1164">
        <f>SUM(H380+H383+H395)</f>
        <v>11.055</v>
      </c>
      <c r="I396" s="1169">
        <f>SUM(I380+I383+I395)</f>
        <v>0</v>
      </c>
      <c r="J396" s="1169">
        <f>SUM(J380+J383+J395)</f>
        <v>2805.75</v>
      </c>
      <c r="K396" s="1169">
        <f>SUM(K380+K383+K395)</f>
        <v>2560.5</v>
      </c>
      <c r="L396" s="1169">
        <f>SUM(L380+L383+L395)</f>
        <v>5366.25</v>
      </c>
      <c r="M396" s="1631"/>
      <c r="N396" s="1640"/>
    </row>
    <row r="397" spans="1:14" ht="16">
      <c r="A397" s="60"/>
      <c r="B397" s="61"/>
      <c r="C397" s="61"/>
      <c r="D397" s="61"/>
      <c r="E397" s="61"/>
      <c r="F397" s="61"/>
      <c r="G397" s="61"/>
      <c r="H397" s="62"/>
      <c r="I397" s="62"/>
      <c r="J397" s="62"/>
      <c r="K397" s="62"/>
      <c r="L397" s="62"/>
      <c r="M397" s="64"/>
      <c r="N397" s="65"/>
    </row>
    <row r="398" spans="1:14" ht="16">
      <c r="A398" s="9" t="s">
        <v>18</v>
      </c>
      <c r="B398" s="1419" t="s">
        <v>59</v>
      </c>
      <c r="C398" s="1419"/>
      <c r="D398" s="1419"/>
      <c r="E398" s="1419"/>
      <c r="F398" s="61"/>
      <c r="G398" s="61"/>
      <c r="H398" s="62"/>
      <c r="I398" s="62"/>
      <c r="J398" s="62"/>
      <c r="K398" s="62"/>
      <c r="L398" s="62"/>
      <c r="M398" s="64"/>
      <c r="N398" s="65"/>
    </row>
    <row r="399" spans="1:14" ht="16">
      <c r="A399" s="57"/>
      <c r="B399" s="1420" t="s">
        <v>19</v>
      </c>
      <c r="C399" s="1420"/>
      <c r="D399" s="1420"/>
      <c r="E399" s="1420"/>
      <c r="F399" s="61"/>
      <c r="G399" s="61"/>
      <c r="H399" s="62"/>
      <c r="I399" s="62"/>
      <c r="J399" s="62"/>
      <c r="K399" s="62"/>
      <c r="L399" s="62"/>
      <c r="M399" s="64"/>
      <c r="N399" s="65"/>
    </row>
    <row r="400" spans="1:14" ht="17" thickBot="1">
      <c r="A400" s="57"/>
      <c r="B400" s="943"/>
      <c r="C400" s="943"/>
      <c r="D400" s="943"/>
      <c r="E400" s="943"/>
      <c r="F400" s="61"/>
      <c r="G400" s="61"/>
      <c r="H400" s="62"/>
      <c r="I400" s="62"/>
      <c r="J400" s="62"/>
      <c r="K400" s="62"/>
      <c r="L400" s="62"/>
      <c r="M400" s="64"/>
      <c r="N400" s="65"/>
    </row>
    <row r="401" spans="1:14" ht="16">
      <c r="A401" s="98"/>
      <c r="B401" s="99"/>
      <c r="C401" s="99"/>
      <c r="D401" s="99"/>
      <c r="E401" s="99"/>
      <c r="F401" s="100"/>
      <c r="G401" s="100"/>
      <c r="H401" s="100"/>
      <c r="I401" s="1468" t="s">
        <v>0</v>
      </c>
      <c r="J401" s="1468"/>
      <c r="K401" s="1468"/>
      <c r="L401" s="1468"/>
      <c r="M401" s="99"/>
      <c r="N401" s="101"/>
    </row>
    <row r="402" spans="1:14" ht="16">
      <c r="A402" s="97"/>
      <c r="B402" s="1469" t="s">
        <v>1</v>
      </c>
      <c r="C402" s="1469"/>
      <c r="D402" s="1469" t="s">
        <v>2</v>
      </c>
      <c r="E402" s="1469"/>
      <c r="F402" s="1863" t="s">
        <v>3</v>
      </c>
      <c r="G402" s="1863"/>
      <c r="H402" s="952" t="s">
        <v>3</v>
      </c>
      <c r="I402" s="127" t="s">
        <v>195</v>
      </c>
      <c r="J402" s="102"/>
      <c r="K402" s="102"/>
      <c r="L402" s="128"/>
      <c r="M402" s="1469" t="s">
        <v>4</v>
      </c>
      <c r="N402" s="1526"/>
    </row>
    <row r="403" spans="1:14" ht="19" thickBot="1">
      <c r="A403" s="103" t="s">
        <v>5</v>
      </c>
      <c r="B403" s="1473" t="s">
        <v>6</v>
      </c>
      <c r="C403" s="1473"/>
      <c r="D403" s="1473" t="s">
        <v>7</v>
      </c>
      <c r="E403" s="1473"/>
      <c r="F403" s="1864" t="s">
        <v>7</v>
      </c>
      <c r="G403" s="1864"/>
      <c r="H403" s="953" t="s">
        <v>58</v>
      </c>
      <c r="I403" s="937" t="s">
        <v>196</v>
      </c>
      <c r="J403" s="932" t="s">
        <v>8</v>
      </c>
      <c r="K403" s="932" t="s">
        <v>9</v>
      </c>
      <c r="L403" s="401" t="s">
        <v>10</v>
      </c>
      <c r="M403" s="1473" t="s">
        <v>145</v>
      </c>
      <c r="N403" s="1475"/>
    </row>
    <row r="404" spans="1:14" s="363" customFormat="1" ht="24" thickBot="1">
      <c r="A404" s="88" t="s">
        <v>144</v>
      </c>
      <c r="B404" s="1764"/>
      <c r="C404" s="1477"/>
      <c r="D404" s="1478"/>
      <c r="E404" s="1479"/>
      <c r="F404" s="1878"/>
      <c r="G404" s="1879"/>
      <c r="H404" s="954"/>
      <c r="I404" s="7"/>
      <c r="J404" s="7"/>
      <c r="K404" s="7"/>
      <c r="L404" s="8"/>
      <c r="M404" s="1764"/>
      <c r="N404" s="1765"/>
    </row>
    <row r="405" spans="1:14" s="1168" customFormat="1" ht="17" thickBot="1">
      <c r="A405" s="108" t="s">
        <v>48</v>
      </c>
      <c r="B405" s="1567"/>
      <c r="C405" s="1586"/>
      <c r="D405" s="1567"/>
      <c r="E405" s="1586"/>
      <c r="F405" s="1619"/>
      <c r="G405" s="1620"/>
      <c r="H405" s="1157"/>
      <c r="I405" s="109"/>
      <c r="J405" s="109"/>
      <c r="K405" s="109"/>
      <c r="L405" s="1141"/>
      <c r="M405" s="1617"/>
      <c r="N405" s="1486"/>
    </row>
    <row r="406" spans="1:14" hidden="1">
      <c r="A406" s="32" t="s">
        <v>28</v>
      </c>
      <c r="B406" s="1431">
        <f>SAWC!N79</f>
        <v>0</v>
      </c>
      <c r="C406" s="1422"/>
      <c r="D406" s="1431">
        <f t="shared" ref="D406:D412" si="89">F406*325851</f>
        <v>0</v>
      </c>
      <c r="E406" s="1422"/>
      <c r="F406" s="1871">
        <f>0.0379*B406</f>
        <v>0</v>
      </c>
      <c r="G406" s="1450"/>
      <c r="H406" s="957">
        <f>F406*20</f>
        <v>0</v>
      </c>
      <c r="I406" s="4">
        <v>0</v>
      </c>
      <c r="J406" s="4">
        <f>0*B406</f>
        <v>0</v>
      </c>
      <c r="K406" s="4">
        <f>60*B406</f>
        <v>0</v>
      </c>
      <c r="L406" s="6">
        <f t="shared" ref="L406:L412" si="90">I406+J406+K406</f>
        <v>0</v>
      </c>
      <c r="M406" s="1758">
        <v>0</v>
      </c>
      <c r="N406" s="1759"/>
    </row>
    <row r="407" spans="1:14">
      <c r="A407" s="32" t="s">
        <v>29</v>
      </c>
      <c r="B407" s="1431">
        <f>SAWC!N80</f>
        <v>0</v>
      </c>
      <c r="C407" s="1422"/>
      <c r="D407" s="1431">
        <f t="shared" si="89"/>
        <v>0</v>
      </c>
      <c r="E407" s="1422"/>
      <c r="F407" s="1871">
        <f>0.0425*B407</f>
        <v>0</v>
      </c>
      <c r="G407" s="1450"/>
      <c r="H407" s="957">
        <f>F407*20</f>
        <v>0</v>
      </c>
      <c r="I407" s="131">
        <v>0</v>
      </c>
      <c r="J407" s="131">
        <f>35*B407</f>
        <v>0</v>
      </c>
      <c r="K407" s="131">
        <f>B407*50</f>
        <v>0</v>
      </c>
      <c r="L407" s="132">
        <f t="shared" si="90"/>
        <v>0</v>
      </c>
      <c r="M407" s="1720">
        <v>0</v>
      </c>
      <c r="N407" s="2159"/>
    </row>
    <row r="408" spans="1:14" s="91" customFormat="1" ht="16">
      <c r="A408" s="32" t="s">
        <v>33</v>
      </c>
      <c r="B408" s="1431">
        <f>SAWC!N81</f>
        <v>0</v>
      </c>
      <c r="C408" s="1422"/>
      <c r="D408" s="1431">
        <f t="shared" si="89"/>
        <v>0</v>
      </c>
      <c r="E408" s="1422"/>
      <c r="F408" s="1871">
        <f>0.0276*B408</f>
        <v>0</v>
      </c>
      <c r="G408" s="1450"/>
      <c r="H408" s="957">
        <f>F408*15</f>
        <v>0</v>
      </c>
      <c r="I408" s="131">
        <f>0*B408</f>
        <v>0</v>
      </c>
      <c r="J408" s="131">
        <f>50*B408</f>
        <v>0</v>
      </c>
      <c r="K408" s="131">
        <f>B408*110</f>
        <v>0</v>
      </c>
      <c r="L408" s="132">
        <f t="shared" si="90"/>
        <v>0</v>
      </c>
      <c r="M408" s="1720">
        <v>0</v>
      </c>
      <c r="N408" s="2159"/>
    </row>
    <row r="409" spans="1:14">
      <c r="A409" s="32" t="s">
        <v>56</v>
      </c>
      <c r="B409" s="1431">
        <f>SAWC!N82</f>
        <v>0</v>
      </c>
      <c r="C409" s="1422"/>
      <c r="D409" s="1431">
        <f t="shared" si="89"/>
        <v>0</v>
      </c>
      <c r="E409" s="1422"/>
      <c r="F409" s="1871">
        <f>0.004*B409</f>
        <v>0</v>
      </c>
      <c r="G409" s="1450"/>
      <c r="H409" s="957">
        <f>F409*5</f>
        <v>0</v>
      </c>
      <c r="I409" s="131">
        <f>0*B409</f>
        <v>0</v>
      </c>
      <c r="J409" s="131">
        <f>2*B409</f>
        <v>0</v>
      </c>
      <c r="K409" s="131">
        <f>B409*4</f>
        <v>0</v>
      </c>
      <c r="L409" s="132">
        <f t="shared" si="90"/>
        <v>0</v>
      </c>
      <c r="M409" s="1720">
        <v>0</v>
      </c>
      <c r="N409" s="2159"/>
    </row>
    <row r="410" spans="1:14">
      <c r="A410" s="78" t="s">
        <v>30</v>
      </c>
      <c r="B410" s="1431">
        <f>SAWC!N83</f>
        <v>0</v>
      </c>
      <c r="C410" s="1422"/>
      <c r="D410" s="1431">
        <f t="shared" si="89"/>
        <v>0</v>
      </c>
      <c r="E410" s="1422"/>
      <c r="F410" s="1871">
        <f>0.325*B410</f>
        <v>0</v>
      </c>
      <c r="G410" s="1450"/>
      <c r="H410" s="957">
        <f>F410*10</f>
        <v>0</v>
      </c>
      <c r="I410" s="131">
        <v>0</v>
      </c>
      <c r="J410" s="131">
        <f>0*B410</f>
        <v>0</v>
      </c>
      <c r="K410" s="131">
        <f>B410*80</f>
        <v>0</v>
      </c>
      <c r="L410" s="132">
        <f t="shared" si="90"/>
        <v>0</v>
      </c>
      <c r="M410" s="1720">
        <v>0</v>
      </c>
      <c r="N410" s="2159"/>
    </row>
    <row r="411" spans="1:14">
      <c r="A411" s="76" t="s">
        <v>57</v>
      </c>
      <c r="B411" s="1431">
        <f>SAWC!N84</f>
        <v>0</v>
      </c>
      <c r="C411" s="1422"/>
      <c r="D411" s="1431">
        <f t="shared" si="89"/>
        <v>0</v>
      </c>
      <c r="E411" s="1422"/>
      <c r="F411" s="1876">
        <f>0.00014*0</f>
        <v>0</v>
      </c>
      <c r="G411" s="1877"/>
      <c r="H411" s="956">
        <f>F411*10</f>
        <v>0</v>
      </c>
      <c r="I411" s="131">
        <v>0</v>
      </c>
      <c r="J411" s="133">
        <f>0</f>
        <v>0</v>
      </c>
      <c r="K411" s="133">
        <f>B411*0</f>
        <v>0</v>
      </c>
      <c r="L411" s="132">
        <f t="shared" si="90"/>
        <v>0</v>
      </c>
      <c r="M411" s="1720">
        <v>0</v>
      </c>
      <c r="N411" s="2159"/>
    </row>
    <row r="412" spans="1:14" ht="14" thickBot="1">
      <c r="A412" s="76" t="s">
        <v>154</v>
      </c>
      <c r="B412" s="1467">
        <v>2</v>
      </c>
      <c r="C412" s="1433"/>
      <c r="D412" s="1444">
        <f t="shared" si="89"/>
        <v>238816.19789999997</v>
      </c>
      <c r="E412" s="1422"/>
      <c r="F412" s="1902">
        <f>0.00014*5235</f>
        <v>0.73289999999999988</v>
      </c>
      <c r="G412" s="1877"/>
      <c r="H412" s="956">
        <f>F412*10</f>
        <v>7.3289999999999988</v>
      </c>
      <c r="I412" s="131">
        <v>0</v>
      </c>
      <c r="J412" s="133">
        <f>0.45*5235</f>
        <v>2355.75</v>
      </c>
      <c r="K412" s="133">
        <f>5235*0.3</f>
        <v>1570.5</v>
      </c>
      <c r="L412" s="132">
        <f t="shared" si="90"/>
        <v>3926.25</v>
      </c>
      <c r="M412" s="1758">
        <f>L412/(F412*498.5)</f>
        <v>10.746525290156185</v>
      </c>
      <c r="N412" s="1759"/>
    </row>
    <row r="413" spans="1:14" ht="14" thickBot="1">
      <c r="A413" s="53" t="s">
        <v>60</v>
      </c>
      <c r="B413" s="1438">
        <f>SUM(B406:C412)</f>
        <v>2</v>
      </c>
      <c r="C413" s="1609"/>
      <c r="D413" s="1440">
        <f>SUM(D406:E412)</f>
        <v>238816.19789999997</v>
      </c>
      <c r="E413" s="1609"/>
      <c r="F413" s="1440">
        <f>SUM(F406:G412)</f>
        <v>0.73289999999999988</v>
      </c>
      <c r="G413" s="1609"/>
      <c r="H413" s="67">
        <f>SUM(H406:H412)</f>
        <v>7.3289999999999988</v>
      </c>
      <c r="I413" s="143">
        <f>SUM(I406:I412)</f>
        <v>0</v>
      </c>
      <c r="J413" s="143">
        <f>SUM(J406:J412)</f>
        <v>2355.75</v>
      </c>
      <c r="K413" s="143">
        <f>SUM(K406:K412)</f>
        <v>1570.5</v>
      </c>
      <c r="L413" s="152">
        <f>SUM(L406:L412)</f>
        <v>3926.25</v>
      </c>
      <c r="M413" s="1610"/>
      <c r="N413" s="1611"/>
    </row>
    <row r="414" spans="1:14" s="1168" customFormat="1" ht="17" thickBot="1">
      <c r="A414" s="108" t="s">
        <v>146</v>
      </c>
      <c r="B414" s="1567"/>
      <c r="C414" s="1586"/>
      <c r="D414" s="1457"/>
      <c r="E414" s="1586"/>
      <c r="F414" s="1882"/>
      <c r="G414" s="1883"/>
      <c r="H414" s="1152"/>
      <c r="I414" s="161"/>
      <c r="J414" s="161"/>
      <c r="K414" s="161"/>
      <c r="L414" s="162"/>
      <c r="M414" s="1617"/>
      <c r="N414" s="1486"/>
    </row>
    <row r="415" spans="1:14" ht="14" thickBot="1">
      <c r="A415" s="76" t="s">
        <v>146</v>
      </c>
      <c r="B415" s="1431">
        <f>SAWC!N88</f>
        <v>0</v>
      </c>
      <c r="C415" s="1422"/>
      <c r="D415" s="1444">
        <f>F415*325851</f>
        <v>0</v>
      </c>
      <c r="E415" s="1422"/>
      <c r="F415" s="1449">
        <f>0.0425*B415</f>
        <v>0</v>
      </c>
      <c r="G415" s="1450"/>
      <c r="H415" s="957">
        <f>F415*20</f>
        <v>0</v>
      </c>
      <c r="I415" s="131">
        <f>73.34*B415</f>
        <v>0</v>
      </c>
      <c r="J415" s="131">
        <f>35.66*B415</f>
        <v>0</v>
      </c>
      <c r="K415" s="131">
        <f>B415*165</f>
        <v>0</v>
      </c>
      <c r="L415" s="132">
        <f>I415+J415+K415</f>
        <v>0</v>
      </c>
      <c r="M415" s="1758">
        <v>0</v>
      </c>
      <c r="N415" s="1759"/>
    </row>
    <row r="416" spans="1:14" ht="14" thickBot="1">
      <c r="A416" s="53" t="s">
        <v>60</v>
      </c>
      <c r="B416" s="1438">
        <f>SUM(B415)</f>
        <v>0</v>
      </c>
      <c r="C416" s="1609"/>
      <c r="D416" s="1440">
        <f>SUM(D415)</f>
        <v>0</v>
      </c>
      <c r="E416" s="1609"/>
      <c r="F416" s="1440">
        <f>SUM(F415)</f>
        <v>0</v>
      </c>
      <c r="G416" s="1609"/>
      <c r="H416" s="707">
        <f>SUM(H415)</f>
        <v>0</v>
      </c>
      <c r="I416" s="136">
        <f>SUM(I415)</f>
        <v>0</v>
      </c>
      <c r="J416" s="143">
        <f>SUM(J415)</f>
        <v>0</v>
      </c>
      <c r="K416" s="143">
        <f>SUM(K415)</f>
        <v>0</v>
      </c>
      <c r="L416" s="136">
        <f>SUM(L415)</f>
        <v>0</v>
      </c>
      <c r="M416" s="1610"/>
      <c r="N416" s="1611"/>
    </row>
    <row r="417" spans="1:14" s="1161" customFormat="1" ht="17" thickBot="1">
      <c r="A417" s="108" t="s">
        <v>50</v>
      </c>
      <c r="B417" s="1567"/>
      <c r="C417" s="1586"/>
      <c r="D417" s="1457"/>
      <c r="E417" s="1586"/>
      <c r="F417" s="1854"/>
      <c r="G417" s="1913"/>
      <c r="H417" s="1142"/>
      <c r="I417" s="161"/>
      <c r="J417" s="161"/>
      <c r="K417" s="161"/>
      <c r="L417" s="162"/>
      <c r="M417" s="1617"/>
      <c r="N417" s="1486"/>
    </row>
    <row r="418" spans="1:14" hidden="1">
      <c r="A418" s="34" t="s">
        <v>26</v>
      </c>
      <c r="B418" s="1431">
        <f>SAWC!N91</f>
        <v>0</v>
      </c>
      <c r="C418" s="1422"/>
      <c r="D418" s="1444">
        <f t="shared" ref="D418:D426" si="91">F418*325851</f>
        <v>0</v>
      </c>
      <c r="E418" s="1422"/>
      <c r="F418" s="1449">
        <f>0.0379*B418</f>
        <v>0</v>
      </c>
      <c r="G418" s="1450"/>
      <c r="H418" s="709">
        <f>F418*20</f>
        <v>0</v>
      </c>
      <c r="I418" s="131">
        <v>0</v>
      </c>
      <c r="J418" s="131">
        <f>35.66*B418</f>
        <v>0</v>
      </c>
      <c r="K418" s="131">
        <f>135*B418</f>
        <v>0</v>
      </c>
      <c r="L418" s="132">
        <f>SUM(I418:K418)</f>
        <v>0</v>
      </c>
      <c r="M418" s="1758">
        <v>0</v>
      </c>
      <c r="N418" s="1759"/>
    </row>
    <row r="419" spans="1:14">
      <c r="A419" s="34" t="s">
        <v>25</v>
      </c>
      <c r="B419" s="1431">
        <f>SAWC!N92</f>
        <v>0</v>
      </c>
      <c r="C419" s="1422"/>
      <c r="D419" s="1444">
        <f t="shared" si="91"/>
        <v>0</v>
      </c>
      <c r="E419" s="1422"/>
      <c r="F419" s="1449">
        <f>0.0379*B419</f>
        <v>0</v>
      </c>
      <c r="G419" s="1450"/>
      <c r="H419" s="957">
        <f>F419*20</f>
        <v>0</v>
      </c>
      <c r="I419" s="131">
        <v>0</v>
      </c>
      <c r="J419" s="131">
        <f>0*B419</f>
        <v>0</v>
      </c>
      <c r="K419" s="131">
        <f>60*B419</f>
        <v>0</v>
      </c>
      <c r="L419" s="132">
        <f t="shared" ref="L419:L425" si="92">SUM(I419:K419)</f>
        <v>0</v>
      </c>
      <c r="M419" s="1758">
        <v>0</v>
      </c>
      <c r="N419" s="1759"/>
    </row>
    <row r="420" spans="1:14" s="91" customFormat="1" ht="16">
      <c r="A420" s="32" t="s">
        <v>29</v>
      </c>
      <c r="B420" s="1431">
        <f>SAWC!N93</f>
        <v>0</v>
      </c>
      <c r="C420" s="1422"/>
      <c r="D420" s="1444">
        <f t="shared" si="91"/>
        <v>0</v>
      </c>
      <c r="E420" s="1422"/>
      <c r="F420" s="1449">
        <f>0.0425*B420</f>
        <v>0</v>
      </c>
      <c r="G420" s="1450"/>
      <c r="H420" s="957">
        <f>F420*20</f>
        <v>0</v>
      </c>
      <c r="I420" s="131">
        <v>0</v>
      </c>
      <c r="J420" s="131">
        <f>135*B420</f>
        <v>0</v>
      </c>
      <c r="K420" s="131">
        <f>165*B420</f>
        <v>0</v>
      </c>
      <c r="L420" s="132">
        <f t="shared" si="92"/>
        <v>0</v>
      </c>
      <c r="M420" s="1758">
        <v>0</v>
      </c>
      <c r="N420" s="1759"/>
    </row>
    <row r="421" spans="1:14">
      <c r="A421" s="32" t="s">
        <v>51</v>
      </c>
      <c r="B421" s="1431">
        <f>SAWC!N94</f>
        <v>0</v>
      </c>
      <c r="C421" s="1422"/>
      <c r="D421" s="1444">
        <f t="shared" si="91"/>
        <v>0</v>
      </c>
      <c r="E421" s="1422"/>
      <c r="F421" s="1449">
        <f>0.1227*B421</f>
        <v>0</v>
      </c>
      <c r="G421" s="1450"/>
      <c r="H421" s="957">
        <f>F421*20</f>
        <v>0</v>
      </c>
      <c r="I421" s="131">
        <v>0</v>
      </c>
      <c r="J421" s="131">
        <f>0*B421</f>
        <v>0</v>
      </c>
      <c r="K421" s="131">
        <f>400*B421</f>
        <v>0</v>
      </c>
      <c r="L421" s="132">
        <f t="shared" si="92"/>
        <v>0</v>
      </c>
      <c r="M421" s="1758">
        <v>0</v>
      </c>
      <c r="N421" s="1759"/>
    </row>
    <row r="422" spans="1:14" hidden="1">
      <c r="A422" s="34" t="s">
        <v>20</v>
      </c>
      <c r="B422" s="1431">
        <f>SAWC!N95</f>
        <v>0</v>
      </c>
      <c r="C422" s="1422"/>
      <c r="D422" s="1444">
        <f t="shared" si="91"/>
        <v>0</v>
      </c>
      <c r="E422" s="1422"/>
      <c r="F422" s="1449">
        <f>0.644*B422</f>
        <v>0</v>
      </c>
      <c r="G422" s="1450"/>
      <c r="H422" s="957">
        <f>F422*5</f>
        <v>0</v>
      </c>
      <c r="I422" s="131">
        <v>0</v>
      </c>
      <c r="J422" s="131">
        <f>43.75*B422</f>
        <v>0</v>
      </c>
      <c r="K422" s="131">
        <f>625*B422</f>
        <v>0</v>
      </c>
      <c r="L422" s="132">
        <f t="shared" si="92"/>
        <v>0</v>
      </c>
      <c r="M422" s="1758">
        <v>0</v>
      </c>
      <c r="N422" s="1759"/>
    </row>
    <row r="423" spans="1:14">
      <c r="A423" s="34" t="s">
        <v>13</v>
      </c>
      <c r="B423" s="1431">
        <f>SAWC!N96</f>
        <v>0</v>
      </c>
      <c r="C423" s="1422"/>
      <c r="D423" s="1444">
        <f t="shared" si="91"/>
        <v>0</v>
      </c>
      <c r="E423" s="1422"/>
      <c r="F423" s="1449">
        <f>0.0276*B423</f>
        <v>0</v>
      </c>
      <c r="G423" s="1450"/>
      <c r="H423" s="957">
        <f>F423*10</f>
        <v>0</v>
      </c>
      <c r="I423" s="131">
        <v>0</v>
      </c>
      <c r="J423" s="131">
        <f>100*B423</f>
        <v>0</v>
      </c>
      <c r="K423" s="131">
        <f>80*B423</f>
        <v>0</v>
      </c>
      <c r="L423" s="132">
        <f t="shared" si="92"/>
        <v>0</v>
      </c>
      <c r="M423" s="1758">
        <v>0</v>
      </c>
      <c r="N423" s="1759"/>
    </row>
    <row r="424" spans="1:14">
      <c r="A424" s="35" t="s">
        <v>47</v>
      </c>
      <c r="B424" s="1431">
        <f>SAWC!N97</f>
        <v>0</v>
      </c>
      <c r="C424" s="1422"/>
      <c r="D424" s="1444">
        <f t="shared" si="91"/>
        <v>0</v>
      </c>
      <c r="E424" s="1422"/>
      <c r="F424" s="1449">
        <f>0.1534*B424</f>
        <v>0</v>
      </c>
      <c r="G424" s="1450"/>
      <c r="H424" s="957">
        <f>F424*5</f>
        <v>0</v>
      </c>
      <c r="I424" s="131">
        <v>0</v>
      </c>
      <c r="J424" s="131">
        <f>0*B424</f>
        <v>0</v>
      </c>
      <c r="K424" s="131">
        <f>150*B424</f>
        <v>0</v>
      </c>
      <c r="L424" s="132">
        <f t="shared" si="92"/>
        <v>0</v>
      </c>
      <c r="M424" s="1758">
        <v>0</v>
      </c>
      <c r="N424" s="1759"/>
    </row>
    <row r="425" spans="1:14">
      <c r="A425" s="76" t="s">
        <v>30</v>
      </c>
      <c r="B425" s="1431">
        <f>SAWC!N98</f>
        <v>0</v>
      </c>
      <c r="C425" s="1422"/>
      <c r="D425" s="1444">
        <f t="shared" si="91"/>
        <v>0</v>
      </c>
      <c r="E425" s="1422"/>
      <c r="F425" s="1449">
        <f>0.325*B425</f>
        <v>0</v>
      </c>
      <c r="G425" s="1450"/>
      <c r="H425" s="957">
        <f>F425*10</f>
        <v>0</v>
      </c>
      <c r="I425" s="131">
        <v>0</v>
      </c>
      <c r="J425" s="131">
        <f>0*B425</f>
        <v>0</v>
      </c>
      <c r="K425" s="131">
        <f>669*B425</f>
        <v>0</v>
      </c>
      <c r="L425" s="132">
        <f t="shared" si="92"/>
        <v>0</v>
      </c>
      <c r="M425" s="1758">
        <v>0</v>
      </c>
      <c r="N425" s="1759"/>
    </row>
    <row r="426" spans="1:14">
      <c r="A426" s="33" t="s">
        <v>53</v>
      </c>
      <c r="B426" s="1431">
        <f>SAWC!N99</f>
        <v>0</v>
      </c>
      <c r="C426" s="1422"/>
      <c r="D426" s="1444">
        <f t="shared" si="91"/>
        <v>0</v>
      </c>
      <c r="E426" s="1422"/>
      <c r="F426" s="1449">
        <f>0.00014*B426</f>
        <v>0</v>
      </c>
      <c r="G426" s="1450"/>
      <c r="H426" s="957">
        <f>F426*10</f>
        <v>0</v>
      </c>
      <c r="I426" s="131">
        <v>0</v>
      </c>
      <c r="J426" s="131">
        <f>0.45*B426</f>
        <v>0</v>
      </c>
      <c r="K426" s="131">
        <f>0.3*B426</f>
        <v>0</v>
      </c>
      <c r="L426" s="132">
        <v>0</v>
      </c>
      <c r="M426" s="1758">
        <v>0</v>
      </c>
      <c r="N426" s="1759"/>
    </row>
    <row r="427" spans="1:14">
      <c r="A427" s="33" t="s">
        <v>56</v>
      </c>
      <c r="B427" s="1431">
        <f>SAWC!N100</f>
        <v>0</v>
      </c>
      <c r="C427" s="1422"/>
      <c r="D427" s="1444">
        <f>F427*325851</f>
        <v>0</v>
      </c>
      <c r="E427" s="1422"/>
      <c r="F427" s="1449">
        <f>0.004*B427</f>
        <v>0</v>
      </c>
      <c r="G427" s="1450"/>
      <c r="H427" s="957">
        <f>F427*5</f>
        <v>0</v>
      </c>
      <c r="I427" s="131">
        <v>0</v>
      </c>
      <c r="J427" s="131">
        <f>0*B427</f>
        <v>0</v>
      </c>
      <c r="K427" s="131">
        <f>4*B427</f>
        <v>0</v>
      </c>
      <c r="L427" s="132">
        <f>SUM(I427:K427)</f>
        <v>0</v>
      </c>
      <c r="M427" s="1758">
        <v>0</v>
      </c>
      <c r="N427" s="1759"/>
    </row>
    <row r="428" spans="1:14" hidden="1">
      <c r="A428" s="76" t="s">
        <v>122</v>
      </c>
      <c r="B428" s="1431">
        <f>SAWC!N101</f>
        <v>0</v>
      </c>
      <c r="C428" s="1422"/>
      <c r="D428" s="1444">
        <f>F428*325851</f>
        <v>0</v>
      </c>
      <c r="E428" s="1422"/>
      <c r="F428" s="1449">
        <f>0.018*B428</f>
        <v>0</v>
      </c>
      <c r="G428" s="1450"/>
      <c r="H428" s="957">
        <f>F428*10</f>
        <v>0</v>
      </c>
      <c r="I428" s="131">
        <v>0</v>
      </c>
      <c r="J428" s="131">
        <f>0*B428</f>
        <v>0</v>
      </c>
      <c r="K428" s="131">
        <f>13*B428</f>
        <v>0</v>
      </c>
      <c r="L428" s="132">
        <f>SUM(I428:K428)</f>
        <v>0</v>
      </c>
      <c r="M428" s="1758">
        <v>0</v>
      </c>
      <c r="N428" s="1759"/>
    </row>
    <row r="429" spans="1:14" ht="14" thickBot="1">
      <c r="A429" s="33" t="s">
        <v>102</v>
      </c>
      <c r="B429" s="1431">
        <f>SAWC!N102</f>
        <v>0</v>
      </c>
      <c r="C429" s="1422"/>
      <c r="D429" s="1444">
        <f>F429*325851</f>
        <v>0</v>
      </c>
      <c r="E429" s="1422"/>
      <c r="F429" s="1886">
        <f>0.153*B429</f>
        <v>0</v>
      </c>
      <c r="G429" s="1887"/>
      <c r="H429" s="957">
        <f>F429*5</f>
        <v>0</v>
      </c>
      <c r="I429" s="131">
        <v>0</v>
      </c>
      <c r="J429" s="131">
        <f>0*B429</f>
        <v>0</v>
      </c>
      <c r="K429" s="131">
        <f>60*B429</f>
        <v>0</v>
      </c>
      <c r="L429" s="132">
        <f>SUM(I429:K429)</f>
        <v>0</v>
      </c>
      <c r="M429" s="1758">
        <v>0</v>
      </c>
      <c r="N429" s="1759"/>
    </row>
    <row r="430" spans="1:14" ht="14" hidden="1" thickBot="1">
      <c r="A430" s="53" t="s">
        <v>60</v>
      </c>
      <c r="B430" s="1438">
        <f>SUM(B418:C429)</f>
        <v>0</v>
      </c>
      <c r="C430" s="1609"/>
      <c r="D430" s="1440">
        <f>SUM(D418:E429)</f>
        <v>0</v>
      </c>
      <c r="E430" s="1609"/>
      <c r="F430" s="1440">
        <f>SUM(F418:G429)</f>
        <v>0</v>
      </c>
      <c r="G430" s="1439"/>
      <c r="H430" s="707">
        <f>SUM(H418:H429)</f>
        <v>0</v>
      </c>
      <c r="I430" s="136">
        <f>SUM(I418:I429)</f>
        <v>0</v>
      </c>
      <c r="J430" s="143">
        <f>SUM(J418:J429)</f>
        <v>0</v>
      </c>
      <c r="K430" s="143">
        <f>SUM(K418:K429)</f>
        <v>0</v>
      </c>
      <c r="L430" s="136">
        <f>SUM(L418:L429)</f>
        <v>0</v>
      </c>
      <c r="M430" s="1610"/>
      <c r="N430" s="1611"/>
    </row>
    <row r="431" spans="1:14" ht="17" hidden="1" thickBot="1">
      <c r="A431" s="87" t="s">
        <v>54</v>
      </c>
      <c r="B431" s="1998"/>
      <c r="C431" s="1999"/>
      <c r="D431" s="298"/>
      <c r="E431" s="299"/>
      <c r="F431" s="318"/>
      <c r="G431" s="89"/>
      <c r="H431" s="89"/>
      <c r="I431" s="171"/>
      <c r="J431" s="171"/>
      <c r="K431" s="171"/>
      <c r="L431" s="531"/>
      <c r="M431" s="95"/>
      <c r="N431" s="96"/>
    </row>
    <row r="432" spans="1:14" hidden="1">
      <c r="A432" s="1" t="s">
        <v>29</v>
      </c>
      <c r="B432" s="1431">
        <f>SAWC!N105</f>
        <v>0</v>
      </c>
      <c r="C432" s="1422"/>
      <c r="D432" s="1444">
        <f t="shared" ref="D432:D437" si="93">F432*325851</f>
        <v>0</v>
      </c>
      <c r="E432" s="1422"/>
      <c r="F432" s="1760">
        <f>0.0425*B432</f>
        <v>0</v>
      </c>
      <c r="G432" s="1757"/>
      <c r="H432" s="48">
        <f>F432*20</f>
        <v>0</v>
      </c>
      <c r="I432" s="131">
        <v>0</v>
      </c>
      <c r="J432" s="131">
        <f>35.66*B432</f>
        <v>0</v>
      </c>
      <c r="K432" s="131">
        <f>630*B432</f>
        <v>0</v>
      </c>
      <c r="L432" s="132">
        <f t="shared" ref="L432:L437" si="94">SUM(I432:K432)</f>
        <v>0</v>
      </c>
      <c r="M432" s="1758">
        <v>0</v>
      </c>
      <c r="N432" s="1759"/>
    </row>
    <row r="433" spans="1:14" hidden="1">
      <c r="A433" s="2" t="s">
        <v>51</v>
      </c>
      <c r="B433" s="1431">
        <f>SAWC!N106</f>
        <v>0</v>
      </c>
      <c r="C433" s="1422"/>
      <c r="D433" s="1444">
        <f t="shared" si="93"/>
        <v>0</v>
      </c>
      <c r="E433" s="1422"/>
      <c r="F433" s="1760">
        <f>0.1227*B433</f>
        <v>0</v>
      </c>
      <c r="G433" s="1757"/>
      <c r="H433" s="48">
        <f>F433*20</f>
        <v>0</v>
      </c>
      <c r="I433" s="131">
        <v>0</v>
      </c>
      <c r="J433" s="131">
        <f>0*B433</f>
        <v>0</v>
      </c>
      <c r="K433" s="131">
        <f>1225*B433</f>
        <v>0</v>
      </c>
      <c r="L433" s="132">
        <f t="shared" si="94"/>
        <v>0</v>
      </c>
      <c r="M433" s="1758">
        <v>0</v>
      </c>
      <c r="N433" s="1759"/>
    </row>
    <row r="434" spans="1:14" s="91" customFormat="1" ht="16" hidden="1">
      <c r="A434" s="2" t="s">
        <v>15</v>
      </c>
      <c r="B434" s="1431">
        <f>SAWC!N107</f>
        <v>0</v>
      </c>
      <c r="C434" s="1422"/>
      <c r="D434" s="1444">
        <f t="shared" si="93"/>
        <v>0</v>
      </c>
      <c r="E434" s="1422"/>
      <c r="F434" s="1760">
        <f>0.1534*B434</f>
        <v>0</v>
      </c>
      <c r="G434" s="1757"/>
      <c r="H434" s="48">
        <f>F434*5</f>
        <v>0</v>
      </c>
      <c r="I434" s="131">
        <v>0</v>
      </c>
      <c r="J434" s="131">
        <f>0*B434</f>
        <v>0</v>
      </c>
      <c r="K434" s="131">
        <f>380*B434</f>
        <v>0</v>
      </c>
      <c r="L434" s="132">
        <f t="shared" si="94"/>
        <v>0</v>
      </c>
      <c r="M434" s="1758">
        <v>0</v>
      </c>
      <c r="N434" s="1759"/>
    </row>
    <row r="435" spans="1:14" hidden="1">
      <c r="A435" s="2" t="s">
        <v>30</v>
      </c>
      <c r="B435" s="1431">
        <f>SAWC!N108</f>
        <v>0</v>
      </c>
      <c r="C435" s="1422"/>
      <c r="D435" s="1444">
        <f t="shared" si="93"/>
        <v>0</v>
      </c>
      <c r="E435" s="1422"/>
      <c r="F435" s="1760">
        <f>0.466*B435</f>
        <v>0</v>
      </c>
      <c r="G435" s="1757"/>
      <c r="H435" s="48">
        <f>F435*10</f>
        <v>0</v>
      </c>
      <c r="I435" s="131">
        <v>0</v>
      </c>
      <c r="J435" s="131">
        <f>0*B435</f>
        <v>0</v>
      </c>
      <c r="K435" s="131">
        <f>1004*B435</f>
        <v>0</v>
      </c>
      <c r="L435" s="132">
        <f t="shared" si="94"/>
        <v>0</v>
      </c>
      <c r="M435" s="1758">
        <v>0</v>
      </c>
      <c r="N435" s="1759"/>
    </row>
    <row r="436" spans="1:14" hidden="1">
      <c r="A436" s="2" t="s">
        <v>55</v>
      </c>
      <c r="B436" s="1431">
        <f>SAWC!N109</f>
        <v>0</v>
      </c>
      <c r="C436" s="1422"/>
      <c r="D436" s="1444">
        <f t="shared" si="93"/>
        <v>0</v>
      </c>
      <c r="E436" s="1422"/>
      <c r="F436" s="1771">
        <f>0.992*B436</f>
        <v>0</v>
      </c>
      <c r="G436" s="1719"/>
      <c r="H436" s="48">
        <f>F436*10</f>
        <v>0</v>
      </c>
      <c r="I436" s="131">
        <v>0</v>
      </c>
      <c r="J436" s="131">
        <f>0*B436</f>
        <v>0</v>
      </c>
      <c r="K436" s="131">
        <f>3124*B436</f>
        <v>0</v>
      </c>
      <c r="L436" s="132">
        <f t="shared" si="94"/>
        <v>0</v>
      </c>
      <c r="M436" s="1758">
        <v>0</v>
      </c>
      <c r="N436" s="1759"/>
    </row>
    <row r="437" spans="1:14" ht="14" hidden="1" thickBot="1">
      <c r="A437" s="77" t="s">
        <v>53</v>
      </c>
      <c r="B437" s="1431">
        <f>SAWC!N110</f>
        <v>0</v>
      </c>
      <c r="C437" s="1422"/>
      <c r="D437" s="1444">
        <f t="shared" si="93"/>
        <v>0</v>
      </c>
      <c r="E437" s="1422"/>
      <c r="F437" s="1760">
        <f>0.00014*B437</f>
        <v>0</v>
      </c>
      <c r="G437" s="1757"/>
      <c r="H437" s="48">
        <f>F437*10</f>
        <v>0</v>
      </c>
      <c r="I437" s="131">
        <v>0</v>
      </c>
      <c r="J437" s="131">
        <f>0.3*B437</f>
        <v>0</v>
      </c>
      <c r="K437" s="131">
        <f>0.3*B437</f>
        <v>0</v>
      </c>
      <c r="L437" s="132">
        <f t="shared" si="94"/>
        <v>0</v>
      </c>
      <c r="M437" s="1758">
        <v>0</v>
      </c>
      <c r="N437" s="1759"/>
    </row>
    <row r="438" spans="1:14" ht="14" thickBot="1">
      <c r="A438" s="53" t="s">
        <v>60</v>
      </c>
      <c r="B438" s="1438">
        <f>SUM(B432:C437)</f>
        <v>0</v>
      </c>
      <c r="C438" s="1609"/>
      <c r="D438" s="1440">
        <f>SUM(D432:E437)</f>
        <v>0</v>
      </c>
      <c r="E438" s="1609"/>
      <c r="F438" s="1440">
        <f>SUM(F432:G437)</f>
        <v>0</v>
      </c>
      <c r="G438" s="1609"/>
      <c r="H438" s="52">
        <f>SUM(H432:H437)</f>
        <v>0</v>
      </c>
      <c r="I438" s="136">
        <f>SUM(I432:I437)</f>
        <v>0</v>
      </c>
      <c r="J438" s="136">
        <f>SUM(J432:J437)</f>
        <v>0</v>
      </c>
      <c r="K438" s="136">
        <f>SUM(K432:K437)</f>
        <v>0</v>
      </c>
      <c r="L438" s="136">
        <f>SUM(L432:L437)</f>
        <v>0</v>
      </c>
      <c r="M438" s="1610"/>
      <c r="N438" s="1611"/>
    </row>
    <row r="439" spans="1:14" s="1168" customFormat="1" ht="17" thickBot="1">
      <c r="A439" s="1163" t="s">
        <v>17</v>
      </c>
      <c r="B439" s="1612">
        <f>SUM(B413+B416+B430+B438)</f>
        <v>2</v>
      </c>
      <c r="C439" s="1415"/>
      <c r="D439" s="1612">
        <f>SUM(D413+D416+D430+D438)</f>
        <v>238816.19789999997</v>
      </c>
      <c r="E439" s="1415"/>
      <c r="F439" s="1612">
        <f>SUM(F413+F416+F430+F438)</f>
        <v>0.73289999999999988</v>
      </c>
      <c r="G439" s="1415"/>
      <c r="H439" s="1164">
        <f>SUM(H413+H416+H430+H438)</f>
        <v>7.3289999999999988</v>
      </c>
      <c r="I439" s="1169">
        <f>SUM(I413+I416+I430+I438)</f>
        <v>0</v>
      </c>
      <c r="J439" s="1169">
        <f>SUM(J413+J416+J430)</f>
        <v>2355.75</v>
      </c>
      <c r="K439" s="1169">
        <f>SUM(K413+K416+K430+K438)</f>
        <v>1570.5</v>
      </c>
      <c r="L439" s="1169">
        <f>SUM(L413+L416+L430+L438)</f>
        <v>3926.25</v>
      </c>
      <c r="M439" s="1631"/>
      <c r="N439" s="1640"/>
    </row>
    <row r="440" spans="1:14" s="66" customFormat="1" ht="16">
      <c r="A440" s="60"/>
      <c r="B440" s="61"/>
      <c r="C440" s="61"/>
      <c r="D440" s="61"/>
      <c r="E440" s="61"/>
      <c r="F440" s="61"/>
      <c r="G440" s="61"/>
      <c r="H440" s="62"/>
      <c r="I440" s="62"/>
      <c r="J440" s="62"/>
      <c r="K440" s="62"/>
      <c r="L440" s="62"/>
      <c r="M440" s="64"/>
      <c r="N440" s="65"/>
    </row>
    <row r="441" spans="1:14" s="66" customFormat="1" ht="16">
      <c r="A441" s="9" t="s">
        <v>18</v>
      </c>
      <c r="B441" s="1419" t="s">
        <v>59</v>
      </c>
      <c r="C441" s="1419"/>
      <c r="D441" s="1419"/>
      <c r="E441" s="1419"/>
      <c r="F441" s="61"/>
      <c r="G441" s="61"/>
      <c r="H441" s="62"/>
      <c r="I441" s="62"/>
      <c r="J441" s="62"/>
      <c r="K441" s="62"/>
      <c r="L441" s="62"/>
      <c r="M441" s="64"/>
      <c r="N441" s="65"/>
    </row>
    <row r="442" spans="1:14" s="66" customFormat="1" ht="16">
      <c r="A442" s="57"/>
      <c r="B442" s="1420" t="s">
        <v>19</v>
      </c>
      <c r="C442" s="1420"/>
      <c r="D442" s="1420"/>
      <c r="E442" s="1420"/>
      <c r="F442" s="61"/>
      <c r="G442" s="61"/>
      <c r="H442" s="62"/>
      <c r="I442" s="62"/>
      <c r="J442" s="62"/>
      <c r="K442" s="62"/>
      <c r="L442" s="62"/>
      <c r="M442" s="64"/>
      <c r="N442" s="65"/>
    </row>
    <row r="443" spans="1:14" s="66" customFormat="1" ht="17" thickBot="1">
      <c r="A443" s="985"/>
      <c r="B443" s="943"/>
      <c r="C443" s="943"/>
      <c r="D443" s="943"/>
      <c r="E443" s="943"/>
      <c r="F443" s="61"/>
      <c r="G443" s="61"/>
      <c r="H443" s="62"/>
      <c r="I443" s="62"/>
      <c r="J443" s="62"/>
      <c r="K443" s="62"/>
      <c r="L443" s="62"/>
      <c r="M443" s="64"/>
      <c r="N443" s="65"/>
    </row>
    <row r="444" spans="1:14" s="66" customFormat="1" ht="16">
      <c r="A444" s="98"/>
      <c r="B444" s="99"/>
      <c r="C444" s="99"/>
      <c r="D444" s="99"/>
      <c r="E444" s="99"/>
      <c r="F444" s="100"/>
      <c r="G444" s="100"/>
      <c r="H444" s="100"/>
      <c r="I444" s="1468" t="s">
        <v>0</v>
      </c>
      <c r="J444" s="1468"/>
      <c r="K444" s="1468"/>
      <c r="L444" s="1468"/>
      <c r="M444" s="99"/>
      <c r="N444" s="101"/>
    </row>
    <row r="445" spans="1:14" s="66" customFormat="1" ht="16">
      <c r="A445" s="97"/>
      <c r="B445" s="1469" t="s">
        <v>1</v>
      </c>
      <c r="C445" s="1469"/>
      <c r="D445" s="1469" t="s">
        <v>2</v>
      </c>
      <c r="E445" s="1469"/>
      <c r="F445" s="1863" t="s">
        <v>3</v>
      </c>
      <c r="G445" s="1863"/>
      <c r="H445" s="952" t="s">
        <v>3</v>
      </c>
      <c r="I445" s="127" t="s">
        <v>195</v>
      </c>
      <c r="J445" s="102"/>
      <c r="K445" s="102"/>
      <c r="L445" s="128"/>
      <c r="M445" s="1469" t="s">
        <v>4</v>
      </c>
      <c r="N445" s="1526"/>
    </row>
    <row r="446" spans="1:14" s="66" customFormat="1" ht="19" thickBot="1">
      <c r="A446" s="103" t="s">
        <v>5</v>
      </c>
      <c r="B446" s="1473" t="s">
        <v>6</v>
      </c>
      <c r="C446" s="1473"/>
      <c r="D446" s="1473" t="s">
        <v>7</v>
      </c>
      <c r="E446" s="1473"/>
      <c r="F446" s="1864" t="s">
        <v>7</v>
      </c>
      <c r="G446" s="1864"/>
      <c r="H446" s="953" t="s">
        <v>58</v>
      </c>
      <c r="I446" s="937" t="s">
        <v>196</v>
      </c>
      <c r="J446" s="932" t="s">
        <v>8</v>
      </c>
      <c r="K446" s="932" t="s">
        <v>9</v>
      </c>
      <c r="L446" s="401" t="s">
        <v>10</v>
      </c>
      <c r="M446" s="1473" t="s">
        <v>145</v>
      </c>
      <c r="N446" s="1475"/>
    </row>
    <row r="447" spans="1:14" s="363" customFormat="1" ht="24" thickBot="1">
      <c r="A447" s="88" t="s">
        <v>131</v>
      </c>
      <c r="B447" s="1764"/>
      <c r="C447" s="1477"/>
      <c r="D447" s="1478"/>
      <c r="E447" s="1479"/>
      <c r="F447" s="1878"/>
      <c r="G447" s="1879"/>
      <c r="H447" s="954"/>
      <c r="I447" s="7"/>
      <c r="J447" s="7"/>
      <c r="K447" s="7"/>
      <c r="L447" s="8"/>
      <c r="M447" s="1764"/>
      <c r="N447" s="1765"/>
    </row>
    <row r="448" spans="1:14" s="1168" customFormat="1" ht="17" thickBot="1">
      <c r="A448" s="108" t="s">
        <v>48</v>
      </c>
      <c r="B448" s="1567"/>
      <c r="C448" s="1586"/>
      <c r="D448" s="1567"/>
      <c r="E448" s="1586"/>
      <c r="F448" s="1619"/>
      <c r="G448" s="1620"/>
      <c r="H448" s="1157"/>
      <c r="I448" s="109"/>
      <c r="J448" s="109"/>
      <c r="K448" s="109"/>
      <c r="L448" s="1141"/>
      <c r="M448" s="1617"/>
      <c r="N448" s="1486"/>
    </row>
    <row r="449" spans="1:14">
      <c r="A449" s="32" t="s">
        <v>28</v>
      </c>
      <c r="B449" s="1431">
        <f>SAWC!N41</f>
        <v>0</v>
      </c>
      <c r="C449" s="1422"/>
      <c r="D449" s="1431">
        <f t="shared" ref="D449:D455" si="95">F449*325851</f>
        <v>0</v>
      </c>
      <c r="E449" s="1422"/>
      <c r="F449" s="1871">
        <f>0.0379*B449</f>
        <v>0</v>
      </c>
      <c r="G449" s="1450"/>
      <c r="H449" s="957">
        <f>F449*20</f>
        <v>0</v>
      </c>
      <c r="I449" s="131">
        <v>0</v>
      </c>
      <c r="J449" s="131">
        <f>0*B449</f>
        <v>0</v>
      </c>
      <c r="K449" s="131">
        <f>60*B449</f>
        <v>0</v>
      </c>
      <c r="L449" s="132">
        <f t="shared" ref="L449:L455" si="96">I449+J449+K449</f>
        <v>0</v>
      </c>
      <c r="M449" s="1758">
        <v>0</v>
      </c>
      <c r="N449" s="1759"/>
    </row>
    <row r="450" spans="1:14">
      <c r="A450" s="32" t="s">
        <v>29</v>
      </c>
      <c r="B450" s="1431">
        <f>SAWC!N42</f>
        <v>2</v>
      </c>
      <c r="C450" s="1422"/>
      <c r="D450" s="1431">
        <f t="shared" si="95"/>
        <v>27697.335000000003</v>
      </c>
      <c r="E450" s="1422"/>
      <c r="F450" s="1871">
        <f>0.0425*B450</f>
        <v>8.5000000000000006E-2</v>
      </c>
      <c r="G450" s="1450"/>
      <c r="H450" s="957">
        <f>F450*20</f>
        <v>1.7000000000000002</v>
      </c>
      <c r="I450" s="131">
        <v>0</v>
      </c>
      <c r="J450" s="131">
        <f>0*B450</f>
        <v>0</v>
      </c>
      <c r="K450" s="131">
        <f>B450*165</f>
        <v>330</v>
      </c>
      <c r="L450" s="132">
        <f t="shared" si="96"/>
        <v>330</v>
      </c>
      <c r="M450" s="1758">
        <f t="shared" ref="M450:M455" si="97">L450/(F450*498.5)</f>
        <v>7.7880700926308331</v>
      </c>
      <c r="N450" s="1759"/>
    </row>
    <row r="451" spans="1:14" s="91" customFormat="1" ht="16">
      <c r="A451" s="32" t="s">
        <v>33</v>
      </c>
      <c r="B451" s="1431">
        <f>SAWC!N43</f>
        <v>9</v>
      </c>
      <c r="C451" s="1422"/>
      <c r="D451" s="1431">
        <f t="shared" si="95"/>
        <v>80941.388399999996</v>
      </c>
      <c r="E451" s="1422"/>
      <c r="F451" s="1871">
        <f>0.0276*B451</f>
        <v>0.24840000000000001</v>
      </c>
      <c r="G451" s="1450"/>
      <c r="H451" s="957">
        <f>F451*15</f>
        <v>3.726</v>
      </c>
      <c r="I451" s="131">
        <f>0*B451</f>
        <v>0</v>
      </c>
      <c r="J451" s="131">
        <f>0*B451</f>
        <v>0</v>
      </c>
      <c r="K451" s="131">
        <f>B451*110</f>
        <v>990</v>
      </c>
      <c r="L451" s="132">
        <f t="shared" si="96"/>
        <v>990</v>
      </c>
      <c r="M451" s="1758">
        <f t="shared" si="97"/>
        <v>7.9949994912273041</v>
      </c>
      <c r="N451" s="1759"/>
    </row>
    <row r="452" spans="1:14">
      <c r="A452" s="32" t="s">
        <v>56</v>
      </c>
      <c r="B452" s="1431">
        <f>SAWC!N44</f>
        <v>0</v>
      </c>
      <c r="C452" s="1422"/>
      <c r="D452" s="1431">
        <f t="shared" si="95"/>
        <v>0</v>
      </c>
      <c r="E452" s="1422"/>
      <c r="F452" s="1871">
        <f>0.004*B452</f>
        <v>0</v>
      </c>
      <c r="G452" s="1450"/>
      <c r="H452" s="957">
        <f>F452*5</f>
        <v>0</v>
      </c>
      <c r="I452" s="131">
        <f>0*B452</f>
        <v>0</v>
      </c>
      <c r="J452" s="131">
        <f>0*B452</f>
        <v>0</v>
      </c>
      <c r="K452" s="131">
        <f>B452*4</f>
        <v>0</v>
      </c>
      <c r="L452" s="132">
        <f t="shared" si="96"/>
        <v>0</v>
      </c>
      <c r="M452" s="1758">
        <v>0</v>
      </c>
      <c r="N452" s="1759"/>
    </row>
    <row r="453" spans="1:14">
      <c r="A453" s="78" t="s">
        <v>30</v>
      </c>
      <c r="B453" s="1431">
        <f>SAWC!N45</f>
        <v>0</v>
      </c>
      <c r="C453" s="1422"/>
      <c r="D453" s="1431">
        <f t="shared" si="95"/>
        <v>0</v>
      </c>
      <c r="E453" s="1422"/>
      <c r="F453" s="1871">
        <f>0.325*B453</f>
        <v>0</v>
      </c>
      <c r="G453" s="1450"/>
      <c r="H453" s="957">
        <f>F453*10</f>
        <v>0</v>
      </c>
      <c r="I453" s="131">
        <v>0</v>
      </c>
      <c r="J453" s="131">
        <f>0*B453</f>
        <v>0</v>
      </c>
      <c r="K453" s="131">
        <f>B453*80</f>
        <v>0</v>
      </c>
      <c r="L453" s="132">
        <f t="shared" si="96"/>
        <v>0</v>
      </c>
      <c r="M453" s="1758">
        <v>0</v>
      </c>
      <c r="N453" s="1759"/>
    </row>
    <row r="454" spans="1:14">
      <c r="A454" s="33" t="s">
        <v>118</v>
      </c>
      <c r="B454" s="1431">
        <f>SAWC!N46</f>
        <v>3</v>
      </c>
      <c r="C454" s="1422"/>
      <c r="D454" s="1431">
        <f t="shared" si="95"/>
        <v>171071.77499999997</v>
      </c>
      <c r="E454" s="1422"/>
      <c r="F454" s="1876">
        <f>0.00014*3750</f>
        <v>0.52499999999999991</v>
      </c>
      <c r="G454" s="1877"/>
      <c r="H454" s="956">
        <f>F454*10</f>
        <v>5.2499999999999991</v>
      </c>
      <c r="I454" s="131">
        <v>0</v>
      </c>
      <c r="J454" s="133">
        <f>6000</f>
        <v>6000</v>
      </c>
      <c r="K454" s="133">
        <f>B454*0</f>
        <v>0</v>
      </c>
      <c r="L454" s="132">
        <f t="shared" si="96"/>
        <v>6000</v>
      </c>
      <c r="M454" s="1758">
        <f t="shared" si="97"/>
        <v>22.925920618999857</v>
      </c>
      <c r="N454" s="1759"/>
    </row>
    <row r="455" spans="1:14" ht="14" thickBot="1">
      <c r="A455" s="33" t="s">
        <v>113</v>
      </c>
      <c r="B455" s="1431">
        <f>SAWC!N47</f>
        <v>1</v>
      </c>
      <c r="C455" s="1422"/>
      <c r="D455" s="1431">
        <f t="shared" si="95"/>
        <v>38320.077599999997</v>
      </c>
      <c r="E455" s="1422"/>
      <c r="F455" s="1876">
        <f>0.00014*840</f>
        <v>0.1176</v>
      </c>
      <c r="G455" s="1877"/>
      <c r="H455" s="956">
        <f>F455*10</f>
        <v>1.1759999999999999</v>
      </c>
      <c r="I455" s="131">
        <v>0</v>
      </c>
      <c r="J455" s="133">
        <f>0.3*840</f>
        <v>252</v>
      </c>
      <c r="K455" s="133">
        <f>840*0.3</f>
        <v>252</v>
      </c>
      <c r="L455" s="132">
        <f t="shared" si="96"/>
        <v>504</v>
      </c>
      <c r="M455" s="1758">
        <f t="shared" si="97"/>
        <v>8.5972202321249469</v>
      </c>
      <c r="N455" s="1759"/>
    </row>
    <row r="456" spans="1:14" ht="14" thickBot="1">
      <c r="A456" s="53" t="s">
        <v>60</v>
      </c>
      <c r="B456" s="1438">
        <f>SUM(B449:C455)</f>
        <v>15</v>
      </c>
      <c r="C456" s="1609"/>
      <c r="D456" s="1440">
        <f>SUM(D449:E455)</f>
        <v>318030.576</v>
      </c>
      <c r="E456" s="1609"/>
      <c r="F456" s="1440">
        <f>SUM(F449:G455)</f>
        <v>0.97599999999999998</v>
      </c>
      <c r="G456" s="1609"/>
      <c r="H456" s="936">
        <f>SUM(H449:H455)</f>
        <v>11.851999999999999</v>
      </c>
      <c r="I456" s="143">
        <f>SUM(I449:I455)</f>
        <v>0</v>
      </c>
      <c r="J456" s="143">
        <f>SUM(J449:J455)</f>
        <v>6252</v>
      </c>
      <c r="K456" s="143">
        <f>SUM(K449:K455)</f>
        <v>1572</v>
      </c>
      <c r="L456" s="152">
        <f>SUM(L449:L455)</f>
        <v>7824</v>
      </c>
      <c r="M456" s="1610"/>
      <c r="N456" s="1611"/>
    </row>
    <row r="457" spans="1:14" s="1168" customFormat="1" ht="17" thickBot="1">
      <c r="A457" s="108" t="s">
        <v>146</v>
      </c>
      <c r="B457" s="1456"/>
      <c r="C457" s="1586"/>
      <c r="D457" s="1457"/>
      <c r="E457" s="1586"/>
      <c r="F457" s="1882"/>
      <c r="G457" s="1883"/>
      <c r="H457" s="1152"/>
      <c r="I457" s="161"/>
      <c r="J457" s="161"/>
      <c r="K457" s="161"/>
      <c r="L457" s="162"/>
      <c r="M457" s="1617"/>
      <c r="N457" s="1486"/>
    </row>
    <row r="458" spans="1:14" ht="14" thickBot="1">
      <c r="A458" s="76" t="s">
        <v>146</v>
      </c>
      <c r="B458" s="1421">
        <f>SAWC!N50</f>
        <v>0</v>
      </c>
      <c r="C458" s="1422"/>
      <c r="D458" s="1444">
        <f>F458*325851</f>
        <v>0</v>
      </c>
      <c r="E458" s="1422"/>
      <c r="F458" s="1449">
        <f>0.0425*B458</f>
        <v>0</v>
      </c>
      <c r="G458" s="1450"/>
      <c r="H458" s="957">
        <f>F458*20</f>
        <v>0</v>
      </c>
      <c r="I458" s="131">
        <f>73.34*B458</f>
        <v>0</v>
      </c>
      <c r="J458" s="131">
        <f>35.66*B458</f>
        <v>0</v>
      </c>
      <c r="K458" s="131">
        <f>B458*165</f>
        <v>0</v>
      </c>
      <c r="L458" s="132">
        <f>I458+J458+K458</f>
        <v>0</v>
      </c>
      <c r="M458" s="1758">
        <v>0</v>
      </c>
      <c r="N458" s="1759"/>
    </row>
    <row r="459" spans="1:14" ht="14" thickBot="1">
      <c r="A459" s="53" t="s">
        <v>60</v>
      </c>
      <c r="B459" s="1438">
        <f>SUM(B458)</f>
        <v>0</v>
      </c>
      <c r="C459" s="1609"/>
      <c r="D459" s="1440">
        <f>SUM(D458)</f>
        <v>0</v>
      </c>
      <c r="E459" s="1609"/>
      <c r="F459" s="1440">
        <f>SUM(F458)</f>
        <v>0</v>
      </c>
      <c r="G459" s="1609"/>
      <c r="H459" s="471">
        <f>SUM(H458)</f>
        <v>0</v>
      </c>
      <c r="I459" s="136">
        <f>SUM(I458)</f>
        <v>0</v>
      </c>
      <c r="J459" s="143">
        <f>SUM(J458)</f>
        <v>0</v>
      </c>
      <c r="K459" s="143">
        <f>SUM(K458)</f>
        <v>0</v>
      </c>
      <c r="L459" s="136">
        <f>SUM(L458)</f>
        <v>0</v>
      </c>
      <c r="M459" s="1610"/>
      <c r="N459" s="1611"/>
    </row>
    <row r="460" spans="1:14" s="1161" customFormat="1" ht="17" thickBot="1">
      <c r="A460" s="108" t="s">
        <v>50</v>
      </c>
      <c r="B460" s="1456"/>
      <c r="C460" s="1586"/>
      <c r="D460" s="1457"/>
      <c r="E460" s="1586"/>
      <c r="F460" s="1854"/>
      <c r="G460" s="1913"/>
      <c r="H460" s="1150"/>
      <c r="I460" s="161"/>
      <c r="J460" s="161"/>
      <c r="K460" s="161"/>
      <c r="L460" s="162"/>
      <c r="M460" s="1617"/>
      <c r="N460" s="1486"/>
    </row>
    <row r="461" spans="1:14">
      <c r="A461" s="34" t="s">
        <v>26</v>
      </c>
      <c r="B461" s="1421">
        <f>SAWC!N53</f>
        <v>0</v>
      </c>
      <c r="C461" s="1422"/>
      <c r="D461" s="1444">
        <f t="shared" ref="D461:D469" si="98">F461*325851</f>
        <v>0</v>
      </c>
      <c r="E461" s="1422"/>
      <c r="F461" s="1449">
        <f>0.0379*B461</f>
        <v>0</v>
      </c>
      <c r="G461" s="1450"/>
      <c r="H461" s="957">
        <f>F461*20</f>
        <v>0</v>
      </c>
      <c r="I461" s="131">
        <v>0</v>
      </c>
      <c r="J461" s="131">
        <f>35.66*B461</f>
        <v>0</v>
      </c>
      <c r="K461" s="131">
        <f>135*B461</f>
        <v>0</v>
      </c>
      <c r="L461" s="132">
        <f>SUM(I461:K461)</f>
        <v>0</v>
      </c>
      <c r="M461" s="1758">
        <v>0</v>
      </c>
      <c r="N461" s="1759"/>
    </row>
    <row r="462" spans="1:14">
      <c r="A462" s="34" t="s">
        <v>25</v>
      </c>
      <c r="B462" s="1421">
        <f>SAWC!N54</f>
        <v>0</v>
      </c>
      <c r="C462" s="1422"/>
      <c r="D462" s="1444">
        <f t="shared" si="98"/>
        <v>0</v>
      </c>
      <c r="E462" s="1422"/>
      <c r="F462" s="1449">
        <f>0.0379*B462</f>
        <v>0</v>
      </c>
      <c r="G462" s="1450"/>
      <c r="H462" s="957">
        <f>F462*20</f>
        <v>0</v>
      </c>
      <c r="I462" s="131">
        <v>0</v>
      </c>
      <c r="J462" s="131">
        <f>0*B462</f>
        <v>0</v>
      </c>
      <c r="K462" s="131">
        <f>60*B462</f>
        <v>0</v>
      </c>
      <c r="L462" s="132">
        <f t="shared" ref="L462:L469" si="99">SUM(I462:K462)</f>
        <v>0</v>
      </c>
      <c r="M462" s="1758">
        <v>0</v>
      </c>
      <c r="N462" s="1759"/>
    </row>
    <row r="463" spans="1:14" s="91" customFormat="1" ht="16">
      <c r="A463" s="32" t="s">
        <v>29</v>
      </c>
      <c r="B463" s="1421">
        <f>SAWC!N55</f>
        <v>0</v>
      </c>
      <c r="C463" s="1422"/>
      <c r="D463" s="1444">
        <f t="shared" si="98"/>
        <v>0</v>
      </c>
      <c r="E463" s="1422"/>
      <c r="F463" s="1449">
        <f>0.0425*B463</f>
        <v>0</v>
      </c>
      <c r="G463" s="1450"/>
      <c r="H463" s="957">
        <f>F463*20</f>
        <v>0</v>
      </c>
      <c r="I463" s="131">
        <v>0</v>
      </c>
      <c r="J463" s="131">
        <f>135*B463</f>
        <v>0</v>
      </c>
      <c r="K463" s="131">
        <f>165*B463</f>
        <v>0</v>
      </c>
      <c r="L463" s="132">
        <f t="shared" si="99"/>
        <v>0</v>
      </c>
      <c r="M463" s="1758">
        <v>0</v>
      </c>
      <c r="N463" s="1759"/>
    </row>
    <row r="464" spans="1:14">
      <c r="A464" s="32" t="s">
        <v>51</v>
      </c>
      <c r="B464" s="1421">
        <f>SAWC!N56</f>
        <v>0</v>
      </c>
      <c r="C464" s="1422"/>
      <c r="D464" s="1444">
        <f t="shared" si="98"/>
        <v>0</v>
      </c>
      <c r="E464" s="1422"/>
      <c r="F464" s="1449">
        <f>0.1227*B464</f>
        <v>0</v>
      </c>
      <c r="G464" s="1450"/>
      <c r="H464" s="957">
        <f>F464*20</f>
        <v>0</v>
      </c>
      <c r="I464" s="131">
        <v>0</v>
      </c>
      <c r="J464" s="131">
        <f>0*B464</f>
        <v>0</v>
      </c>
      <c r="K464" s="131">
        <f>400*B464</f>
        <v>0</v>
      </c>
      <c r="L464" s="132">
        <f t="shared" si="99"/>
        <v>0</v>
      </c>
      <c r="M464" s="1758">
        <v>0</v>
      </c>
      <c r="N464" s="1759"/>
    </row>
    <row r="465" spans="1:14">
      <c r="A465" s="34" t="s">
        <v>20</v>
      </c>
      <c r="B465" s="1421">
        <f>SAWC!N57</f>
        <v>0</v>
      </c>
      <c r="C465" s="1422"/>
      <c r="D465" s="1444">
        <f t="shared" si="98"/>
        <v>0</v>
      </c>
      <c r="E465" s="1422"/>
      <c r="F465" s="1449">
        <f>0.644*B465</f>
        <v>0</v>
      </c>
      <c r="G465" s="1450"/>
      <c r="H465" s="957">
        <f>F465*5</f>
        <v>0</v>
      </c>
      <c r="I465" s="131">
        <v>0</v>
      </c>
      <c r="J465" s="131">
        <f>43.75*B465</f>
        <v>0</v>
      </c>
      <c r="K465" s="131">
        <f>625*B465</f>
        <v>0</v>
      </c>
      <c r="L465" s="132">
        <f t="shared" si="99"/>
        <v>0</v>
      </c>
      <c r="M465" s="1758">
        <v>0</v>
      </c>
      <c r="N465" s="1759"/>
    </row>
    <row r="466" spans="1:14">
      <c r="A466" s="34" t="s">
        <v>13</v>
      </c>
      <c r="B466" s="1421">
        <f>SAWC!N58</f>
        <v>0</v>
      </c>
      <c r="C466" s="1422"/>
      <c r="D466" s="1444">
        <f t="shared" si="98"/>
        <v>0</v>
      </c>
      <c r="E466" s="1422"/>
      <c r="F466" s="1449">
        <f>0.0276*B466</f>
        <v>0</v>
      </c>
      <c r="G466" s="1450"/>
      <c r="H466" s="957">
        <f>F466*10</f>
        <v>0</v>
      </c>
      <c r="I466" s="131">
        <v>0</v>
      </c>
      <c r="J466" s="131">
        <f>100*B466</f>
        <v>0</v>
      </c>
      <c r="K466" s="131">
        <f>80*B466</f>
        <v>0</v>
      </c>
      <c r="L466" s="132">
        <f t="shared" si="99"/>
        <v>0</v>
      </c>
      <c r="M466" s="1758">
        <v>0</v>
      </c>
      <c r="N466" s="1759"/>
    </row>
    <row r="467" spans="1:14">
      <c r="A467" s="35" t="s">
        <v>47</v>
      </c>
      <c r="B467" s="1421">
        <f>SAWC!N59</f>
        <v>0</v>
      </c>
      <c r="C467" s="1422"/>
      <c r="D467" s="1444">
        <f t="shared" si="98"/>
        <v>0</v>
      </c>
      <c r="E467" s="1422"/>
      <c r="F467" s="1449">
        <f>0.1534*B467</f>
        <v>0</v>
      </c>
      <c r="G467" s="1450"/>
      <c r="H467" s="957">
        <f>F467*5</f>
        <v>0</v>
      </c>
      <c r="I467" s="131">
        <v>0</v>
      </c>
      <c r="J467" s="131">
        <f>0*B467</f>
        <v>0</v>
      </c>
      <c r="K467" s="131">
        <f>150*B467</f>
        <v>0</v>
      </c>
      <c r="L467" s="132">
        <f t="shared" si="99"/>
        <v>0</v>
      </c>
      <c r="M467" s="1758">
        <v>0</v>
      </c>
      <c r="N467" s="1759"/>
    </row>
    <row r="468" spans="1:14">
      <c r="A468" s="76" t="s">
        <v>30</v>
      </c>
      <c r="B468" s="1421">
        <f>SAWC!N60</f>
        <v>0</v>
      </c>
      <c r="C468" s="1422"/>
      <c r="D468" s="1444">
        <f t="shared" si="98"/>
        <v>0</v>
      </c>
      <c r="E468" s="1422"/>
      <c r="F468" s="1449">
        <f>0.325*B468</f>
        <v>0</v>
      </c>
      <c r="G468" s="1450"/>
      <c r="H468" s="957">
        <f>F468*10</f>
        <v>0</v>
      </c>
      <c r="I468" s="131">
        <v>0</v>
      </c>
      <c r="J468" s="131">
        <f>0*B468</f>
        <v>0</v>
      </c>
      <c r="K468" s="131">
        <f>669*B468</f>
        <v>0</v>
      </c>
      <c r="L468" s="132">
        <f t="shared" si="99"/>
        <v>0</v>
      </c>
      <c r="M468" s="1758">
        <v>0</v>
      </c>
      <c r="N468" s="1759"/>
    </row>
    <row r="469" spans="1:14">
      <c r="A469" s="33" t="s">
        <v>53</v>
      </c>
      <c r="B469" s="1421">
        <f>SAWC!N61</f>
        <v>0</v>
      </c>
      <c r="C469" s="1422"/>
      <c r="D469" s="1444">
        <f t="shared" si="98"/>
        <v>0</v>
      </c>
      <c r="E469" s="1422"/>
      <c r="F469" s="1449">
        <f>0.00014*B469</f>
        <v>0</v>
      </c>
      <c r="G469" s="1450"/>
      <c r="H469" s="957">
        <f>F469*10</f>
        <v>0</v>
      </c>
      <c r="I469" s="131">
        <v>0</v>
      </c>
      <c r="J469" s="131">
        <f>0.3*B469</f>
        <v>0</v>
      </c>
      <c r="K469" s="131">
        <f>0.3*B469</f>
        <v>0</v>
      </c>
      <c r="L469" s="132">
        <f t="shared" si="99"/>
        <v>0</v>
      </c>
      <c r="M469" s="1758">
        <v>0</v>
      </c>
      <c r="N469" s="1759"/>
    </row>
    <row r="470" spans="1:14">
      <c r="A470" s="33" t="s">
        <v>56</v>
      </c>
      <c r="B470" s="1421">
        <f>SAWC!N62</f>
        <v>0</v>
      </c>
      <c r="C470" s="1422"/>
      <c r="D470" s="1444">
        <f>F470*325851</f>
        <v>0</v>
      </c>
      <c r="E470" s="1422"/>
      <c r="F470" s="1449">
        <f>0.004*B470</f>
        <v>0</v>
      </c>
      <c r="G470" s="1450"/>
      <c r="H470" s="957">
        <f>F470*5</f>
        <v>0</v>
      </c>
      <c r="I470" s="131">
        <v>0</v>
      </c>
      <c r="J470" s="131">
        <f>0*B470</f>
        <v>0</v>
      </c>
      <c r="K470" s="131">
        <f>4*B470</f>
        <v>0</v>
      </c>
      <c r="L470" s="132">
        <f>SUM(I470:K470)</f>
        <v>0</v>
      </c>
      <c r="M470" s="1758">
        <v>0</v>
      </c>
      <c r="N470" s="1759"/>
    </row>
    <row r="471" spans="1:14">
      <c r="A471" s="76" t="s">
        <v>122</v>
      </c>
      <c r="B471" s="1421">
        <f>SAWC!N63</f>
        <v>0</v>
      </c>
      <c r="C471" s="1422"/>
      <c r="D471" s="1444">
        <f>F471*325851</f>
        <v>0</v>
      </c>
      <c r="E471" s="1422"/>
      <c r="F471" s="1449">
        <f>0.018*B471</f>
        <v>0</v>
      </c>
      <c r="G471" s="1450"/>
      <c r="H471" s="957">
        <f>F471*10</f>
        <v>0</v>
      </c>
      <c r="I471" s="131">
        <v>0</v>
      </c>
      <c r="J471" s="131">
        <f>0*B471</f>
        <v>0</v>
      </c>
      <c r="K471" s="131">
        <f>13*B471</f>
        <v>0</v>
      </c>
      <c r="L471" s="132">
        <f>SUM(I471:K471)</f>
        <v>0</v>
      </c>
      <c r="M471" s="1758">
        <v>0</v>
      </c>
      <c r="N471" s="1759"/>
    </row>
    <row r="472" spans="1:14" ht="14" thickBot="1">
      <c r="A472" s="33" t="s">
        <v>102</v>
      </c>
      <c r="B472" s="1421">
        <f>SAWC!N64</f>
        <v>0</v>
      </c>
      <c r="C472" s="1422"/>
      <c r="D472" s="1444">
        <f>F472*325851</f>
        <v>0</v>
      </c>
      <c r="E472" s="1422"/>
      <c r="F472" s="1886">
        <f>0.153*B472</f>
        <v>0</v>
      </c>
      <c r="G472" s="1887"/>
      <c r="H472" s="957">
        <f>F472*5</f>
        <v>0</v>
      </c>
      <c r="I472" s="131">
        <v>0</v>
      </c>
      <c r="J472" s="131">
        <f>0*B472</f>
        <v>0</v>
      </c>
      <c r="K472" s="131">
        <f>60*B472</f>
        <v>0</v>
      </c>
      <c r="L472" s="132">
        <f>SUM(I472:K472)</f>
        <v>0</v>
      </c>
      <c r="M472" s="1758">
        <v>0</v>
      </c>
      <c r="N472" s="1759"/>
    </row>
    <row r="473" spans="1:14" ht="14" thickBot="1">
      <c r="A473" s="53" t="s">
        <v>60</v>
      </c>
      <c r="B473" s="1438">
        <f>SUM(B461:C472)</f>
        <v>0</v>
      </c>
      <c r="C473" s="1609"/>
      <c r="D473" s="1440">
        <f>SUM(D461:E472)</f>
        <v>0</v>
      </c>
      <c r="E473" s="1609"/>
      <c r="F473" s="1440">
        <f>SUM(F461:G472)</f>
        <v>0</v>
      </c>
      <c r="G473" s="1439"/>
      <c r="H473" s="482">
        <f>SUM(H461:H472)</f>
        <v>0</v>
      </c>
      <c r="I473" s="136">
        <f>SUM(I461:I472)</f>
        <v>0</v>
      </c>
      <c r="J473" s="143">
        <f>SUM(J461:J472)</f>
        <v>0</v>
      </c>
      <c r="K473" s="143">
        <f>SUM(K461:K472)</f>
        <v>0</v>
      </c>
      <c r="L473" s="136">
        <f>SUM(L461:L472)</f>
        <v>0</v>
      </c>
      <c r="M473" s="1610"/>
      <c r="N473" s="1611"/>
    </row>
    <row r="474" spans="1:14" s="1168" customFormat="1" ht="17" thickBot="1">
      <c r="A474" s="110" t="s">
        <v>54</v>
      </c>
      <c r="B474" s="1456"/>
      <c r="C474" s="1913"/>
      <c r="D474" s="1148"/>
      <c r="E474" s="1142"/>
      <c r="F474" s="1141"/>
      <c r="G474" s="1142"/>
      <c r="H474" s="1142"/>
      <c r="I474" s="161"/>
      <c r="J474" s="161"/>
      <c r="K474" s="161"/>
      <c r="L474" s="162"/>
      <c r="M474" s="1154"/>
      <c r="N474" s="1155"/>
    </row>
    <row r="475" spans="1:14" s="91" customFormat="1" ht="16">
      <c r="A475" s="1" t="s">
        <v>29</v>
      </c>
      <c r="B475" s="1731">
        <f>SAWC!N67</f>
        <v>0</v>
      </c>
      <c r="C475" s="2121"/>
      <c r="D475" s="1431">
        <f t="shared" ref="D475:D480" si="100">F475*325851</f>
        <v>0</v>
      </c>
      <c r="E475" s="1422"/>
      <c r="F475" s="1871">
        <f>0.0425*B475</f>
        <v>0</v>
      </c>
      <c r="G475" s="1450"/>
      <c r="H475" s="957">
        <f>F475*20</f>
        <v>0</v>
      </c>
      <c r="I475" s="131">
        <v>0</v>
      </c>
      <c r="J475" s="131">
        <f>35.66*B475</f>
        <v>0</v>
      </c>
      <c r="K475" s="131">
        <f>630*B475</f>
        <v>0</v>
      </c>
      <c r="L475" s="132">
        <f t="shared" ref="L475:L480" si="101">SUM(I475:K475)</f>
        <v>0</v>
      </c>
      <c r="M475" s="1758">
        <v>0</v>
      </c>
      <c r="N475" s="1759"/>
    </row>
    <row r="476" spans="1:14">
      <c r="A476" s="2" t="s">
        <v>51</v>
      </c>
      <c r="B476" s="1421">
        <f>SAWC!N68</f>
        <v>0</v>
      </c>
      <c r="C476" s="1422"/>
      <c r="D476" s="1431">
        <f t="shared" si="100"/>
        <v>0</v>
      </c>
      <c r="E476" s="1422"/>
      <c r="F476" s="1871">
        <f>0.1227*B476</f>
        <v>0</v>
      </c>
      <c r="G476" s="1450"/>
      <c r="H476" s="957">
        <f>F476*20</f>
        <v>0</v>
      </c>
      <c r="I476" s="131">
        <v>0</v>
      </c>
      <c r="J476" s="131">
        <f>0*B476</f>
        <v>0</v>
      </c>
      <c r="K476" s="131">
        <f>1225*B476</f>
        <v>0</v>
      </c>
      <c r="L476" s="132">
        <f t="shared" si="101"/>
        <v>0</v>
      </c>
      <c r="M476" s="1758">
        <v>0</v>
      </c>
      <c r="N476" s="1759"/>
    </row>
    <row r="477" spans="1:14">
      <c r="A477" s="2" t="s">
        <v>15</v>
      </c>
      <c r="B477" s="1421">
        <f>SAWC!N69</f>
        <v>0</v>
      </c>
      <c r="C477" s="1422"/>
      <c r="D477" s="1431">
        <f t="shared" si="100"/>
        <v>0</v>
      </c>
      <c r="E477" s="1422"/>
      <c r="F477" s="1871">
        <f>0.1534*B477</f>
        <v>0</v>
      </c>
      <c r="G477" s="1450"/>
      <c r="H477" s="957">
        <f>F477*5</f>
        <v>0</v>
      </c>
      <c r="I477" s="131">
        <v>0</v>
      </c>
      <c r="J477" s="131">
        <f>0*B477</f>
        <v>0</v>
      </c>
      <c r="K477" s="131">
        <f>380*B477</f>
        <v>0</v>
      </c>
      <c r="L477" s="132">
        <f t="shared" si="101"/>
        <v>0</v>
      </c>
      <c r="M477" s="1758">
        <v>0</v>
      </c>
      <c r="N477" s="1759"/>
    </row>
    <row r="478" spans="1:14">
      <c r="A478" s="2" t="s">
        <v>30</v>
      </c>
      <c r="B478" s="1421">
        <f>SAWC!N70</f>
        <v>0</v>
      </c>
      <c r="C478" s="1422"/>
      <c r="D478" s="1431">
        <f t="shared" si="100"/>
        <v>0</v>
      </c>
      <c r="E478" s="1422"/>
      <c r="F478" s="1871">
        <f>0.466*B478</f>
        <v>0</v>
      </c>
      <c r="G478" s="1450"/>
      <c r="H478" s="957">
        <f>F478*10</f>
        <v>0</v>
      </c>
      <c r="I478" s="131">
        <v>0</v>
      </c>
      <c r="J478" s="131">
        <f>0*B478</f>
        <v>0</v>
      </c>
      <c r="K478" s="131">
        <f>1004*B478</f>
        <v>0</v>
      </c>
      <c r="L478" s="132">
        <f t="shared" si="101"/>
        <v>0</v>
      </c>
      <c r="M478" s="1758">
        <v>0</v>
      </c>
      <c r="N478" s="1759"/>
    </row>
    <row r="479" spans="1:14">
      <c r="A479" s="2" t="s">
        <v>55</v>
      </c>
      <c r="B479" s="1421">
        <f>SAWC!N71</f>
        <v>0</v>
      </c>
      <c r="C479" s="1422"/>
      <c r="D479" s="1431">
        <f t="shared" si="100"/>
        <v>0</v>
      </c>
      <c r="E479" s="1422"/>
      <c r="F479" s="1876">
        <f>0.992*B479</f>
        <v>0</v>
      </c>
      <c r="G479" s="1877"/>
      <c r="H479" s="957">
        <f>F479*10</f>
        <v>0</v>
      </c>
      <c r="I479" s="131">
        <v>0</v>
      </c>
      <c r="J479" s="131">
        <f>0*B479</f>
        <v>0</v>
      </c>
      <c r="K479" s="131">
        <f>3124*B479</f>
        <v>0</v>
      </c>
      <c r="L479" s="132">
        <f t="shared" si="101"/>
        <v>0</v>
      </c>
      <c r="M479" s="1758">
        <v>0</v>
      </c>
      <c r="N479" s="1759"/>
    </row>
    <row r="480" spans="1:14" ht="14" thickBot="1">
      <c r="A480" s="688" t="s">
        <v>53</v>
      </c>
      <c r="B480" s="1421">
        <f>SAWC!N72</f>
        <v>0</v>
      </c>
      <c r="C480" s="1422"/>
      <c r="D480" s="1431">
        <f t="shared" si="100"/>
        <v>0</v>
      </c>
      <c r="E480" s="1422"/>
      <c r="F480" s="1871">
        <f>0.00014*B480</f>
        <v>0</v>
      </c>
      <c r="G480" s="1450"/>
      <c r="H480" s="957">
        <f>F480*10</f>
        <v>0</v>
      </c>
      <c r="I480" s="131">
        <v>0</v>
      </c>
      <c r="J480" s="131">
        <f>0.3*B480</f>
        <v>0</v>
      </c>
      <c r="K480" s="131">
        <f>0.3*B480</f>
        <v>0</v>
      </c>
      <c r="L480" s="132">
        <f t="shared" si="101"/>
        <v>0</v>
      </c>
      <c r="M480" s="1758">
        <v>0</v>
      </c>
      <c r="N480" s="1759"/>
    </row>
    <row r="481" spans="1:14" ht="14" thickBot="1">
      <c r="A481" s="256" t="s">
        <v>60</v>
      </c>
      <c r="B481" s="1438">
        <f>SUM(B475:C480)</f>
        <v>0</v>
      </c>
      <c r="C481" s="1621"/>
      <c r="D481" s="1441">
        <f>SUM(D475:E480)</f>
        <v>0</v>
      </c>
      <c r="E481" s="1621"/>
      <c r="F481" s="1441">
        <f>SUM(F475:G480)</f>
        <v>0</v>
      </c>
      <c r="G481" s="1439"/>
      <c r="H481" s="619">
        <f>SUM(H475:H480)</f>
        <v>0</v>
      </c>
      <c r="I481" s="136">
        <f>SUM(I475:I480)</f>
        <v>0</v>
      </c>
      <c r="J481" s="136">
        <f>SUM(J475:J480)</f>
        <v>0</v>
      </c>
      <c r="K481" s="136">
        <f>SUM(K475:K480)</f>
        <v>0</v>
      </c>
      <c r="L481" s="136">
        <f>SUM(L475:L480)</f>
        <v>0</v>
      </c>
      <c r="M481" s="1610"/>
      <c r="N481" s="1611"/>
    </row>
    <row r="482" spans="1:14" s="1168" customFormat="1" ht="17" thickBot="1">
      <c r="A482" s="1182" t="s">
        <v>17</v>
      </c>
      <c r="B482" s="1416">
        <f>SUM(B456+B459+B473+B481)</f>
        <v>15</v>
      </c>
      <c r="C482" s="1415"/>
      <c r="D482" s="1416">
        <f>SUM(D456+D459+D473+D481)</f>
        <v>318030.576</v>
      </c>
      <c r="E482" s="1415"/>
      <c r="F482" s="1416">
        <f>SUM(F456+F459+F473+F481)</f>
        <v>0.97599999999999998</v>
      </c>
      <c r="G482" s="1415"/>
      <c r="H482" s="1164">
        <f>SUM(H456+H459+H473+H481)</f>
        <v>11.851999999999999</v>
      </c>
      <c r="I482" s="1169">
        <f>SUM(I456+I459+I473+I481)</f>
        <v>0</v>
      </c>
      <c r="J482" s="1169">
        <f>SUM(J456+J459+J473+J481)</f>
        <v>6252</v>
      </c>
      <c r="K482" s="1169">
        <f>SUM(K456+K459+K473+K481)</f>
        <v>1572</v>
      </c>
      <c r="L482" s="1169">
        <f>SUM(L456+L459+L473+L481)</f>
        <v>7824</v>
      </c>
      <c r="M482" s="1631"/>
      <c r="N482" s="1640"/>
    </row>
    <row r="483" spans="1:14" ht="16">
      <c r="A483" s="60"/>
      <c r="B483" s="61"/>
      <c r="C483" s="61"/>
      <c r="D483" s="61"/>
      <c r="E483" s="61"/>
      <c r="F483" s="61"/>
      <c r="G483" s="61"/>
      <c r="H483" s="62"/>
      <c r="I483" s="62"/>
      <c r="J483" s="62"/>
      <c r="K483" s="62"/>
      <c r="L483" s="62"/>
      <c r="M483" s="64"/>
      <c r="N483" s="65"/>
    </row>
    <row r="484" spans="1:14" ht="16">
      <c r="A484" s="9" t="s">
        <v>18</v>
      </c>
      <c r="B484" s="1419" t="s">
        <v>59</v>
      </c>
      <c r="C484" s="1419"/>
      <c r="D484" s="1419"/>
      <c r="E484" s="1419"/>
      <c r="F484" s="61"/>
      <c r="G484" s="61"/>
      <c r="H484" s="62"/>
      <c r="I484" s="62"/>
      <c r="J484" s="62"/>
      <c r="K484" s="62"/>
      <c r="L484" s="62"/>
      <c r="M484" s="64"/>
      <c r="N484" s="65"/>
    </row>
    <row r="485" spans="1:14" ht="16">
      <c r="A485" s="57"/>
      <c r="B485" s="1420" t="s">
        <v>19</v>
      </c>
      <c r="C485" s="1420"/>
      <c r="D485" s="1420"/>
      <c r="E485" s="1420"/>
      <c r="F485" s="61"/>
      <c r="G485" s="61"/>
      <c r="H485" s="62"/>
      <c r="I485" s="62"/>
      <c r="J485" s="62"/>
      <c r="K485" s="62"/>
      <c r="L485" s="62"/>
      <c r="M485" s="64"/>
      <c r="N485" s="65"/>
    </row>
    <row r="486" spans="1:14" ht="17" thickBot="1">
      <c r="A486" s="985"/>
      <c r="B486" s="943"/>
      <c r="C486" s="943"/>
      <c r="D486" s="943"/>
      <c r="E486" s="943"/>
      <c r="F486" s="61"/>
      <c r="G486" s="61"/>
      <c r="H486" s="62"/>
      <c r="I486" s="62"/>
      <c r="J486" s="62"/>
      <c r="K486" s="62"/>
      <c r="L486" s="62"/>
      <c r="M486" s="64"/>
      <c r="N486" s="65"/>
    </row>
    <row r="487" spans="1:14" s="363" customFormat="1" ht="16">
      <c r="A487" s="98"/>
      <c r="B487" s="99"/>
      <c r="C487" s="99"/>
      <c r="D487" s="99"/>
      <c r="E487" s="99"/>
      <c r="F487" s="100"/>
      <c r="G487" s="100"/>
      <c r="H487" s="100"/>
      <c r="I487" s="1468" t="s">
        <v>0</v>
      </c>
      <c r="J487" s="1468"/>
      <c r="K487" s="1468"/>
      <c r="L487" s="1468"/>
      <c r="M487" s="99"/>
      <c r="N487" s="101"/>
    </row>
    <row r="488" spans="1:14" ht="16">
      <c r="A488" s="97"/>
      <c r="B488" s="1469" t="s">
        <v>1</v>
      </c>
      <c r="C488" s="1469"/>
      <c r="D488" s="1469" t="s">
        <v>2</v>
      </c>
      <c r="E488" s="1469"/>
      <c r="F488" s="1863" t="s">
        <v>3</v>
      </c>
      <c r="G488" s="1863"/>
      <c r="H488" s="952" t="s">
        <v>3</v>
      </c>
      <c r="I488" s="127" t="s">
        <v>195</v>
      </c>
      <c r="J488" s="102"/>
      <c r="K488" s="102"/>
      <c r="L488" s="128"/>
      <c r="M488" s="1469" t="s">
        <v>4</v>
      </c>
      <c r="N488" s="1526"/>
    </row>
    <row r="489" spans="1:14" ht="19" thickBot="1">
      <c r="A489" s="103" t="s">
        <v>5</v>
      </c>
      <c r="B489" s="1473" t="s">
        <v>6</v>
      </c>
      <c r="C489" s="1473"/>
      <c r="D489" s="1473" t="s">
        <v>7</v>
      </c>
      <c r="E489" s="1473"/>
      <c r="F489" s="1864" t="s">
        <v>7</v>
      </c>
      <c r="G489" s="1864"/>
      <c r="H489" s="953" t="s">
        <v>58</v>
      </c>
      <c r="I489" s="937" t="s">
        <v>196</v>
      </c>
      <c r="J489" s="932" t="s">
        <v>8</v>
      </c>
      <c r="K489" s="932" t="s">
        <v>9</v>
      </c>
      <c r="L489" s="401" t="s">
        <v>10</v>
      </c>
      <c r="M489" s="1473" t="s">
        <v>145</v>
      </c>
      <c r="N489" s="1475"/>
    </row>
    <row r="490" spans="1:14" ht="24" thickBot="1">
      <c r="A490" s="88" t="s">
        <v>132</v>
      </c>
      <c r="B490" s="1764"/>
      <c r="C490" s="1477"/>
      <c r="D490" s="1478"/>
      <c r="E490" s="1479"/>
      <c r="F490" s="1878"/>
      <c r="G490" s="1879"/>
      <c r="H490" s="954"/>
      <c r="I490" s="7"/>
      <c r="J490" s="7"/>
      <c r="K490" s="7"/>
      <c r="L490" s="8"/>
      <c r="M490" s="1764"/>
      <c r="N490" s="1765"/>
    </row>
    <row r="491" spans="1:14" s="1161" customFormat="1" ht="12.75" customHeight="1" thickBot="1">
      <c r="A491" s="108" t="s">
        <v>48</v>
      </c>
      <c r="B491" s="1567"/>
      <c r="C491" s="1586"/>
      <c r="D491" s="1567"/>
      <c r="E491" s="1586"/>
      <c r="F491" s="1619"/>
      <c r="G491" s="1620"/>
      <c r="H491" s="1157"/>
      <c r="I491" s="109"/>
      <c r="J491" s="109"/>
      <c r="K491" s="109"/>
      <c r="L491" s="1141"/>
      <c r="M491" s="1617"/>
      <c r="N491" s="1486"/>
    </row>
    <row r="492" spans="1:14">
      <c r="A492" s="32" t="s">
        <v>28</v>
      </c>
      <c r="B492" s="1431">
        <f>SAWC!N6</f>
        <v>4</v>
      </c>
      <c r="C492" s="1422"/>
      <c r="D492" s="1431">
        <f t="shared" ref="D492:D498" si="102">F492*325851</f>
        <v>49399.011600000005</v>
      </c>
      <c r="E492" s="1422"/>
      <c r="F492" s="1871">
        <f>0.0379*B492</f>
        <v>0.15160000000000001</v>
      </c>
      <c r="G492" s="1450"/>
      <c r="H492" s="957">
        <f>F492*20</f>
        <v>3.032</v>
      </c>
      <c r="I492" s="131">
        <v>0</v>
      </c>
      <c r="J492" s="131">
        <f>0*B492</f>
        <v>0</v>
      </c>
      <c r="K492" s="131">
        <f>60*B492</f>
        <v>240</v>
      </c>
      <c r="L492" s="132">
        <f t="shared" ref="L492:L497" si="103">I492+J492+K492</f>
        <v>240</v>
      </c>
      <c r="M492" s="1758">
        <f t="shared" ref="M492:M498" si="104">L492/(F492*427)</f>
        <v>3.7075256591671657</v>
      </c>
      <c r="N492" s="1759"/>
    </row>
    <row r="493" spans="1:14">
      <c r="A493" s="32" t="s">
        <v>29</v>
      </c>
      <c r="B493" s="1431">
        <f>SAWC!N7</f>
        <v>1</v>
      </c>
      <c r="C493" s="1422"/>
      <c r="D493" s="1431">
        <f t="shared" si="102"/>
        <v>13848.667500000001</v>
      </c>
      <c r="E493" s="1422"/>
      <c r="F493" s="1871">
        <f>0.0425*B493</f>
        <v>4.2500000000000003E-2</v>
      </c>
      <c r="G493" s="1450"/>
      <c r="H493" s="957">
        <f>F493*20</f>
        <v>0.85000000000000009</v>
      </c>
      <c r="I493" s="131">
        <v>0</v>
      </c>
      <c r="J493" s="131">
        <f>0*B493</f>
        <v>0</v>
      </c>
      <c r="K493" s="131">
        <f>B493*165</f>
        <v>165</v>
      </c>
      <c r="L493" s="132">
        <f t="shared" si="103"/>
        <v>165</v>
      </c>
      <c r="M493" s="1758">
        <f t="shared" si="104"/>
        <v>9.0921614547458329</v>
      </c>
      <c r="N493" s="1759"/>
    </row>
    <row r="494" spans="1:14">
      <c r="A494" s="32" t="s">
        <v>33</v>
      </c>
      <c r="B494" s="1431">
        <f>SAWC!N8</f>
        <v>24</v>
      </c>
      <c r="C494" s="1422"/>
      <c r="D494" s="1431">
        <f t="shared" si="102"/>
        <v>215843.70240000001</v>
      </c>
      <c r="E494" s="1422"/>
      <c r="F494" s="1871">
        <f>0.0276*B494</f>
        <v>0.66239999999999999</v>
      </c>
      <c r="G494" s="1450"/>
      <c r="H494" s="957">
        <f>F494*15</f>
        <v>9.9359999999999999</v>
      </c>
      <c r="I494" s="131">
        <f>0*B494</f>
        <v>0</v>
      </c>
      <c r="J494" s="131">
        <f>0*B494</f>
        <v>0</v>
      </c>
      <c r="K494" s="131">
        <f>B494*110</f>
        <v>2640</v>
      </c>
      <c r="L494" s="132">
        <f t="shared" si="103"/>
        <v>2640</v>
      </c>
      <c r="M494" s="1758">
        <f t="shared" si="104"/>
        <v>9.3337406238332825</v>
      </c>
      <c r="N494" s="1759"/>
    </row>
    <row r="495" spans="1:14">
      <c r="A495" s="32" t="s">
        <v>56</v>
      </c>
      <c r="B495" s="1431">
        <f>SAWC!N9</f>
        <v>19</v>
      </c>
      <c r="C495" s="1422"/>
      <c r="D495" s="1431">
        <f>F495*325851</f>
        <v>24764.675999999999</v>
      </c>
      <c r="E495" s="1422"/>
      <c r="F495" s="1871">
        <f>0.004*B495</f>
        <v>7.5999999999999998E-2</v>
      </c>
      <c r="G495" s="1450"/>
      <c r="H495" s="957">
        <f>F495*5</f>
        <v>0.38</v>
      </c>
      <c r="I495" s="131">
        <f>0*B495</f>
        <v>0</v>
      </c>
      <c r="J495" s="131">
        <f>0*B495</f>
        <v>0</v>
      </c>
      <c r="K495" s="131">
        <f>B495*4</f>
        <v>76</v>
      </c>
      <c r="L495" s="132">
        <f>I495+J495+K495</f>
        <v>76</v>
      </c>
      <c r="M495" s="1758">
        <f>L495/(F495*427)</f>
        <v>2.3419203747072599</v>
      </c>
      <c r="N495" s="1759"/>
    </row>
    <row r="496" spans="1:14">
      <c r="A496" s="78" t="s">
        <v>30</v>
      </c>
      <c r="B496" s="1431">
        <f>SAWC!N10</f>
        <v>3</v>
      </c>
      <c r="C496" s="1422"/>
      <c r="D496" s="1444">
        <f t="shared" si="102"/>
        <v>317704.72500000003</v>
      </c>
      <c r="E496" s="1422"/>
      <c r="F496" s="1871">
        <f>0.325*B496</f>
        <v>0.97500000000000009</v>
      </c>
      <c r="G496" s="1450"/>
      <c r="H496" s="957">
        <f>F496*10</f>
        <v>9.75</v>
      </c>
      <c r="I496" s="131">
        <v>0</v>
      </c>
      <c r="J496" s="131">
        <f>160*B496</f>
        <v>480</v>
      </c>
      <c r="K496" s="131">
        <f>B496*80</f>
        <v>240</v>
      </c>
      <c r="L496" s="132">
        <f t="shared" si="103"/>
        <v>720</v>
      </c>
      <c r="M496" s="1758">
        <f t="shared" si="104"/>
        <v>1.7294181228607457</v>
      </c>
      <c r="N496" s="1759"/>
    </row>
    <row r="497" spans="1:14">
      <c r="A497" s="33" t="s">
        <v>57</v>
      </c>
      <c r="B497" s="1431">
        <f>SAWC!N11</f>
        <v>0</v>
      </c>
      <c r="C497" s="1422"/>
      <c r="D497" s="1444">
        <f t="shared" si="102"/>
        <v>0</v>
      </c>
      <c r="E497" s="1422"/>
      <c r="F497" s="1876">
        <f>0.00014*B497</f>
        <v>0</v>
      </c>
      <c r="G497" s="1877"/>
      <c r="H497" s="957">
        <f>F497*10</f>
        <v>0</v>
      </c>
      <c r="I497" s="131">
        <v>0</v>
      </c>
      <c r="J497" s="131">
        <f>2*B497</f>
        <v>0</v>
      </c>
      <c r="K497" s="131">
        <f>B497*0</f>
        <v>0</v>
      </c>
      <c r="L497" s="132">
        <f t="shared" si="103"/>
        <v>0</v>
      </c>
      <c r="M497" s="1758">
        <v>0</v>
      </c>
      <c r="N497" s="1759"/>
    </row>
    <row r="498" spans="1:14" ht="14" thickBot="1">
      <c r="A498" s="33" t="s">
        <v>98</v>
      </c>
      <c r="B498" s="1431">
        <f>SAWC!N12</f>
        <v>2</v>
      </c>
      <c r="C498" s="1422"/>
      <c r="D498" s="1444">
        <f t="shared" si="102"/>
        <v>162358.51926</v>
      </c>
      <c r="E498" s="1422"/>
      <c r="F498" s="1449">
        <f>0.00014*3559</f>
        <v>0.49825999999999998</v>
      </c>
      <c r="G498" s="1450"/>
      <c r="H498" s="957">
        <f>F498*10</f>
        <v>4.9825999999999997</v>
      </c>
      <c r="I498" s="131">
        <v>0</v>
      </c>
      <c r="J498" s="131">
        <f>0.3*3559</f>
        <v>1067.7</v>
      </c>
      <c r="K498" s="131">
        <f>3559*0.3</f>
        <v>1067.7</v>
      </c>
      <c r="L498" s="132">
        <f>I498+J498+K498</f>
        <v>2135.4</v>
      </c>
      <c r="M498" s="1758">
        <f t="shared" si="104"/>
        <v>10.036801605888257</v>
      </c>
      <c r="N498" s="1759"/>
    </row>
    <row r="499" spans="1:14" s="91" customFormat="1" ht="17" thickBot="1">
      <c r="A499" s="53" t="s">
        <v>60</v>
      </c>
      <c r="B499" s="1438">
        <f>SUM(B492:C498)</f>
        <v>53</v>
      </c>
      <c r="C499" s="1609"/>
      <c r="D499" s="1440">
        <f>SUM(D492:E498)</f>
        <v>783919.30175999994</v>
      </c>
      <c r="E499" s="1609"/>
      <c r="F499" s="1440">
        <f>SUM(F492:G498)</f>
        <v>2.4057600000000003</v>
      </c>
      <c r="G499" s="1439"/>
      <c r="H499" s="707">
        <f>SUM(H492:H498)</f>
        <v>28.930599999999998</v>
      </c>
      <c r="I499" s="143">
        <f>SUM(I492:I498)</f>
        <v>0</v>
      </c>
      <c r="J499" s="143">
        <f>SUM(J492:J498)</f>
        <v>1547.7</v>
      </c>
      <c r="K499" s="143">
        <f>SUM(K492:K498)</f>
        <v>4428.7</v>
      </c>
      <c r="L499" s="152">
        <f>SUM(L492:L498)</f>
        <v>5976.4</v>
      </c>
      <c r="M499" s="1657"/>
      <c r="N499" s="1622"/>
    </row>
    <row r="500" spans="1:14" s="1168" customFormat="1" ht="17" thickBot="1">
      <c r="A500" s="1244" t="s">
        <v>147</v>
      </c>
      <c r="B500" s="1567"/>
      <c r="C500" s="1586"/>
      <c r="D500" s="1457"/>
      <c r="E500" s="1586"/>
      <c r="F500" s="1457"/>
      <c r="G500" s="1586"/>
      <c r="H500" s="1142"/>
      <c r="I500" s="161"/>
      <c r="J500" s="161"/>
      <c r="K500" s="161"/>
      <c r="L500" s="162"/>
      <c r="M500" s="1617"/>
      <c r="N500" s="1486"/>
    </row>
    <row r="501" spans="1:14" ht="14" thickBot="1">
      <c r="A501" s="76" t="s">
        <v>147</v>
      </c>
      <c r="B501" s="1431">
        <f>SAWC!N15</f>
        <v>0</v>
      </c>
      <c r="C501" s="1422"/>
      <c r="D501" s="1444">
        <f>F501*325851</f>
        <v>0</v>
      </c>
      <c r="E501" s="1422"/>
      <c r="F501" s="1449">
        <f>0.0379*B501</f>
        <v>0</v>
      </c>
      <c r="G501" s="1450"/>
      <c r="H501" s="957">
        <f>F501*10</f>
        <v>0</v>
      </c>
      <c r="I501" s="131">
        <f>73.34*B501</f>
        <v>0</v>
      </c>
      <c r="J501" s="131">
        <f>35.66*B501</f>
        <v>0</v>
      </c>
      <c r="K501" s="131">
        <f>B501*60</f>
        <v>0</v>
      </c>
      <c r="L501" s="132">
        <f>I501+J501+K501</f>
        <v>0</v>
      </c>
      <c r="M501" s="1758">
        <v>0</v>
      </c>
      <c r="N501" s="1759"/>
    </row>
    <row r="502" spans="1:14" s="91" customFormat="1" ht="17" thickBot="1">
      <c r="A502" s="53" t="s">
        <v>60</v>
      </c>
      <c r="B502" s="1438">
        <f>SUM(B501)</f>
        <v>0</v>
      </c>
      <c r="C502" s="1609"/>
      <c r="D502" s="1440">
        <f>SUM(D501)</f>
        <v>0</v>
      </c>
      <c r="E502" s="1609"/>
      <c r="F502" s="1440">
        <f>SUM(F501)</f>
        <v>0</v>
      </c>
      <c r="G502" s="1439"/>
      <c r="H502" s="707">
        <f>SUM(H501)</f>
        <v>0</v>
      </c>
      <c r="I502" s="136">
        <f>SUM(I501)</f>
        <v>0</v>
      </c>
      <c r="J502" s="136">
        <f>SUM(J501)</f>
        <v>0</v>
      </c>
      <c r="K502" s="136">
        <f>SUM(K501)</f>
        <v>0</v>
      </c>
      <c r="L502" s="136">
        <f>SUM(L501)</f>
        <v>0</v>
      </c>
      <c r="M502" s="1657"/>
      <c r="N502" s="1622"/>
    </row>
    <row r="503" spans="1:14" s="1168" customFormat="1" ht="17" thickBot="1">
      <c r="A503" s="108" t="s">
        <v>50</v>
      </c>
      <c r="B503" s="1567"/>
      <c r="C503" s="1586"/>
      <c r="D503" s="1457"/>
      <c r="E503" s="1586"/>
      <c r="F503" s="1854"/>
      <c r="G503" s="1913"/>
      <c r="H503" s="1150"/>
      <c r="I503" s="161"/>
      <c r="J503" s="161"/>
      <c r="K503" s="161"/>
      <c r="L503" s="162"/>
      <c r="M503" s="1617"/>
      <c r="N503" s="1486"/>
    </row>
    <row r="504" spans="1:14">
      <c r="A504" s="34" t="s">
        <v>26</v>
      </c>
      <c r="B504" s="1431">
        <f>SAWC!N18</f>
        <v>0</v>
      </c>
      <c r="C504" s="1422"/>
      <c r="D504" s="1444">
        <f t="shared" ref="D504:D512" si="105">F504*325851</f>
        <v>0</v>
      </c>
      <c r="E504" s="1422"/>
      <c r="F504" s="1449">
        <f>0.0379*B504</f>
        <v>0</v>
      </c>
      <c r="G504" s="1450"/>
      <c r="H504" s="957">
        <f>F504*20</f>
        <v>0</v>
      </c>
      <c r="I504" s="131">
        <v>0</v>
      </c>
      <c r="J504" s="131">
        <f>35.66*B504</f>
        <v>0</v>
      </c>
      <c r="K504" s="131">
        <f>135*B504</f>
        <v>0</v>
      </c>
      <c r="L504" s="132">
        <f>SUM(I504:K504)</f>
        <v>0</v>
      </c>
      <c r="M504" s="1758">
        <v>0</v>
      </c>
      <c r="N504" s="1759"/>
    </row>
    <row r="505" spans="1:14">
      <c r="A505" s="34" t="s">
        <v>25</v>
      </c>
      <c r="B505" s="1431">
        <f>SAWC!N19</f>
        <v>0</v>
      </c>
      <c r="C505" s="1422"/>
      <c r="D505" s="1444">
        <f t="shared" si="105"/>
        <v>0</v>
      </c>
      <c r="E505" s="1422"/>
      <c r="F505" s="1449">
        <f>0.0379*B505</f>
        <v>0</v>
      </c>
      <c r="G505" s="1450"/>
      <c r="H505" s="957">
        <f>F505*20</f>
        <v>0</v>
      </c>
      <c r="I505" s="131">
        <v>0</v>
      </c>
      <c r="J505" s="131">
        <f>0*B505</f>
        <v>0</v>
      </c>
      <c r="K505" s="131">
        <f>135*B505</f>
        <v>0</v>
      </c>
      <c r="L505" s="132">
        <f t="shared" ref="L505:L520" si="106">SUM(I505:K505)</f>
        <v>0</v>
      </c>
      <c r="M505" s="1758">
        <v>0</v>
      </c>
      <c r="N505" s="1759"/>
    </row>
    <row r="506" spans="1:14">
      <c r="A506" s="32" t="s">
        <v>29</v>
      </c>
      <c r="B506" s="1431">
        <f>SAWC!N20</f>
        <v>0</v>
      </c>
      <c r="C506" s="1422"/>
      <c r="D506" s="1444">
        <f t="shared" si="105"/>
        <v>0</v>
      </c>
      <c r="E506" s="1422"/>
      <c r="F506" s="1449">
        <f>0.0425*B506</f>
        <v>0</v>
      </c>
      <c r="G506" s="1450"/>
      <c r="H506" s="957">
        <f>F506*20</f>
        <v>0</v>
      </c>
      <c r="I506" s="131">
        <v>0</v>
      </c>
      <c r="J506" s="131">
        <f>135*B506</f>
        <v>0</v>
      </c>
      <c r="K506" s="131">
        <f>165*B506</f>
        <v>0</v>
      </c>
      <c r="L506" s="132">
        <f t="shared" si="106"/>
        <v>0</v>
      </c>
      <c r="M506" s="1758">
        <v>0</v>
      </c>
      <c r="N506" s="1759"/>
    </row>
    <row r="507" spans="1:14">
      <c r="A507" s="32" t="s">
        <v>51</v>
      </c>
      <c r="B507" s="1431">
        <f>SAWC!N21</f>
        <v>0</v>
      </c>
      <c r="C507" s="1422"/>
      <c r="D507" s="1444">
        <f t="shared" si="105"/>
        <v>0</v>
      </c>
      <c r="E507" s="1422"/>
      <c r="F507" s="1449">
        <f>0.1227*B507</f>
        <v>0</v>
      </c>
      <c r="G507" s="1450"/>
      <c r="H507" s="957">
        <f>F507*20</f>
        <v>0</v>
      </c>
      <c r="I507" s="131">
        <v>0</v>
      </c>
      <c r="J507" s="131">
        <f>0*B507</f>
        <v>0</v>
      </c>
      <c r="K507" s="131">
        <f>400*B507</f>
        <v>0</v>
      </c>
      <c r="L507" s="132">
        <f t="shared" si="106"/>
        <v>0</v>
      </c>
      <c r="M507" s="1758">
        <v>0</v>
      </c>
      <c r="N507" s="1759"/>
    </row>
    <row r="508" spans="1:14">
      <c r="A508" s="34" t="s">
        <v>20</v>
      </c>
      <c r="B508" s="1431">
        <f>SAWC!N22</f>
        <v>0</v>
      </c>
      <c r="C508" s="1422"/>
      <c r="D508" s="1444">
        <f t="shared" si="105"/>
        <v>0</v>
      </c>
      <c r="E508" s="1422"/>
      <c r="F508" s="1449">
        <f>0.644*B508</f>
        <v>0</v>
      </c>
      <c r="G508" s="1450"/>
      <c r="H508" s="957">
        <f>F508*5</f>
        <v>0</v>
      </c>
      <c r="I508" s="131">
        <v>0</v>
      </c>
      <c r="J508" s="131">
        <f>175*B508</f>
        <v>0</v>
      </c>
      <c r="K508" s="131">
        <f>625*B508</f>
        <v>0</v>
      </c>
      <c r="L508" s="132">
        <f t="shared" si="106"/>
        <v>0</v>
      </c>
      <c r="M508" s="1758">
        <v>0</v>
      </c>
      <c r="N508" s="1759"/>
    </row>
    <row r="509" spans="1:14">
      <c r="A509" s="34" t="s">
        <v>13</v>
      </c>
      <c r="B509" s="1431">
        <f>SAWC!N23</f>
        <v>0</v>
      </c>
      <c r="C509" s="1422"/>
      <c r="D509" s="1444">
        <f t="shared" si="105"/>
        <v>0</v>
      </c>
      <c r="E509" s="1422"/>
      <c r="F509" s="1449">
        <f>0.0276*B509</f>
        <v>0</v>
      </c>
      <c r="G509" s="1450"/>
      <c r="H509" s="957">
        <f>F509*10</f>
        <v>0</v>
      </c>
      <c r="I509" s="131">
        <v>0</v>
      </c>
      <c r="J509" s="131">
        <f>290*B509</f>
        <v>0</v>
      </c>
      <c r="K509" s="131">
        <f>130*B509</f>
        <v>0</v>
      </c>
      <c r="L509" s="132">
        <f t="shared" si="106"/>
        <v>0</v>
      </c>
      <c r="M509" s="1758">
        <v>0</v>
      </c>
      <c r="N509" s="1759"/>
    </row>
    <row r="510" spans="1:14">
      <c r="A510" s="35" t="s">
        <v>47</v>
      </c>
      <c r="B510" s="1431">
        <f>SAWC!N24</f>
        <v>0</v>
      </c>
      <c r="C510" s="1422"/>
      <c r="D510" s="1444">
        <f t="shared" si="105"/>
        <v>0</v>
      </c>
      <c r="E510" s="1422"/>
      <c r="F510" s="1449">
        <f>0.1534*B510</f>
        <v>0</v>
      </c>
      <c r="G510" s="1450"/>
      <c r="H510" s="957">
        <f>F510*5</f>
        <v>0</v>
      </c>
      <c r="I510" s="131">
        <v>0</v>
      </c>
      <c r="J510" s="131">
        <f>0*B510</f>
        <v>0</v>
      </c>
      <c r="K510" s="131">
        <f>150*B510</f>
        <v>0</v>
      </c>
      <c r="L510" s="132">
        <f t="shared" si="106"/>
        <v>0</v>
      </c>
      <c r="M510" s="1758">
        <v>0</v>
      </c>
      <c r="N510" s="1759"/>
    </row>
    <row r="511" spans="1:14">
      <c r="A511" s="76" t="s">
        <v>30</v>
      </c>
      <c r="B511" s="1431">
        <f>SAWC!N25</f>
        <v>0</v>
      </c>
      <c r="C511" s="1422"/>
      <c r="D511" s="1444">
        <f t="shared" si="105"/>
        <v>0</v>
      </c>
      <c r="E511" s="1422"/>
      <c r="F511" s="1449">
        <f>0.325*B511</f>
        <v>0</v>
      </c>
      <c r="G511" s="1450"/>
      <c r="H511" s="957">
        <f>F511*10</f>
        <v>0</v>
      </c>
      <c r="I511" s="131">
        <v>0</v>
      </c>
      <c r="J511" s="131">
        <f>0*B511</f>
        <v>0</v>
      </c>
      <c r="K511" s="131">
        <f>630*B511</f>
        <v>0</v>
      </c>
      <c r="L511" s="132">
        <f t="shared" si="106"/>
        <v>0</v>
      </c>
      <c r="M511" s="1758">
        <v>0</v>
      </c>
      <c r="N511" s="1759"/>
    </row>
    <row r="512" spans="1:14" s="91" customFormat="1" ht="16">
      <c r="A512" s="33" t="s">
        <v>94</v>
      </c>
      <c r="B512" s="1431">
        <f>SAWC!N26</f>
        <v>1</v>
      </c>
      <c r="C512" s="1422"/>
      <c r="D512" s="1444">
        <f t="shared" si="105"/>
        <v>54742.967999999993</v>
      </c>
      <c r="E512" s="1422"/>
      <c r="F512" s="1449">
        <f>0.00014*1200</f>
        <v>0.16799999999999998</v>
      </c>
      <c r="G512" s="1450"/>
      <c r="H512" s="957">
        <f>F512*10</f>
        <v>1.6799999999999997</v>
      </c>
      <c r="I512" s="131">
        <v>0</v>
      </c>
      <c r="J512" s="131">
        <f>0.3*1200</f>
        <v>360</v>
      </c>
      <c r="K512" s="131">
        <f>0.3*1200</f>
        <v>360</v>
      </c>
      <c r="L512" s="132">
        <f t="shared" si="106"/>
        <v>720</v>
      </c>
      <c r="M512" s="1758">
        <f>L512/(F512*427)</f>
        <v>10.036801605888259</v>
      </c>
      <c r="N512" s="1759"/>
    </row>
    <row r="513" spans="1:14" ht="14" thickBot="1">
      <c r="A513" s="33" t="s">
        <v>56</v>
      </c>
      <c r="B513" s="1431">
        <f>SAWC!N29</f>
        <v>0</v>
      </c>
      <c r="C513" s="1422"/>
      <c r="D513" s="1444">
        <f>F513*325851</f>
        <v>0</v>
      </c>
      <c r="E513" s="1422"/>
      <c r="F513" s="1449">
        <f>0.004*B513</f>
        <v>0</v>
      </c>
      <c r="G513" s="1450"/>
      <c r="H513" s="957">
        <f>F513*5</f>
        <v>0</v>
      </c>
      <c r="I513" s="131">
        <v>0</v>
      </c>
      <c r="J513" s="131">
        <f>0*B513</f>
        <v>0</v>
      </c>
      <c r="K513" s="131">
        <f>4*B513</f>
        <v>0</v>
      </c>
      <c r="L513" s="132">
        <f>SUM(I513:K513)</f>
        <v>0</v>
      </c>
      <c r="M513" s="1758">
        <v>0</v>
      </c>
      <c r="N513" s="1759"/>
    </row>
    <row r="514" spans="1:14" ht="14" thickBot="1">
      <c r="A514" s="53" t="s">
        <v>60</v>
      </c>
      <c r="B514" s="1438">
        <f>SUM(B504:C513)</f>
        <v>1</v>
      </c>
      <c r="C514" s="1609"/>
      <c r="D514" s="1440">
        <f>SUM(D504:E513)</f>
        <v>54742.967999999993</v>
      </c>
      <c r="E514" s="1609"/>
      <c r="F514" s="1440">
        <f>SUM(F504:G513)</f>
        <v>0.16799999999999998</v>
      </c>
      <c r="G514" s="1609"/>
      <c r="H514" s="707">
        <f>SUM(H504:H513)</f>
        <v>1.6799999999999997</v>
      </c>
      <c r="I514" s="136">
        <f>SUM(I504:I513)</f>
        <v>0</v>
      </c>
      <c r="J514" s="669">
        <f>SUM(J504:J513)</f>
        <v>360</v>
      </c>
      <c r="K514" s="669">
        <f>SUM(K504:K513)</f>
        <v>360</v>
      </c>
      <c r="L514" s="669">
        <f>SUM(L504:L513)</f>
        <v>720</v>
      </c>
      <c r="M514" s="1657"/>
      <c r="N514" s="1622"/>
    </row>
    <row r="515" spans="1:14" s="1168" customFormat="1" ht="17" thickBot="1">
      <c r="A515" s="108" t="s">
        <v>54</v>
      </c>
      <c r="B515" s="1457"/>
      <c r="C515" s="1913"/>
      <c r="D515" s="1141"/>
      <c r="E515" s="1142"/>
      <c r="F515" s="1212"/>
      <c r="G515" s="1157"/>
      <c r="H515" s="1142"/>
      <c r="I515" s="161"/>
      <c r="J515" s="161"/>
      <c r="K515" s="161"/>
      <c r="L515" s="162"/>
      <c r="M515" s="1154"/>
      <c r="N515" s="1155"/>
    </row>
    <row r="516" spans="1:14" s="363" customFormat="1">
      <c r="A516" s="36" t="s">
        <v>29</v>
      </c>
      <c r="B516" s="1767">
        <f>SAWC!N30</f>
        <v>0</v>
      </c>
      <c r="C516" s="1915"/>
      <c r="D516" s="1444">
        <f>F516*325851</f>
        <v>0</v>
      </c>
      <c r="E516" s="1422"/>
      <c r="F516" s="1760">
        <f>0.0425*B516</f>
        <v>0</v>
      </c>
      <c r="G516" s="1757"/>
      <c r="H516" s="941">
        <f>F516*20</f>
        <v>0</v>
      </c>
      <c r="I516" s="131">
        <v>0</v>
      </c>
      <c r="J516" s="131">
        <f>35.66*B516</f>
        <v>0</v>
      </c>
      <c r="K516" s="131">
        <f>630*B516</f>
        <v>0</v>
      </c>
      <c r="L516" s="132">
        <f t="shared" si="106"/>
        <v>0</v>
      </c>
      <c r="M516" s="1758">
        <v>0</v>
      </c>
      <c r="N516" s="1759"/>
    </row>
    <row r="517" spans="1:14">
      <c r="A517" s="34" t="s">
        <v>51</v>
      </c>
      <c r="B517" s="1444">
        <f>SAWC!N31</f>
        <v>0</v>
      </c>
      <c r="C517" s="1422"/>
      <c r="D517" s="1444">
        <f>F517*325851</f>
        <v>0</v>
      </c>
      <c r="E517" s="1422"/>
      <c r="F517" s="1760">
        <f>0.1227*B517</f>
        <v>0</v>
      </c>
      <c r="G517" s="1757"/>
      <c r="H517" s="941">
        <f>F517*20</f>
        <v>0</v>
      </c>
      <c r="I517" s="131">
        <v>0</v>
      </c>
      <c r="J517" s="131">
        <f>0*B517</f>
        <v>0</v>
      </c>
      <c r="K517" s="131">
        <f>1225*B517</f>
        <v>0</v>
      </c>
      <c r="L517" s="132">
        <f t="shared" si="106"/>
        <v>0</v>
      </c>
      <c r="M517" s="1758">
        <v>0</v>
      </c>
      <c r="N517" s="1759"/>
    </row>
    <row r="518" spans="1:14">
      <c r="A518" s="34" t="s">
        <v>15</v>
      </c>
      <c r="B518" s="1444">
        <f>SAWC!N32</f>
        <v>0</v>
      </c>
      <c r="C518" s="1422"/>
      <c r="D518" s="1444">
        <f>F518*325851</f>
        <v>0</v>
      </c>
      <c r="E518" s="1422"/>
      <c r="F518" s="1760">
        <f>0.1534*B518</f>
        <v>0</v>
      </c>
      <c r="G518" s="1757"/>
      <c r="H518" s="941">
        <f>F518*5</f>
        <v>0</v>
      </c>
      <c r="I518" s="131">
        <v>0</v>
      </c>
      <c r="J518" s="131">
        <f>0*B518</f>
        <v>0</v>
      </c>
      <c r="K518" s="131">
        <f>380*B518</f>
        <v>0</v>
      </c>
      <c r="L518" s="132">
        <f t="shared" si="106"/>
        <v>0</v>
      </c>
      <c r="M518" s="1758">
        <v>0</v>
      </c>
      <c r="N518" s="1759"/>
    </row>
    <row r="519" spans="1:14">
      <c r="A519" s="34" t="s">
        <v>30</v>
      </c>
      <c r="B519" s="1444">
        <f>SAWC!N33</f>
        <v>0</v>
      </c>
      <c r="C519" s="1422"/>
      <c r="D519" s="1444">
        <f>F519*325851</f>
        <v>0</v>
      </c>
      <c r="E519" s="1422"/>
      <c r="F519" s="1760">
        <f>0.466*B519</f>
        <v>0</v>
      </c>
      <c r="G519" s="1757"/>
      <c r="H519" s="941">
        <f>F519*10</f>
        <v>0</v>
      </c>
      <c r="I519" s="131">
        <v>0</v>
      </c>
      <c r="J519" s="131">
        <f>0*B519</f>
        <v>0</v>
      </c>
      <c r="K519" s="131">
        <f>1004*B519</f>
        <v>0</v>
      </c>
      <c r="L519" s="132">
        <f t="shared" si="106"/>
        <v>0</v>
      </c>
      <c r="M519" s="1758">
        <v>0</v>
      </c>
      <c r="N519" s="1759"/>
    </row>
    <row r="520" spans="1:14" s="91" customFormat="1" ht="17" thickBot="1">
      <c r="A520" s="37" t="s">
        <v>55</v>
      </c>
      <c r="B520" s="1444">
        <f>SAWC!N34</f>
        <v>0</v>
      </c>
      <c r="C520" s="1422"/>
      <c r="D520" s="1444">
        <f>F520*325851</f>
        <v>0</v>
      </c>
      <c r="E520" s="1422"/>
      <c r="F520" s="1771">
        <f>0.823*B520</f>
        <v>0</v>
      </c>
      <c r="G520" s="1719"/>
      <c r="H520" s="941">
        <f>F520*10</f>
        <v>0</v>
      </c>
      <c r="I520" s="131">
        <v>0</v>
      </c>
      <c r="J520" s="131">
        <f>0*B520</f>
        <v>0</v>
      </c>
      <c r="K520" s="131">
        <f>3124*B520</f>
        <v>0</v>
      </c>
      <c r="L520" s="132">
        <f t="shared" si="106"/>
        <v>0</v>
      </c>
      <c r="M520" s="1758">
        <v>0</v>
      </c>
      <c r="N520" s="1759"/>
    </row>
    <row r="521" spans="1:14" ht="14" thickBot="1">
      <c r="A521" s="53" t="s">
        <v>60</v>
      </c>
      <c r="B521" s="1438">
        <f>SUM(B516:C520)</f>
        <v>0</v>
      </c>
      <c r="C521" s="1609"/>
      <c r="D521" s="1440">
        <f>SUM(D516:E520)</f>
        <v>0</v>
      </c>
      <c r="E521" s="1609"/>
      <c r="F521" s="1440">
        <f>SUM(F516:G520)</f>
        <v>0</v>
      </c>
      <c r="G521" s="1609"/>
      <c r="H521" s="707">
        <f>SUM(H516:H520)</f>
        <v>0</v>
      </c>
      <c r="I521" s="136">
        <f>SUM(I516:I520)</f>
        <v>0</v>
      </c>
      <c r="J521" s="136">
        <f>SUM(J516:J520)</f>
        <v>0</v>
      </c>
      <c r="K521" s="136">
        <f>SUM(K516:K520)</f>
        <v>0</v>
      </c>
      <c r="L521" s="136">
        <f>SUM(L516:L520)</f>
        <v>0</v>
      </c>
      <c r="M521" s="1657"/>
      <c r="N521" s="1622"/>
    </row>
    <row r="522" spans="1:14" s="1168" customFormat="1" ht="17" thickBot="1">
      <c r="A522" s="1182" t="s">
        <v>17</v>
      </c>
      <c r="B522" s="1416">
        <f>SUM(B499+B502+B514+B521)</f>
        <v>54</v>
      </c>
      <c r="C522" s="1415"/>
      <c r="D522" s="1416">
        <f>SUM(D499+D502+D514+D521)</f>
        <v>838662.26975999994</v>
      </c>
      <c r="E522" s="1415"/>
      <c r="F522" s="1612">
        <f>SUM(F499+F502+F514+F521)</f>
        <v>2.5737600000000005</v>
      </c>
      <c r="G522" s="1415"/>
      <c r="H522" s="1164">
        <f>SUM(H499+H502+H514+H521)</f>
        <v>30.610599999999998</v>
      </c>
      <c r="I522" s="1169">
        <f>SUM(I499+I502+I514+I521)</f>
        <v>0</v>
      </c>
      <c r="J522" s="1169">
        <f>SUM(J499+J502+J514+J521)</f>
        <v>1907.7</v>
      </c>
      <c r="K522" s="1169">
        <f>SUM(K499+K502+K514+K521)</f>
        <v>4788.7</v>
      </c>
      <c r="L522" s="1169">
        <f>SUM(L499+L502+L514+L521)</f>
        <v>6696.4</v>
      </c>
      <c r="M522" s="1631"/>
      <c r="N522" s="1640"/>
    </row>
    <row r="523" spans="1:14" ht="16">
      <c r="A523" s="60"/>
      <c r="B523" s="61"/>
      <c r="C523" s="61"/>
      <c r="D523" s="61"/>
      <c r="E523" s="61"/>
      <c r="F523" s="61"/>
      <c r="G523" s="61"/>
      <c r="H523" s="62"/>
      <c r="I523" s="63"/>
      <c r="J523" s="63"/>
      <c r="K523" s="63"/>
      <c r="L523" s="63"/>
      <c r="M523" s="64"/>
      <c r="N523" s="65"/>
    </row>
    <row r="524" spans="1:14" ht="16">
      <c r="A524" s="9" t="s">
        <v>18</v>
      </c>
      <c r="B524" s="1419" t="s">
        <v>59</v>
      </c>
      <c r="C524" s="1419"/>
      <c r="D524" s="1419"/>
      <c r="E524" s="1419"/>
      <c r="F524" s="61"/>
      <c r="G524" s="61"/>
      <c r="H524" s="62"/>
      <c r="I524" s="62"/>
      <c r="J524" s="62"/>
      <c r="K524" s="62"/>
      <c r="L524" s="62"/>
      <c r="M524" s="64"/>
      <c r="N524" s="65"/>
    </row>
    <row r="525" spans="1:14" ht="16">
      <c r="A525" s="57"/>
      <c r="B525" s="1420" t="s">
        <v>19</v>
      </c>
      <c r="C525" s="1420"/>
      <c r="D525" s="1420"/>
      <c r="E525" s="1420"/>
      <c r="F525" s="61"/>
      <c r="G525" s="61"/>
      <c r="H525" s="62"/>
      <c r="I525" s="62"/>
      <c r="J525" s="62"/>
      <c r="K525" s="62"/>
      <c r="L525" s="62"/>
      <c r="M525" s="64"/>
      <c r="N525" s="65"/>
    </row>
    <row r="526" spans="1:14" ht="17" thickBot="1">
      <c r="A526" s="985"/>
      <c r="B526" s="943"/>
      <c r="C526" s="943"/>
      <c r="D526" s="943"/>
      <c r="E526" s="943"/>
      <c r="F526" s="61"/>
      <c r="G526" s="61"/>
      <c r="H526" s="62"/>
      <c r="I526" s="62"/>
      <c r="J526" s="62"/>
      <c r="K526" s="62"/>
      <c r="L526" s="62"/>
      <c r="M526" s="64"/>
      <c r="N526" s="65"/>
    </row>
    <row r="527" spans="1:14" s="91" customFormat="1" ht="16">
      <c r="A527" s="98"/>
      <c r="B527" s="99"/>
      <c r="C527" s="99"/>
      <c r="D527" s="99"/>
      <c r="E527" s="99"/>
      <c r="F527" s="100"/>
      <c r="G527" s="100"/>
      <c r="H527" s="100"/>
      <c r="I527" s="1468" t="s">
        <v>0</v>
      </c>
      <c r="J527" s="1468"/>
      <c r="K527" s="1468"/>
      <c r="L527" s="1468"/>
      <c r="M527" s="99"/>
      <c r="N527" s="101"/>
    </row>
    <row r="528" spans="1:14" ht="16">
      <c r="A528" s="97"/>
      <c r="B528" s="1469" t="s">
        <v>1</v>
      </c>
      <c r="C528" s="1469"/>
      <c r="D528" s="1469" t="s">
        <v>2</v>
      </c>
      <c r="E528" s="1469"/>
      <c r="F528" s="1863" t="s">
        <v>3</v>
      </c>
      <c r="G528" s="1863"/>
      <c r="H528" s="952" t="s">
        <v>3</v>
      </c>
      <c r="I528" s="127" t="s">
        <v>195</v>
      </c>
      <c r="J528" s="102"/>
      <c r="K528" s="102"/>
      <c r="L528" s="128"/>
      <c r="M528" s="1469" t="s">
        <v>4</v>
      </c>
      <c r="N528" s="1526"/>
    </row>
    <row r="529" spans="1:14" ht="19" thickBot="1">
      <c r="A529" s="103" t="s">
        <v>5</v>
      </c>
      <c r="B529" s="1473" t="s">
        <v>6</v>
      </c>
      <c r="C529" s="1473"/>
      <c r="D529" s="1473" t="s">
        <v>7</v>
      </c>
      <c r="E529" s="1473"/>
      <c r="F529" s="1864" t="s">
        <v>7</v>
      </c>
      <c r="G529" s="1864"/>
      <c r="H529" s="953" t="s">
        <v>58</v>
      </c>
      <c r="I529" s="937" t="s">
        <v>196</v>
      </c>
      <c r="J529" s="932" t="s">
        <v>8</v>
      </c>
      <c r="K529" s="932" t="s">
        <v>9</v>
      </c>
      <c r="L529" s="401" t="s">
        <v>10</v>
      </c>
      <c r="M529" s="1473" t="s">
        <v>145</v>
      </c>
      <c r="N529" s="1475"/>
    </row>
    <row r="530" spans="1:14" s="91" customFormat="1" ht="24" thickBot="1">
      <c r="A530" s="255" t="s">
        <v>133</v>
      </c>
      <c r="B530" s="1476"/>
      <c r="C530" s="1477"/>
      <c r="D530" s="1478"/>
      <c r="E530" s="1479"/>
      <c r="F530" s="1878"/>
      <c r="G530" s="1879"/>
      <c r="H530" s="954"/>
      <c r="I530" s="7"/>
      <c r="J530" s="7"/>
      <c r="K530" s="7"/>
      <c r="L530" s="8"/>
      <c r="M530" s="1764"/>
      <c r="N530" s="1765"/>
    </row>
    <row r="531" spans="1:14" s="1168" customFormat="1" ht="17" thickBot="1">
      <c r="A531" s="110" t="s">
        <v>61</v>
      </c>
      <c r="B531" s="1456"/>
      <c r="C531" s="1586"/>
      <c r="D531" s="1567"/>
      <c r="E531" s="1586"/>
      <c r="F531" s="1619"/>
      <c r="G531" s="1620"/>
      <c r="H531" s="1157"/>
      <c r="I531" s="109"/>
      <c r="J531" s="109"/>
      <c r="K531" s="109"/>
      <c r="L531" s="1141"/>
      <c r="M531" s="1617"/>
      <c r="N531" s="1486"/>
    </row>
    <row r="532" spans="1:14">
      <c r="A532" s="2" t="s">
        <v>28</v>
      </c>
      <c r="B532" s="1421">
        <f>[1]SAWC!$N$4</f>
        <v>1</v>
      </c>
      <c r="C532" s="1422"/>
      <c r="D532" s="1431">
        <f>F532*325851</f>
        <v>11307.029700000001</v>
      </c>
      <c r="E532" s="1422"/>
      <c r="F532" s="1871">
        <f>0.0347*B532</f>
        <v>3.4700000000000002E-2</v>
      </c>
      <c r="G532" s="1450"/>
      <c r="H532" s="957">
        <f>F532*20</f>
        <v>0.69400000000000006</v>
      </c>
      <c r="I532" s="131">
        <v>0</v>
      </c>
      <c r="J532" s="131">
        <v>0</v>
      </c>
      <c r="K532" s="131">
        <f>60*B532</f>
        <v>60</v>
      </c>
      <c r="L532" s="132">
        <f t="shared" ref="L532:L537" si="107">SUM(I532:K532)</f>
        <v>60</v>
      </c>
      <c r="M532" s="1758">
        <f>L532/(F532*427)</f>
        <v>4.0494300427214869</v>
      </c>
      <c r="N532" s="1759"/>
    </row>
    <row r="533" spans="1:14">
      <c r="A533" s="2" t="s">
        <v>29</v>
      </c>
      <c r="B533" s="1421">
        <f>[1]SAWC!$N$5</f>
        <v>0</v>
      </c>
      <c r="C533" s="1422"/>
      <c r="D533" s="1431">
        <f t="shared" ref="D533:D550" si="108">F533*325851</f>
        <v>0</v>
      </c>
      <c r="E533" s="1422"/>
      <c r="F533" s="1871">
        <f>0.0425*B533</f>
        <v>0</v>
      </c>
      <c r="G533" s="1450"/>
      <c r="H533" s="957">
        <f>F533*20</f>
        <v>0</v>
      </c>
      <c r="I533" s="131">
        <v>0</v>
      </c>
      <c r="J533" s="131">
        <v>0</v>
      </c>
      <c r="K533" s="131">
        <f>B533*265</f>
        <v>0</v>
      </c>
      <c r="L533" s="132">
        <f t="shared" si="107"/>
        <v>0</v>
      </c>
      <c r="M533" s="1758">
        <v>0</v>
      </c>
      <c r="N533" s="1759"/>
    </row>
    <row r="534" spans="1:14">
      <c r="A534" s="2" t="s">
        <v>33</v>
      </c>
      <c r="B534" s="1421">
        <f>[1]SAWC!$N$7</f>
        <v>16</v>
      </c>
      <c r="C534" s="1422"/>
      <c r="D534" s="1431">
        <f>F534*325851</f>
        <v>441071.91359999997</v>
      </c>
      <c r="E534" s="1422"/>
      <c r="F534" s="1871">
        <f>0.0846*B534</f>
        <v>1.3535999999999999</v>
      </c>
      <c r="G534" s="1450"/>
      <c r="H534" s="957">
        <f>F534*15</f>
        <v>20.303999999999998</v>
      </c>
      <c r="I534" s="131">
        <v>0</v>
      </c>
      <c r="J534" s="131">
        <v>0</v>
      </c>
      <c r="K534" s="131">
        <f>B534*110</f>
        <v>1760</v>
      </c>
      <c r="L534" s="132">
        <f t="shared" si="107"/>
        <v>1760</v>
      </c>
      <c r="M534" s="1758">
        <f>L534/(F534*427)</f>
        <v>3.0450501325980928</v>
      </c>
      <c r="N534" s="1759"/>
    </row>
    <row r="535" spans="1:14">
      <c r="A535" s="5" t="s">
        <v>24</v>
      </c>
      <c r="B535" s="1421">
        <f>[1]SAWC!$N$8</f>
        <v>0</v>
      </c>
      <c r="C535" s="1422"/>
      <c r="D535" s="1431">
        <f>F535*325851</f>
        <v>0</v>
      </c>
      <c r="E535" s="1422"/>
      <c r="F535" s="1449">
        <f>0.004*B535</f>
        <v>0</v>
      </c>
      <c r="G535" s="1450"/>
      <c r="H535" s="957">
        <f>F535*5</f>
        <v>0</v>
      </c>
      <c r="I535" s="131">
        <v>0</v>
      </c>
      <c r="J535" s="131">
        <v>0</v>
      </c>
      <c r="K535" s="131">
        <f>B535*4</f>
        <v>0</v>
      </c>
      <c r="L535" s="132">
        <f t="shared" si="107"/>
        <v>0</v>
      </c>
      <c r="M535" s="1758">
        <v>0</v>
      </c>
      <c r="N535" s="1759"/>
    </row>
    <row r="536" spans="1:14">
      <c r="A536" s="69" t="s">
        <v>72</v>
      </c>
      <c r="B536" s="1421">
        <f>[1]SAWC!$N$10</f>
        <v>0</v>
      </c>
      <c r="C536" s="1422"/>
      <c r="D536" s="1431">
        <f>F536*325851</f>
        <v>0</v>
      </c>
      <c r="E536" s="1422"/>
      <c r="F536" s="1449">
        <f>0.65*B536</f>
        <v>0</v>
      </c>
      <c r="G536" s="1450"/>
      <c r="H536" s="957">
        <f>F536*10</f>
        <v>0</v>
      </c>
      <c r="I536" s="131">
        <v>0</v>
      </c>
      <c r="J536" s="131">
        <f>160*B536</f>
        <v>0</v>
      </c>
      <c r="K536" s="131">
        <f>80*B536</f>
        <v>0</v>
      </c>
      <c r="L536" s="132">
        <f t="shared" si="107"/>
        <v>0</v>
      </c>
      <c r="M536" s="1758">
        <v>0</v>
      </c>
      <c r="N536" s="1759"/>
    </row>
    <row r="537" spans="1:14" ht="14" thickBot="1">
      <c r="A537" s="69" t="s">
        <v>73</v>
      </c>
      <c r="B537" s="1421">
        <f>[2]SAWC!$N$11</f>
        <v>12</v>
      </c>
      <c r="C537" s="1422"/>
      <c r="D537" s="1431">
        <f>F537*325851</f>
        <v>2541637.8000000003</v>
      </c>
      <c r="E537" s="1422"/>
      <c r="F537" s="1449">
        <f>0.65*B537</f>
        <v>7.8000000000000007</v>
      </c>
      <c r="G537" s="1450"/>
      <c r="H537" s="957">
        <f>F537*10</f>
        <v>78</v>
      </c>
      <c r="I537" s="131">
        <v>0</v>
      </c>
      <c r="J537" s="131">
        <v>0</v>
      </c>
      <c r="K537" s="131">
        <f>240*B537</f>
        <v>2880</v>
      </c>
      <c r="L537" s="132">
        <f t="shared" si="107"/>
        <v>2880</v>
      </c>
      <c r="M537" s="1758">
        <f>L537/(F537*427)</f>
        <v>0.86470906143037285</v>
      </c>
      <c r="N537" s="1759"/>
    </row>
    <row r="538" spans="1:14" s="91" customFormat="1" ht="17" thickBot="1">
      <c r="A538" s="256" t="s">
        <v>60</v>
      </c>
      <c r="B538" s="1438">
        <f>SUM(B532:C537)</f>
        <v>29</v>
      </c>
      <c r="C538" s="1609"/>
      <c r="D538" s="1441">
        <f>SUM(D533:E537)</f>
        <v>2982709.7136000004</v>
      </c>
      <c r="E538" s="1609"/>
      <c r="F538" s="1440">
        <f>SUM(F533:G537)</f>
        <v>9.1536000000000008</v>
      </c>
      <c r="G538" s="1609"/>
      <c r="H538" s="707">
        <f>SUM(H532:H537)</f>
        <v>98.99799999999999</v>
      </c>
      <c r="I538" s="143">
        <f>SUM(I533:I537)</f>
        <v>0</v>
      </c>
      <c r="J538" s="143">
        <f>SUM(J533:J537)</f>
        <v>0</v>
      </c>
      <c r="K538" s="143">
        <f>SUM(K533:K537)</f>
        <v>4640</v>
      </c>
      <c r="L538" s="152">
        <f>SUM(L533:L537)</f>
        <v>4640</v>
      </c>
      <c r="M538" s="1657"/>
      <c r="N538" s="1622"/>
    </row>
    <row r="539" spans="1:14" s="1168" customFormat="1" ht="17" thickBot="1">
      <c r="A539" s="1251" t="s">
        <v>147</v>
      </c>
      <c r="B539" s="1456"/>
      <c r="C539" s="1586"/>
      <c r="D539" s="1567"/>
      <c r="E539" s="1586"/>
      <c r="F539" s="1882"/>
      <c r="G539" s="1883"/>
      <c r="H539" s="1142"/>
      <c r="I539" s="161"/>
      <c r="J539" s="161"/>
      <c r="K539" s="161"/>
      <c r="L539" s="162"/>
      <c r="M539" s="1617"/>
      <c r="N539" s="1486"/>
    </row>
    <row r="540" spans="1:14" ht="14" thickBot="1">
      <c r="A540" s="2" t="s">
        <v>31</v>
      </c>
      <c r="B540" s="1421">
        <f>[1]SAWC!$N$6</f>
        <v>0</v>
      </c>
      <c r="C540" s="1422"/>
      <c r="D540" s="1431">
        <f t="shared" si="108"/>
        <v>0</v>
      </c>
      <c r="E540" s="1422"/>
      <c r="F540" s="1760">
        <f>0.0347*B540</f>
        <v>0</v>
      </c>
      <c r="G540" s="1757"/>
      <c r="H540" s="941">
        <f>F540*20</f>
        <v>0</v>
      </c>
      <c r="I540" s="131">
        <f>73.34*B540</f>
        <v>0</v>
      </c>
      <c r="J540" s="131">
        <f>35.66*B540</f>
        <v>0</v>
      </c>
      <c r="K540" s="131">
        <f>B540*60</f>
        <v>0</v>
      </c>
      <c r="L540" s="132">
        <f>SUM(I540:K540)</f>
        <v>0</v>
      </c>
      <c r="M540" s="1758">
        <v>0</v>
      </c>
      <c r="N540" s="1759"/>
    </row>
    <row r="541" spans="1:14" ht="14" thickBot="1">
      <c r="A541" s="256" t="s">
        <v>60</v>
      </c>
      <c r="B541" s="1438">
        <f>SUM(B540)</f>
        <v>0</v>
      </c>
      <c r="C541" s="1609"/>
      <c r="D541" s="1441">
        <f>SUM(D540)</f>
        <v>0</v>
      </c>
      <c r="E541" s="1609"/>
      <c r="F541" s="1440">
        <f>SUM(F540)</f>
        <v>0</v>
      </c>
      <c r="G541" s="1609"/>
      <c r="H541" s="707">
        <f>SUM(H540)</f>
        <v>0</v>
      </c>
      <c r="I541" s="136">
        <f>SUM(I540)</f>
        <v>0</v>
      </c>
      <c r="J541" s="136">
        <f>SUM(J540)</f>
        <v>0</v>
      </c>
      <c r="K541" s="136">
        <f>SUM(K540)</f>
        <v>0</v>
      </c>
      <c r="L541" s="136">
        <f>SUM(L540)</f>
        <v>0</v>
      </c>
      <c r="M541" s="1657"/>
      <c r="N541" s="1622"/>
    </row>
    <row r="542" spans="1:14" s="1161" customFormat="1" ht="17" thickBot="1">
      <c r="A542" s="110" t="s">
        <v>50</v>
      </c>
      <c r="B542" s="1456"/>
      <c r="C542" s="1586"/>
      <c r="D542" s="1567"/>
      <c r="E542" s="1586"/>
      <c r="F542" s="1854"/>
      <c r="G542" s="1913"/>
      <c r="H542" s="1142"/>
      <c r="I542" s="161"/>
      <c r="J542" s="161"/>
      <c r="K542" s="161"/>
      <c r="L542" s="162"/>
      <c r="M542" s="1617"/>
      <c r="N542" s="1486"/>
    </row>
    <row r="543" spans="1:14">
      <c r="A543" s="2" t="s">
        <v>26</v>
      </c>
      <c r="B543" s="1421">
        <f>[1]SAWC!$N$13</f>
        <v>0</v>
      </c>
      <c r="C543" s="1422"/>
      <c r="D543" s="1431">
        <f t="shared" si="108"/>
        <v>0</v>
      </c>
      <c r="E543" s="1422"/>
      <c r="F543" s="1760">
        <f>0.0278*B543</f>
        <v>0</v>
      </c>
      <c r="G543" s="1757"/>
      <c r="H543" s="941">
        <f>F543*20</f>
        <v>0</v>
      </c>
      <c r="I543" s="131">
        <v>0</v>
      </c>
      <c r="J543" s="131">
        <f>15*B543</f>
        <v>0</v>
      </c>
      <c r="K543" s="131">
        <f>135*B543</f>
        <v>0</v>
      </c>
      <c r="L543" s="132">
        <f>SUM(I543:K543)</f>
        <v>0</v>
      </c>
      <c r="M543" s="1758">
        <v>0</v>
      </c>
      <c r="N543" s="1759"/>
    </row>
    <row r="544" spans="1:14">
      <c r="A544" s="2" t="s">
        <v>25</v>
      </c>
      <c r="B544" s="1421">
        <f>[1]SAWC!$N$14</f>
        <v>0</v>
      </c>
      <c r="C544" s="1422"/>
      <c r="D544" s="1431">
        <f t="shared" si="108"/>
        <v>0</v>
      </c>
      <c r="E544" s="1422"/>
      <c r="F544" s="1760">
        <f>0.0347*B544</f>
        <v>0</v>
      </c>
      <c r="G544" s="1757"/>
      <c r="H544" s="941">
        <f>F544*20</f>
        <v>0</v>
      </c>
      <c r="I544" s="131">
        <v>0</v>
      </c>
      <c r="J544" s="131">
        <f>15*B544</f>
        <v>0</v>
      </c>
      <c r="K544" s="131">
        <f>135*B544</f>
        <v>0</v>
      </c>
      <c r="L544" s="132">
        <f t="shared" ref="L544:L550" si="109">SUM(I544:K544)</f>
        <v>0</v>
      </c>
      <c r="M544" s="1758">
        <v>0</v>
      </c>
      <c r="N544" s="1759"/>
    </row>
    <row r="545" spans="1:14">
      <c r="A545" s="2" t="s">
        <v>32</v>
      </c>
      <c r="B545" s="1421">
        <f>[1]SAWC!$N$15</f>
        <v>0</v>
      </c>
      <c r="C545" s="1422"/>
      <c r="D545" s="1431">
        <f t="shared" si="108"/>
        <v>0</v>
      </c>
      <c r="E545" s="1422"/>
      <c r="F545" s="1760">
        <f>0.0425*B545</f>
        <v>0</v>
      </c>
      <c r="G545" s="1757"/>
      <c r="H545" s="941">
        <f>F545*20</f>
        <v>0</v>
      </c>
      <c r="I545" s="131">
        <v>0</v>
      </c>
      <c r="J545" s="131">
        <f>45*B545</f>
        <v>0</v>
      </c>
      <c r="K545" s="131">
        <f>165*B545</f>
        <v>0</v>
      </c>
      <c r="L545" s="132">
        <f t="shared" si="109"/>
        <v>0</v>
      </c>
      <c r="M545" s="1758">
        <v>0</v>
      </c>
      <c r="N545" s="1759"/>
    </row>
    <row r="546" spans="1:14">
      <c r="A546" s="2" t="s">
        <v>27</v>
      </c>
      <c r="B546" s="1421">
        <f>[1]SAWC!$N$16</f>
        <v>0</v>
      </c>
      <c r="C546" s="1422"/>
      <c r="D546" s="1431">
        <f t="shared" si="108"/>
        <v>0</v>
      </c>
      <c r="E546" s="1422"/>
      <c r="F546" s="1760">
        <f>0.1225*B546</f>
        <v>0</v>
      </c>
      <c r="G546" s="1757"/>
      <c r="H546" s="941">
        <f>F546*20</f>
        <v>0</v>
      </c>
      <c r="I546" s="131">
        <v>0</v>
      </c>
      <c r="J546" s="131">
        <v>0</v>
      </c>
      <c r="K546" s="131">
        <f>400*B546</f>
        <v>0</v>
      </c>
      <c r="L546" s="132">
        <f t="shared" si="109"/>
        <v>0</v>
      </c>
      <c r="M546" s="1758">
        <v>0</v>
      </c>
      <c r="N546" s="1759"/>
    </row>
    <row r="547" spans="1:14">
      <c r="A547" s="2" t="s">
        <v>20</v>
      </c>
      <c r="B547" s="1421">
        <f>[1]SAWC!$N$17</f>
        <v>0</v>
      </c>
      <c r="C547" s="1422"/>
      <c r="D547" s="1431">
        <f t="shared" si="108"/>
        <v>0</v>
      </c>
      <c r="E547" s="1422"/>
      <c r="F547" s="1760">
        <f>0.644*B547</f>
        <v>0</v>
      </c>
      <c r="G547" s="1757"/>
      <c r="H547" s="941">
        <f>F547*5</f>
        <v>0</v>
      </c>
      <c r="I547" s="131">
        <v>0</v>
      </c>
      <c r="J547" s="131">
        <v>0</v>
      </c>
      <c r="K547" s="131">
        <f>625*B547</f>
        <v>0</v>
      </c>
      <c r="L547" s="132">
        <f t="shared" si="109"/>
        <v>0</v>
      </c>
      <c r="M547" s="1758">
        <v>0</v>
      </c>
      <c r="N547" s="1759"/>
    </row>
    <row r="548" spans="1:14">
      <c r="A548" s="2" t="s">
        <v>33</v>
      </c>
      <c r="B548" s="1421">
        <f>[1]SAWC!$N$18</f>
        <v>0</v>
      </c>
      <c r="C548" s="1422"/>
      <c r="D548" s="1431">
        <f t="shared" si="108"/>
        <v>0</v>
      </c>
      <c r="E548" s="1422"/>
      <c r="F548" s="1760">
        <f>0.0846*B548</f>
        <v>0</v>
      </c>
      <c r="G548" s="1757"/>
      <c r="H548" s="941">
        <f>F548*15</f>
        <v>0</v>
      </c>
      <c r="I548" s="131">
        <v>0</v>
      </c>
      <c r="J548" s="131">
        <f>70*B548</f>
        <v>0</v>
      </c>
      <c r="K548" s="131">
        <f>130*B548</f>
        <v>0</v>
      </c>
      <c r="L548" s="132">
        <f t="shared" si="109"/>
        <v>0</v>
      </c>
      <c r="M548" s="1758">
        <v>0</v>
      </c>
      <c r="N548" s="1759"/>
    </row>
    <row r="549" spans="1:14" s="91" customFormat="1" ht="16">
      <c r="A549" s="5" t="s">
        <v>15</v>
      </c>
      <c r="B549" s="1421">
        <f>[1]SAWC!$N$19</f>
        <v>0</v>
      </c>
      <c r="C549" s="1422"/>
      <c r="D549" s="1431">
        <f t="shared" si="108"/>
        <v>0</v>
      </c>
      <c r="E549" s="1422"/>
      <c r="F549" s="1760">
        <f>0.1534*B549</f>
        <v>0</v>
      </c>
      <c r="G549" s="1757"/>
      <c r="H549" s="941">
        <f>F549*5</f>
        <v>0</v>
      </c>
      <c r="I549" s="131">
        <v>0</v>
      </c>
      <c r="J549" s="131">
        <v>0</v>
      </c>
      <c r="K549" s="131">
        <f>150*B549</f>
        <v>0</v>
      </c>
      <c r="L549" s="132">
        <f t="shared" si="109"/>
        <v>0</v>
      </c>
      <c r="M549" s="1758">
        <v>0</v>
      </c>
      <c r="N549" s="1759"/>
    </row>
    <row r="550" spans="1:14" ht="14" thickBot="1">
      <c r="A550" s="69" t="s">
        <v>89</v>
      </c>
      <c r="B550" s="1421">
        <f>[1]SAWC!$N$20</f>
        <v>0</v>
      </c>
      <c r="C550" s="1422"/>
      <c r="D550" s="1431">
        <f t="shared" si="108"/>
        <v>0</v>
      </c>
      <c r="E550" s="1422"/>
      <c r="F550" s="1760">
        <f>0.65*B550</f>
        <v>0</v>
      </c>
      <c r="G550" s="1757"/>
      <c r="H550" s="941">
        <f>F550*10</f>
        <v>0</v>
      </c>
      <c r="I550" s="131">
        <v>0</v>
      </c>
      <c r="J550" s="131">
        <v>0</v>
      </c>
      <c r="K550" s="131">
        <f>630*B550</f>
        <v>0</v>
      </c>
      <c r="L550" s="132">
        <f t="shared" si="109"/>
        <v>0</v>
      </c>
      <c r="M550" s="1758">
        <v>0</v>
      </c>
      <c r="N550" s="1759"/>
    </row>
    <row r="551" spans="1:14" ht="14" thickBot="1">
      <c r="A551" s="256" t="s">
        <v>60</v>
      </c>
      <c r="B551" s="1438">
        <f>SUM(B543:C550)</f>
        <v>0</v>
      </c>
      <c r="C551" s="1609"/>
      <c r="D551" s="1441">
        <f>SUM(D543:E550)</f>
        <v>0</v>
      </c>
      <c r="E551" s="1609"/>
      <c r="F551" s="1440">
        <f>SUM(F543:G550)</f>
        <v>0</v>
      </c>
      <c r="G551" s="1609"/>
      <c r="H551" s="707">
        <f>SUM(H543:H550)</f>
        <v>0</v>
      </c>
      <c r="I551" s="136">
        <f>SUM(I543:I550)</f>
        <v>0</v>
      </c>
      <c r="J551" s="136">
        <f>SUM(J543:J550)</f>
        <v>0</v>
      </c>
      <c r="K551" s="136">
        <f>SUM(K543:K550)</f>
        <v>0</v>
      </c>
      <c r="L551" s="136">
        <f>SUM(L543:L550)</f>
        <v>0</v>
      </c>
      <c r="M551" s="1657"/>
      <c r="N551" s="1622"/>
    </row>
    <row r="552" spans="1:14" s="1161" customFormat="1" ht="17" thickBot="1">
      <c r="A552" s="1183" t="s">
        <v>17</v>
      </c>
      <c r="B552" s="1980">
        <f>B538+B541+B551</f>
        <v>29</v>
      </c>
      <c r="C552" s="1664"/>
      <c r="D552" s="1663">
        <f>D538+D541+D551</f>
        <v>2982709.7136000004</v>
      </c>
      <c r="E552" s="1664"/>
      <c r="F552" s="1665">
        <f>F538+F541+F551</f>
        <v>9.1536000000000008</v>
      </c>
      <c r="G552" s="1664"/>
      <c r="H552" s="1254">
        <f>H538+H541+H551</f>
        <v>98.99799999999999</v>
      </c>
      <c r="I552" s="1185">
        <f>I538+I541+I551</f>
        <v>0</v>
      </c>
      <c r="J552" s="1185">
        <f>J538+J541+J551</f>
        <v>0</v>
      </c>
      <c r="K552" s="1185">
        <f>K538+K541+K551</f>
        <v>4640</v>
      </c>
      <c r="L552" s="1185">
        <f>L538+L541+L551</f>
        <v>4640</v>
      </c>
      <c r="M552" s="1668"/>
      <c r="N552" s="1669"/>
    </row>
    <row r="553" spans="1:14">
      <c r="F553" s="10"/>
      <c r="G553" s="10"/>
      <c r="H553" s="10"/>
    </row>
    <row r="554" spans="1:14" ht="15">
      <c r="A554" s="9" t="s">
        <v>18</v>
      </c>
      <c r="B554" s="1419" t="s">
        <v>59</v>
      </c>
      <c r="C554" s="1489"/>
      <c r="D554" s="1489"/>
      <c r="E554" s="1733"/>
      <c r="F554" s="10"/>
      <c r="G554" s="10"/>
      <c r="H554" s="10"/>
    </row>
    <row r="555" spans="1:14">
      <c r="B555" s="1420" t="s">
        <v>19</v>
      </c>
      <c r="C555" s="1420"/>
      <c r="D555" s="1420"/>
      <c r="E555" s="1420"/>
      <c r="F555" s="10"/>
      <c r="G555" s="10"/>
      <c r="H555" s="10"/>
    </row>
    <row r="556" spans="1:14" ht="14" thickBot="1">
      <c r="B556" s="943"/>
      <c r="C556" s="943"/>
      <c r="D556" s="943"/>
      <c r="E556" s="943"/>
      <c r="F556" s="10"/>
      <c r="G556" s="10"/>
      <c r="H556" s="10"/>
    </row>
    <row r="557" spans="1:14" ht="16">
      <c r="A557" s="98"/>
      <c r="B557" s="99"/>
      <c r="C557" s="99"/>
      <c r="D557" s="99"/>
      <c r="E557" s="99"/>
      <c r="F557" s="100"/>
      <c r="G557" s="100"/>
      <c r="H557" s="100"/>
      <c r="I557" s="1468" t="s">
        <v>0</v>
      </c>
      <c r="J557" s="1468"/>
      <c r="K557" s="1468"/>
      <c r="L557" s="1468"/>
      <c r="M557" s="99"/>
      <c r="N557" s="101"/>
    </row>
    <row r="558" spans="1:14" ht="16">
      <c r="A558" s="97"/>
      <c r="B558" s="1469" t="s">
        <v>1</v>
      </c>
      <c r="C558" s="1469"/>
      <c r="D558" s="1469" t="s">
        <v>2</v>
      </c>
      <c r="E558" s="1469"/>
      <c r="F558" s="1863" t="s">
        <v>3</v>
      </c>
      <c r="G558" s="1863"/>
      <c r="H558" s="952" t="s">
        <v>3</v>
      </c>
      <c r="I558" s="127" t="s">
        <v>195</v>
      </c>
      <c r="J558" s="102"/>
      <c r="K558" s="102"/>
      <c r="L558" s="128"/>
      <c r="M558" s="1469" t="s">
        <v>4</v>
      </c>
      <c r="N558" s="1526"/>
    </row>
    <row r="559" spans="1:14" ht="19" thickBot="1">
      <c r="A559" s="103" t="s">
        <v>5</v>
      </c>
      <c r="B559" s="1473" t="s">
        <v>6</v>
      </c>
      <c r="C559" s="1473"/>
      <c r="D559" s="1473" t="s">
        <v>7</v>
      </c>
      <c r="E559" s="1473"/>
      <c r="F559" s="1864" t="s">
        <v>7</v>
      </c>
      <c r="G559" s="1864"/>
      <c r="H559" s="953" t="s">
        <v>58</v>
      </c>
      <c r="I559" s="937" t="s">
        <v>196</v>
      </c>
      <c r="J559" s="932" t="s">
        <v>8</v>
      </c>
      <c r="K559" s="932" t="s">
        <v>9</v>
      </c>
      <c r="L559" s="401" t="s">
        <v>10</v>
      </c>
      <c r="M559" s="1473" t="s">
        <v>145</v>
      </c>
      <c r="N559" s="1475"/>
    </row>
    <row r="560" spans="1:14" ht="24" thickBot="1">
      <c r="A560" s="255" t="s">
        <v>134</v>
      </c>
      <c r="B560" s="1476"/>
      <c r="C560" s="1477"/>
      <c r="D560" s="1478"/>
      <c r="E560" s="1479"/>
      <c r="F560" s="1878"/>
      <c r="G560" s="1879"/>
      <c r="H560" s="954"/>
      <c r="I560" s="7"/>
      <c r="J560" s="7"/>
      <c r="K560" s="7"/>
      <c r="L560" s="8"/>
      <c r="M560" s="1764"/>
      <c r="N560" s="1765"/>
    </row>
    <row r="561" spans="1:14" s="1161" customFormat="1" ht="17" thickBot="1">
      <c r="A561" s="110" t="s">
        <v>61</v>
      </c>
      <c r="B561" s="1456"/>
      <c r="C561" s="1586"/>
      <c r="D561" s="1567"/>
      <c r="E561" s="1586"/>
      <c r="F561" s="1619"/>
      <c r="G561" s="1620"/>
      <c r="H561" s="1157"/>
      <c r="I561" s="109"/>
      <c r="J561" s="109"/>
      <c r="K561" s="109"/>
      <c r="L561" s="1141"/>
      <c r="M561" s="1617"/>
      <c r="N561" s="1486"/>
    </row>
    <row r="562" spans="1:14">
      <c r="A562" s="68" t="s">
        <v>62</v>
      </c>
      <c r="B562" s="2000">
        <v>0</v>
      </c>
      <c r="C562" s="1743"/>
      <c r="D562" s="1431">
        <f>F562*325851</f>
        <v>0</v>
      </c>
      <c r="E562" s="1422"/>
      <c r="F562" s="1871">
        <f>0.0347*B562</f>
        <v>0</v>
      </c>
      <c r="G562" s="1450"/>
      <c r="H562" s="957">
        <f>F562*20</f>
        <v>0</v>
      </c>
      <c r="I562" s="131">
        <v>0</v>
      </c>
      <c r="J562" s="131">
        <v>0</v>
      </c>
      <c r="K562" s="131">
        <v>0</v>
      </c>
      <c r="L562" s="132">
        <f>I562+J562+K562</f>
        <v>0</v>
      </c>
      <c r="M562" s="1758">
        <v>0</v>
      </c>
      <c r="N562" s="1759"/>
    </row>
    <row r="563" spans="1:14">
      <c r="A563" s="68" t="s">
        <v>63</v>
      </c>
      <c r="B563" s="2000">
        <v>0</v>
      </c>
      <c r="C563" s="1743"/>
      <c r="D563" s="1431">
        <f>F563*325851</f>
        <v>0</v>
      </c>
      <c r="E563" s="1422"/>
      <c r="F563" s="1871">
        <f>0.0347*B563</f>
        <v>0</v>
      </c>
      <c r="G563" s="1450"/>
      <c r="H563" s="957">
        <f>F563*20</f>
        <v>0</v>
      </c>
      <c r="I563" s="131">
        <v>0</v>
      </c>
      <c r="J563" s="131">
        <v>0</v>
      </c>
      <c r="K563" s="131">
        <v>0</v>
      </c>
      <c r="L563" s="132">
        <f>I563+J563+K563</f>
        <v>0</v>
      </c>
      <c r="M563" s="1758">
        <v>0</v>
      </c>
      <c r="N563" s="1759"/>
    </row>
    <row r="564" spans="1:14">
      <c r="A564" s="68" t="s">
        <v>64</v>
      </c>
      <c r="B564" s="2000">
        <v>11</v>
      </c>
      <c r="C564" s="1743"/>
      <c r="D564" s="1431">
        <f>F564*325851</f>
        <v>124377.32670000002</v>
      </c>
      <c r="E564" s="1422"/>
      <c r="F564" s="1871">
        <f>0.0347*B564</f>
        <v>0.38170000000000004</v>
      </c>
      <c r="G564" s="1450"/>
      <c r="H564" s="957">
        <f>F564*20</f>
        <v>7.6340000000000003</v>
      </c>
      <c r="I564" s="131">
        <v>0</v>
      </c>
      <c r="J564" s="131">
        <f>B564*1</f>
        <v>11</v>
      </c>
      <c r="K564" s="131">
        <f>B564*60</f>
        <v>660</v>
      </c>
      <c r="L564" s="132">
        <f>I564+J564+K564</f>
        <v>671</v>
      </c>
      <c r="M564" s="1758">
        <f>L564/(F564*427)</f>
        <v>4.116920543433511</v>
      </c>
      <c r="N564" s="1759"/>
    </row>
    <row r="565" spans="1:14" s="363" customFormat="1" ht="14" thickBot="1">
      <c r="A565" s="2" t="s">
        <v>13</v>
      </c>
      <c r="B565" s="2000">
        <v>14</v>
      </c>
      <c r="C565" s="1743"/>
      <c r="D565" s="1444">
        <f>F565*325851</f>
        <v>125908.82639999999</v>
      </c>
      <c r="E565" s="1422"/>
      <c r="F565" s="1871">
        <f>0.0276*B565</f>
        <v>0.38639999999999997</v>
      </c>
      <c r="G565" s="1450"/>
      <c r="H565" s="957">
        <f>F565*15</f>
        <v>5.7959999999999994</v>
      </c>
      <c r="I565" s="131">
        <v>0</v>
      </c>
      <c r="J565" s="131">
        <f>B565*1</f>
        <v>14</v>
      </c>
      <c r="K565" s="131">
        <f>B565*110</f>
        <v>1540</v>
      </c>
      <c r="L565" s="132">
        <f>I565+J565+K565</f>
        <v>1554</v>
      </c>
      <c r="M565" s="1758">
        <f>L565/(F565*427)</f>
        <v>9.4185928113226769</v>
      </c>
      <c r="N565" s="1759"/>
    </row>
    <row r="566" spans="1:14" ht="14" thickBot="1">
      <c r="A566" s="256" t="s">
        <v>60</v>
      </c>
      <c r="B566" s="1438">
        <f>SUM(B562:C565)</f>
        <v>25</v>
      </c>
      <c r="C566" s="1609"/>
      <c r="D566" s="1441">
        <f>SUM(D562:E565)</f>
        <v>250286.1531</v>
      </c>
      <c r="E566" s="1609"/>
      <c r="F566" s="1440">
        <f>SUM(F562:G565)</f>
        <v>0.7681</v>
      </c>
      <c r="G566" s="1609"/>
      <c r="H566" s="707">
        <f>SUM(H562:H565)</f>
        <v>13.43</v>
      </c>
      <c r="I566" s="136">
        <f>SUM(I562:I565)</f>
        <v>0</v>
      </c>
      <c r="J566" s="136">
        <f>SUM(J562:J565)</f>
        <v>25</v>
      </c>
      <c r="K566" s="136">
        <f>SUM(K562:K565)</f>
        <v>2200</v>
      </c>
      <c r="L566" s="136">
        <f>SUM(L562:L565)</f>
        <v>2225</v>
      </c>
      <c r="M566" s="1657"/>
      <c r="N566" s="1622"/>
    </row>
    <row r="567" spans="1:14" s="1168" customFormat="1" ht="17" thickBot="1">
      <c r="A567" s="1251" t="s">
        <v>147</v>
      </c>
      <c r="B567" s="1456"/>
      <c r="C567" s="1586"/>
      <c r="D567" s="1567"/>
      <c r="E567" s="1586"/>
      <c r="F567" s="1882"/>
      <c r="G567" s="1883"/>
      <c r="H567" s="1142"/>
      <c r="I567" s="161"/>
      <c r="J567" s="161"/>
      <c r="K567" s="161"/>
      <c r="L567" s="162"/>
      <c r="M567" s="1617"/>
      <c r="N567" s="1486"/>
    </row>
    <row r="568" spans="1:14" ht="14" thickBot="1">
      <c r="A568" s="2" t="s">
        <v>11</v>
      </c>
      <c r="B568" s="2000">
        <v>4</v>
      </c>
      <c r="C568" s="1743"/>
      <c r="D568" s="1431">
        <f>F568*325851</f>
        <v>45228.118800000004</v>
      </c>
      <c r="E568" s="1422"/>
      <c r="F568" s="1449">
        <f>0.0347*B568</f>
        <v>0.13880000000000001</v>
      </c>
      <c r="G568" s="1450"/>
      <c r="H568" s="957">
        <f>F568*20</f>
        <v>2.7760000000000002</v>
      </c>
      <c r="I568" s="131">
        <v>0</v>
      </c>
      <c r="J568" s="131">
        <f>B568*105</f>
        <v>420</v>
      </c>
      <c r="K568" s="131">
        <f>B568*60</f>
        <v>240</v>
      </c>
      <c r="L568" s="132">
        <f>I568+J568+K568</f>
        <v>660</v>
      </c>
      <c r="M568" s="1758">
        <f>L568/(F568*427)</f>
        <v>11.135932617484089</v>
      </c>
      <c r="N568" s="1759"/>
    </row>
    <row r="569" spans="1:14" s="91" customFormat="1" ht="17" thickBot="1">
      <c r="A569" s="256" t="s">
        <v>60</v>
      </c>
      <c r="B569" s="1438">
        <f>SUM(B568)</f>
        <v>4</v>
      </c>
      <c r="C569" s="1609"/>
      <c r="D569" s="1441">
        <f>SUM(D568)</f>
        <v>45228.118800000004</v>
      </c>
      <c r="E569" s="1609"/>
      <c r="F569" s="2161">
        <f>SUM(F568)</f>
        <v>0.13880000000000001</v>
      </c>
      <c r="G569" s="2162"/>
      <c r="H569" s="707">
        <f t="shared" ref="H569:M569" si="110">SUM(H568)</f>
        <v>2.7760000000000002</v>
      </c>
      <c r="I569" s="136">
        <f t="shared" si="110"/>
        <v>0</v>
      </c>
      <c r="J569" s="136">
        <f t="shared" si="110"/>
        <v>420</v>
      </c>
      <c r="K569" s="136">
        <f t="shared" si="110"/>
        <v>240</v>
      </c>
      <c r="L569" s="136">
        <f t="shared" si="110"/>
        <v>660</v>
      </c>
      <c r="M569" s="1657">
        <f t="shared" si="110"/>
        <v>11.135932617484089</v>
      </c>
      <c r="N569" s="1622"/>
    </row>
    <row r="570" spans="1:14" s="1168" customFormat="1" ht="17" thickBot="1">
      <c r="A570" s="110" t="s">
        <v>50</v>
      </c>
      <c r="B570" s="1456"/>
      <c r="C570" s="1586"/>
      <c r="D570" s="1567"/>
      <c r="E570" s="1586"/>
      <c r="F570" s="1854"/>
      <c r="G570" s="1913"/>
      <c r="H570" s="1142"/>
      <c r="I570" s="161"/>
      <c r="J570" s="161"/>
      <c r="K570" s="161"/>
      <c r="L570" s="162"/>
      <c r="M570" s="1617"/>
      <c r="N570" s="1486"/>
    </row>
    <row r="571" spans="1:14">
      <c r="A571" s="2" t="s">
        <v>66</v>
      </c>
      <c r="B571" s="2000">
        <v>0</v>
      </c>
      <c r="C571" s="1743"/>
      <c r="D571" s="1431">
        <f t="shared" ref="D571:D576" si="111">F571*325851</f>
        <v>0</v>
      </c>
      <c r="E571" s="1422"/>
      <c r="F571" s="1449">
        <f>0.0347*B571</f>
        <v>0</v>
      </c>
      <c r="G571" s="1450"/>
      <c r="H571" s="957">
        <f>F571*20</f>
        <v>0</v>
      </c>
      <c r="I571" s="131">
        <v>0</v>
      </c>
      <c r="J571" s="131">
        <v>0</v>
      </c>
      <c r="K571" s="131">
        <v>0</v>
      </c>
      <c r="L571" s="132">
        <v>0</v>
      </c>
      <c r="M571" s="1758">
        <v>0</v>
      </c>
      <c r="N571" s="1759"/>
    </row>
    <row r="572" spans="1:14">
      <c r="A572" s="2" t="s">
        <v>23</v>
      </c>
      <c r="B572" s="2000">
        <v>0</v>
      </c>
      <c r="C572" s="1743"/>
      <c r="D572" s="1431">
        <f t="shared" si="111"/>
        <v>0</v>
      </c>
      <c r="E572" s="1422"/>
      <c r="F572" s="1449">
        <f>0.644*B572</f>
        <v>0</v>
      </c>
      <c r="G572" s="1450"/>
      <c r="H572" s="957">
        <f>F572*5</f>
        <v>0</v>
      </c>
      <c r="I572" s="131">
        <v>0</v>
      </c>
      <c r="J572" s="131">
        <v>0</v>
      </c>
      <c r="K572" s="131">
        <v>0</v>
      </c>
      <c r="L572" s="132">
        <v>0</v>
      </c>
      <c r="M572" s="1758">
        <v>0</v>
      </c>
      <c r="N572" s="1759"/>
    </row>
    <row r="573" spans="1:14">
      <c r="A573" s="2" t="s">
        <v>13</v>
      </c>
      <c r="B573" s="2000">
        <v>0</v>
      </c>
      <c r="C573" s="1743"/>
      <c r="D573" s="1431">
        <f t="shared" si="111"/>
        <v>0</v>
      </c>
      <c r="E573" s="1422"/>
      <c r="F573" s="1449">
        <f>0.0276*B573</f>
        <v>0</v>
      </c>
      <c r="G573" s="1450"/>
      <c r="H573" s="957">
        <f>F573*15</f>
        <v>0</v>
      </c>
      <c r="I573" s="131">
        <v>0</v>
      </c>
      <c r="J573" s="131">
        <v>0</v>
      </c>
      <c r="K573" s="131">
        <v>0</v>
      </c>
      <c r="L573" s="132">
        <v>0</v>
      </c>
      <c r="M573" s="1758">
        <v>0</v>
      </c>
      <c r="N573" s="1759"/>
    </row>
    <row r="574" spans="1:14">
      <c r="A574" s="5" t="s">
        <v>15</v>
      </c>
      <c r="B574" s="2000">
        <v>0</v>
      </c>
      <c r="C574" s="1743"/>
      <c r="D574" s="1431">
        <f t="shared" si="111"/>
        <v>0</v>
      </c>
      <c r="E574" s="1422"/>
      <c r="F574" s="1449">
        <f>0.1534*B574</f>
        <v>0</v>
      </c>
      <c r="G574" s="1450"/>
      <c r="H574" s="957">
        <f>F574*5</f>
        <v>0</v>
      </c>
      <c r="I574" s="131">
        <v>0</v>
      </c>
      <c r="J574" s="131">
        <v>0</v>
      </c>
      <c r="K574" s="131">
        <v>0</v>
      </c>
      <c r="L574" s="132">
        <f>I574+J574+K574</f>
        <v>0</v>
      </c>
      <c r="M574" s="1758">
        <v>0</v>
      </c>
      <c r="N574" s="1759"/>
    </row>
    <row r="575" spans="1:14">
      <c r="A575" s="5" t="s">
        <v>16</v>
      </c>
      <c r="B575" s="2000">
        <v>0</v>
      </c>
      <c r="C575" s="1743"/>
      <c r="D575" s="1431">
        <f t="shared" si="111"/>
        <v>0</v>
      </c>
      <c r="E575" s="1422"/>
      <c r="F575" s="1449">
        <f>0.004*B575</f>
        <v>0</v>
      </c>
      <c r="G575" s="1450"/>
      <c r="H575" s="957">
        <f>F575*5</f>
        <v>0</v>
      </c>
      <c r="I575" s="131">
        <v>0</v>
      </c>
      <c r="J575" s="131">
        <v>0</v>
      </c>
      <c r="K575" s="131">
        <v>0</v>
      </c>
      <c r="L575" s="132">
        <f>I575+J575+K575</f>
        <v>0</v>
      </c>
      <c r="M575" s="1758">
        <v>0</v>
      </c>
      <c r="N575" s="1759"/>
    </row>
    <row r="576" spans="1:14" s="91" customFormat="1" ht="17" thickBot="1">
      <c r="A576" s="69" t="s">
        <v>89</v>
      </c>
      <c r="B576" s="2000">
        <v>0</v>
      </c>
      <c r="C576" s="1743"/>
      <c r="D576" s="1431">
        <f t="shared" si="111"/>
        <v>0</v>
      </c>
      <c r="E576" s="1422"/>
      <c r="F576" s="1886">
        <f>0.65*B576</f>
        <v>0</v>
      </c>
      <c r="G576" s="1887"/>
      <c r="H576" s="957">
        <f>F576*10</f>
        <v>0</v>
      </c>
      <c r="I576" s="131">
        <v>0</v>
      </c>
      <c r="J576" s="131">
        <v>0</v>
      </c>
      <c r="K576" s="131">
        <v>0</v>
      </c>
      <c r="L576" s="132">
        <f>I576+J576+K576</f>
        <v>0</v>
      </c>
      <c r="M576" s="1758">
        <v>0</v>
      </c>
      <c r="N576" s="1759"/>
    </row>
    <row r="577" spans="1:14" ht="14" thickBot="1">
      <c r="A577" s="256" t="s">
        <v>60</v>
      </c>
      <c r="B577" s="1438">
        <f>SUM(B571:C576)</f>
        <v>0</v>
      </c>
      <c r="C577" s="1609"/>
      <c r="D577" s="1441">
        <f>SUM(D571:E576)</f>
        <v>0</v>
      </c>
      <c r="E577" s="1609"/>
      <c r="F577" s="1440">
        <f>SUM(F571:G576)</f>
        <v>0</v>
      </c>
      <c r="G577" s="1609"/>
      <c r="H577" s="56">
        <f>SUM(H571:H576)</f>
        <v>0</v>
      </c>
      <c r="I577" s="152">
        <f>SUM(I571:I576)</f>
        <v>0</v>
      </c>
      <c r="J577" s="378">
        <f>SUM(J571:J576)</f>
        <v>0</v>
      </c>
      <c r="K577" s="378">
        <f>SUM(K571:K576)</f>
        <v>0</v>
      </c>
      <c r="L577" s="143">
        <f>SUM(L571:L576)</f>
        <v>0</v>
      </c>
      <c r="M577" s="1657"/>
      <c r="N577" s="1622"/>
    </row>
    <row r="578" spans="1:14" s="1168" customFormat="1" ht="17" thickBot="1">
      <c r="A578" s="1182" t="s">
        <v>17</v>
      </c>
      <c r="B578" s="1414">
        <f>B566+B569+B577</f>
        <v>29</v>
      </c>
      <c r="C578" s="1682"/>
      <c r="D578" s="1612">
        <f>D566+D569+D577</f>
        <v>295514.27189999999</v>
      </c>
      <c r="E578" s="1682"/>
      <c r="F578" s="1416">
        <f>F566+F569+F577</f>
        <v>0.90690000000000004</v>
      </c>
      <c r="G578" s="1682"/>
      <c r="H578" s="1201">
        <f>SUM(H577,H569,H566)</f>
        <v>16.206</v>
      </c>
      <c r="I578" s="1175">
        <f>I566+I569+I577</f>
        <v>0</v>
      </c>
      <c r="J578" s="1175">
        <f>SUM(J577,J569,J566)</f>
        <v>445</v>
      </c>
      <c r="K578" s="1175">
        <f>SUM(K577,K569,K566)</f>
        <v>2440</v>
      </c>
      <c r="L578" s="1175">
        <f>SUM(L577,L569,L566)</f>
        <v>2885</v>
      </c>
      <c r="M578" s="1672"/>
      <c r="N578" s="1673"/>
    </row>
    <row r="579" spans="1:14" s="91" customFormat="1" ht="16">
      <c r="A579" s="50"/>
      <c r="B579" s="70"/>
      <c r="C579" s="70"/>
      <c r="D579" s="20"/>
      <c r="E579" s="20"/>
      <c r="F579" s="51"/>
      <c r="G579" s="51"/>
      <c r="H579" s="51"/>
      <c r="I579" s="20"/>
      <c r="J579" s="21"/>
      <c r="K579" s="21"/>
      <c r="L579" s="21"/>
      <c r="M579" s="18"/>
      <c r="N579" s="18"/>
    </row>
    <row r="580" spans="1:14" ht="14" thickBot="1">
      <c r="A580" s="50"/>
      <c r="B580" s="70"/>
      <c r="C580" s="70"/>
      <c r="D580" s="20"/>
      <c r="E580" s="20"/>
      <c r="F580" s="51"/>
      <c r="G580" s="51"/>
      <c r="H580" s="51"/>
      <c r="I580" s="20"/>
      <c r="J580" s="21"/>
      <c r="K580" s="21"/>
      <c r="L580" s="21"/>
      <c r="M580" s="18"/>
      <c r="N580" s="18"/>
    </row>
    <row r="581" spans="1:14" ht="24" thickBot="1">
      <c r="A581" s="255" t="s">
        <v>135</v>
      </c>
      <c r="B581" s="1476"/>
      <c r="C581" s="1477"/>
      <c r="D581" s="1478"/>
      <c r="E581" s="1479"/>
      <c r="F581" s="1878"/>
      <c r="G581" s="1879"/>
      <c r="H581" s="642"/>
      <c r="I581" s="7"/>
      <c r="J581" s="7"/>
      <c r="K581" s="7"/>
      <c r="L581" s="8"/>
      <c r="M581" s="1764"/>
      <c r="N581" s="1765"/>
    </row>
    <row r="582" spans="1:14" s="1168" customFormat="1" ht="17" thickBot="1">
      <c r="A582" s="110" t="s">
        <v>61</v>
      </c>
      <c r="B582" s="1456"/>
      <c r="C582" s="1586"/>
      <c r="D582" s="1567"/>
      <c r="E582" s="1586"/>
      <c r="F582" s="1619"/>
      <c r="G582" s="1620"/>
      <c r="H582" s="1157"/>
      <c r="I582" s="109"/>
      <c r="J582" s="109"/>
      <c r="K582" s="109"/>
      <c r="L582" s="1141"/>
      <c r="M582" s="1617"/>
      <c r="N582" s="1486"/>
    </row>
    <row r="583" spans="1:14">
      <c r="A583" s="68" t="s">
        <v>62</v>
      </c>
      <c r="B583" s="2000">
        <v>0</v>
      </c>
      <c r="C583" s="1743"/>
      <c r="D583" s="1431">
        <f>F583*325851</f>
        <v>0</v>
      </c>
      <c r="E583" s="1422"/>
      <c r="F583" s="1871">
        <f>0.0347*B583</f>
        <v>0</v>
      </c>
      <c r="G583" s="1450"/>
      <c r="H583" s="957">
        <f>F583*20</f>
        <v>0</v>
      </c>
      <c r="I583" s="131">
        <v>0</v>
      </c>
      <c r="J583" s="131">
        <v>0</v>
      </c>
      <c r="K583" s="131">
        <v>0</v>
      </c>
      <c r="L583" s="132">
        <f>I583+J583+K583</f>
        <v>0</v>
      </c>
      <c r="M583" s="1758">
        <v>0</v>
      </c>
      <c r="N583" s="1759"/>
    </row>
    <row r="584" spans="1:14">
      <c r="A584" s="68" t="s">
        <v>63</v>
      </c>
      <c r="B584" s="2000">
        <v>2</v>
      </c>
      <c r="C584" s="1743"/>
      <c r="D584" s="1431">
        <f>F584*325851</f>
        <v>22614.059400000002</v>
      </c>
      <c r="E584" s="1422"/>
      <c r="F584" s="1871">
        <f>0.0347*B584</f>
        <v>6.9400000000000003E-2</v>
      </c>
      <c r="G584" s="1450"/>
      <c r="H584" s="957">
        <f>F584*20</f>
        <v>1.3880000000000001</v>
      </c>
      <c r="I584" s="131">
        <v>0</v>
      </c>
      <c r="J584" s="131">
        <f>B584*11</f>
        <v>22</v>
      </c>
      <c r="K584" s="131">
        <f>B584*60</f>
        <v>120</v>
      </c>
      <c r="L584" s="132">
        <f>I584+J584+K584</f>
        <v>142</v>
      </c>
      <c r="M584" s="1758">
        <f>L584/(F584*427)</f>
        <v>4.7918255505537592</v>
      </c>
      <c r="N584" s="1759"/>
    </row>
    <row r="585" spans="1:14" s="91" customFormat="1" ht="16">
      <c r="A585" s="68" t="s">
        <v>64</v>
      </c>
      <c r="B585" s="2000">
        <v>6</v>
      </c>
      <c r="C585" s="1743"/>
      <c r="D585" s="1431">
        <f>F585*325851</f>
        <v>67842.178199999995</v>
      </c>
      <c r="E585" s="1422"/>
      <c r="F585" s="1871">
        <f>0.0347*B585</f>
        <v>0.2082</v>
      </c>
      <c r="G585" s="1450"/>
      <c r="H585" s="957">
        <f>F585*20</f>
        <v>4.1639999999999997</v>
      </c>
      <c r="I585" s="131">
        <v>0</v>
      </c>
      <c r="J585" s="131">
        <f>B585*1</f>
        <v>6</v>
      </c>
      <c r="K585" s="131">
        <f>B585*60</f>
        <v>360</v>
      </c>
      <c r="L585" s="132">
        <f>I585+J585+K585</f>
        <v>366</v>
      </c>
      <c r="M585" s="1758">
        <f>L585/(F585*427)</f>
        <v>4.1169205434335119</v>
      </c>
      <c r="N585" s="1759"/>
    </row>
    <row r="586" spans="1:14">
      <c r="A586" s="2" t="s">
        <v>13</v>
      </c>
      <c r="B586" s="2000">
        <v>26</v>
      </c>
      <c r="C586" s="1743"/>
      <c r="D586" s="1431">
        <f>F586*325851</f>
        <v>233830.6776</v>
      </c>
      <c r="E586" s="1422"/>
      <c r="F586" s="1449">
        <f>0.0276*B586</f>
        <v>0.71760000000000002</v>
      </c>
      <c r="G586" s="1450"/>
      <c r="H586" s="957">
        <f>F586*15</f>
        <v>10.763999999999999</v>
      </c>
      <c r="I586" s="131">
        <v>0</v>
      </c>
      <c r="J586" s="131">
        <f>B586*1</f>
        <v>26</v>
      </c>
      <c r="K586" s="131">
        <f>B586*110</f>
        <v>2860</v>
      </c>
      <c r="L586" s="132">
        <f>I586+J586+K586</f>
        <v>2886</v>
      </c>
      <c r="M586" s="1758">
        <f>L586/(F586*427)</f>
        <v>9.4185928113226751</v>
      </c>
      <c r="N586" s="1759"/>
    </row>
    <row r="587" spans="1:14" ht="14" thickBot="1">
      <c r="A587" s="5" t="s">
        <v>14</v>
      </c>
      <c r="B587" s="2000">
        <v>0</v>
      </c>
      <c r="C587" s="1743"/>
      <c r="D587" s="1431">
        <f>46.8*B587*365</f>
        <v>0</v>
      </c>
      <c r="E587" s="1422"/>
      <c r="F587" s="1449">
        <f>D587/325900</f>
        <v>0</v>
      </c>
      <c r="G587" s="1450"/>
      <c r="H587" s="957">
        <f>F587*5</f>
        <v>0</v>
      </c>
      <c r="I587" s="131">
        <v>0</v>
      </c>
      <c r="J587" s="131">
        <v>0</v>
      </c>
      <c r="K587" s="131">
        <v>0</v>
      </c>
      <c r="L587" s="132">
        <f>I587+J587+K587</f>
        <v>0</v>
      </c>
      <c r="M587" s="1758">
        <v>0</v>
      </c>
      <c r="N587" s="1759"/>
    </row>
    <row r="588" spans="1:14" ht="14" thickBot="1">
      <c r="A588" s="256" t="s">
        <v>60</v>
      </c>
      <c r="B588" s="1438">
        <f>SUM(B583:C587)</f>
        <v>34</v>
      </c>
      <c r="C588" s="1609"/>
      <c r="D588" s="1441">
        <f>SUM(D583:E587)</f>
        <v>324286.91519999999</v>
      </c>
      <c r="E588" s="1609"/>
      <c r="F588" s="1440">
        <f>SUM(F583:G587)</f>
        <v>0.99520000000000008</v>
      </c>
      <c r="G588" s="1609"/>
      <c r="H588" s="707">
        <f>SUM(H583:H587)</f>
        <v>16.315999999999999</v>
      </c>
      <c r="I588" s="136">
        <f>SUM(I583:I587)</f>
        <v>0</v>
      </c>
      <c r="J588" s="136">
        <f>SUM(J583:J587)</f>
        <v>54</v>
      </c>
      <c r="K588" s="136">
        <f>SUM(K583:K587)</f>
        <v>3340</v>
      </c>
      <c r="L588" s="136">
        <f>SUM(L583:L587)</f>
        <v>3394</v>
      </c>
      <c r="M588" s="1657"/>
      <c r="N588" s="1622"/>
    </row>
    <row r="589" spans="1:14" s="1161" customFormat="1" ht="17" thickBot="1">
      <c r="A589" s="1251" t="s">
        <v>147</v>
      </c>
      <c r="B589" s="1456"/>
      <c r="C589" s="1586"/>
      <c r="D589" s="1567"/>
      <c r="E589" s="1586"/>
      <c r="F589" s="1882"/>
      <c r="G589" s="1883"/>
      <c r="H589" s="1142"/>
      <c r="I589" s="161"/>
      <c r="J589" s="161"/>
      <c r="K589" s="161"/>
      <c r="L589" s="162"/>
      <c r="M589" s="1617"/>
      <c r="N589" s="1486"/>
    </row>
    <row r="590" spans="1:14" ht="14" thickBot="1">
      <c r="A590" s="2" t="s">
        <v>11</v>
      </c>
      <c r="B590" s="2000">
        <v>0</v>
      </c>
      <c r="C590" s="1743"/>
      <c r="D590" s="1431">
        <f>F590*325851</f>
        <v>0</v>
      </c>
      <c r="E590" s="1422"/>
      <c r="F590" s="1449">
        <f>0.0347*B590</f>
        <v>0</v>
      </c>
      <c r="G590" s="1450"/>
      <c r="H590" s="957">
        <f>F590*20</f>
        <v>0</v>
      </c>
      <c r="I590" s="131">
        <v>0</v>
      </c>
      <c r="J590" s="131">
        <v>0</v>
      </c>
      <c r="K590" s="131">
        <v>0</v>
      </c>
      <c r="L590" s="132">
        <f>I590+J590+K590</f>
        <v>0</v>
      </c>
      <c r="M590" s="1758">
        <v>0</v>
      </c>
      <c r="N590" s="1759"/>
    </row>
    <row r="591" spans="1:14" ht="14" thickBot="1">
      <c r="A591" s="256" t="s">
        <v>60</v>
      </c>
      <c r="B591" s="1438">
        <f>SUM(B590)</f>
        <v>0</v>
      </c>
      <c r="C591" s="1609"/>
      <c r="D591" s="1441">
        <f>SUM(D590)</f>
        <v>0</v>
      </c>
      <c r="E591" s="1609"/>
      <c r="F591" s="1440">
        <f>SUM(F590)</f>
        <v>0</v>
      </c>
      <c r="G591" s="1609"/>
      <c r="H591" s="707">
        <f t="shared" ref="H591:M591" si="112">SUM(H590)</f>
        <v>0</v>
      </c>
      <c r="I591" s="136">
        <f t="shared" si="112"/>
        <v>0</v>
      </c>
      <c r="J591" s="136">
        <f t="shared" si="112"/>
        <v>0</v>
      </c>
      <c r="K591" s="136">
        <f t="shared" si="112"/>
        <v>0</v>
      </c>
      <c r="L591" s="136">
        <f t="shared" si="112"/>
        <v>0</v>
      </c>
      <c r="M591" s="1657">
        <f t="shared" si="112"/>
        <v>0</v>
      </c>
      <c r="N591" s="1622"/>
    </row>
    <row r="592" spans="1:14" s="1168" customFormat="1" ht="17" thickBot="1">
      <c r="A592" s="110" t="s">
        <v>50</v>
      </c>
      <c r="B592" s="1456"/>
      <c r="C592" s="1586"/>
      <c r="D592" s="1567"/>
      <c r="E592" s="1586"/>
      <c r="F592" s="1854"/>
      <c r="G592" s="1913"/>
      <c r="H592" s="1150"/>
      <c r="I592" s="161"/>
      <c r="J592" s="161"/>
      <c r="K592" s="161"/>
      <c r="L592" s="162"/>
      <c r="M592" s="1617"/>
      <c r="N592" s="1486"/>
    </row>
    <row r="593" spans="1:14">
      <c r="A593" s="2" t="s">
        <v>66</v>
      </c>
      <c r="B593" s="2000">
        <v>0</v>
      </c>
      <c r="C593" s="1743"/>
      <c r="D593" s="1431">
        <f t="shared" ref="D593:D598" si="113">F593*325851</f>
        <v>0</v>
      </c>
      <c r="E593" s="1422"/>
      <c r="F593" s="1449">
        <f>0.0347*B593</f>
        <v>0</v>
      </c>
      <c r="G593" s="1450"/>
      <c r="H593" s="957">
        <f>F593*20</f>
        <v>0</v>
      </c>
      <c r="I593" s="131">
        <v>0</v>
      </c>
      <c r="J593" s="131">
        <v>0</v>
      </c>
      <c r="K593" s="131">
        <v>0</v>
      </c>
      <c r="L593" s="132">
        <v>0</v>
      </c>
      <c r="M593" s="1758">
        <v>0</v>
      </c>
      <c r="N593" s="1759"/>
    </row>
    <row r="594" spans="1:14">
      <c r="A594" s="2" t="s">
        <v>68</v>
      </c>
      <c r="B594" s="2000">
        <v>0</v>
      </c>
      <c r="C594" s="1743"/>
      <c r="D594" s="1431">
        <f t="shared" si="113"/>
        <v>0</v>
      </c>
      <c r="E594" s="1422"/>
      <c r="F594" s="1449">
        <f>0.644*B594</f>
        <v>0</v>
      </c>
      <c r="G594" s="1450"/>
      <c r="H594" s="957">
        <f>F594*5</f>
        <v>0</v>
      </c>
      <c r="I594" s="131">
        <v>0</v>
      </c>
      <c r="J594" s="131">
        <v>0</v>
      </c>
      <c r="K594" s="131">
        <v>0</v>
      </c>
      <c r="L594" s="132">
        <v>0</v>
      </c>
      <c r="M594" s="1758">
        <v>0</v>
      </c>
      <c r="N594" s="1759"/>
    </row>
    <row r="595" spans="1:14">
      <c r="A595" s="2" t="s">
        <v>13</v>
      </c>
      <c r="B595" s="2000">
        <v>0</v>
      </c>
      <c r="C595" s="1743"/>
      <c r="D595" s="1431">
        <f t="shared" si="113"/>
        <v>0</v>
      </c>
      <c r="E595" s="1422"/>
      <c r="F595" s="1449">
        <f>0.0276*B595</f>
        <v>0</v>
      </c>
      <c r="G595" s="1450"/>
      <c r="H595" s="957">
        <f>F595*15</f>
        <v>0</v>
      </c>
      <c r="I595" s="131">
        <v>0</v>
      </c>
      <c r="J595" s="131">
        <v>0</v>
      </c>
      <c r="K595" s="131">
        <v>0</v>
      </c>
      <c r="L595" s="132">
        <f>I595+J595+K595</f>
        <v>0</v>
      </c>
      <c r="M595" s="1758">
        <v>0</v>
      </c>
      <c r="N595" s="1759"/>
    </row>
    <row r="596" spans="1:14" s="91" customFormat="1" ht="16">
      <c r="A596" s="5" t="s">
        <v>15</v>
      </c>
      <c r="B596" s="2000">
        <v>0</v>
      </c>
      <c r="C596" s="1743"/>
      <c r="D596" s="1431">
        <f t="shared" si="113"/>
        <v>0</v>
      </c>
      <c r="E596" s="1422"/>
      <c r="F596" s="1449">
        <f>0.1534*B596</f>
        <v>0</v>
      </c>
      <c r="G596" s="1450"/>
      <c r="H596" s="957">
        <f>F596*5</f>
        <v>0</v>
      </c>
      <c r="I596" s="131">
        <v>0</v>
      </c>
      <c r="J596" s="131">
        <v>0</v>
      </c>
      <c r="K596" s="131">
        <v>0</v>
      </c>
      <c r="L596" s="132">
        <f>I596+J596+K596</f>
        <v>0</v>
      </c>
      <c r="M596" s="1758">
        <v>0</v>
      </c>
      <c r="N596" s="1759"/>
    </row>
    <row r="597" spans="1:14">
      <c r="A597" s="5" t="s">
        <v>16</v>
      </c>
      <c r="B597" s="2000">
        <v>0</v>
      </c>
      <c r="C597" s="1743"/>
      <c r="D597" s="1431">
        <f t="shared" si="113"/>
        <v>0</v>
      </c>
      <c r="E597" s="1422"/>
      <c r="F597" s="1449">
        <f>0.004*B597</f>
        <v>0</v>
      </c>
      <c r="G597" s="1450"/>
      <c r="H597" s="957">
        <f>F597*5</f>
        <v>0</v>
      </c>
      <c r="I597" s="131">
        <v>0</v>
      </c>
      <c r="J597" s="131">
        <v>0</v>
      </c>
      <c r="K597" s="131">
        <v>0</v>
      </c>
      <c r="L597" s="132">
        <f>I597+J597+K597</f>
        <v>0</v>
      </c>
      <c r="M597" s="1758">
        <v>0</v>
      </c>
      <c r="N597" s="1759"/>
    </row>
    <row r="598" spans="1:14" ht="14" thickBot="1">
      <c r="A598" s="2" t="s">
        <v>76</v>
      </c>
      <c r="B598" s="2000">
        <v>0</v>
      </c>
      <c r="C598" s="1743"/>
      <c r="D598" s="1431">
        <f t="shared" si="113"/>
        <v>0</v>
      </c>
      <c r="E598" s="1422"/>
      <c r="F598" s="1449">
        <f>3.2*B598</f>
        <v>0</v>
      </c>
      <c r="G598" s="1450"/>
      <c r="H598" s="957">
        <f>F598*5</f>
        <v>0</v>
      </c>
      <c r="I598" s="131">
        <v>0</v>
      </c>
      <c r="J598" s="131">
        <v>0</v>
      </c>
      <c r="K598" s="131">
        <v>0</v>
      </c>
      <c r="L598" s="132">
        <v>0</v>
      </c>
      <c r="M598" s="1758">
        <v>0</v>
      </c>
      <c r="N598" s="1759"/>
    </row>
    <row r="599" spans="1:14" s="91" customFormat="1" ht="17" thickBot="1">
      <c r="A599" s="256" t="s">
        <v>60</v>
      </c>
      <c r="B599" s="1438">
        <f>SUM(B593:C598)</f>
        <v>0</v>
      </c>
      <c r="C599" s="1609"/>
      <c r="D599" s="1441">
        <f>SUM(D592:E598)</f>
        <v>0</v>
      </c>
      <c r="E599" s="1609"/>
      <c r="F599" s="1440">
        <f>SUM(F592:G598)</f>
        <v>0</v>
      </c>
      <c r="G599" s="1621"/>
      <c r="H599" s="618">
        <f>SUM(H593:H598)</f>
        <v>0</v>
      </c>
      <c r="I599" s="378">
        <f>SUM(I593:I598)</f>
        <v>0</v>
      </c>
      <c r="J599" s="378">
        <f>SUM(J593:J598)</f>
        <v>0</v>
      </c>
      <c r="K599" s="378">
        <f>SUM(K593:K598)</f>
        <v>0</v>
      </c>
      <c r="L599" s="143">
        <f>SUM(L593:L598)</f>
        <v>0</v>
      </c>
      <c r="M599" s="1657"/>
      <c r="N599" s="1622"/>
    </row>
    <row r="600" spans="1:14" s="1168" customFormat="1" ht="17" thickBot="1">
      <c r="A600" s="1183" t="s">
        <v>17</v>
      </c>
      <c r="B600" s="1665">
        <f>B599+B588+B591</f>
        <v>34</v>
      </c>
      <c r="C600" s="1684"/>
      <c r="D600" s="1665">
        <f>D599+D588+D591</f>
        <v>324286.91519999999</v>
      </c>
      <c r="E600" s="1684"/>
      <c r="F600" s="1665">
        <f>F599+F588+F591</f>
        <v>0.99520000000000008</v>
      </c>
      <c r="G600" s="1684"/>
      <c r="H600" s="1254">
        <f>SUM(H599,H591,H588)</f>
        <v>16.315999999999999</v>
      </c>
      <c r="I600" s="1188">
        <f>I588+I591+I599</f>
        <v>0</v>
      </c>
      <c r="J600" s="1188">
        <f>J588+J591+J599</f>
        <v>54</v>
      </c>
      <c r="K600" s="1188">
        <f>K588+K591+K599</f>
        <v>3340</v>
      </c>
      <c r="L600" s="1188">
        <f>L588+L591+L599</f>
        <v>3394</v>
      </c>
      <c r="M600" s="1668"/>
      <c r="N600" s="1669"/>
    </row>
    <row r="601" spans="1:14">
      <c r="F601" s="10"/>
      <c r="G601" s="10"/>
      <c r="H601" s="10"/>
    </row>
    <row r="602" spans="1:14" ht="15">
      <c r="A602" s="9" t="s">
        <v>18</v>
      </c>
      <c r="B602" s="1419" t="s">
        <v>59</v>
      </c>
      <c r="C602" s="1489"/>
      <c r="D602" s="1489"/>
      <c r="E602" s="1733"/>
      <c r="F602" s="10"/>
      <c r="G602" s="10"/>
      <c r="H602" s="10"/>
    </row>
    <row r="603" spans="1:14">
      <c r="B603" s="1420" t="s">
        <v>19</v>
      </c>
      <c r="C603" s="1420"/>
      <c r="D603" s="1420"/>
      <c r="E603" s="1420"/>
      <c r="F603" s="10"/>
      <c r="G603" s="10"/>
      <c r="H603" s="10"/>
    </row>
    <row r="604" spans="1:14" ht="14" thickBot="1">
      <c r="B604" s="943"/>
      <c r="C604" s="943"/>
      <c r="D604" s="943"/>
      <c r="E604" s="943"/>
      <c r="F604" s="10"/>
      <c r="G604" s="10"/>
      <c r="H604" s="10"/>
    </row>
    <row r="605" spans="1:14" ht="16">
      <c r="A605" s="98"/>
      <c r="B605" s="99"/>
      <c r="C605" s="99"/>
      <c r="D605" s="99"/>
      <c r="E605" s="99"/>
      <c r="F605" s="100"/>
      <c r="G605" s="100"/>
      <c r="H605" s="100"/>
      <c r="I605" s="1468" t="s">
        <v>0</v>
      </c>
      <c r="J605" s="1468"/>
      <c r="K605" s="1468"/>
      <c r="L605" s="1468"/>
      <c r="M605" s="99"/>
      <c r="N605" s="101"/>
    </row>
    <row r="606" spans="1:14" ht="16">
      <c r="A606" s="97"/>
      <c r="B606" s="1469" t="s">
        <v>1</v>
      </c>
      <c r="C606" s="1469"/>
      <c r="D606" s="1469" t="s">
        <v>2</v>
      </c>
      <c r="E606" s="1469"/>
      <c r="F606" s="1863" t="s">
        <v>3</v>
      </c>
      <c r="G606" s="1863"/>
      <c r="H606" s="952" t="s">
        <v>3</v>
      </c>
      <c r="I606" s="127" t="s">
        <v>195</v>
      </c>
      <c r="J606" s="102"/>
      <c r="K606" s="102"/>
      <c r="L606" s="128"/>
      <c r="M606" s="1469" t="s">
        <v>4</v>
      </c>
      <c r="N606" s="1526"/>
    </row>
    <row r="607" spans="1:14" s="91" customFormat="1" ht="19" thickBot="1">
      <c r="A607" s="103" t="s">
        <v>5</v>
      </c>
      <c r="B607" s="1473" t="s">
        <v>6</v>
      </c>
      <c r="C607" s="1473"/>
      <c r="D607" s="1473" t="s">
        <v>7</v>
      </c>
      <c r="E607" s="1473"/>
      <c r="F607" s="1864" t="s">
        <v>7</v>
      </c>
      <c r="G607" s="1864"/>
      <c r="H607" s="953" t="s">
        <v>58</v>
      </c>
      <c r="I607" s="937" t="s">
        <v>196</v>
      </c>
      <c r="J607" s="932" t="s">
        <v>8</v>
      </c>
      <c r="K607" s="932" t="s">
        <v>9</v>
      </c>
      <c r="L607" s="401" t="s">
        <v>10</v>
      </c>
      <c r="M607" s="1473" t="s">
        <v>145</v>
      </c>
      <c r="N607" s="1475"/>
    </row>
    <row r="608" spans="1:14" ht="24" thickBot="1">
      <c r="A608" s="88" t="s">
        <v>136</v>
      </c>
      <c r="B608" s="1764"/>
      <c r="C608" s="1477"/>
      <c r="D608" s="1478"/>
      <c r="E608" s="1479"/>
      <c r="F608" s="1878"/>
      <c r="G608" s="1879"/>
      <c r="H608" s="954"/>
      <c r="I608" s="7"/>
      <c r="J608" s="7"/>
      <c r="K608" s="7"/>
      <c r="L608" s="8"/>
      <c r="M608" s="1764"/>
      <c r="N608" s="1765"/>
    </row>
    <row r="609" spans="1:14" s="1168" customFormat="1" ht="17" thickBot="1">
      <c r="A609" s="108" t="s">
        <v>61</v>
      </c>
      <c r="B609" s="1567"/>
      <c r="C609" s="1586"/>
      <c r="D609" s="1567"/>
      <c r="E609" s="1586"/>
      <c r="F609" s="1619"/>
      <c r="G609" s="1620"/>
      <c r="H609" s="1157"/>
      <c r="I609" s="109"/>
      <c r="J609" s="109"/>
      <c r="K609" s="109"/>
      <c r="L609" s="1141"/>
      <c r="M609" s="1617"/>
      <c r="N609" s="1486"/>
    </row>
    <row r="610" spans="1:14">
      <c r="A610" s="68" t="s">
        <v>62</v>
      </c>
      <c r="B610" s="2126">
        <v>0</v>
      </c>
      <c r="C610" s="1915"/>
      <c r="D610" s="1855">
        <f>F610*325851</f>
        <v>0</v>
      </c>
      <c r="E610" s="1732"/>
      <c r="F610" s="1899">
        <f>0.0347*B610</f>
        <v>0</v>
      </c>
      <c r="G610" s="1885"/>
      <c r="H610" s="958">
        <f>F610*20</f>
        <v>0</v>
      </c>
      <c r="I610" s="147">
        <v>0</v>
      </c>
      <c r="J610" s="147">
        <v>0</v>
      </c>
      <c r="K610" s="147">
        <v>0</v>
      </c>
      <c r="L610" s="670">
        <f>I610+J610+K610</f>
        <v>0</v>
      </c>
      <c r="M610" s="1792">
        <v>0</v>
      </c>
      <c r="N610" s="1793"/>
    </row>
    <row r="611" spans="1:14">
      <c r="A611" s="68" t="s">
        <v>63</v>
      </c>
      <c r="B611" s="2000">
        <v>2</v>
      </c>
      <c r="C611" s="1743"/>
      <c r="D611" s="1431">
        <f>F611*325851</f>
        <v>22614.059400000002</v>
      </c>
      <c r="E611" s="1422"/>
      <c r="F611" s="1871">
        <f>0.0347*B611</f>
        <v>6.9400000000000003E-2</v>
      </c>
      <c r="G611" s="1450"/>
      <c r="H611" s="957">
        <f>F611*20</f>
        <v>1.3880000000000001</v>
      </c>
      <c r="I611" s="131">
        <v>0</v>
      </c>
      <c r="J611" s="131">
        <v>22</v>
      </c>
      <c r="K611" s="131">
        <v>120</v>
      </c>
      <c r="L611" s="132">
        <f>I611+J611+K611</f>
        <v>142</v>
      </c>
      <c r="M611" s="1788">
        <v>3.4</v>
      </c>
      <c r="N611" s="1789"/>
    </row>
    <row r="612" spans="1:14">
      <c r="A612" s="68" t="s">
        <v>64</v>
      </c>
      <c r="B612" s="2000">
        <v>25</v>
      </c>
      <c r="C612" s="1743"/>
      <c r="D612" s="1431">
        <f>F612*325851</f>
        <v>282675.74249999999</v>
      </c>
      <c r="E612" s="1422"/>
      <c r="F612" s="1871">
        <f>0.0347*B612</f>
        <v>0.86750000000000005</v>
      </c>
      <c r="G612" s="1450"/>
      <c r="H612" s="957">
        <f>F612*20</f>
        <v>17.350000000000001</v>
      </c>
      <c r="I612" s="131">
        <v>0</v>
      </c>
      <c r="J612" s="131">
        <v>25</v>
      </c>
      <c r="K612" s="131">
        <v>1500</v>
      </c>
      <c r="L612" s="132">
        <f>I612+J612+K612</f>
        <v>1525</v>
      </c>
      <c r="M612" s="1788">
        <v>4.5</v>
      </c>
      <c r="N612" s="1789"/>
    </row>
    <row r="613" spans="1:14">
      <c r="A613" s="2" t="s">
        <v>13</v>
      </c>
      <c r="B613" s="2000">
        <v>25</v>
      </c>
      <c r="C613" s="1743"/>
      <c r="D613" s="1431">
        <f>F613*325851</f>
        <v>224837.18999999997</v>
      </c>
      <c r="E613" s="1422"/>
      <c r="F613" s="1871">
        <f>0.0276*B613</f>
        <v>0.69</v>
      </c>
      <c r="G613" s="1450"/>
      <c r="H613" s="957">
        <f>F613*15</f>
        <v>10.35</v>
      </c>
      <c r="I613" s="131">
        <v>0</v>
      </c>
      <c r="J613" s="131">
        <v>25</v>
      </c>
      <c r="K613" s="131">
        <v>2750</v>
      </c>
      <c r="L613" s="132">
        <f>I613+J613+K613</f>
        <v>2775</v>
      </c>
      <c r="M613" s="1758">
        <v>6</v>
      </c>
      <c r="N613" s="1759"/>
    </row>
    <row r="614" spans="1:14" ht="14" thickBot="1">
      <c r="A614" s="5" t="s">
        <v>14</v>
      </c>
      <c r="B614" s="2000">
        <v>11</v>
      </c>
      <c r="C614" s="1743"/>
      <c r="D614" s="1444">
        <v>802854</v>
      </c>
      <c r="E614" s="1422"/>
      <c r="F614" s="1871">
        <v>2.46</v>
      </c>
      <c r="G614" s="1450"/>
      <c r="H614" s="957">
        <f>F614*5</f>
        <v>12.3</v>
      </c>
      <c r="I614" s="131">
        <v>0</v>
      </c>
      <c r="J614" s="131">
        <v>583</v>
      </c>
      <c r="K614" s="131">
        <v>0</v>
      </c>
      <c r="L614" s="132">
        <f>I614+J614+K614</f>
        <v>583</v>
      </c>
      <c r="M614" s="1788">
        <v>2.2999999999999998</v>
      </c>
      <c r="N614" s="1789"/>
    </row>
    <row r="615" spans="1:14" ht="14" thickBot="1">
      <c r="A615" s="256" t="s">
        <v>60</v>
      </c>
      <c r="B615" s="1438">
        <f>SUM(B610:C614)</f>
        <v>63</v>
      </c>
      <c r="C615" s="1609"/>
      <c r="D615" s="1441">
        <f>SUM(D610:E614)</f>
        <v>1332980.9919</v>
      </c>
      <c r="E615" s="1609"/>
      <c r="F615" s="1440">
        <f>SUM(F610:G614)</f>
        <v>4.0869</v>
      </c>
      <c r="G615" s="1609"/>
      <c r="H615" s="619">
        <f>SUM(H610:H614)</f>
        <v>41.388000000000005</v>
      </c>
      <c r="I615" s="136">
        <f>SUM(I610:I614)</f>
        <v>0</v>
      </c>
      <c r="J615" s="136">
        <f>SUM(J610:J614)</f>
        <v>655</v>
      </c>
      <c r="K615" s="136">
        <f>SUM(K610:K614)</f>
        <v>4370</v>
      </c>
      <c r="L615" s="136">
        <f>SUM(L610:L614)</f>
        <v>5025</v>
      </c>
      <c r="M615" s="1657"/>
      <c r="N615" s="1622"/>
    </row>
    <row r="616" spans="1:14" s="1168" customFormat="1" ht="17" thickBot="1">
      <c r="A616" s="1251" t="s">
        <v>147</v>
      </c>
      <c r="B616" s="1456"/>
      <c r="C616" s="1586"/>
      <c r="D616" s="1567"/>
      <c r="E616" s="1586"/>
      <c r="F616" s="1882"/>
      <c r="G616" s="1883"/>
      <c r="H616" s="1152"/>
      <c r="I616" s="161"/>
      <c r="J616" s="161"/>
      <c r="K616" s="161"/>
      <c r="L616" s="162"/>
      <c r="M616" s="1617"/>
      <c r="N616" s="1486"/>
    </row>
    <row r="617" spans="1:14" ht="14" thickBot="1">
      <c r="A617" s="2" t="s">
        <v>11</v>
      </c>
      <c r="B617" s="2000">
        <v>0</v>
      </c>
      <c r="C617" s="1743"/>
      <c r="D617" s="1431">
        <f>F617*325851</f>
        <v>0</v>
      </c>
      <c r="E617" s="1422"/>
      <c r="F617" s="1449">
        <f>0.0347*B617</f>
        <v>0</v>
      </c>
      <c r="G617" s="1450"/>
      <c r="H617" s="957">
        <f>F617*20</f>
        <v>0</v>
      </c>
      <c r="I617" s="131">
        <v>0</v>
      </c>
      <c r="J617" s="131">
        <v>0</v>
      </c>
      <c r="K617" s="131">
        <v>0</v>
      </c>
      <c r="L617" s="132">
        <f>I617+J617+K617</f>
        <v>0</v>
      </c>
      <c r="M617" s="1758">
        <v>0</v>
      </c>
      <c r="N617" s="1759"/>
    </row>
    <row r="618" spans="1:14" ht="14" thickBot="1">
      <c r="A618" s="256" t="s">
        <v>60</v>
      </c>
      <c r="B618" s="1438">
        <f>SUM(B617)</f>
        <v>0</v>
      </c>
      <c r="C618" s="1439"/>
      <c r="D618" s="1441">
        <f>SUM(D617)</f>
        <v>0</v>
      </c>
      <c r="E618" s="1439"/>
      <c r="F618" s="1440">
        <f>SUM(F617)</f>
        <v>0</v>
      </c>
      <c r="G618" s="1439"/>
      <c r="H618" s="707">
        <f>SUM(H617)</f>
        <v>0</v>
      </c>
      <c r="I618" s="136">
        <f>SUM(I617)</f>
        <v>0</v>
      </c>
      <c r="J618" s="136">
        <f>SUM(J617)</f>
        <v>0</v>
      </c>
      <c r="K618" s="136">
        <f>SUM(K617)</f>
        <v>0</v>
      </c>
      <c r="L618" s="136">
        <f>SUM(L617)</f>
        <v>0</v>
      </c>
      <c r="M618" s="1657"/>
      <c r="N618" s="1790"/>
    </row>
    <row r="619" spans="1:14" s="1168" customFormat="1" ht="17" thickBot="1">
      <c r="A619" s="110" t="s">
        <v>50</v>
      </c>
      <c r="B619" s="1456"/>
      <c r="C619" s="1586"/>
      <c r="D619" s="1567"/>
      <c r="E619" s="1586"/>
      <c r="F619" s="1854"/>
      <c r="G619" s="1620"/>
      <c r="H619" s="1150"/>
      <c r="I619" s="161"/>
      <c r="J619" s="161"/>
      <c r="K619" s="161"/>
      <c r="L619" s="162"/>
      <c r="M619" s="1617"/>
      <c r="N619" s="1486"/>
    </row>
    <row r="620" spans="1:14">
      <c r="A620" s="2" t="s">
        <v>13</v>
      </c>
      <c r="B620" s="2000">
        <v>0</v>
      </c>
      <c r="C620" s="1743"/>
      <c r="D620" s="1431">
        <f>F620*325851</f>
        <v>0</v>
      </c>
      <c r="E620" s="1422"/>
      <c r="F620" s="1449">
        <f>0.0276*B620</f>
        <v>0</v>
      </c>
      <c r="G620" s="1450"/>
      <c r="H620" s="957">
        <f>F620*15</f>
        <v>0</v>
      </c>
      <c r="I620" s="131">
        <v>0</v>
      </c>
      <c r="J620" s="131">
        <v>0</v>
      </c>
      <c r="K620" s="131">
        <v>0</v>
      </c>
      <c r="L620" s="132">
        <f>I620+J620+K620</f>
        <v>0</v>
      </c>
      <c r="M620" s="1758">
        <v>0</v>
      </c>
      <c r="N620" s="1759"/>
    </row>
    <row r="621" spans="1:14">
      <c r="A621" s="5" t="s">
        <v>75</v>
      </c>
      <c r="B621" s="2000">
        <v>0</v>
      </c>
      <c r="C621" s="1743"/>
      <c r="D621" s="1431">
        <f>F621*325851</f>
        <v>0</v>
      </c>
      <c r="E621" s="1422"/>
      <c r="F621" s="1449">
        <f>0.1534*B621</f>
        <v>0</v>
      </c>
      <c r="G621" s="1450"/>
      <c r="H621" s="957">
        <f>F621*5</f>
        <v>0</v>
      </c>
      <c r="I621" s="131">
        <v>0</v>
      </c>
      <c r="J621" s="131">
        <v>0</v>
      </c>
      <c r="K621" s="131">
        <v>0</v>
      </c>
      <c r="L621" s="132">
        <f>I621+J621+K621</f>
        <v>0</v>
      </c>
      <c r="M621" s="1758">
        <v>0</v>
      </c>
      <c r="N621" s="1759"/>
    </row>
    <row r="622" spans="1:14">
      <c r="A622" s="5" t="s">
        <v>71</v>
      </c>
      <c r="B622" s="2000">
        <v>1</v>
      </c>
      <c r="C622" s="1743"/>
      <c r="D622" s="1431">
        <f>F622*325851</f>
        <v>49985.543400000002</v>
      </c>
      <c r="E622" s="1422"/>
      <c r="F622" s="1449">
        <f>0.1534*B622</f>
        <v>0.15340000000000001</v>
      </c>
      <c r="G622" s="1450"/>
      <c r="H622" s="957">
        <f>F622*5</f>
        <v>0.76700000000000002</v>
      </c>
      <c r="I622" s="131">
        <v>0</v>
      </c>
      <c r="J622" s="131">
        <v>0</v>
      </c>
      <c r="K622" s="131">
        <v>100</v>
      </c>
      <c r="L622" s="132">
        <f>I622+J622+K622</f>
        <v>100</v>
      </c>
      <c r="M622" s="1788">
        <v>1.2</v>
      </c>
      <c r="N622" s="1789"/>
    </row>
    <row r="623" spans="1:14" ht="14" thickBot="1">
      <c r="A623" s="5" t="s">
        <v>16</v>
      </c>
      <c r="B623" s="2000">
        <v>0</v>
      </c>
      <c r="C623" s="1743"/>
      <c r="D623" s="1431">
        <f>F623*325851</f>
        <v>0</v>
      </c>
      <c r="E623" s="1422"/>
      <c r="F623" s="1449">
        <f>0.004*B623</f>
        <v>0</v>
      </c>
      <c r="G623" s="1450"/>
      <c r="H623" s="957">
        <f>F623*5</f>
        <v>0</v>
      </c>
      <c r="I623" s="131">
        <v>0</v>
      </c>
      <c r="J623" s="131">
        <v>0</v>
      </c>
      <c r="K623" s="131">
        <v>0</v>
      </c>
      <c r="L623" s="132">
        <f>I623+J623+K623</f>
        <v>0</v>
      </c>
      <c r="M623" s="1758">
        <v>0</v>
      </c>
      <c r="N623" s="1759"/>
    </row>
    <row r="624" spans="1:14" ht="14" thickBot="1">
      <c r="A624" s="256" t="s">
        <v>60</v>
      </c>
      <c r="B624" s="1438">
        <f>SUM(B620:C623)</f>
        <v>1</v>
      </c>
      <c r="C624" s="1609"/>
      <c r="D624" s="1441">
        <f>SUM(D620:E623)</f>
        <v>49985.543400000002</v>
      </c>
      <c r="E624" s="1609"/>
      <c r="F624" s="1440">
        <f>SUM(F620:G623)</f>
        <v>0.15340000000000001</v>
      </c>
      <c r="G624" s="1609"/>
      <c r="H624" s="56">
        <f>SUM(H620:H623)</f>
        <v>0.76700000000000002</v>
      </c>
      <c r="I624" s="152">
        <f>SUM(I620:I623)</f>
        <v>0</v>
      </c>
      <c r="J624" s="378">
        <f>SUM(J620:J623)</f>
        <v>0</v>
      </c>
      <c r="K624" s="143">
        <f>SUM(K620:K623)</f>
        <v>100</v>
      </c>
      <c r="L624" s="152">
        <f>SUM(L620:L623)</f>
        <v>100</v>
      </c>
      <c r="M624" s="1657"/>
      <c r="N624" s="1622"/>
    </row>
    <row r="625" spans="1:14" s="1168" customFormat="1" ht="17" thickBot="1">
      <c r="A625" s="1183" t="s">
        <v>17</v>
      </c>
      <c r="B625" s="1980">
        <f>B615+B618+B624</f>
        <v>64</v>
      </c>
      <c r="C625" s="1684"/>
      <c r="D625" s="1665">
        <f>D615+D618+D624</f>
        <v>1382966.5353000001</v>
      </c>
      <c r="E625" s="1684"/>
      <c r="F625" s="1665">
        <f>F615+F618+F624</f>
        <v>4.2403000000000004</v>
      </c>
      <c r="G625" s="1684"/>
      <c r="H625" s="1254">
        <f>SUM(H624,H618,H615)</f>
        <v>42.155000000000008</v>
      </c>
      <c r="I625" s="1188">
        <f>I615+I618+I624</f>
        <v>0</v>
      </c>
      <c r="J625" s="1188">
        <f>J615+J618+J624</f>
        <v>655</v>
      </c>
      <c r="K625" s="1188">
        <f>K615+K618+K624</f>
        <v>4470</v>
      </c>
      <c r="L625" s="1188">
        <f>SUM(L624,L618,L615)</f>
        <v>5125</v>
      </c>
      <c r="M625" s="1668"/>
      <c r="N625" s="1669"/>
    </row>
    <row r="627" spans="1:14" ht="14" thickBot="1"/>
    <row r="628" spans="1:14" ht="24" thickBot="1">
      <c r="A628" s="88" t="s">
        <v>137</v>
      </c>
      <c r="B628" s="11"/>
      <c r="C628" s="12"/>
      <c r="D628" s="11"/>
      <c r="E628" s="12"/>
      <c r="F628" s="13"/>
      <c r="G628" s="14"/>
      <c r="H628" s="14"/>
      <c r="I628" s="15"/>
      <c r="J628" s="15"/>
      <c r="K628" s="15"/>
      <c r="L628" s="15"/>
      <c r="M628" s="16"/>
      <c r="N628" s="17"/>
    </row>
    <row r="629" spans="1:14" s="1168" customFormat="1" ht="17" thickBot="1">
      <c r="A629" s="108" t="s">
        <v>74</v>
      </c>
      <c r="B629" s="1567"/>
      <c r="C629" s="1586"/>
      <c r="D629" s="1567"/>
      <c r="E629" s="1586"/>
      <c r="F629" s="1619"/>
      <c r="G629" s="1620"/>
      <c r="H629" s="1157"/>
      <c r="I629" s="109"/>
      <c r="J629" s="109"/>
      <c r="K629" s="109"/>
      <c r="L629" s="1141"/>
      <c r="M629" s="1617"/>
      <c r="N629" s="1486"/>
    </row>
    <row r="630" spans="1:14">
      <c r="A630" s="68" t="s">
        <v>62</v>
      </c>
      <c r="B630" s="2126">
        <v>0</v>
      </c>
      <c r="C630" s="1915"/>
      <c r="D630" s="1855">
        <f>F630*325851</f>
        <v>0</v>
      </c>
      <c r="E630" s="1732"/>
      <c r="F630" s="1899">
        <f>0.0347*B630</f>
        <v>0</v>
      </c>
      <c r="G630" s="1885"/>
      <c r="H630" s="958">
        <f>F630*20</f>
        <v>0</v>
      </c>
      <c r="I630" s="147">
        <v>0</v>
      </c>
      <c r="J630" s="147">
        <v>0</v>
      </c>
      <c r="K630" s="147">
        <v>0</v>
      </c>
      <c r="L630" s="147">
        <f>I630+J630+K630</f>
        <v>0</v>
      </c>
      <c r="M630" s="1792">
        <v>0</v>
      </c>
      <c r="N630" s="1793"/>
    </row>
    <row r="631" spans="1:14">
      <c r="A631" s="68" t="s">
        <v>63</v>
      </c>
      <c r="B631" s="2000">
        <v>4</v>
      </c>
      <c r="C631" s="1743"/>
      <c r="D631" s="1431">
        <f>F631*325851</f>
        <v>45228.118800000004</v>
      </c>
      <c r="E631" s="1422"/>
      <c r="F631" s="1871">
        <f>0.0347*B631</f>
        <v>0.13880000000000001</v>
      </c>
      <c r="G631" s="1450"/>
      <c r="H631" s="957">
        <f>F631*20</f>
        <v>2.7760000000000002</v>
      </c>
      <c r="I631" s="131">
        <v>0</v>
      </c>
      <c r="J631" s="131">
        <v>44</v>
      </c>
      <c r="K631" s="131">
        <v>240</v>
      </c>
      <c r="L631" s="131">
        <f>I631+J631+K631</f>
        <v>284</v>
      </c>
      <c r="M631" s="1788">
        <v>6.7</v>
      </c>
      <c r="N631" s="1789"/>
    </row>
    <row r="632" spans="1:14">
      <c r="A632" s="68" t="s">
        <v>64</v>
      </c>
      <c r="B632" s="2000">
        <v>18</v>
      </c>
      <c r="C632" s="1743"/>
      <c r="D632" s="1444">
        <f>F632*325851</f>
        <v>203526.53460000001</v>
      </c>
      <c r="E632" s="1422"/>
      <c r="F632" s="1871">
        <f>0.0347*B632</f>
        <v>0.62460000000000004</v>
      </c>
      <c r="G632" s="1450"/>
      <c r="H632" s="957">
        <f>F632*20</f>
        <v>12.492000000000001</v>
      </c>
      <c r="I632" s="131">
        <v>0</v>
      </c>
      <c r="J632" s="131">
        <v>18</v>
      </c>
      <c r="K632" s="131">
        <v>1080</v>
      </c>
      <c r="L632" s="131">
        <f>I632+J632+K632</f>
        <v>1098</v>
      </c>
      <c r="M632" s="1788">
        <v>4.3</v>
      </c>
      <c r="N632" s="1789"/>
    </row>
    <row r="633" spans="1:14">
      <c r="A633" s="2" t="s">
        <v>13</v>
      </c>
      <c r="B633" s="2000">
        <v>0</v>
      </c>
      <c r="C633" s="1743"/>
      <c r="D633" s="1431">
        <f>F633*325851</f>
        <v>0</v>
      </c>
      <c r="E633" s="1422"/>
      <c r="F633" s="1449">
        <f>0.0276*B633</f>
        <v>0</v>
      </c>
      <c r="G633" s="1450"/>
      <c r="H633" s="957">
        <f>F633*15</f>
        <v>0</v>
      </c>
      <c r="I633" s="131">
        <v>0</v>
      </c>
      <c r="J633" s="131">
        <v>0</v>
      </c>
      <c r="K633" s="131">
        <v>0</v>
      </c>
      <c r="L633" s="131">
        <f>I633+J633+K633</f>
        <v>0</v>
      </c>
      <c r="M633" s="1758">
        <v>0</v>
      </c>
      <c r="N633" s="1759"/>
    </row>
    <row r="634" spans="1:14" ht="14" thickBot="1">
      <c r="A634" s="2" t="s">
        <v>14</v>
      </c>
      <c r="B634" s="2000">
        <v>3</v>
      </c>
      <c r="C634" s="1743"/>
      <c r="D634" s="1431">
        <v>1246986</v>
      </c>
      <c r="E634" s="1422"/>
      <c r="F634" s="1449">
        <v>3.83</v>
      </c>
      <c r="G634" s="1450"/>
      <c r="H634" s="957">
        <f>F634*5</f>
        <v>19.149999999999999</v>
      </c>
      <c r="I634" s="131">
        <v>0</v>
      </c>
      <c r="J634" s="131">
        <v>159</v>
      </c>
      <c r="K634" s="131">
        <v>0</v>
      </c>
      <c r="L634" s="131">
        <f>I634+J634+K634</f>
        <v>159</v>
      </c>
      <c r="M634" s="1788">
        <v>1.9</v>
      </c>
      <c r="N634" s="1789"/>
    </row>
    <row r="635" spans="1:14" ht="14" thickBot="1">
      <c r="A635" s="256" t="s">
        <v>60</v>
      </c>
      <c r="B635" s="1438">
        <f>SUM(B630:C634)</f>
        <v>25</v>
      </c>
      <c r="C635" s="1609"/>
      <c r="D635" s="1441">
        <f>SUM(D630:E634)</f>
        <v>1495740.6534</v>
      </c>
      <c r="E635" s="1609"/>
      <c r="F635" s="1440">
        <f>SUM(F630:G634)</f>
        <v>4.5933999999999999</v>
      </c>
      <c r="G635" s="1609"/>
      <c r="H635" s="619">
        <f>SUM(H630:H634)</f>
        <v>34.417999999999999</v>
      </c>
      <c r="I635" s="136">
        <f>SUM(I630:I634)</f>
        <v>0</v>
      </c>
      <c r="J635" s="136">
        <f>SUM(J630:J634)</f>
        <v>221</v>
      </c>
      <c r="K635" s="136">
        <f>SUM(K630:K634)</f>
        <v>1320</v>
      </c>
      <c r="L635" s="136">
        <f>SUM(L630:L634)</f>
        <v>1541</v>
      </c>
      <c r="M635" s="1657"/>
      <c r="N635" s="1622"/>
    </row>
    <row r="636" spans="1:14" s="1168" customFormat="1" ht="17" thickBot="1">
      <c r="A636" s="1251" t="s">
        <v>147</v>
      </c>
      <c r="B636" s="1456"/>
      <c r="C636" s="1586"/>
      <c r="D636" s="1567"/>
      <c r="E636" s="1586"/>
      <c r="F636" s="1882"/>
      <c r="G636" s="1883"/>
      <c r="H636" s="1152"/>
      <c r="I636" s="161"/>
      <c r="J636" s="161"/>
      <c r="K636" s="161"/>
      <c r="L636" s="162"/>
      <c r="M636" s="1617"/>
      <c r="N636" s="1486"/>
    </row>
    <row r="637" spans="1:14" ht="14" thickBot="1">
      <c r="A637" s="2" t="s">
        <v>11</v>
      </c>
      <c r="B637" s="2000">
        <v>0</v>
      </c>
      <c r="C637" s="1743"/>
      <c r="D637" s="1431">
        <f>F637*325851</f>
        <v>0</v>
      </c>
      <c r="E637" s="1422"/>
      <c r="F637" s="1449">
        <f>0.0347*B637</f>
        <v>0</v>
      </c>
      <c r="G637" s="1450"/>
      <c r="H637" s="957">
        <f>F637*20</f>
        <v>0</v>
      </c>
      <c r="I637" s="131">
        <v>0</v>
      </c>
      <c r="J637" s="131">
        <v>0</v>
      </c>
      <c r="K637" s="131">
        <v>0</v>
      </c>
      <c r="L637" s="131">
        <f>I637+J637+K637</f>
        <v>0</v>
      </c>
      <c r="M637" s="1758">
        <v>0</v>
      </c>
      <c r="N637" s="1759"/>
    </row>
    <row r="638" spans="1:14" ht="14" thickBot="1">
      <c r="A638" s="256" t="s">
        <v>60</v>
      </c>
      <c r="B638" s="1438">
        <f>SUM(B637)</f>
        <v>0</v>
      </c>
      <c r="C638" s="1609"/>
      <c r="D638" s="1441">
        <f>SUM(D637)</f>
        <v>0</v>
      </c>
      <c r="E638" s="1609"/>
      <c r="F638" s="1440">
        <f>SUM(F637)</f>
        <v>0</v>
      </c>
      <c r="G638" s="1609"/>
      <c r="H638" s="707">
        <f>SUM(H637)</f>
        <v>0</v>
      </c>
      <c r="I638" s="136">
        <f>SUM(I637)</f>
        <v>0</v>
      </c>
      <c r="J638" s="136">
        <f>SUM(J637)</f>
        <v>0</v>
      </c>
      <c r="K638" s="136">
        <f>SUM(K637)</f>
        <v>0</v>
      </c>
      <c r="L638" s="136">
        <f>SUM(L637)</f>
        <v>0</v>
      </c>
      <c r="M638" s="1657"/>
      <c r="N638" s="1622"/>
    </row>
    <row r="639" spans="1:14" s="1168" customFormat="1" ht="17" thickBot="1">
      <c r="A639" s="110" t="s">
        <v>50</v>
      </c>
      <c r="B639" s="1456"/>
      <c r="C639" s="1586"/>
      <c r="D639" s="1567"/>
      <c r="E639" s="1586"/>
      <c r="F639" s="1854"/>
      <c r="G639" s="1913"/>
      <c r="H639" s="1142"/>
      <c r="I639" s="161"/>
      <c r="J639" s="161"/>
      <c r="K639" s="161"/>
      <c r="L639" s="162"/>
      <c r="M639" s="1617"/>
      <c r="N639" s="1486"/>
    </row>
    <row r="640" spans="1:14">
      <c r="A640" s="2" t="s">
        <v>13</v>
      </c>
      <c r="B640" s="2160">
        <v>0</v>
      </c>
      <c r="C640" s="1786"/>
      <c r="D640" s="1431">
        <f>F640*325851</f>
        <v>0</v>
      </c>
      <c r="E640" s="1422"/>
      <c r="F640" s="1760">
        <f>0.0276*B640</f>
        <v>0</v>
      </c>
      <c r="G640" s="1757"/>
      <c r="H640" s="941">
        <f>F640*15</f>
        <v>0</v>
      </c>
      <c r="I640" s="175">
        <v>0</v>
      </c>
      <c r="J640" s="175">
        <v>0</v>
      </c>
      <c r="K640" s="175">
        <v>0</v>
      </c>
      <c r="L640" s="131">
        <f>I640+J640+K640</f>
        <v>0</v>
      </c>
      <c r="M640" s="1928">
        <v>0</v>
      </c>
      <c r="N640" s="1929"/>
    </row>
    <row r="641" spans="1:14">
      <c r="A641" s="2" t="s">
        <v>15</v>
      </c>
      <c r="B641" s="2000">
        <v>0</v>
      </c>
      <c r="C641" s="1743"/>
      <c r="D641" s="1431">
        <f>F641*325851</f>
        <v>0</v>
      </c>
      <c r="E641" s="1422"/>
      <c r="F641" s="1760">
        <f>0.1534*B641</f>
        <v>0</v>
      </c>
      <c r="G641" s="1757"/>
      <c r="H641" s="941">
        <f>F641*5</f>
        <v>0</v>
      </c>
      <c r="I641" s="131">
        <v>0</v>
      </c>
      <c r="J641" s="131">
        <v>0</v>
      </c>
      <c r="K641" s="131">
        <v>0</v>
      </c>
      <c r="L641" s="131">
        <f>I641+J641+K641</f>
        <v>0</v>
      </c>
      <c r="M641" s="1758">
        <v>0</v>
      </c>
      <c r="N641" s="1759"/>
    </row>
    <row r="642" spans="1:14">
      <c r="A642" s="5" t="s">
        <v>16</v>
      </c>
      <c r="B642" s="2160">
        <v>0</v>
      </c>
      <c r="C642" s="1786"/>
      <c r="D642" s="1431">
        <f>F642*325851</f>
        <v>0</v>
      </c>
      <c r="E642" s="1422"/>
      <c r="F642" s="1760">
        <f>0.004*B642</f>
        <v>0</v>
      </c>
      <c r="G642" s="1757"/>
      <c r="H642" s="941">
        <f>F642*5</f>
        <v>0</v>
      </c>
      <c r="I642" s="175">
        <v>0</v>
      </c>
      <c r="J642" s="175">
        <v>0</v>
      </c>
      <c r="K642" s="175">
        <v>0</v>
      </c>
      <c r="L642" s="131">
        <f>I642+J642+K642</f>
        <v>0</v>
      </c>
      <c r="M642" s="1928">
        <v>0</v>
      </c>
      <c r="N642" s="1929"/>
    </row>
    <row r="643" spans="1:14">
      <c r="A643" s="5" t="s">
        <v>12</v>
      </c>
      <c r="B643" s="2000">
        <v>0</v>
      </c>
      <c r="C643" s="1743"/>
      <c r="D643" s="1431">
        <f>F643*325851</f>
        <v>0</v>
      </c>
      <c r="E643" s="1422"/>
      <c r="F643" s="1760">
        <f>3.2*B643</f>
        <v>0</v>
      </c>
      <c r="G643" s="1757"/>
      <c r="H643" s="941">
        <f>F643*5</f>
        <v>0</v>
      </c>
      <c r="I643" s="131">
        <v>0</v>
      </c>
      <c r="J643" s="131">
        <v>0</v>
      </c>
      <c r="K643" s="131">
        <v>0</v>
      </c>
      <c r="L643" s="132">
        <f>I643+J643+K643</f>
        <v>0</v>
      </c>
      <c r="M643" s="1758">
        <v>0</v>
      </c>
      <c r="N643" s="1759"/>
    </row>
    <row r="644" spans="1:14" ht="14" thickBot="1">
      <c r="A644" s="2" t="s">
        <v>21</v>
      </c>
      <c r="B644" s="2000" t="s">
        <v>22</v>
      </c>
      <c r="C644" s="1743"/>
      <c r="D644" s="1431" t="s">
        <v>22</v>
      </c>
      <c r="E644" s="1422"/>
      <c r="F644" s="1760" t="s">
        <v>22</v>
      </c>
      <c r="G644" s="1757"/>
      <c r="H644" s="941" t="s">
        <v>22</v>
      </c>
      <c r="I644" s="131" t="s">
        <v>22</v>
      </c>
      <c r="J644" s="131" t="s">
        <v>22</v>
      </c>
      <c r="K644" s="131" t="s">
        <v>22</v>
      </c>
      <c r="L644" s="131" t="s">
        <v>22</v>
      </c>
      <c r="M644" s="1788" t="s">
        <v>22</v>
      </c>
      <c r="N644" s="1789"/>
    </row>
    <row r="645" spans="1:14" ht="14" thickBot="1">
      <c r="A645" s="256" t="s">
        <v>60</v>
      </c>
      <c r="B645" s="1438">
        <f>SUM(B641:C644)</f>
        <v>0</v>
      </c>
      <c r="C645" s="1609"/>
      <c r="D645" s="1441">
        <f>SUM(D640:E644)</f>
        <v>0</v>
      </c>
      <c r="E645" s="1609"/>
      <c r="F645" s="1440">
        <f>SUM(F640:G644)</f>
        <v>0</v>
      </c>
      <c r="G645" s="1609"/>
      <c r="H645" s="707">
        <f>SUM(H641:H644)</f>
        <v>0</v>
      </c>
      <c r="I645" s="136">
        <f>SUM(I641:I644)</f>
        <v>0</v>
      </c>
      <c r="J645" s="136">
        <f>SUM(J641:J644)</f>
        <v>0</v>
      </c>
      <c r="K645" s="136">
        <f>SUM(K641:K644)</f>
        <v>0</v>
      </c>
      <c r="L645" s="136">
        <f>SUM(L641:L644)</f>
        <v>0</v>
      </c>
      <c r="M645" s="1657"/>
      <c r="N645" s="1622"/>
    </row>
    <row r="646" spans="1:14" s="1168" customFormat="1" ht="17" thickBot="1">
      <c r="A646" s="1183" t="s">
        <v>17</v>
      </c>
      <c r="B646" s="1665">
        <f>B635+B638+B645</f>
        <v>25</v>
      </c>
      <c r="C646" s="1664"/>
      <c r="D646" s="1665">
        <f>D635+D638+D645</f>
        <v>1495740.6534</v>
      </c>
      <c r="E646" s="1664"/>
      <c r="F646" s="1663">
        <f>F635+F638+F645</f>
        <v>4.5933999999999999</v>
      </c>
      <c r="G646" s="1664"/>
      <c r="H646" s="1254">
        <f>H635+H638+H645</f>
        <v>34.417999999999999</v>
      </c>
      <c r="I646" s="1188">
        <f>I635+I638+I645</f>
        <v>0</v>
      </c>
      <c r="J646" s="1188">
        <f>J635+J638+J645</f>
        <v>221</v>
      </c>
      <c r="K646" s="1188">
        <f>K635+K638+K645</f>
        <v>1320</v>
      </c>
      <c r="L646" s="1188">
        <f>L635+L638+L645</f>
        <v>1541</v>
      </c>
      <c r="M646" s="1668"/>
      <c r="N646" s="1669"/>
    </row>
    <row r="647" spans="1:14">
      <c r="F647" s="10"/>
      <c r="G647" s="10"/>
      <c r="H647" s="10"/>
    </row>
    <row r="648" spans="1:14" ht="15">
      <c r="A648" s="9" t="s">
        <v>18</v>
      </c>
      <c r="B648" s="1695" t="s">
        <v>59</v>
      </c>
      <c r="C648" s="1566"/>
      <c r="D648" s="1566"/>
      <c r="E648" s="1821"/>
      <c r="F648" s="10"/>
      <c r="G648" s="10"/>
      <c r="H648" s="10"/>
    </row>
    <row r="649" spans="1:14">
      <c r="B649" s="1420" t="s">
        <v>19</v>
      </c>
      <c r="C649" s="1420"/>
      <c r="D649" s="1420"/>
      <c r="E649" s="1420"/>
      <c r="F649" s="10"/>
      <c r="G649" s="10"/>
      <c r="H649" s="10"/>
    </row>
  </sheetData>
  <mergeCells count="2175">
    <mergeCell ref="B76:C76"/>
    <mergeCell ref="D76:E76"/>
    <mergeCell ref="F76:G76"/>
    <mergeCell ref="M76:N76"/>
    <mergeCell ref="B78:E78"/>
    <mergeCell ref="B79:E79"/>
    <mergeCell ref="B71:C71"/>
    <mergeCell ref="D71:E71"/>
    <mergeCell ref="F71:G71"/>
    <mergeCell ref="M71:N71"/>
    <mergeCell ref="B72:C72"/>
    <mergeCell ref="D72:E72"/>
    <mergeCell ref="F72:G72"/>
    <mergeCell ref="M72:N72"/>
    <mergeCell ref="B73:C73"/>
    <mergeCell ref="D73:E73"/>
    <mergeCell ref="F73:G73"/>
    <mergeCell ref="B74:C74"/>
    <mergeCell ref="D74:E74"/>
    <mergeCell ref="F74:G74"/>
    <mergeCell ref="M74:N74"/>
    <mergeCell ref="B75:C75"/>
    <mergeCell ref="D75:E75"/>
    <mergeCell ref="F75:G75"/>
    <mergeCell ref="M75:N75"/>
    <mergeCell ref="B66:C66"/>
    <mergeCell ref="D66:E66"/>
    <mergeCell ref="F66:G66"/>
    <mergeCell ref="M66:N66"/>
    <mergeCell ref="B67:C67"/>
    <mergeCell ref="D67:E67"/>
    <mergeCell ref="F67:G67"/>
    <mergeCell ref="M67:N67"/>
    <mergeCell ref="B68:C68"/>
    <mergeCell ref="D68:E68"/>
    <mergeCell ref="F68:G68"/>
    <mergeCell ref="M68:N68"/>
    <mergeCell ref="B69:C69"/>
    <mergeCell ref="D69:E69"/>
    <mergeCell ref="F69:G69"/>
    <mergeCell ref="M69:N69"/>
    <mergeCell ref="B70:C70"/>
    <mergeCell ref="D70:E70"/>
    <mergeCell ref="F70:G70"/>
    <mergeCell ref="M70:N70"/>
    <mergeCell ref="B61:C61"/>
    <mergeCell ref="D61:E61"/>
    <mergeCell ref="F61:G61"/>
    <mergeCell ref="M61:N61"/>
    <mergeCell ref="B62:C62"/>
    <mergeCell ref="D62:E62"/>
    <mergeCell ref="F62:G62"/>
    <mergeCell ref="M62:N62"/>
    <mergeCell ref="B63:C63"/>
    <mergeCell ref="D63:E63"/>
    <mergeCell ref="F63:G63"/>
    <mergeCell ref="M63:N63"/>
    <mergeCell ref="B64:C64"/>
    <mergeCell ref="D64:E64"/>
    <mergeCell ref="F64:G64"/>
    <mergeCell ref="M64:N64"/>
    <mergeCell ref="B65:C65"/>
    <mergeCell ref="D65:E65"/>
    <mergeCell ref="F65:G65"/>
    <mergeCell ref="M65:N65"/>
    <mergeCell ref="B56:C56"/>
    <mergeCell ref="D56:E56"/>
    <mergeCell ref="F56:G56"/>
    <mergeCell ref="M56:N56"/>
    <mergeCell ref="B57:C57"/>
    <mergeCell ref="D57:E57"/>
    <mergeCell ref="F57:G57"/>
    <mergeCell ref="M57:N57"/>
    <mergeCell ref="B58:C58"/>
    <mergeCell ref="D58:E58"/>
    <mergeCell ref="F58:G58"/>
    <mergeCell ref="M58:N58"/>
    <mergeCell ref="B59:C59"/>
    <mergeCell ref="D59:E59"/>
    <mergeCell ref="F59:G59"/>
    <mergeCell ref="M59:N59"/>
    <mergeCell ref="B60:C60"/>
    <mergeCell ref="D60:E60"/>
    <mergeCell ref="F60:G60"/>
    <mergeCell ref="B51:C51"/>
    <mergeCell ref="D51:E51"/>
    <mergeCell ref="F51:G51"/>
    <mergeCell ref="M51:N51"/>
    <mergeCell ref="B52:C52"/>
    <mergeCell ref="D52:E52"/>
    <mergeCell ref="F52:G52"/>
    <mergeCell ref="M52:N52"/>
    <mergeCell ref="B53:C53"/>
    <mergeCell ref="D53:E53"/>
    <mergeCell ref="F53:G53"/>
    <mergeCell ref="M53:N53"/>
    <mergeCell ref="B54:C54"/>
    <mergeCell ref="D54:E54"/>
    <mergeCell ref="F54:G54"/>
    <mergeCell ref="B55:C55"/>
    <mergeCell ref="D55:E55"/>
    <mergeCell ref="F55:G55"/>
    <mergeCell ref="M55:N55"/>
    <mergeCell ref="B46:C46"/>
    <mergeCell ref="D46:E46"/>
    <mergeCell ref="F46:G46"/>
    <mergeCell ref="M46:N46"/>
    <mergeCell ref="B47:C47"/>
    <mergeCell ref="D47:E47"/>
    <mergeCell ref="F47:G47"/>
    <mergeCell ref="M47:N47"/>
    <mergeCell ref="B48:C48"/>
    <mergeCell ref="D48:E48"/>
    <mergeCell ref="F48:G48"/>
    <mergeCell ref="M48:N48"/>
    <mergeCell ref="B49:C49"/>
    <mergeCell ref="D49:E49"/>
    <mergeCell ref="F49:G49"/>
    <mergeCell ref="M49:N49"/>
    <mergeCell ref="B50:C50"/>
    <mergeCell ref="D50:E50"/>
    <mergeCell ref="F50:G50"/>
    <mergeCell ref="M50:N50"/>
    <mergeCell ref="I41:L41"/>
    <mergeCell ref="B42:C42"/>
    <mergeCell ref="D42:E42"/>
    <mergeCell ref="F42:G42"/>
    <mergeCell ref="M42:N42"/>
    <mergeCell ref="B43:C43"/>
    <mergeCell ref="D43:E43"/>
    <mergeCell ref="F43:G43"/>
    <mergeCell ref="M43:N43"/>
    <mergeCell ref="B44:C44"/>
    <mergeCell ref="D44:E44"/>
    <mergeCell ref="F44:G44"/>
    <mergeCell ref="M44:N44"/>
    <mergeCell ref="B45:C45"/>
    <mergeCell ref="D45:E45"/>
    <mergeCell ref="F45:G45"/>
    <mergeCell ref="M45:N45"/>
    <mergeCell ref="B136:C136"/>
    <mergeCell ref="D136:E136"/>
    <mergeCell ref="F136:G136"/>
    <mergeCell ref="M136:N136"/>
    <mergeCell ref="B364:E364"/>
    <mergeCell ref="B365:E365"/>
    <mergeCell ref="B327:E327"/>
    <mergeCell ref="B328:E328"/>
    <mergeCell ref="B285:E285"/>
    <mergeCell ref="B286:E286"/>
    <mergeCell ref="B241:E241"/>
    <mergeCell ref="B242:E242"/>
    <mergeCell ref="F189:G189"/>
    <mergeCell ref="F190:G190"/>
    <mergeCell ref="B176:C176"/>
    <mergeCell ref="D176:E176"/>
    <mergeCell ref="F176:G176"/>
    <mergeCell ref="M176:N176"/>
    <mergeCell ref="M323:N323"/>
    <mergeCell ref="M319:N319"/>
    <mergeCell ref="M324:N324"/>
    <mergeCell ref="M302:N302"/>
    <mergeCell ref="M304:N304"/>
    <mergeCell ref="M305:N305"/>
    <mergeCell ref="M306:N306"/>
    <mergeCell ref="M309:N309"/>
    <mergeCell ref="M310:N310"/>
    <mergeCell ref="M293:N293"/>
    <mergeCell ref="M294:N294"/>
    <mergeCell ref="M295:N295"/>
    <mergeCell ref="M296:N296"/>
    <mergeCell ref="M299:N299"/>
    <mergeCell ref="M300:N300"/>
    <mergeCell ref="F318:G318"/>
    <mergeCell ref="M318:N318"/>
    <mergeCell ref="F315:G315"/>
    <mergeCell ref="B319:C319"/>
    <mergeCell ref="D319:E319"/>
    <mergeCell ref="F319:G319"/>
    <mergeCell ref="M308:N308"/>
    <mergeCell ref="M311:N311"/>
    <mergeCell ref="M313:N313"/>
    <mergeCell ref="M315:N315"/>
    <mergeCell ref="B324:C324"/>
    <mergeCell ref="D324:E324"/>
    <mergeCell ref="F324:G324"/>
    <mergeCell ref="B325:C325"/>
    <mergeCell ref="D325:E325"/>
    <mergeCell ref="F325:G325"/>
    <mergeCell ref="M322:N322"/>
    <mergeCell ref="B323:C323"/>
    <mergeCell ref="D323:E323"/>
    <mergeCell ref="F323:G323"/>
    <mergeCell ref="B320:C320"/>
    <mergeCell ref="D320:E320"/>
    <mergeCell ref="F320:G320"/>
    <mergeCell ref="M320:N320"/>
    <mergeCell ref="B318:C318"/>
    <mergeCell ref="D318:E318"/>
    <mergeCell ref="B317:C317"/>
    <mergeCell ref="D317:E317"/>
    <mergeCell ref="F317:G317"/>
    <mergeCell ref="B322:C322"/>
    <mergeCell ref="D322:E322"/>
    <mergeCell ref="F322:G322"/>
    <mergeCell ref="B315:C315"/>
    <mergeCell ref="D315:E315"/>
    <mergeCell ref="B316:C316"/>
    <mergeCell ref="D316:E316"/>
    <mergeCell ref="F316:G316"/>
    <mergeCell ref="B313:C313"/>
    <mergeCell ref="D313:E313"/>
    <mergeCell ref="F313:G313"/>
    <mergeCell ref="B314:C314"/>
    <mergeCell ref="D314:E314"/>
    <mergeCell ref="F314:G314"/>
    <mergeCell ref="B311:C311"/>
    <mergeCell ref="D311:E311"/>
    <mergeCell ref="F311:G311"/>
    <mergeCell ref="B312:C312"/>
    <mergeCell ref="D312:E312"/>
    <mergeCell ref="F312:G312"/>
    <mergeCell ref="B309:C309"/>
    <mergeCell ref="D309:E309"/>
    <mergeCell ref="F309:G309"/>
    <mergeCell ref="B310:C310"/>
    <mergeCell ref="D310:E310"/>
    <mergeCell ref="F310:G310"/>
    <mergeCell ref="B306:C306"/>
    <mergeCell ref="D306:E306"/>
    <mergeCell ref="F306:G306"/>
    <mergeCell ref="B308:C308"/>
    <mergeCell ref="D308:E308"/>
    <mergeCell ref="F308:G308"/>
    <mergeCell ref="B304:C304"/>
    <mergeCell ref="D304:E304"/>
    <mergeCell ref="F304:G304"/>
    <mergeCell ref="B305:C305"/>
    <mergeCell ref="D305:E305"/>
    <mergeCell ref="F305:G305"/>
    <mergeCell ref="B300:C300"/>
    <mergeCell ref="D300:E300"/>
    <mergeCell ref="F300:G300"/>
    <mergeCell ref="B302:C302"/>
    <mergeCell ref="D302:E302"/>
    <mergeCell ref="F302:G302"/>
    <mergeCell ref="B301:C301"/>
    <mergeCell ref="D301:E301"/>
    <mergeCell ref="F301:G301"/>
    <mergeCell ref="B297:C297"/>
    <mergeCell ref="D297:E297"/>
    <mergeCell ref="F297:G297"/>
    <mergeCell ref="B299:C299"/>
    <mergeCell ref="D299:E299"/>
    <mergeCell ref="F299:G299"/>
    <mergeCell ref="B295:C295"/>
    <mergeCell ref="D295:E295"/>
    <mergeCell ref="F295:G295"/>
    <mergeCell ref="B296:C296"/>
    <mergeCell ref="D296:E296"/>
    <mergeCell ref="F296:G296"/>
    <mergeCell ref="B293:C293"/>
    <mergeCell ref="D293:E293"/>
    <mergeCell ref="F293:G293"/>
    <mergeCell ref="B294:C294"/>
    <mergeCell ref="D294:E294"/>
    <mergeCell ref="F294:G294"/>
    <mergeCell ref="F361:G361"/>
    <mergeCell ref="B356:C356"/>
    <mergeCell ref="D356:E356"/>
    <mergeCell ref="F356:G356"/>
    <mergeCell ref="B353:C353"/>
    <mergeCell ref="D353:E353"/>
    <mergeCell ref="F353:G353"/>
    <mergeCell ref="B354:C354"/>
    <mergeCell ref="D354:E354"/>
    <mergeCell ref="F354:G354"/>
    <mergeCell ref="B351:C351"/>
    <mergeCell ref="D351:E351"/>
    <mergeCell ref="F351:G351"/>
    <mergeCell ref="B352:C352"/>
    <mergeCell ref="D352:E352"/>
    <mergeCell ref="F352:G352"/>
    <mergeCell ref="B349:C349"/>
    <mergeCell ref="B358:C358"/>
    <mergeCell ref="D358:E358"/>
    <mergeCell ref="F358:G358"/>
    <mergeCell ref="B360:C360"/>
    <mergeCell ref="B335:C335"/>
    <mergeCell ref="D335:E335"/>
    <mergeCell ref="F335:G335"/>
    <mergeCell ref="B338:C338"/>
    <mergeCell ref="D338:E338"/>
    <mergeCell ref="F338:G338"/>
    <mergeCell ref="B336:C336"/>
    <mergeCell ref="D336:E336"/>
    <mergeCell ref="F336:G336"/>
    <mergeCell ref="B341:C341"/>
    <mergeCell ref="D341:E341"/>
    <mergeCell ref="F341:G341"/>
    <mergeCell ref="D349:E349"/>
    <mergeCell ref="F349:G349"/>
    <mergeCell ref="B350:C350"/>
    <mergeCell ref="D350:E350"/>
    <mergeCell ref="F350:G350"/>
    <mergeCell ref="B346:C346"/>
    <mergeCell ref="D346:E346"/>
    <mergeCell ref="F346:G346"/>
    <mergeCell ref="B348:C348"/>
    <mergeCell ref="D348:E348"/>
    <mergeCell ref="F348:G348"/>
    <mergeCell ref="B344:C344"/>
    <mergeCell ref="D344:E344"/>
    <mergeCell ref="F344:G344"/>
    <mergeCell ref="B345:C345"/>
    <mergeCell ref="D345:E345"/>
    <mergeCell ref="F345:G345"/>
    <mergeCell ref="B340:C340"/>
    <mergeCell ref="M589:N589"/>
    <mergeCell ref="M600:N600"/>
    <mergeCell ref="M594:N594"/>
    <mergeCell ref="F595:G595"/>
    <mergeCell ref="F611:G611"/>
    <mergeCell ref="M607:N607"/>
    <mergeCell ref="M598:N598"/>
    <mergeCell ref="B337:C337"/>
    <mergeCell ref="D337:E337"/>
    <mergeCell ref="B339:C339"/>
    <mergeCell ref="D339:E339"/>
    <mergeCell ref="F339:G339"/>
    <mergeCell ref="B342:C342"/>
    <mergeCell ref="D342:E342"/>
    <mergeCell ref="F342:G342"/>
    <mergeCell ref="D340:E340"/>
    <mergeCell ref="F340:G340"/>
    <mergeCell ref="F337:G337"/>
    <mergeCell ref="B359:C359"/>
    <mergeCell ref="D359:E359"/>
    <mergeCell ref="F359:G359"/>
    <mergeCell ref="B357:C357"/>
    <mergeCell ref="D357:E357"/>
    <mergeCell ref="F357:G357"/>
    <mergeCell ref="B362:C362"/>
    <mergeCell ref="D362:E362"/>
    <mergeCell ref="F362:G362"/>
    <mergeCell ref="B355:C355"/>
    <mergeCell ref="D355:E355"/>
    <mergeCell ref="F355:G355"/>
    <mergeCell ref="B361:C361"/>
    <mergeCell ref="D361:E361"/>
    <mergeCell ref="F594:G594"/>
    <mergeCell ref="D591:E591"/>
    <mergeCell ref="F591:G591"/>
    <mergeCell ref="B596:C596"/>
    <mergeCell ref="D596:E596"/>
    <mergeCell ref="F596:G596"/>
    <mergeCell ref="M596:N596"/>
    <mergeCell ref="M471:N471"/>
    <mergeCell ref="B480:C480"/>
    <mergeCell ref="D480:E480"/>
    <mergeCell ref="F480:G480"/>
    <mergeCell ref="M480:N480"/>
    <mergeCell ref="D475:E475"/>
    <mergeCell ref="F475:G475"/>
    <mergeCell ref="D625:E625"/>
    <mergeCell ref="F625:G625"/>
    <mergeCell ref="M625:N625"/>
    <mergeCell ref="F619:G619"/>
    <mergeCell ref="M619:N619"/>
    <mergeCell ref="M617:N617"/>
    <mergeCell ref="F624:G624"/>
    <mergeCell ref="M624:N624"/>
    <mergeCell ref="F623:G623"/>
    <mergeCell ref="M623:N623"/>
    <mergeCell ref="F592:G592"/>
    <mergeCell ref="B622:C622"/>
    <mergeCell ref="F577:G577"/>
    <mergeCell ref="M577:N577"/>
    <mergeCell ref="M615:N615"/>
    <mergeCell ref="F588:G588"/>
    <mergeCell ref="M588:N588"/>
    <mergeCell ref="M592:N592"/>
    <mergeCell ref="B578:C578"/>
    <mergeCell ref="D578:E578"/>
    <mergeCell ref="B576:C576"/>
    <mergeCell ref="D576:E576"/>
    <mergeCell ref="F574:G574"/>
    <mergeCell ref="M574:N574"/>
    <mergeCell ref="B574:C574"/>
    <mergeCell ref="B575:C575"/>
    <mergeCell ref="D574:E574"/>
    <mergeCell ref="B572:C572"/>
    <mergeCell ref="D572:E572"/>
    <mergeCell ref="F572:G572"/>
    <mergeCell ref="M572:N572"/>
    <mergeCell ref="M551:N551"/>
    <mergeCell ref="M548:N548"/>
    <mergeCell ref="B569:C569"/>
    <mergeCell ref="D569:E569"/>
    <mergeCell ref="F569:G569"/>
    <mergeCell ref="M569:N569"/>
    <mergeCell ref="D567:E567"/>
    <mergeCell ref="M564:N564"/>
    <mergeCell ref="B563:C563"/>
    <mergeCell ref="D563:E563"/>
    <mergeCell ref="M541:N541"/>
    <mergeCell ref="F541:G541"/>
    <mergeCell ref="D573:E573"/>
    <mergeCell ref="F573:G573"/>
    <mergeCell ref="B573:C573"/>
    <mergeCell ref="F542:G542"/>
    <mergeCell ref="M542:N542"/>
    <mergeCell ref="B551:C551"/>
    <mergeCell ref="M528:N528"/>
    <mergeCell ref="M522:N522"/>
    <mergeCell ref="B521:C521"/>
    <mergeCell ref="B539:C539"/>
    <mergeCell ref="D539:E539"/>
    <mergeCell ref="F539:G539"/>
    <mergeCell ref="M539:N539"/>
    <mergeCell ref="B529:C529"/>
    <mergeCell ref="D529:E529"/>
    <mergeCell ref="F529:G529"/>
    <mergeCell ref="M571:N571"/>
    <mergeCell ref="F570:G570"/>
    <mergeCell ref="D570:E570"/>
    <mergeCell ref="M570:N570"/>
    <mergeCell ref="B570:C570"/>
    <mergeCell ref="F563:G563"/>
    <mergeCell ref="M563:N563"/>
    <mergeCell ref="D568:E568"/>
    <mergeCell ref="B540:C540"/>
    <mergeCell ref="D540:E540"/>
    <mergeCell ref="B538:C538"/>
    <mergeCell ref="D538:E538"/>
    <mergeCell ref="I527:L527"/>
    <mergeCell ref="B528:C528"/>
    <mergeCell ref="D528:E528"/>
    <mergeCell ref="F528:G528"/>
    <mergeCell ref="F520:G520"/>
    <mergeCell ref="M529:N529"/>
    <mergeCell ref="M516:N516"/>
    <mergeCell ref="B517:C517"/>
    <mergeCell ref="D517:E517"/>
    <mergeCell ref="B522:C522"/>
    <mergeCell ref="D522:E522"/>
    <mergeCell ref="F522:G522"/>
    <mergeCell ref="D521:E521"/>
    <mergeCell ref="F521:G521"/>
    <mergeCell ref="M521:N521"/>
    <mergeCell ref="M520:N520"/>
    <mergeCell ref="B518:C518"/>
    <mergeCell ref="D518:E518"/>
    <mergeCell ref="M519:N519"/>
    <mergeCell ref="B524:E524"/>
    <mergeCell ref="B525:E525"/>
    <mergeCell ref="D520:E520"/>
    <mergeCell ref="D512:E512"/>
    <mergeCell ref="F517:G517"/>
    <mergeCell ref="M517:N517"/>
    <mergeCell ref="F518:G518"/>
    <mergeCell ref="M518:N518"/>
    <mergeCell ref="D519:E519"/>
    <mergeCell ref="M514:N514"/>
    <mergeCell ref="M512:N512"/>
    <mergeCell ref="M513:N513"/>
    <mergeCell ref="B516:C516"/>
    <mergeCell ref="D509:E509"/>
    <mergeCell ref="F509:G509"/>
    <mergeCell ref="M509:N509"/>
    <mergeCell ref="B510:C510"/>
    <mergeCell ref="D510:E510"/>
    <mergeCell ref="F510:G510"/>
    <mergeCell ref="M510:N510"/>
    <mergeCell ref="B512:C512"/>
    <mergeCell ref="F514:G514"/>
    <mergeCell ref="B515:C515"/>
    <mergeCell ref="B519:C519"/>
    <mergeCell ref="B514:C514"/>
    <mergeCell ref="D514:E514"/>
    <mergeCell ref="B507:C507"/>
    <mergeCell ref="D507:E507"/>
    <mergeCell ref="F507:G507"/>
    <mergeCell ref="M507:N507"/>
    <mergeCell ref="B508:C508"/>
    <mergeCell ref="D511:E511"/>
    <mergeCell ref="F511:G511"/>
    <mergeCell ref="M511:N511"/>
    <mergeCell ref="B511:C511"/>
    <mergeCell ref="B509:C509"/>
    <mergeCell ref="B494:C494"/>
    <mergeCell ref="D494:E494"/>
    <mergeCell ref="F494:G494"/>
    <mergeCell ref="M494:N494"/>
    <mergeCell ref="B496:C496"/>
    <mergeCell ref="M496:N496"/>
    <mergeCell ref="B495:C495"/>
    <mergeCell ref="F496:G496"/>
    <mergeCell ref="D502:E502"/>
    <mergeCell ref="M497:N497"/>
    <mergeCell ref="B498:C498"/>
    <mergeCell ref="D498:E498"/>
    <mergeCell ref="F498:G498"/>
    <mergeCell ref="M498:N498"/>
    <mergeCell ref="B506:C506"/>
    <mergeCell ref="D506:E506"/>
    <mergeCell ref="F506:G506"/>
    <mergeCell ref="M506:N506"/>
    <mergeCell ref="F508:G508"/>
    <mergeCell ref="M508:N508"/>
    <mergeCell ref="B503:C503"/>
    <mergeCell ref="D503:E503"/>
    <mergeCell ref="M490:N490"/>
    <mergeCell ref="B491:C491"/>
    <mergeCell ref="D491:E491"/>
    <mergeCell ref="F491:G491"/>
    <mergeCell ref="M491:N491"/>
    <mergeCell ref="B492:C492"/>
    <mergeCell ref="D492:E492"/>
    <mergeCell ref="M493:N493"/>
    <mergeCell ref="M492:N492"/>
    <mergeCell ref="B542:C542"/>
    <mergeCell ref="D542:E542"/>
    <mergeCell ref="B648:E648"/>
    <mergeCell ref="B564:C564"/>
    <mergeCell ref="B565:C565"/>
    <mergeCell ref="D565:E565"/>
    <mergeCell ref="B577:C577"/>
    <mergeCell ref="D496:E496"/>
    <mergeCell ref="D577:E577"/>
    <mergeCell ref="M578:N578"/>
    <mergeCell ref="M575:N575"/>
    <mergeCell ref="M549:N549"/>
    <mergeCell ref="M538:N538"/>
    <mergeCell ref="M573:N573"/>
    <mergeCell ref="M536:N536"/>
    <mergeCell ref="M537:N537"/>
    <mergeCell ref="M568:N568"/>
    <mergeCell ref="M550:N550"/>
    <mergeCell ref="M566:N566"/>
    <mergeCell ref="B568:C568"/>
    <mergeCell ref="B571:C571"/>
    <mergeCell ref="D571:E571"/>
    <mergeCell ref="F571:G571"/>
    <mergeCell ref="B649:E649"/>
    <mergeCell ref="B554:E554"/>
    <mergeCell ref="B555:E555"/>
    <mergeCell ref="B602:E602"/>
    <mergeCell ref="B603:E603"/>
    <mergeCell ref="B636:C636"/>
    <mergeCell ref="D636:E636"/>
    <mergeCell ref="D562:E562"/>
    <mergeCell ref="B567:C567"/>
    <mergeCell ref="B625:C625"/>
    <mergeCell ref="I487:L487"/>
    <mergeCell ref="B488:C488"/>
    <mergeCell ref="D488:E488"/>
    <mergeCell ref="F488:G488"/>
    <mergeCell ref="D532:E532"/>
    <mergeCell ref="F532:G532"/>
    <mergeCell ref="D489:E489"/>
    <mergeCell ref="F492:G492"/>
    <mergeCell ref="B532:C532"/>
    <mergeCell ref="F578:G578"/>
    <mergeCell ref="D575:E575"/>
    <mergeCell ref="F575:G575"/>
    <mergeCell ref="F576:G576"/>
    <mergeCell ref="F536:G536"/>
    <mergeCell ref="F538:G538"/>
    <mergeCell ref="D536:E536"/>
    <mergeCell ref="D537:E537"/>
    <mergeCell ref="F550:G550"/>
    <mergeCell ref="F568:G568"/>
    <mergeCell ref="F537:G537"/>
    <mergeCell ref="F561:G561"/>
    <mergeCell ref="F549:G549"/>
    <mergeCell ref="M488:N488"/>
    <mergeCell ref="B489:C489"/>
    <mergeCell ref="B533:C533"/>
    <mergeCell ref="B535:C535"/>
    <mergeCell ref="D533:E533"/>
    <mergeCell ref="B531:C531"/>
    <mergeCell ref="D531:E531"/>
    <mergeCell ref="F531:G531"/>
    <mergeCell ref="M531:N531"/>
    <mergeCell ref="M532:N532"/>
    <mergeCell ref="B490:C490"/>
    <mergeCell ref="D490:E490"/>
    <mergeCell ref="F490:G490"/>
    <mergeCell ref="B493:C493"/>
    <mergeCell ref="D493:E493"/>
    <mergeCell ref="F493:G493"/>
    <mergeCell ref="D495:E495"/>
    <mergeCell ref="M530:N530"/>
    <mergeCell ref="F530:G530"/>
    <mergeCell ref="F489:G489"/>
    <mergeCell ref="M489:N489"/>
    <mergeCell ref="D530:E530"/>
    <mergeCell ref="D508:E508"/>
    <mergeCell ref="D535:E535"/>
    <mergeCell ref="F495:G495"/>
    <mergeCell ref="M495:N495"/>
    <mergeCell ref="M500:N500"/>
    <mergeCell ref="B534:C534"/>
    <mergeCell ref="D534:E534"/>
    <mergeCell ref="B497:C497"/>
    <mergeCell ref="D497:E497"/>
    <mergeCell ref="F497:G497"/>
    <mergeCell ref="F597:G597"/>
    <mergeCell ref="M597:N597"/>
    <mergeCell ref="B598:C598"/>
    <mergeCell ref="D598:E598"/>
    <mergeCell ref="B597:C597"/>
    <mergeCell ref="D597:E597"/>
    <mergeCell ref="B599:C599"/>
    <mergeCell ref="B589:C589"/>
    <mergeCell ref="D589:E589"/>
    <mergeCell ref="B582:C582"/>
    <mergeCell ref="D582:E582"/>
    <mergeCell ref="F582:G582"/>
    <mergeCell ref="M582:N582"/>
    <mergeCell ref="B593:C593"/>
    <mergeCell ref="D593:E593"/>
    <mergeCell ref="F593:G593"/>
    <mergeCell ref="M593:N593"/>
    <mergeCell ref="D585:E585"/>
    <mergeCell ref="F585:G585"/>
    <mergeCell ref="M595:N595"/>
    <mergeCell ref="F589:G589"/>
    <mergeCell ref="F587:G587"/>
    <mergeCell ref="M587:N587"/>
    <mergeCell ref="B584:C584"/>
    <mergeCell ref="D584:E584"/>
    <mergeCell ref="B591:C591"/>
    <mergeCell ref="M591:N591"/>
    <mergeCell ref="F590:G590"/>
    <mergeCell ref="B587:C587"/>
    <mergeCell ref="D587:E587"/>
    <mergeCell ref="B594:C594"/>
    <mergeCell ref="D594:E594"/>
    <mergeCell ref="F622:G622"/>
    <mergeCell ref="M622:N622"/>
    <mergeCell ref="B616:C616"/>
    <mergeCell ref="D616:E616"/>
    <mergeCell ref="F606:G606"/>
    <mergeCell ref="F608:G608"/>
    <mergeCell ref="D613:E613"/>
    <mergeCell ref="F613:G613"/>
    <mergeCell ref="D612:E612"/>
    <mergeCell ref="D599:E599"/>
    <mergeCell ref="F599:G599"/>
    <mergeCell ref="B607:C607"/>
    <mergeCell ref="F598:G598"/>
    <mergeCell ref="D619:E619"/>
    <mergeCell ref="F621:G621"/>
    <mergeCell ref="B600:C600"/>
    <mergeCell ref="D600:E600"/>
    <mergeCell ref="F600:G600"/>
    <mergeCell ref="B613:C613"/>
    <mergeCell ref="F620:G620"/>
    <mergeCell ref="F609:G609"/>
    <mergeCell ref="B608:C608"/>
    <mergeCell ref="D608:E608"/>
    <mergeCell ref="D607:E607"/>
    <mergeCell ref="F607:G607"/>
    <mergeCell ref="B615:C615"/>
    <mergeCell ref="M614:N614"/>
    <mergeCell ref="F616:G616"/>
    <mergeCell ref="M616:N616"/>
    <mergeCell ref="M620:N620"/>
    <mergeCell ref="M599:N599"/>
    <mergeCell ref="M606:N606"/>
    <mergeCell ref="F639:G639"/>
    <mergeCell ref="B606:C606"/>
    <mergeCell ref="D606:E606"/>
    <mergeCell ref="B614:C614"/>
    <mergeCell ref="D614:E614"/>
    <mergeCell ref="F614:G614"/>
    <mergeCell ref="D615:E615"/>
    <mergeCell ref="B619:C619"/>
    <mergeCell ref="F584:G584"/>
    <mergeCell ref="M584:N584"/>
    <mergeCell ref="B586:C586"/>
    <mergeCell ref="F586:G586"/>
    <mergeCell ref="B583:C583"/>
    <mergeCell ref="D583:E583"/>
    <mergeCell ref="F583:G583"/>
    <mergeCell ref="M583:N583"/>
    <mergeCell ref="M585:N585"/>
    <mergeCell ref="B585:C585"/>
    <mergeCell ref="M590:N590"/>
    <mergeCell ref="B623:C623"/>
    <mergeCell ref="D623:E623"/>
    <mergeCell ref="B621:C621"/>
    <mergeCell ref="D621:E621"/>
    <mergeCell ref="B590:C590"/>
    <mergeCell ref="D590:E590"/>
    <mergeCell ref="B592:C592"/>
    <mergeCell ref="D592:E592"/>
    <mergeCell ref="I605:L605"/>
    <mergeCell ref="B588:C588"/>
    <mergeCell ref="D588:E588"/>
    <mergeCell ref="B620:C620"/>
    <mergeCell ref="D620:E620"/>
    <mergeCell ref="F644:G644"/>
    <mergeCell ref="M644:N644"/>
    <mergeCell ref="B642:C642"/>
    <mergeCell ref="D642:E642"/>
    <mergeCell ref="F642:G642"/>
    <mergeCell ref="M642:N642"/>
    <mergeCell ref="B643:C643"/>
    <mergeCell ref="D643:E643"/>
    <mergeCell ref="F643:G643"/>
    <mergeCell ref="M643:N643"/>
    <mergeCell ref="M608:N608"/>
    <mergeCell ref="B610:C610"/>
    <mergeCell ref="D610:E610"/>
    <mergeCell ref="F610:G610"/>
    <mergeCell ref="M610:N610"/>
    <mergeCell ref="B609:C609"/>
    <mergeCell ref="D609:E609"/>
    <mergeCell ref="M609:N609"/>
    <mergeCell ref="M639:N639"/>
    <mergeCell ref="M636:N636"/>
    <mergeCell ref="B639:C639"/>
    <mergeCell ref="D639:E639"/>
    <mergeCell ref="D638:E638"/>
    <mergeCell ref="F638:G638"/>
    <mergeCell ref="B638:C638"/>
    <mergeCell ref="B640:C640"/>
    <mergeCell ref="B637:C637"/>
    <mergeCell ref="D637:E637"/>
    <mergeCell ref="F637:G637"/>
    <mergeCell ref="B633:C633"/>
    <mergeCell ref="D633:E633"/>
    <mergeCell ref="F635:G635"/>
    <mergeCell ref="B646:C646"/>
    <mergeCell ref="D646:E646"/>
    <mergeCell ref="F646:G646"/>
    <mergeCell ref="M646:N646"/>
    <mergeCell ref="B644:C644"/>
    <mergeCell ref="D644:E644"/>
    <mergeCell ref="B645:C645"/>
    <mergeCell ref="D645:E645"/>
    <mergeCell ref="F645:G645"/>
    <mergeCell ref="M645:N645"/>
    <mergeCell ref="B612:C612"/>
    <mergeCell ref="M611:N611"/>
    <mergeCell ref="F641:G641"/>
    <mergeCell ref="M641:N641"/>
    <mergeCell ref="B634:C634"/>
    <mergeCell ref="D634:E634"/>
    <mergeCell ref="F634:G634"/>
    <mergeCell ref="M634:N634"/>
    <mergeCell ref="M637:N637"/>
    <mergeCell ref="D640:E640"/>
    <mergeCell ref="F640:G640"/>
    <mergeCell ref="M640:N640"/>
    <mergeCell ref="F636:G636"/>
    <mergeCell ref="B632:C632"/>
    <mergeCell ref="D632:E632"/>
    <mergeCell ref="F632:G632"/>
    <mergeCell ref="M632:N632"/>
    <mergeCell ref="F633:G633"/>
    <mergeCell ref="B635:C635"/>
    <mergeCell ref="M638:N638"/>
    <mergeCell ref="B641:C641"/>
    <mergeCell ref="D641:E641"/>
    <mergeCell ref="M635:N635"/>
    <mergeCell ref="M633:N633"/>
    <mergeCell ref="D635:E635"/>
    <mergeCell ref="B630:C630"/>
    <mergeCell ref="D630:E630"/>
    <mergeCell ref="F630:G630"/>
    <mergeCell ref="M630:N630"/>
    <mergeCell ref="B631:C631"/>
    <mergeCell ref="D631:E631"/>
    <mergeCell ref="F631:G631"/>
    <mergeCell ref="M631:N631"/>
    <mergeCell ref="B611:C611"/>
    <mergeCell ref="B617:C617"/>
    <mergeCell ref="D617:E617"/>
    <mergeCell ref="F617:G617"/>
    <mergeCell ref="F612:G612"/>
    <mergeCell ref="B629:C629"/>
    <mergeCell ref="D629:E629"/>
    <mergeCell ref="F629:G629"/>
    <mergeCell ref="F615:G615"/>
    <mergeCell ref="D611:E611"/>
    <mergeCell ref="M629:N629"/>
    <mergeCell ref="M612:N612"/>
    <mergeCell ref="B618:C618"/>
    <mergeCell ref="D618:E618"/>
    <mergeCell ref="F618:G618"/>
    <mergeCell ref="M618:N618"/>
    <mergeCell ref="M621:N621"/>
    <mergeCell ref="M613:N613"/>
    <mergeCell ref="B624:C624"/>
    <mergeCell ref="D624:E624"/>
    <mergeCell ref="D622:E622"/>
    <mergeCell ref="M581:N581"/>
    <mergeCell ref="I557:L557"/>
    <mergeCell ref="B558:C558"/>
    <mergeCell ref="D558:E558"/>
    <mergeCell ref="F558:G558"/>
    <mergeCell ref="B561:C561"/>
    <mergeCell ref="D561:E561"/>
    <mergeCell ref="M561:N561"/>
    <mergeCell ref="D564:E564"/>
    <mergeCell ref="F564:G564"/>
    <mergeCell ref="B566:C566"/>
    <mergeCell ref="B562:C562"/>
    <mergeCell ref="F562:G562"/>
    <mergeCell ref="M562:N562"/>
    <mergeCell ref="F565:G565"/>
    <mergeCell ref="M565:N565"/>
    <mergeCell ref="B595:C595"/>
    <mergeCell ref="D595:E595"/>
    <mergeCell ref="B560:C560"/>
    <mergeCell ref="D560:E560"/>
    <mergeCell ref="F560:G560"/>
    <mergeCell ref="M560:N560"/>
    <mergeCell ref="D566:E566"/>
    <mergeCell ref="F567:G567"/>
    <mergeCell ref="M567:N567"/>
    <mergeCell ref="F566:G566"/>
    <mergeCell ref="M586:N586"/>
    <mergeCell ref="D586:E586"/>
    <mergeCell ref="B581:C581"/>
    <mergeCell ref="D581:E581"/>
    <mergeCell ref="F581:G581"/>
    <mergeCell ref="M576:N576"/>
    <mergeCell ref="B536:C536"/>
    <mergeCell ref="B547:C547"/>
    <mergeCell ref="B549:C549"/>
    <mergeCell ref="B537:C537"/>
    <mergeCell ref="B552:C552"/>
    <mergeCell ref="D552:E552"/>
    <mergeCell ref="B544:C544"/>
    <mergeCell ref="D544:E544"/>
    <mergeCell ref="D545:E545"/>
    <mergeCell ref="D547:E547"/>
    <mergeCell ref="D549:E549"/>
    <mergeCell ref="F552:G552"/>
    <mergeCell ref="B550:C550"/>
    <mergeCell ref="B548:C548"/>
    <mergeCell ref="D548:E548"/>
    <mergeCell ref="F548:G548"/>
    <mergeCell ref="D550:E550"/>
    <mergeCell ref="D551:E551"/>
    <mergeCell ref="F551:G551"/>
    <mergeCell ref="F547:G547"/>
    <mergeCell ref="F540:G540"/>
    <mergeCell ref="B541:C541"/>
    <mergeCell ref="D541:E541"/>
    <mergeCell ref="M543:N543"/>
    <mergeCell ref="M545:N545"/>
    <mergeCell ref="F544:G544"/>
    <mergeCell ref="M544:N544"/>
    <mergeCell ref="F543:G543"/>
    <mergeCell ref="F545:G545"/>
    <mergeCell ref="F546:G546"/>
    <mergeCell ref="M547:N547"/>
    <mergeCell ref="M546:N546"/>
    <mergeCell ref="M558:N558"/>
    <mergeCell ref="B559:C559"/>
    <mergeCell ref="D559:E559"/>
    <mergeCell ref="F559:G559"/>
    <mergeCell ref="M559:N559"/>
    <mergeCell ref="B543:C543"/>
    <mergeCell ref="B545:C545"/>
    <mergeCell ref="D543:E543"/>
    <mergeCell ref="B546:C546"/>
    <mergeCell ref="D546:E546"/>
    <mergeCell ref="M552:N552"/>
    <mergeCell ref="M540:N540"/>
    <mergeCell ref="B520:C520"/>
    <mergeCell ref="F512:G512"/>
    <mergeCell ref="M499:N499"/>
    <mergeCell ref="B502:C502"/>
    <mergeCell ref="F535:G535"/>
    <mergeCell ref="F533:G533"/>
    <mergeCell ref="M533:N533"/>
    <mergeCell ref="M535:N535"/>
    <mergeCell ref="F534:G534"/>
    <mergeCell ref="M534:N534"/>
    <mergeCell ref="B530:C530"/>
    <mergeCell ref="M503:N503"/>
    <mergeCell ref="B500:C500"/>
    <mergeCell ref="B504:C504"/>
    <mergeCell ref="D504:E504"/>
    <mergeCell ref="F504:G504"/>
    <mergeCell ref="M504:N504"/>
    <mergeCell ref="F502:G502"/>
    <mergeCell ref="D505:E505"/>
    <mergeCell ref="M502:N502"/>
    <mergeCell ref="D500:E500"/>
    <mergeCell ref="F505:G505"/>
    <mergeCell ref="M505:N505"/>
    <mergeCell ref="F500:G500"/>
    <mergeCell ref="B501:C501"/>
    <mergeCell ref="D501:E501"/>
    <mergeCell ref="F501:G501"/>
    <mergeCell ref="M501:N501"/>
    <mergeCell ref="B499:C499"/>
    <mergeCell ref="D499:E499"/>
    <mergeCell ref="F499:G499"/>
    <mergeCell ref="F503:G503"/>
    <mergeCell ref="B505:C505"/>
    <mergeCell ref="F519:G519"/>
    <mergeCell ref="D516:E516"/>
    <mergeCell ref="F516:G516"/>
    <mergeCell ref="B513:C513"/>
    <mergeCell ref="D513:E513"/>
    <mergeCell ref="F513:G513"/>
    <mergeCell ref="I444:L444"/>
    <mergeCell ref="B445:C445"/>
    <mergeCell ref="D445:E445"/>
    <mergeCell ref="F445:G445"/>
    <mergeCell ref="M445:N445"/>
    <mergeCell ref="B446:C446"/>
    <mergeCell ref="D446:E446"/>
    <mergeCell ref="F446:G446"/>
    <mergeCell ref="M446:N446"/>
    <mergeCell ref="B449:C449"/>
    <mergeCell ref="D449:E449"/>
    <mergeCell ref="F449:G449"/>
    <mergeCell ref="M449:N449"/>
    <mergeCell ref="B450:C450"/>
    <mergeCell ref="D450:E450"/>
    <mergeCell ref="F450:G450"/>
    <mergeCell ref="M450:N450"/>
    <mergeCell ref="B447:C447"/>
    <mergeCell ref="D447:E447"/>
    <mergeCell ref="F447:G447"/>
    <mergeCell ref="M447:N447"/>
    <mergeCell ref="B448:C448"/>
    <mergeCell ref="D448:E448"/>
    <mergeCell ref="F448:G448"/>
    <mergeCell ref="M448:N448"/>
    <mergeCell ref="B453:C453"/>
    <mergeCell ref="D453:E453"/>
    <mergeCell ref="F453:G453"/>
    <mergeCell ref="M453:N453"/>
    <mergeCell ref="B454:C454"/>
    <mergeCell ref="D454:E454"/>
    <mergeCell ref="F454:G454"/>
    <mergeCell ref="M454:N454"/>
    <mergeCell ref="B451:C451"/>
    <mergeCell ref="D451:E451"/>
    <mergeCell ref="F451:G451"/>
    <mergeCell ref="M451:N451"/>
    <mergeCell ref="B452:C452"/>
    <mergeCell ref="D452:E452"/>
    <mergeCell ref="F452:G452"/>
    <mergeCell ref="M452:N452"/>
    <mergeCell ref="B457:C457"/>
    <mergeCell ref="D457:E457"/>
    <mergeCell ref="F457:G457"/>
    <mergeCell ref="M457:N457"/>
    <mergeCell ref="B458:C458"/>
    <mergeCell ref="D458:E458"/>
    <mergeCell ref="F458:G458"/>
    <mergeCell ref="M458:N458"/>
    <mergeCell ref="B455:C455"/>
    <mergeCell ref="D455:E455"/>
    <mergeCell ref="F455:G455"/>
    <mergeCell ref="M455:N455"/>
    <mergeCell ref="B456:C456"/>
    <mergeCell ref="D456:E456"/>
    <mergeCell ref="F456:G456"/>
    <mergeCell ref="M456:N456"/>
    <mergeCell ref="B461:C461"/>
    <mergeCell ref="D461:E461"/>
    <mergeCell ref="F461:G461"/>
    <mergeCell ref="M461:N461"/>
    <mergeCell ref="B462:C462"/>
    <mergeCell ref="D462:E462"/>
    <mergeCell ref="F462:G462"/>
    <mergeCell ref="M462:N462"/>
    <mergeCell ref="B459:C459"/>
    <mergeCell ref="D459:E459"/>
    <mergeCell ref="F459:G459"/>
    <mergeCell ref="M459:N459"/>
    <mergeCell ref="B460:C460"/>
    <mergeCell ref="D460:E460"/>
    <mergeCell ref="F460:G460"/>
    <mergeCell ref="M460:N460"/>
    <mergeCell ref="D465:E465"/>
    <mergeCell ref="F465:G465"/>
    <mergeCell ref="M465:N465"/>
    <mergeCell ref="B466:C466"/>
    <mergeCell ref="D466:E466"/>
    <mergeCell ref="F466:G466"/>
    <mergeCell ref="M466:N466"/>
    <mergeCell ref="M470:N470"/>
    <mergeCell ref="B463:C463"/>
    <mergeCell ref="D463:E463"/>
    <mergeCell ref="F463:G463"/>
    <mergeCell ref="M463:N463"/>
    <mergeCell ref="B464:C464"/>
    <mergeCell ref="D464:E464"/>
    <mergeCell ref="F464:G464"/>
    <mergeCell ref="M464:N464"/>
    <mergeCell ref="B465:C465"/>
    <mergeCell ref="B472:C472"/>
    <mergeCell ref="D472:E472"/>
    <mergeCell ref="M468:N468"/>
    <mergeCell ref="B469:C469"/>
    <mergeCell ref="D469:E469"/>
    <mergeCell ref="F469:G469"/>
    <mergeCell ref="M469:N469"/>
    <mergeCell ref="B470:C470"/>
    <mergeCell ref="D470:E470"/>
    <mergeCell ref="F470:G470"/>
    <mergeCell ref="B467:C467"/>
    <mergeCell ref="D467:E467"/>
    <mergeCell ref="F467:G467"/>
    <mergeCell ref="M467:N467"/>
    <mergeCell ref="B468:C468"/>
    <mergeCell ref="D468:E468"/>
    <mergeCell ref="F468:G468"/>
    <mergeCell ref="F472:G472"/>
    <mergeCell ref="M472:N472"/>
    <mergeCell ref="B471:C471"/>
    <mergeCell ref="D471:E471"/>
    <mergeCell ref="F471:G471"/>
    <mergeCell ref="B473:C473"/>
    <mergeCell ref="D473:E473"/>
    <mergeCell ref="F473:G473"/>
    <mergeCell ref="M473:N473"/>
    <mergeCell ref="B474:C474"/>
    <mergeCell ref="B475:C475"/>
    <mergeCell ref="M475:N475"/>
    <mergeCell ref="B478:C478"/>
    <mergeCell ref="D478:E478"/>
    <mergeCell ref="F478:G478"/>
    <mergeCell ref="M478:N478"/>
    <mergeCell ref="B479:C479"/>
    <mergeCell ref="D479:E479"/>
    <mergeCell ref="F479:G479"/>
    <mergeCell ref="M479:N479"/>
    <mergeCell ref="F482:G482"/>
    <mergeCell ref="M482:N482"/>
    <mergeCell ref="B476:C476"/>
    <mergeCell ref="D476:E476"/>
    <mergeCell ref="F476:G476"/>
    <mergeCell ref="M476:N476"/>
    <mergeCell ref="B477:C477"/>
    <mergeCell ref="D477:E477"/>
    <mergeCell ref="F477:G477"/>
    <mergeCell ref="M477:N477"/>
    <mergeCell ref="B484:E484"/>
    <mergeCell ref="B485:E485"/>
    <mergeCell ref="B481:C481"/>
    <mergeCell ref="D481:E481"/>
    <mergeCell ref="F481:G481"/>
    <mergeCell ref="M481:N481"/>
    <mergeCell ref="B482:C482"/>
    <mergeCell ref="D482:E482"/>
    <mergeCell ref="I401:L401"/>
    <mergeCell ref="B402:C402"/>
    <mergeCell ref="D402:E402"/>
    <mergeCell ref="F402:G402"/>
    <mergeCell ref="M402:N402"/>
    <mergeCell ref="B403:C403"/>
    <mergeCell ref="D403:E403"/>
    <mergeCell ref="F403:G403"/>
    <mergeCell ref="M403:N403"/>
    <mergeCell ref="B404:C404"/>
    <mergeCell ref="D404:E404"/>
    <mergeCell ref="F404:G404"/>
    <mergeCell ref="M404:N404"/>
    <mergeCell ref="B405:C405"/>
    <mergeCell ref="D405:E405"/>
    <mergeCell ref="F405:G405"/>
    <mergeCell ref="M405:N405"/>
    <mergeCell ref="B406:C406"/>
    <mergeCell ref="D406:E406"/>
    <mergeCell ref="F406:G406"/>
    <mergeCell ref="M406:N406"/>
    <mergeCell ref="B407:C407"/>
    <mergeCell ref="D407:E407"/>
    <mergeCell ref="F407:G407"/>
    <mergeCell ref="M407:N407"/>
    <mergeCell ref="B408:C408"/>
    <mergeCell ref="D408:E408"/>
    <mergeCell ref="F408:G408"/>
    <mergeCell ref="M408:N408"/>
    <mergeCell ref="B409:C409"/>
    <mergeCell ref="D409:E409"/>
    <mergeCell ref="F409:G409"/>
    <mergeCell ref="M409:N409"/>
    <mergeCell ref="B410:C410"/>
    <mergeCell ref="D410:E410"/>
    <mergeCell ref="F410:G410"/>
    <mergeCell ref="M410:N410"/>
    <mergeCell ref="B411:C411"/>
    <mergeCell ref="D411:E411"/>
    <mergeCell ref="F411:G411"/>
    <mergeCell ref="M411:N411"/>
    <mergeCell ref="B412:C412"/>
    <mergeCell ref="D412:E412"/>
    <mergeCell ref="F412:G412"/>
    <mergeCell ref="M412:N412"/>
    <mergeCell ref="B413:C413"/>
    <mergeCell ref="D413:E413"/>
    <mergeCell ref="F413:G413"/>
    <mergeCell ref="M413:N413"/>
    <mergeCell ref="B414:C414"/>
    <mergeCell ref="D414:E414"/>
    <mergeCell ref="F414:G414"/>
    <mergeCell ref="M414:N414"/>
    <mergeCell ref="B415:C415"/>
    <mergeCell ref="D415:E415"/>
    <mergeCell ref="F415:G415"/>
    <mergeCell ref="M415:N415"/>
    <mergeCell ref="B416:C416"/>
    <mergeCell ref="D416:E416"/>
    <mergeCell ref="F416:G416"/>
    <mergeCell ref="M416:N416"/>
    <mergeCell ref="B417:C417"/>
    <mergeCell ref="D417:E417"/>
    <mergeCell ref="F417:G417"/>
    <mergeCell ref="M417:N417"/>
    <mergeCell ref="B418:C418"/>
    <mergeCell ref="D418:E418"/>
    <mergeCell ref="F418:G418"/>
    <mergeCell ref="M418:N418"/>
    <mergeCell ref="B419:C419"/>
    <mergeCell ref="D419:E419"/>
    <mergeCell ref="F419:G419"/>
    <mergeCell ref="M419:N419"/>
    <mergeCell ref="B420:C420"/>
    <mergeCell ref="D420:E420"/>
    <mergeCell ref="F420:G420"/>
    <mergeCell ref="M420:N420"/>
    <mergeCell ref="B421:C421"/>
    <mergeCell ref="D421:E421"/>
    <mergeCell ref="F421:G421"/>
    <mergeCell ref="M421:N421"/>
    <mergeCell ref="B422:C422"/>
    <mergeCell ref="D422:E422"/>
    <mergeCell ref="F422:G422"/>
    <mergeCell ref="M422:N422"/>
    <mergeCell ref="B423:C423"/>
    <mergeCell ref="D423:E423"/>
    <mergeCell ref="F423:G423"/>
    <mergeCell ref="M423:N423"/>
    <mergeCell ref="B424:C424"/>
    <mergeCell ref="D424:E424"/>
    <mergeCell ref="F424:G424"/>
    <mergeCell ref="M424:N424"/>
    <mergeCell ref="B425:C425"/>
    <mergeCell ref="D425:E425"/>
    <mergeCell ref="F425:G425"/>
    <mergeCell ref="M425:N425"/>
    <mergeCell ref="B426:C426"/>
    <mergeCell ref="D426:E426"/>
    <mergeCell ref="F426:G426"/>
    <mergeCell ref="M426:N426"/>
    <mergeCell ref="B427:C427"/>
    <mergeCell ref="D427:E427"/>
    <mergeCell ref="F427:G427"/>
    <mergeCell ref="M427:N427"/>
    <mergeCell ref="B428:C428"/>
    <mergeCell ref="D428:E428"/>
    <mergeCell ref="F428:G428"/>
    <mergeCell ref="M428:N428"/>
    <mergeCell ref="B429:C429"/>
    <mergeCell ref="D429:E429"/>
    <mergeCell ref="F429:G429"/>
    <mergeCell ref="M429:N429"/>
    <mergeCell ref="B430:C430"/>
    <mergeCell ref="D430:E430"/>
    <mergeCell ref="F430:G430"/>
    <mergeCell ref="M430:N430"/>
    <mergeCell ref="B431:C431"/>
    <mergeCell ref="B432:C432"/>
    <mergeCell ref="D432:E432"/>
    <mergeCell ref="F432:G432"/>
    <mergeCell ref="M432:N432"/>
    <mergeCell ref="B433:C433"/>
    <mergeCell ref="D433:E433"/>
    <mergeCell ref="F433:G433"/>
    <mergeCell ref="M433:N433"/>
    <mergeCell ref="B434:C434"/>
    <mergeCell ref="D434:E434"/>
    <mergeCell ref="F434:G434"/>
    <mergeCell ref="M434:N434"/>
    <mergeCell ref="D435:E435"/>
    <mergeCell ref="F435:G435"/>
    <mergeCell ref="M435:N435"/>
    <mergeCell ref="B436:C436"/>
    <mergeCell ref="D436:E436"/>
    <mergeCell ref="F436:G436"/>
    <mergeCell ref="M436:N436"/>
    <mergeCell ref="B441:E441"/>
    <mergeCell ref="B442:E442"/>
    <mergeCell ref="B437:C437"/>
    <mergeCell ref="D437:E437"/>
    <mergeCell ref="F437:G437"/>
    <mergeCell ref="M437:N437"/>
    <mergeCell ref="B438:C438"/>
    <mergeCell ref="D438:E438"/>
    <mergeCell ref="F438:G438"/>
    <mergeCell ref="M438:N438"/>
    <mergeCell ref="B368:C368"/>
    <mergeCell ref="D368:E368"/>
    <mergeCell ref="F368:G368"/>
    <mergeCell ref="M368:N368"/>
    <mergeCell ref="I367:L367"/>
    <mergeCell ref="B439:C439"/>
    <mergeCell ref="D439:E439"/>
    <mergeCell ref="F439:G439"/>
    <mergeCell ref="M439:N439"/>
    <mergeCell ref="B435:C435"/>
    <mergeCell ref="B369:C369"/>
    <mergeCell ref="D369:E369"/>
    <mergeCell ref="F369:G369"/>
    <mergeCell ref="M369:N369"/>
    <mergeCell ref="B370:C370"/>
    <mergeCell ref="D370:E370"/>
    <mergeCell ref="F370:G370"/>
    <mergeCell ref="M370:N370"/>
    <mergeCell ref="B371:C371"/>
    <mergeCell ref="D371:E371"/>
    <mergeCell ref="F371:G371"/>
    <mergeCell ref="M371:N371"/>
    <mergeCell ref="B372:C372"/>
    <mergeCell ref="D372:E372"/>
    <mergeCell ref="F372:G372"/>
    <mergeCell ref="M372:N372"/>
    <mergeCell ref="B373:C373"/>
    <mergeCell ref="D373:E373"/>
    <mergeCell ref="F373:G373"/>
    <mergeCell ref="M373:N373"/>
    <mergeCell ref="B374:C374"/>
    <mergeCell ref="D374:E374"/>
    <mergeCell ref="F374:G374"/>
    <mergeCell ref="M374:N374"/>
    <mergeCell ref="B375:C375"/>
    <mergeCell ref="D375:E375"/>
    <mergeCell ref="F375:G375"/>
    <mergeCell ref="M375:N375"/>
    <mergeCell ref="B376:C376"/>
    <mergeCell ref="D376:E376"/>
    <mergeCell ref="F376:G376"/>
    <mergeCell ref="M376:N376"/>
    <mergeCell ref="D386:E386"/>
    <mergeCell ref="F386:G386"/>
    <mergeCell ref="M386:N386"/>
    <mergeCell ref="B377:C377"/>
    <mergeCell ref="D377:E377"/>
    <mergeCell ref="F377:G377"/>
    <mergeCell ref="M377:N377"/>
    <mergeCell ref="B378:C378"/>
    <mergeCell ref="D378:E378"/>
    <mergeCell ref="F378:G378"/>
    <mergeCell ref="M378:N378"/>
    <mergeCell ref="F383:G383"/>
    <mergeCell ref="M383:N383"/>
    <mergeCell ref="B380:C380"/>
    <mergeCell ref="D380:E380"/>
    <mergeCell ref="F380:G380"/>
    <mergeCell ref="M380:N380"/>
    <mergeCell ref="B381:C381"/>
    <mergeCell ref="D381:E381"/>
    <mergeCell ref="F381:G381"/>
    <mergeCell ref="M381:N381"/>
    <mergeCell ref="B399:E399"/>
    <mergeCell ref="F395:G395"/>
    <mergeCell ref="M395:N395"/>
    <mergeCell ref="B396:C396"/>
    <mergeCell ref="D396:E396"/>
    <mergeCell ref="F396:G396"/>
    <mergeCell ref="M396:N396"/>
    <mergeCell ref="M394:N394"/>
    <mergeCell ref="B379:C379"/>
    <mergeCell ref="D379:E379"/>
    <mergeCell ref="F379:G379"/>
    <mergeCell ref="M379:N379"/>
    <mergeCell ref="D390:E390"/>
    <mergeCell ref="F390:G390"/>
    <mergeCell ref="M390:N390"/>
    <mergeCell ref="B387:C387"/>
    <mergeCell ref="D387:E387"/>
    <mergeCell ref="F387:G387"/>
    <mergeCell ref="M387:N387"/>
    <mergeCell ref="B388:C388"/>
    <mergeCell ref="D388:E388"/>
    <mergeCell ref="F388:G388"/>
    <mergeCell ref="M391:N391"/>
    <mergeCell ref="B392:C392"/>
    <mergeCell ref="D392:E392"/>
    <mergeCell ref="F392:G392"/>
    <mergeCell ref="M392:N392"/>
    <mergeCell ref="B389:C389"/>
    <mergeCell ref="D389:E389"/>
    <mergeCell ref="F389:G389"/>
    <mergeCell ref="M389:N389"/>
    <mergeCell ref="B390:C390"/>
    <mergeCell ref="B394:C394"/>
    <mergeCell ref="D394:E394"/>
    <mergeCell ref="F394:G394"/>
    <mergeCell ref="B391:C391"/>
    <mergeCell ref="D391:E391"/>
    <mergeCell ref="F391:G391"/>
    <mergeCell ref="B398:E398"/>
    <mergeCell ref="D360:E360"/>
    <mergeCell ref="F360:G360"/>
    <mergeCell ref="M360:N360"/>
    <mergeCell ref="B393:C393"/>
    <mergeCell ref="D393:E393"/>
    <mergeCell ref="F393:G393"/>
    <mergeCell ref="M393:N393"/>
    <mergeCell ref="B395:C395"/>
    <mergeCell ref="D395:E395"/>
    <mergeCell ref="B384:C384"/>
    <mergeCell ref="D384:E384"/>
    <mergeCell ref="F384:G384"/>
    <mergeCell ref="M384:N384"/>
    <mergeCell ref="B382:C382"/>
    <mergeCell ref="D382:E382"/>
    <mergeCell ref="F382:G382"/>
    <mergeCell ref="M382:N382"/>
    <mergeCell ref="B383:C383"/>
    <mergeCell ref="D383:E383"/>
    <mergeCell ref="M388:N388"/>
    <mergeCell ref="B385:C385"/>
    <mergeCell ref="D385:E385"/>
    <mergeCell ref="F385:G385"/>
    <mergeCell ref="M385:N385"/>
    <mergeCell ref="B386:C386"/>
    <mergeCell ref="B249:C249"/>
    <mergeCell ref="D249:E249"/>
    <mergeCell ref="F249:G249"/>
    <mergeCell ref="M249:N249"/>
    <mergeCell ref="B250:C250"/>
    <mergeCell ref="D250:E250"/>
    <mergeCell ref="F250:G250"/>
    <mergeCell ref="M250:N250"/>
    <mergeCell ref="B251:C251"/>
    <mergeCell ref="D251:E251"/>
    <mergeCell ref="F251:G251"/>
    <mergeCell ref="M251:N251"/>
    <mergeCell ref="B252:C252"/>
    <mergeCell ref="D252:E252"/>
    <mergeCell ref="F252:G252"/>
    <mergeCell ref="M252:N252"/>
    <mergeCell ref="B253:C253"/>
    <mergeCell ref="D253:E253"/>
    <mergeCell ref="F253:G253"/>
    <mergeCell ref="B256:C256"/>
    <mergeCell ref="D256:E256"/>
    <mergeCell ref="F256:G256"/>
    <mergeCell ref="M256:N256"/>
    <mergeCell ref="B257:C257"/>
    <mergeCell ref="D257:E257"/>
    <mergeCell ref="F257:G257"/>
    <mergeCell ref="M257:N257"/>
    <mergeCell ref="B258:C258"/>
    <mergeCell ref="D258:E258"/>
    <mergeCell ref="F258:G258"/>
    <mergeCell ref="M258:N258"/>
    <mergeCell ref="B259:C259"/>
    <mergeCell ref="D259:E259"/>
    <mergeCell ref="F259:G259"/>
    <mergeCell ref="M259:N259"/>
    <mergeCell ref="B261:C261"/>
    <mergeCell ref="D261:E261"/>
    <mergeCell ref="F261:G261"/>
    <mergeCell ref="M261:N261"/>
    <mergeCell ref="B262:C262"/>
    <mergeCell ref="D262:E262"/>
    <mergeCell ref="F262:G262"/>
    <mergeCell ref="M262:N262"/>
    <mergeCell ref="B263:C263"/>
    <mergeCell ref="D263:E263"/>
    <mergeCell ref="F263:G263"/>
    <mergeCell ref="M263:N263"/>
    <mergeCell ref="B265:C265"/>
    <mergeCell ref="D265:E265"/>
    <mergeCell ref="F265:G265"/>
    <mergeCell ref="M265:N265"/>
    <mergeCell ref="B266:C266"/>
    <mergeCell ref="D266:E266"/>
    <mergeCell ref="F266:G266"/>
    <mergeCell ref="M266:N266"/>
    <mergeCell ref="B267:C267"/>
    <mergeCell ref="D267:E267"/>
    <mergeCell ref="F267:G267"/>
    <mergeCell ref="M267:N267"/>
    <mergeCell ref="B282:C282"/>
    <mergeCell ref="D282:E282"/>
    <mergeCell ref="F282:G282"/>
    <mergeCell ref="M282:N282"/>
    <mergeCell ref="B283:C283"/>
    <mergeCell ref="D283:E283"/>
    <mergeCell ref="F283:G283"/>
    <mergeCell ref="B254:C254"/>
    <mergeCell ref="D254:E254"/>
    <mergeCell ref="F254:G254"/>
    <mergeCell ref="M254:N254"/>
    <mergeCell ref="B278:C278"/>
    <mergeCell ref="D278:E278"/>
    <mergeCell ref="F278:G278"/>
    <mergeCell ref="M278:N278"/>
    <mergeCell ref="B273:C273"/>
    <mergeCell ref="D273:E273"/>
    <mergeCell ref="F273:G273"/>
    <mergeCell ref="M273:N273"/>
    <mergeCell ref="B274:C274"/>
    <mergeCell ref="D274:E274"/>
    <mergeCell ref="F274:G274"/>
    <mergeCell ref="B275:C275"/>
    <mergeCell ref="D275:E275"/>
    <mergeCell ref="F275:G275"/>
    <mergeCell ref="M275:N275"/>
    <mergeCell ref="B276:C276"/>
    <mergeCell ref="D276:E276"/>
    <mergeCell ref="F276:G276"/>
    <mergeCell ref="M276:N276"/>
    <mergeCell ref="B277:C277"/>
    <mergeCell ref="D277:E277"/>
    <mergeCell ref="F246:G246"/>
    <mergeCell ref="D245:E245"/>
    <mergeCell ref="D246:E246"/>
    <mergeCell ref="B245:C245"/>
    <mergeCell ref="B246:C246"/>
    <mergeCell ref="B280:C280"/>
    <mergeCell ref="D280:E280"/>
    <mergeCell ref="F280:G280"/>
    <mergeCell ref="M280:N280"/>
    <mergeCell ref="B281:C281"/>
    <mergeCell ref="D281:E281"/>
    <mergeCell ref="F281:G281"/>
    <mergeCell ref="M281:N281"/>
    <mergeCell ref="F277:G277"/>
    <mergeCell ref="M277:N277"/>
    <mergeCell ref="B268:C268"/>
    <mergeCell ref="D268:E268"/>
    <mergeCell ref="F268:G268"/>
    <mergeCell ref="M268:N268"/>
    <mergeCell ref="B269:C269"/>
    <mergeCell ref="D269:E269"/>
    <mergeCell ref="F269:G269"/>
    <mergeCell ref="B270:C270"/>
    <mergeCell ref="D270:E270"/>
    <mergeCell ref="F270:G270"/>
    <mergeCell ref="M270:N270"/>
    <mergeCell ref="B271:C271"/>
    <mergeCell ref="D271:E271"/>
    <mergeCell ref="F271:G271"/>
    <mergeCell ref="B272:C272"/>
    <mergeCell ref="D272:E272"/>
    <mergeCell ref="F272:G272"/>
    <mergeCell ref="B200:C200"/>
    <mergeCell ref="D200:E200"/>
    <mergeCell ref="F200:G200"/>
    <mergeCell ref="M200:N200"/>
    <mergeCell ref="B201:C201"/>
    <mergeCell ref="D201:E201"/>
    <mergeCell ref="F201:G201"/>
    <mergeCell ref="M201:N201"/>
    <mergeCell ref="B204:C204"/>
    <mergeCell ref="D204:E204"/>
    <mergeCell ref="F204:G204"/>
    <mergeCell ref="M204:N204"/>
    <mergeCell ref="B205:C205"/>
    <mergeCell ref="D205:E205"/>
    <mergeCell ref="F205:G205"/>
    <mergeCell ref="M205:N205"/>
    <mergeCell ref="M245:N245"/>
    <mergeCell ref="F245:G245"/>
    <mergeCell ref="B206:C206"/>
    <mergeCell ref="D206:E206"/>
    <mergeCell ref="F206:G206"/>
    <mergeCell ref="M206:N206"/>
    <mergeCell ref="B207:C207"/>
    <mergeCell ref="D207:E207"/>
    <mergeCell ref="F207:G207"/>
    <mergeCell ref="M207:N207"/>
    <mergeCell ref="B208:C208"/>
    <mergeCell ref="D208:E208"/>
    <mergeCell ref="F208:G208"/>
    <mergeCell ref="B209:C209"/>
    <mergeCell ref="D209:E209"/>
    <mergeCell ref="F209:G209"/>
    <mergeCell ref="B211:C211"/>
    <mergeCell ref="D211:E211"/>
    <mergeCell ref="F211:G211"/>
    <mergeCell ref="M211:N211"/>
    <mergeCell ref="M208:N208"/>
    <mergeCell ref="B212:C212"/>
    <mergeCell ref="D212:E212"/>
    <mergeCell ref="F212:G212"/>
    <mergeCell ref="M212:N212"/>
    <mergeCell ref="B213:C213"/>
    <mergeCell ref="D213:E213"/>
    <mergeCell ref="F213:G213"/>
    <mergeCell ref="M213:N213"/>
    <mergeCell ref="B214:C214"/>
    <mergeCell ref="D214:E214"/>
    <mergeCell ref="F214:G214"/>
    <mergeCell ref="M214:N214"/>
    <mergeCell ref="B216:C216"/>
    <mergeCell ref="D216:E216"/>
    <mergeCell ref="F216:G216"/>
    <mergeCell ref="M216:N216"/>
    <mergeCell ref="B217:C217"/>
    <mergeCell ref="D217:E217"/>
    <mergeCell ref="F217:G217"/>
    <mergeCell ref="M217:N217"/>
    <mergeCell ref="B218:C218"/>
    <mergeCell ref="D218:E218"/>
    <mergeCell ref="F218:G218"/>
    <mergeCell ref="M218:N218"/>
    <mergeCell ref="B220:C220"/>
    <mergeCell ref="D220:E220"/>
    <mergeCell ref="F220:G220"/>
    <mergeCell ref="M220:N220"/>
    <mergeCell ref="B221:C221"/>
    <mergeCell ref="D221:E221"/>
    <mergeCell ref="F221:G221"/>
    <mergeCell ref="M221:N221"/>
    <mergeCell ref="B222:C222"/>
    <mergeCell ref="D222:E222"/>
    <mergeCell ref="F222:G222"/>
    <mergeCell ref="M222:N222"/>
    <mergeCell ref="B223:C223"/>
    <mergeCell ref="D223:E223"/>
    <mergeCell ref="F223:G223"/>
    <mergeCell ref="M223:N223"/>
    <mergeCell ref="F233:G233"/>
    <mergeCell ref="M233:N233"/>
    <mergeCell ref="B224:C224"/>
    <mergeCell ref="D224:E224"/>
    <mergeCell ref="F224:G224"/>
    <mergeCell ref="B225:C225"/>
    <mergeCell ref="D225:E225"/>
    <mergeCell ref="F225:G225"/>
    <mergeCell ref="M225:N225"/>
    <mergeCell ref="B226:C226"/>
    <mergeCell ref="D226:E226"/>
    <mergeCell ref="F226:G226"/>
    <mergeCell ref="B227:C227"/>
    <mergeCell ref="D227:E227"/>
    <mergeCell ref="F227:G227"/>
    <mergeCell ref="M227:N227"/>
    <mergeCell ref="B228:C228"/>
    <mergeCell ref="D228:E228"/>
    <mergeCell ref="F228:G228"/>
    <mergeCell ref="M228:N228"/>
    <mergeCell ref="B236:C236"/>
    <mergeCell ref="D236:E236"/>
    <mergeCell ref="F236:G236"/>
    <mergeCell ref="M236:N236"/>
    <mergeCell ref="B237:C237"/>
    <mergeCell ref="D237:E237"/>
    <mergeCell ref="F237:G237"/>
    <mergeCell ref="M237:N237"/>
    <mergeCell ref="B238:C238"/>
    <mergeCell ref="D238:E238"/>
    <mergeCell ref="F238:G238"/>
    <mergeCell ref="M238:N238"/>
    <mergeCell ref="B239:C239"/>
    <mergeCell ref="D239:E239"/>
    <mergeCell ref="F239:G239"/>
    <mergeCell ref="B229:C229"/>
    <mergeCell ref="D229:E229"/>
    <mergeCell ref="F229:G229"/>
    <mergeCell ref="B230:C230"/>
    <mergeCell ref="D230:E230"/>
    <mergeCell ref="F230:G230"/>
    <mergeCell ref="M230:N230"/>
    <mergeCell ref="B231:C231"/>
    <mergeCell ref="D231:E231"/>
    <mergeCell ref="F231:G231"/>
    <mergeCell ref="M231:N231"/>
    <mergeCell ref="B232:C232"/>
    <mergeCell ref="D232:E232"/>
    <mergeCell ref="F232:G232"/>
    <mergeCell ref="M232:N232"/>
    <mergeCell ref="B233:C233"/>
    <mergeCell ref="D233:E233"/>
    <mergeCell ref="I160:L160"/>
    <mergeCell ref="B161:C161"/>
    <mergeCell ref="D161:E161"/>
    <mergeCell ref="F161:G161"/>
    <mergeCell ref="M161:N161"/>
    <mergeCell ref="B162:C162"/>
    <mergeCell ref="D162:E162"/>
    <mergeCell ref="F162:G162"/>
    <mergeCell ref="M162:N162"/>
    <mergeCell ref="B163:C163"/>
    <mergeCell ref="D163:E163"/>
    <mergeCell ref="F163:G163"/>
    <mergeCell ref="M163:N163"/>
    <mergeCell ref="B164:C164"/>
    <mergeCell ref="D164:E164"/>
    <mergeCell ref="F164:G164"/>
    <mergeCell ref="M164:N164"/>
    <mergeCell ref="B165:C165"/>
    <mergeCell ref="D165:E165"/>
    <mergeCell ref="F165:G165"/>
    <mergeCell ref="M165:N165"/>
    <mergeCell ref="B166:C166"/>
    <mergeCell ref="D166:E166"/>
    <mergeCell ref="F166:G166"/>
    <mergeCell ref="M166:N166"/>
    <mergeCell ref="B167:C167"/>
    <mergeCell ref="D167:E167"/>
    <mergeCell ref="F167:G167"/>
    <mergeCell ref="M167:N167"/>
    <mergeCell ref="B168:C168"/>
    <mergeCell ref="D168:E168"/>
    <mergeCell ref="F168:G168"/>
    <mergeCell ref="M168:N168"/>
    <mergeCell ref="B169:C169"/>
    <mergeCell ref="D169:E169"/>
    <mergeCell ref="F169:G169"/>
    <mergeCell ref="M169:N169"/>
    <mergeCell ref="B170:C170"/>
    <mergeCell ref="D170:E170"/>
    <mergeCell ref="F170:G170"/>
    <mergeCell ref="M170:N170"/>
    <mergeCell ref="B172:C172"/>
    <mergeCell ref="D172:E172"/>
    <mergeCell ref="F172:G172"/>
    <mergeCell ref="M172:N172"/>
    <mergeCell ref="B173:C173"/>
    <mergeCell ref="D173:E173"/>
    <mergeCell ref="F173:G173"/>
    <mergeCell ref="M173:N173"/>
    <mergeCell ref="B174:C174"/>
    <mergeCell ref="D174:E174"/>
    <mergeCell ref="F174:G174"/>
    <mergeCell ref="M174:N174"/>
    <mergeCell ref="B175:C175"/>
    <mergeCell ref="D175:E175"/>
    <mergeCell ref="F175:G175"/>
    <mergeCell ref="M175:N175"/>
    <mergeCell ref="B171:C171"/>
    <mergeCell ref="D171:E171"/>
    <mergeCell ref="F171:G171"/>
    <mergeCell ref="M171:N171"/>
    <mergeCell ref="B177:C177"/>
    <mergeCell ref="D177:E177"/>
    <mergeCell ref="F177:G177"/>
    <mergeCell ref="M177:N177"/>
    <mergeCell ref="B178:C178"/>
    <mergeCell ref="D178:E178"/>
    <mergeCell ref="F178:G178"/>
    <mergeCell ref="M178:N178"/>
    <mergeCell ref="B179:C179"/>
    <mergeCell ref="D179:E179"/>
    <mergeCell ref="F179:G179"/>
    <mergeCell ref="M179:N179"/>
    <mergeCell ref="B180:C180"/>
    <mergeCell ref="D180:E180"/>
    <mergeCell ref="F180:G180"/>
    <mergeCell ref="M180:N180"/>
    <mergeCell ref="B181:C181"/>
    <mergeCell ref="D181:E181"/>
    <mergeCell ref="F181:G181"/>
    <mergeCell ref="M181:N181"/>
    <mergeCell ref="B182:C182"/>
    <mergeCell ref="D182:E182"/>
    <mergeCell ref="F182:G182"/>
    <mergeCell ref="M182:N182"/>
    <mergeCell ref="B183:C183"/>
    <mergeCell ref="D183:E183"/>
    <mergeCell ref="F183:G183"/>
    <mergeCell ref="M183:N183"/>
    <mergeCell ref="B184:C184"/>
    <mergeCell ref="D184:E184"/>
    <mergeCell ref="F184:G184"/>
    <mergeCell ref="M184:N184"/>
    <mergeCell ref="B185:C185"/>
    <mergeCell ref="D185:E185"/>
    <mergeCell ref="F185:G185"/>
    <mergeCell ref="M185:N185"/>
    <mergeCell ref="B186:C186"/>
    <mergeCell ref="D186:E186"/>
    <mergeCell ref="F186:G186"/>
    <mergeCell ref="M186:N186"/>
    <mergeCell ref="B194:C194"/>
    <mergeCell ref="D194:E194"/>
    <mergeCell ref="F194:G194"/>
    <mergeCell ref="M194:N194"/>
    <mergeCell ref="B196:E196"/>
    <mergeCell ref="B197:E197"/>
    <mergeCell ref="B187:C187"/>
    <mergeCell ref="D187:E187"/>
    <mergeCell ref="F187:G187"/>
    <mergeCell ref="M187:N187"/>
    <mergeCell ref="B188:C188"/>
    <mergeCell ref="D188:E188"/>
    <mergeCell ref="F188:G188"/>
    <mergeCell ref="M188:N188"/>
    <mergeCell ref="B191:C191"/>
    <mergeCell ref="D191:E191"/>
    <mergeCell ref="F191:G191"/>
    <mergeCell ref="M191:N191"/>
    <mergeCell ref="B192:C192"/>
    <mergeCell ref="D192:E192"/>
    <mergeCell ref="F192:G192"/>
    <mergeCell ref="M192:N192"/>
    <mergeCell ref="B193:C193"/>
    <mergeCell ref="D193:E193"/>
    <mergeCell ref="F193:G193"/>
    <mergeCell ref="M193:N193"/>
    <mergeCell ref="B189:C189"/>
    <mergeCell ref="D189:E189"/>
    <mergeCell ref="B190:C190"/>
    <mergeCell ref="D190:E190"/>
    <mergeCell ref="M190:N190"/>
    <mergeCell ref="M189:N189"/>
    <mergeCell ref="I244:L244"/>
    <mergeCell ref="I199:L199"/>
    <mergeCell ref="I330:L330"/>
    <mergeCell ref="M331:N331"/>
    <mergeCell ref="M332:N332"/>
    <mergeCell ref="M289:N289"/>
    <mergeCell ref="M290:N290"/>
    <mergeCell ref="I288:L288"/>
    <mergeCell ref="M361:N361"/>
    <mergeCell ref="M359:N359"/>
    <mergeCell ref="M356:N356"/>
    <mergeCell ref="M355:N355"/>
    <mergeCell ref="M353:N353"/>
    <mergeCell ref="M351:N351"/>
    <mergeCell ref="M350:N350"/>
    <mergeCell ref="M349:N349"/>
    <mergeCell ref="M348:N348"/>
    <mergeCell ref="M346:N346"/>
    <mergeCell ref="M345:N345"/>
    <mergeCell ref="M344:N344"/>
    <mergeCell ref="M342:N342"/>
    <mergeCell ref="M341:N341"/>
    <mergeCell ref="M340:N340"/>
    <mergeCell ref="M338:N338"/>
    <mergeCell ref="M337:N337"/>
    <mergeCell ref="M336:N336"/>
    <mergeCell ref="M246:N246"/>
    <mergeCell ref="M272:N272"/>
    <mergeCell ref="M358:N358"/>
    <mergeCell ref="M316:N316"/>
    <mergeCell ref="M209:N209"/>
    <mergeCell ref="M301:N301"/>
    <mergeCell ref="I120:L120"/>
    <mergeCell ref="B121:C121"/>
    <mergeCell ref="D121:E121"/>
    <mergeCell ref="F121:G121"/>
    <mergeCell ref="M121:N121"/>
    <mergeCell ref="B122:C122"/>
    <mergeCell ref="D122:E122"/>
    <mergeCell ref="F122:G122"/>
    <mergeCell ref="M122:N122"/>
    <mergeCell ref="B123:C123"/>
    <mergeCell ref="D123:E123"/>
    <mergeCell ref="F123:G123"/>
    <mergeCell ref="M123:N123"/>
    <mergeCell ref="B124:C124"/>
    <mergeCell ref="D124:E124"/>
    <mergeCell ref="F124:G124"/>
    <mergeCell ref="M124:N124"/>
    <mergeCell ref="D135:E135"/>
    <mergeCell ref="F135:G135"/>
    <mergeCell ref="M135:N135"/>
    <mergeCell ref="B125:C125"/>
    <mergeCell ref="D125:E125"/>
    <mergeCell ref="F125:G125"/>
    <mergeCell ref="M125:N125"/>
    <mergeCell ref="B126:C126"/>
    <mergeCell ref="D126:E126"/>
    <mergeCell ref="F126:G126"/>
    <mergeCell ref="M126:N126"/>
    <mergeCell ref="B127:C127"/>
    <mergeCell ref="D127:E127"/>
    <mergeCell ref="F127:G127"/>
    <mergeCell ref="M127:N127"/>
    <mergeCell ref="B128:C128"/>
    <mergeCell ref="D128:E128"/>
    <mergeCell ref="F128:G128"/>
    <mergeCell ref="M128:N128"/>
    <mergeCell ref="B129:C129"/>
    <mergeCell ref="D129:E129"/>
    <mergeCell ref="F129:G129"/>
    <mergeCell ref="M129:N129"/>
    <mergeCell ref="B131:C131"/>
    <mergeCell ref="D131:E131"/>
    <mergeCell ref="F131:G131"/>
    <mergeCell ref="M131:N131"/>
    <mergeCell ref="B137:C137"/>
    <mergeCell ref="D137:E137"/>
    <mergeCell ref="F137:G137"/>
    <mergeCell ref="M137:N137"/>
    <mergeCell ref="B138:C138"/>
    <mergeCell ref="D138:E138"/>
    <mergeCell ref="F138:G138"/>
    <mergeCell ref="M138:N138"/>
    <mergeCell ref="B139:C139"/>
    <mergeCell ref="D139:E139"/>
    <mergeCell ref="F139:G139"/>
    <mergeCell ref="B140:C140"/>
    <mergeCell ref="D140:E140"/>
    <mergeCell ref="F140:G140"/>
    <mergeCell ref="M140:N140"/>
    <mergeCell ref="B130:C130"/>
    <mergeCell ref="D130:E130"/>
    <mergeCell ref="F130:G130"/>
    <mergeCell ref="M130:N130"/>
    <mergeCell ref="B132:C132"/>
    <mergeCell ref="D132:E132"/>
    <mergeCell ref="F132:G132"/>
    <mergeCell ref="M132:N132"/>
    <mergeCell ref="B133:C133"/>
    <mergeCell ref="D133:E133"/>
    <mergeCell ref="F133:G133"/>
    <mergeCell ref="M133:N133"/>
    <mergeCell ref="B134:C134"/>
    <mergeCell ref="D134:E134"/>
    <mergeCell ref="F134:G134"/>
    <mergeCell ref="M134:N134"/>
    <mergeCell ref="B135:C135"/>
    <mergeCell ref="B141:C141"/>
    <mergeCell ref="D141:E141"/>
    <mergeCell ref="F141:G141"/>
    <mergeCell ref="M141:N141"/>
    <mergeCell ref="B142:C142"/>
    <mergeCell ref="D142:E142"/>
    <mergeCell ref="F142:G142"/>
    <mergeCell ref="M142:N142"/>
    <mergeCell ref="B143:C143"/>
    <mergeCell ref="D143:E143"/>
    <mergeCell ref="F143:G143"/>
    <mergeCell ref="M143:N143"/>
    <mergeCell ref="B144:C144"/>
    <mergeCell ref="D144:E144"/>
    <mergeCell ref="F144:G144"/>
    <mergeCell ref="M144:N144"/>
    <mergeCell ref="B145:C145"/>
    <mergeCell ref="D145:E145"/>
    <mergeCell ref="F145:G145"/>
    <mergeCell ref="M145:N145"/>
    <mergeCell ref="B146:C146"/>
    <mergeCell ref="D146:E146"/>
    <mergeCell ref="F146:G146"/>
    <mergeCell ref="M146:N146"/>
    <mergeCell ref="B147:C147"/>
    <mergeCell ref="D147:E147"/>
    <mergeCell ref="F147:G147"/>
    <mergeCell ref="M147:N147"/>
    <mergeCell ref="B148:C148"/>
    <mergeCell ref="D148:E148"/>
    <mergeCell ref="F148:G148"/>
    <mergeCell ref="M148:N148"/>
    <mergeCell ref="B149:C149"/>
    <mergeCell ref="D149:E149"/>
    <mergeCell ref="F149:G149"/>
    <mergeCell ref="M149:N149"/>
    <mergeCell ref="B150:C150"/>
    <mergeCell ref="D150:E150"/>
    <mergeCell ref="F150:G150"/>
    <mergeCell ref="M150:N150"/>
    <mergeCell ref="B157:E157"/>
    <mergeCell ref="B158:E158"/>
    <mergeCell ref="B151:C151"/>
    <mergeCell ref="D151:E151"/>
    <mergeCell ref="F151:G151"/>
    <mergeCell ref="M151:N151"/>
    <mergeCell ref="B152:C152"/>
    <mergeCell ref="D152:E152"/>
    <mergeCell ref="F152:G152"/>
    <mergeCell ref="M152:N152"/>
    <mergeCell ref="B153:C153"/>
    <mergeCell ref="D153:E153"/>
    <mergeCell ref="F153:G153"/>
    <mergeCell ref="M153:N153"/>
    <mergeCell ref="B154:C154"/>
    <mergeCell ref="D154:E154"/>
    <mergeCell ref="F154:G154"/>
    <mergeCell ref="M154:N154"/>
    <mergeCell ref="B155:C155"/>
    <mergeCell ref="D155:E155"/>
    <mergeCell ref="F155:G155"/>
    <mergeCell ref="M155:N155"/>
    <mergeCell ref="I80:L80"/>
    <mergeCell ref="B81:C81"/>
    <mergeCell ref="D81:E81"/>
    <mergeCell ref="F81:G81"/>
    <mergeCell ref="M81:N81"/>
    <mergeCell ref="B82:C82"/>
    <mergeCell ref="D82:E82"/>
    <mergeCell ref="F82:G82"/>
    <mergeCell ref="M82:N82"/>
    <mergeCell ref="B83:C83"/>
    <mergeCell ref="D83:E83"/>
    <mergeCell ref="F83:G83"/>
    <mergeCell ref="M83:N83"/>
    <mergeCell ref="B84:C84"/>
    <mergeCell ref="D84:E84"/>
    <mergeCell ref="F84:G84"/>
    <mergeCell ref="M84:N84"/>
    <mergeCell ref="B85:C85"/>
    <mergeCell ref="D85:E85"/>
    <mergeCell ref="F85:G85"/>
    <mergeCell ref="M85:N85"/>
    <mergeCell ref="B86:C86"/>
    <mergeCell ref="D86:E86"/>
    <mergeCell ref="F86:G86"/>
    <mergeCell ref="M86:N86"/>
    <mergeCell ref="B87:C87"/>
    <mergeCell ref="D87:E87"/>
    <mergeCell ref="F87:G87"/>
    <mergeCell ref="M87:N87"/>
    <mergeCell ref="B88:C88"/>
    <mergeCell ref="D88:E88"/>
    <mergeCell ref="F88:G88"/>
    <mergeCell ref="M88:N88"/>
    <mergeCell ref="B89:C89"/>
    <mergeCell ref="D89:E89"/>
    <mergeCell ref="F89:G89"/>
    <mergeCell ref="M89:N89"/>
    <mergeCell ref="B90:C90"/>
    <mergeCell ref="D90:E90"/>
    <mergeCell ref="F90:G90"/>
    <mergeCell ref="M90:N90"/>
    <mergeCell ref="B91:C91"/>
    <mergeCell ref="D91:E91"/>
    <mergeCell ref="F91:G91"/>
    <mergeCell ref="M91:N91"/>
    <mergeCell ref="B92:C92"/>
    <mergeCell ref="D92:E92"/>
    <mergeCell ref="F92:G92"/>
    <mergeCell ref="M92:N92"/>
    <mergeCell ref="B93:C93"/>
    <mergeCell ref="D93:E93"/>
    <mergeCell ref="F93:G93"/>
    <mergeCell ref="M93:N93"/>
    <mergeCell ref="B94:C94"/>
    <mergeCell ref="D94:E94"/>
    <mergeCell ref="F94:G94"/>
    <mergeCell ref="M94:N94"/>
    <mergeCell ref="B95:C95"/>
    <mergeCell ref="D95:E95"/>
    <mergeCell ref="F95:G95"/>
    <mergeCell ref="M95:N95"/>
    <mergeCell ref="B96:C96"/>
    <mergeCell ref="D96:E96"/>
    <mergeCell ref="F96:G96"/>
    <mergeCell ref="M96:N96"/>
    <mergeCell ref="B97:C97"/>
    <mergeCell ref="D97:E97"/>
    <mergeCell ref="F97:G97"/>
    <mergeCell ref="M97:N97"/>
    <mergeCell ref="B98:C98"/>
    <mergeCell ref="D98:E98"/>
    <mergeCell ref="F98:G98"/>
    <mergeCell ref="M98:N98"/>
    <mergeCell ref="B99:C99"/>
    <mergeCell ref="D99:E99"/>
    <mergeCell ref="F99:G99"/>
    <mergeCell ref="B100:C100"/>
    <mergeCell ref="D100:E100"/>
    <mergeCell ref="F100:G100"/>
    <mergeCell ref="M100:N100"/>
    <mergeCell ref="B101:C101"/>
    <mergeCell ref="D101:E101"/>
    <mergeCell ref="F101:G101"/>
    <mergeCell ref="M101:N101"/>
    <mergeCell ref="B102:C102"/>
    <mergeCell ref="D102:E102"/>
    <mergeCell ref="F102:G102"/>
    <mergeCell ref="M102:N102"/>
    <mergeCell ref="B103:C103"/>
    <mergeCell ref="D103:E103"/>
    <mergeCell ref="F103:G103"/>
    <mergeCell ref="M103:N103"/>
    <mergeCell ref="B104:C104"/>
    <mergeCell ref="D104:E104"/>
    <mergeCell ref="F104:G104"/>
    <mergeCell ref="M104:N104"/>
    <mergeCell ref="B105:C105"/>
    <mergeCell ref="D105:E105"/>
    <mergeCell ref="F105:G105"/>
    <mergeCell ref="M105:N105"/>
    <mergeCell ref="B106:C106"/>
    <mergeCell ref="D106:E106"/>
    <mergeCell ref="F106:G106"/>
    <mergeCell ref="M106:N106"/>
    <mergeCell ref="B107:C107"/>
    <mergeCell ref="D107:E107"/>
    <mergeCell ref="F107:G107"/>
    <mergeCell ref="M107:N107"/>
    <mergeCell ref="B108:C108"/>
    <mergeCell ref="D108:E108"/>
    <mergeCell ref="F108:G108"/>
    <mergeCell ref="M108:N108"/>
    <mergeCell ref="B109:C109"/>
    <mergeCell ref="D109:E109"/>
    <mergeCell ref="F109:G109"/>
    <mergeCell ref="M109:N109"/>
    <mergeCell ref="B115:C115"/>
    <mergeCell ref="D115:E115"/>
    <mergeCell ref="F115:G115"/>
    <mergeCell ref="M115:N115"/>
    <mergeCell ref="B117:E117"/>
    <mergeCell ref="B118:E118"/>
    <mergeCell ref="B110:C110"/>
    <mergeCell ref="D110:E110"/>
    <mergeCell ref="F110:G110"/>
    <mergeCell ref="M110:N110"/>
    <mergeCell ref="B111:C111"/>
    <mergeCell ref="D111:E111"/>
    <mergeCell ref="F111:G111"/>
    <mergeCell ref="M111:N111"/>
    <mergeCell ref="B112:C112"/>
    <mergeCell ref="D112:E112"/>
    <mergeCell ref="F112:G112"/>
    <mergeCell ref="M112:N112"/>
    <mergeCell ref="B113:C113"/>
    <mergeCell ref="D113:E113"/>
    <mergeCell ref="F113:G113"/>
    <mergeCell ref="M113:N113"/>
    <mergeCell ref="B114:C114"/>
    <mergeCell ref="D114:E114"/>
    <mergeCell ref="F114:G114"/>
    <mergeCell ref="M114:N114"/>
    <mergeCell ref="I1:L1"/>
    <mergeCell ref="B2:C2"/>
    <mergeCell ref="D2:E2"/>
    <mergeCell ref="F2:G2"/>
    <mergeCell ref="M2:N2"/>
    <mergeCell ref="B3:C3"/>
    <mergeCell ref="D3:E3"/>
    <mergeCell ref="F3:G3"/>
    <mergeCell ref="M3:N3"/>
    <mergeCell ref="B4:C4"/>
    <mergeCell ref="D4:E4"/>
    <mergeCell ref="F4:G4"/>
    <mergeCell ref="M4:N4"/>
    <mergeCell ref="B5:C5"/>
    <mergeCell ref="D5:E5"/>
    <mergeCell ref="F5:G5"/>
    <mergeCell ref="M5:N5"/>
    <mergeCell ref="B6:C6"/>
    <mergeCell ref="D6:E6"/>
    <mergeCell ref="F6:G6"/>
    <mergeCell ref="M6:N6"/>
    <mergeCell ref="B7:C7"/>
    <mergeCell ref="D7:E7"/>
    <mergeCell ref="F7:G7"/>
    <mergeCell ref="M7:N7"/>
    <mergeCell ref="B8:C8"/>
    <mergeCell ref="D8:E8"/>
    <mergeCell ref="F8:G8"/>
    <mergeCell ref="M8:N8"/>
    <mergeCell ref="B9:C9"/>
    <mergeCell ref="D9:E9"/>
    <mergeCell ref="F9:G9"/>
    <mergeCell ref="M9:N9"/>
    <mergeCell ref="B10:C10"/>
    <mergeCell ref="D10:E10"/>
    <mergeCell ref="F10:G10"/>
    <mergeCell ref="M10:N10"/>
    <mergeCell ref="B11:C11"/>
    <mergeCell ref="D11:E11"/>
    <mergeCell ref="F11:G11"/>
    <mergeCell ref="M11:N11"/>
    <mergeCell ref="B12:C12"/>
    <mergeCell ref="D12:E12"/>
    <mergeCell ref="F12:G12"/>
    <mergeCell ref="M12:N12"/>
    <mergeCell ref="B13:C13"/>
    <mergeCell ref="D13:E13"/>
    <mergeCell ref="F13:G13"/>
    <mergeCell ref="M13:N13"/>
    <mergeCell ref="B14:C14"/>
    <mergeCell ref="D14:E14"/>
    <mergeCell ref="F14:G14"/>
    <mergeCell ref="B15:C15"/>
    <mergeCell ref="D15:E15"/>
    <mergeCell ref="F15:G15"/>
    <mergeCell ref="M15:N15"/>
    <mergeCell ref="B16:C16"/>
    <mergeCell ref="D16:E16"/>
    <mergeCell ref="F16:G16"/>
    <mergeCell ref="M16:N16"/>
    <mergeCell ref="B17:C17"/>
    <mergeCell ref="D17:E17"/>
    <mergeCell ref="F17:G17"/>
    <mergeCell ref="M17:N17"/>
    <mergeCell ref="B18:C18"/>
    <mergeCell ref="D18:E18"/>
    <mergeCell ref="F18:G18"/>
    <mergeCell ref="M18:N18"/>
    <mergeCell ref="B20:C20"/>
    <mergeCell ref="D20:E20"/>
    <mergeCell ref="F20:G20"/>
    <mergeCell ref="M20:N20"/>
    <mergeCell ref="B21:C21"/>
    <mergeCell ref="D21:E21"/>
    <mergeCell ref="F21:G21"/>
    <mergeCell ref="B19:C19"/>
    <mergeCell ref="D19:E19"/>
    <mergeCell ref="F19:G19"/>
    <mergeCell ref="M19:N19"/>
    <mergeCell ref="B22:C22"/>
    <mergeCell ref="D22:E22"/>
    <mergeCell ref="F22:G22"/>
    <mergeCell ref="M22:N22"/>
    <mergeCell ref="B23:C23"/>
    <mergeCell ref="D23:E23"/>
    <mergeCell ref="F23:G23"/>
    <mergeCell ref="M23:N23"/>
    <mergeCell ref="B24:C24"/>
    <mergeCell ref="D24:E24"/>
    <mergeCell ref="F24:G24"/>
    <mergeCell ref="M24:N24"/>
    <mergeCell ref="B25:C25"/>
    <mergeCell ref="D25:E25"/>
    <mergeCell ref="F25:G25"/>
    <mergeCell ref="M25:N25"/>
    <mergeCell ref="B26:C26"/>
    <mergeCell ref="D26:E26"/>
    <mergeCell ref="F26:G26"/>
    <mergeCell ref="M26:N26"/>
    <mergeCell ref="B27:C27"/>
    <mergeCell ref="D27:E27"/>
    <mergeCell ref="F27:G27"/>
    <mergeCell ref="M27:N27"/>
    <mergeCell ref="B28:C28"/>
    <mergeCell ref="D28:E28"/>
    <mergeCell ref="F28:G28"/>
    <mergeCell ref="M28:N28"/>
    <mergeCell ref="B29:C29"/>
    <mergeCell ref="D29:E29"/>
    <mergeCell ref="F29:G29"/>
    <mergeCell ref="M29:N29"/>
    <mergeCell ref="B30:C30"/>
    <mergeCell ref="D30:E30"/>
    <mergeCell ref="F30:G30"/>
    <mergeCell ref="M30:N30"/>
    <mergeCell ref="B31:C31"/>
    <mergeCell ref="D31:E31"/>
    <mergeCell ref="F31:G31"/>
    <mergeCell ref="M31:N31"/>
    <mergeCell ref="B37:C37"/>
    <mergeCell ref="D37:E37"/>
    <mergeCell ref="F37:G37"/>
    <mergeCell ref="M37:N37"/>
    <mergeCell ref="B39:E39"/>
    <mergeCell ref="B40:E40"/>
    <mergeCell ref="B32:C32"/>
    <mergeCell ref="D32:E32"/>
    <mergeCell ref="F32:G32"/>
    <mergeCell ref="M32:N32"/>
    <mergeCell ref="B33:C33"/>
    <mergeCell ref="D33:E33"/>
    <mergeCell ref="F33:G33"/>
    <mergeCell ref="M33:N33"/>
    <mergeCell ref="B34:C34"/>
    <mergeCell ref="D34:E34"/>
    <mergeCell ref="F34:G34"/>
    <mergeCell ref="B35:C35"/>
    <mergeCell ref="D35:E35"/>
    <mergeCell ref="F35:G35"/>
    <mergeCell ref="M35:N35"/>
    <mergeCell ref="B36:C36"/>
    <mergeCell ref="D36:E36"/>
    <mergeCell ref="F36:G36"/>
    <mergeCell ref="M36:N36"/>
  </mergeCells>
  <phoneticPr fontId="2" type="noConversion"/>
  <printOptions horizontalCentered="1"/>
  <pageMargins left="0.25" right="0.25" top="1.5" bottom="0" header="0.6" footer="0"/>
  <pageSetup scale="45" fitToHeight="0" orientation="landscape" r:id="rId1"/>
  <headerFooter alignWithMargins="0">
    <oddHeader xml:space="preserve">&amp;C&amp;"Arial,Bold"&amp;22San Antonio Water Company
IEUA Regional Conservation Programs Annual Report&amp;"Arial,Regular"
</oddHeader>
  </headerFooter>
  <rowBreaks count="14" manualBreakCount="14">
    <brk id="79" max="16383" man="1"/>
    <brk id="118" max="13" man="1"/>
    <brk id="158" max="13" man="1"/>
    <brk id="197" max="13" man="1"/>
    <brk id="242" max="13" man="1"/>
    <brk id="286" max="13" man="1"/>
    <brk id="328" max="13" man="1"/>
    <brk id="365" max="13" man="1"/>
    <brk id="399" max="13" man="1"/>
    <brk id="442" max="13" man="1"/>
    <brk id="485" max="13" man="1"/>
    <brk id="525" max="13" man="1"/>
    <brk id="555" max="13" man="1"/>
    <brk id="603" max="1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rgb="FFFFC000"/>
    <pageSetUpPr fitToPage="1"/>
  </sheetPr>
  <dimension ref="A3:O458"/>
  <sheetViews>
    <sheetView topLeftCell="A420" zoomScaleNormal="100" zoomScaleSheetLayoutView="110" workbookViewId="0">
      <selection activeCell="O7" sqref="O7"/>
    </sheetView>
  </sheetViews>
  <sheetFormatPr baseColWidth="10" defaultColWidth="8.83203125" defaultRowHeight="13"/>
  <cols>
    <col min="1" max="1" width="48.5" bestFit="1" customWidth="1"/>
    <col min="4" max="4" width="11" bestFit="1" customWidth="1"/>
    <col min="5" max="5" width="8.5" bestFit="1" customWidth="1"/>
    <col min="6" max="7" width="10.5" bestFit="1" customWidth="1"/>
    <col min="9" max="10" width="10.1640625" bestFit="1" customWidth="1"/>
    <col min="11" max="11" width="11.1640625" bestFit="1" customWidth="1"/>
  </cols>
  <sheetData>
    <row r="3" spans="1:14" ht="14" thickBot="1">
      <c r="B3" s="43" t="s">
        <v>35</v>
      </c>
      <c r="C3" s="43" t="s">
        <v>36</v>
      </c>
      <c r="D3" s="43" t="s">
        <v>37</v>
      </c>
      <c r="E3" s="43" t="s">
        <v>38</v>
      </c>
      <c r="F3" s="43" t="s">
        <v>39</v>
      </c>
      <c r="G3" s="43" t="s">
        <v>40</v>
      </c>
      <c r="H3" s="43" t="s">
        <v>41</v>
      </c>
      <c r="I3" s="43" t="s">
        <v>42</v>
      </c>
      <c r="J3" s="43" t="s">
        <v>43</v>
      </c>
      <c r="K3" s="43" t="s">
        <v>44</v>
      </c>
      <c r="L3" s="43" t="s">
        <v>45</v>
      </c>
      <c r="M3" s="43" t="s">
        <v>46</v>
      </c>
      <c r="N3" s="43" t="s">
        <v>10</v>
      </c>
    </row>
    <row r="4" spans="1:14" ht="17" thickBot="1">
      <c r="A4" s="31" t="s">
        <v>34</v>
      </c>
      <c r="B4" s="24"/>
      <c r="C4" s="24"/>
      <c r="D4" s="22"/>
      <c r="E4" s="22"/>
      <c r="F4" s="25"/>
      <c r="G4" s="25"/>
      <c r="H4" s="22"/>
      <c r="I4" s="22"/>
      <c r="J4" s="22"/>
      <c r="K4" s="22"/>
      <c r="L4" s="24"/>
      <c r="M4" s="24"/>
      <c r="N4" s="26"/>
    </row>
    <row r="5" spans="1:14" ht="14" thickBot="1">
      <c r="A5" s="38" t="s">
        <v>48</v>
      </c>
      <c r="B5" s="39"/>
      <c r="C5" s="39"/>
      <c r="D5" s="39"/>
      <c r="E5" s="39"/>
      <c r="F5" s="39"/>
      <c r="G5" s="39"/>
      <c r="H5" s="39"/>
      <c r="I5" s="39"/>
      <c r="J5" s="39"/>
      <c r="K5" s="39"/>
      <c r="L5" s="39"/>
      <c r="M5" s="39"/>
      <c r="N5" s="40"/>
    </row>
    <row r="6" spans="1:14">
      <c r="A6" s="32" t="s">
        <v>28</v>
      </c>
      <c r="B6" s="1092">
        <v>0</v>
      </c>
      <c r="C6" s="1092">
        <v>0</v>
      </c>
      <c r="D6" s="1092">
        <v>0</v>
      </c>
      <c r="E6" s="1092">
        <v>18</v>
      </c>
      <c r="F6" s="1092">
        <v>4</v>
      </c>
      <c r="G6" s="1092">
        <v>6</v>
      </c>
      <c r="H6" s="1092">
        <v>0</v>
      </c>
      <c r="I6" s="1092">
        <v>6</v>
      </c>
      <c r="J6" s="1092">
        <v>3</v>
      </c>
      <c r="K6" s="1092">
        <v>12</v>
      </c>
      <c r="L6" s="1092">
        <v>0</v>
      </c>
      <c r="M6" s="1092">
        <v>0</v>
      </c>
      <c r="N6" s="27">
        <f t="shared" ref="N6:N26" si="0">SUM(B6:M6)</f>
        <v>49</v>
      </c>
    </row>
    <row r="7" spans="1:14">
      <c r="A7" s="32" t="s">
        <v>29</v>
      </c>
      <c r="B7" s="1092">
        <v>0</v>
      </c>
      <c r="C7" s="1092">
        <v>0</v>
      </c>
      <c r="D7" s="1092">
        <v>0</v>
      </c>
      <c r="E7" s="1092">
        <v>14</v>
      </c>
      <c r="F7" s="1092">
        <v>3</v>
      </c>
      <c r="G7" s="1092">
        <v>0</v>
      </c>
      <c r="H7" s="1092">
        <v>0</v>
      </c>
      <c r="I7" s="1092">
        <v>0</v>
      </c>
      <c r="J7" s="1092">
        <v>3</v>
      </c>
      <c r="K7" s="1092">
        <v>7</v>
      </c>
      <c r="L7" s="1092">
        <v>7</v>
      </c>
      <c r="M7" s="1092">
        <v>11</v>
      </c>
      <c r="N7" s="27">
        <f t="shared" si="0"/>
        <v>45</v>
      </c>
    </row>
    <row r="8" spans="1:14">
      <c r="A8" s="32" t="s">
        <v>33</v>
      </c>
      <c r="B8" s="1092">
        <v>12</v>
      </c>
      <c r="C8" s="1092">
        <v>0</v>
      </c>
      <c r="D8" s="1092">
        <v>56</v>
      </c>
      <c r="E8" s="1092">
        <v>63</v>
      </c>
      <c r="F8" s="1092">
        <v>45</v>
      </c>
      <c r="G8" s="1092">
        <v>19</v>
      </c>
      <c r="H8" s="1092">
        <v>63</v>
      </c>
      <c r="I8" s="1092">
        <v>29</v>
      </c>
      <c r="J8" s="1092">
        <v>27</v>
      </c>
      <c r="K8" s="1092">
        <v>47</v>
      </c>
      <c r="L8" s="1092">
        <v>33</v>
      </c>
      <c r="M8" s="1092">
        <v>63</v>
      </c>
      <c r="N8" s="27">
        <f t="shared" si="0"/>
        <v>457</v>
      </c>
    </row>
    <row r="9" spans="1:14">
      <c r="A9" s="32" t="s">
        <v>56</v>
      </c>
      <c r="B9" s="1092">
        <v>0</v>
      </c>
      <c r="C9" s="1092">
        <v>0</v>
      </c>
      <c r="D9" s="1092">
        <v>266</v>
      </c>
      <c r="E9" s="1092">
        <v>59</v>
      </c>
      <c r="F9" s="1092">
        <v>0</v>
      </c>
      <c r="G9" s="1092">
        <v>46</v>
      </c>
      <c r="H9" s="1092">
        <v>0</v>
      </c>
      <c r="I9" s="1092">
        <v>0</v>
      </c>
      <c r="J9" s="1092">
        <v>0</v>
      </c>
      <c r="K9" s="1092">
        <v>24</v>
      </c>
      <c r="L9" s="1092">
        <v>22</v>
      </c>
      <c r="M9" s="1092">
        <v>199</v>
      </c>
      <c r="N9" s="27">
        <f t="shared" si="0"/>
        <v>616</v>
      </c>
    </row>
    <row r="10" spans="1:14">
      <c r="A10" s="32" t="s">
        <v>52</v>
      </c>
      <c r="B10" s="1092">
        <v>0</v>
      </c>
      <c r="C10" s="1092">
        <v>0</v>
      </c>
      <c r="D10" s="1092">
        <v>5</v>
      </c>
      <c r="E10" s="1092">
        <v>1</v>
      </c>
      <c r="F10" s="1092">
        <v>0</v>
      </c>
      <c r="G10" s="1092">
        <v>0</v>
      </c>
      <c r="H10" s="1092">
        <v>0</v>
      </c>
      <c r="I10" s="1092">
        <v>0</v>
      </c>
      <c r="J10" s="1092">
        <v>0</v>
      </c>
      <c r="K10" s="1092">
        <v>2</v>
      </c>
      <c r="L10" s="1092">
        <v>1</v>
      </c>
      <c r="M10" s="1092">
        <v>6</v>
      </c>
      <c r="N10" s="27">
        <f>SUM(B10:M10)</f>
        <v>15</v>
      </c>
    </row>
    <row r="11" spans="1:14">
      <c r="A11" s="33" t="s">
        <v>95</v>
      </c>
      <c r="B11" s="1092">
        <v>0</v>
      </c>
      <c r="C11" s="1092">
        <v>0</v>
      </c>
      <c r="D11" s="1092">
        <v>0</v>
      </c>
      <c r="E11" s="1092">
        <v>0</v>
      </c>
      <c r="F11" s="1092">
        <v>0</v>
      </c>
      <c r="G11" s="1092">
        <v>0</v>
      </c>
      <c r="H11" s="1092">
        <v>0</v>
      </c>
      <c r="I11" s="1092">
        <v>0</v>
      </c>
      <c r="J11" s="1092">
        <v>0</v>
      </c>
      <c r="K11" s="1092">
        <v>0</v>
      </c>
      <c r="L11" s="1092">
        <v>3</v>
      </c>
      <c r="M11" s="1092">
        <v>3</v>
      </c>
      <c r="N11" s="27">
        <f>SUM(B11:M11)</f>
        <v>6</v>
      </c>
    </row>
    <row r="12" spans="1:14" ht="14" thickBot="1">
      <c r="A12" s="33" t="s">
        <v>96</v>
      </c>
      <c r="B12" s="1092">
        <v>0</v>
      </c>
      <c r="C12" s="1092">
        <v>0</v>
      </c>
      <c r="D12" s="1092">
        <v>0</v>
      </c>
      <c r="E12" s="1092">
        <v>0</v>
      </c>
      <c r="F12" s="1092">
        <v>0</v>
      </c>
      <c r="G12" s="1092">
        <v>2</v>
      </c>
      <c r="H12" s="1092">
        <v>5</v>
      </c>
      <c r="I12" s="1092">
        <v>4</v>
      </c>
      <c r="J12" s="1092">
        <v>4</v>
      </c>
      <c r="K12" s="1092">
        <v>5</v>
      </c>
      <c r="L12" s="1092">
        <v>5</v>
      </c>
      <c r="M12" s="1092">
        <v>9</v>
      </c>
      <c r="N12" s="27">
        <f>SUM(B12:M12)</f>
        <v>34</v>
      </c>
    </row>
    <row r="13" spans="1:14" ht="14" thickBot="1">
      <c r="A13" s="53" t="s">
        <v>60</v>
      </c>
      <c r="B13" s="55">
        <f>SUM(B6:B12)</f>
        <v>12</v>
      </c>
      <c r="C13" s="55">
        <f>SUM(C6:C12)</f>
        <v>0</v>
      </c>
      <c r="D13" s="55">
        <f t="shared" ref="D13:N13" si="1">SUM(D6:D12)</f>
        <v>327</v>
      </c>
      <c r="E13" s="55">
        <f t="shared" si="1"/>
        <v>155</v>
      </c>
      <c r="F13" s="55">
        <f t="shared" si="1"/>
        <v>52</v>
      </c>
      <c r="G13" s="55">
        <f t="shared" si="1"/>
        <v>73</v>
      </c>
      <c r="H13" s="55">
        <f t="shared" si="1"/>
        <v>68</v>
      </c>
      <c r="I13" s="55">
        <f t="shared" si="1"/>
        <v>39</v>
      </c>
      <c r="J13" s="55">
        <f t="shared" si="1"/>
        <v>37</v>
      </c>
      <c r="K13" s="55">
        <f t="shared" si="1"/>
        <v>97</v>
      </c>
      <c r="L13" s="55">
        <f t="shared" si="1"/>
        <v>71</v>
      </c>
      <c r="M13" s="55">
        <f t="shared" si="1"/>
        <v>291</v>
      </c>
      <c r="N13" s="54">
        <f t="shared" si="1"/>
        <v>1222</v>
      </c>
    </row>
    <row r="14" spans="1:14" ht="14" thickBot="1">
      <c r="A14" s="38" t="s">
        <v>49</v>
      </c>
      <c r="B14" s="39"/>
      <c r="C14" s="39"/>
      <c r="D14" s="39"/>
      <c r="E14" s="39"/>
      <c r="F14" s="39"/>
      <c r="G14" s="39"/>
      <c r="H14" s="39"/>
      <c r="I14" s="39"/>
      <c r="J14" s="39"/>
      <c r="K14" s="39"/>
      <c r="L14" s="39"/>
      <c r="M14" s="39"/>
      <c r="N14" s="40"/>
    </row>
    <row r="15" spans="1:14" ht="14" thickBot="1">
      <c r="A15" s="33" t="s">
        <v>49</v>
      </c>
      <c r="B15" s="1092">
        <v>0</v>
      </c>
      <c r="C15" s="1092">
        <v>0</v>
      </c>
      <c r="D15" s="1092">
        <v>0</v>
      </c>
      <c r="E15" s="1092">
        <v>0</v>
      </c>
      <c r="F15" s="1092">
        <v>0</v>
      </c>
      <c r="G15" s="1092">
        <v>0</v>
      </c>
      <c r="H15" s="1092">
        <v>0</v>
      </c>
      <c r="I15" s="1092">
        <v>201</v>
      </c>
      <c r="J15" s="1092">
        <v>44</v>
      </c>
      <c r="K15" s="1092">
        <v>13</v>
      </c>
      <c r="L15" s="1092">
        <v>363</v>
      </c>
      <c r="M15" s="1092">
        <v>413</v>
      </c>
      <c r="N15" s="27">
        <f>SUM(B15:M15)</f>
        <v>1034</v>
      </c>
    </row>
    <row r="16" spans="1:14" ht="14" thickBot="1">
      <c r="A16" s="53" t="s">
        <v>60</v>
      </c>
      <c r="B16" s="55">
        <f>SUM(B15)</f>
        <v>0</v>
      </c>
      <c r="C16" s="55">
        <f t="shared" ref="C16:N16" si="2">SUM(C15)</f>
        <v>0</v>
      </c>
      <c r="D16" s="55">
        <f t="shared" si="2"/>
        <v>0</v>
      </c>
      <c r="E16" s="55">
        <f t="shared" si="2"/>
        <v>0</v>
      </c>
      <c r="F16" s="55">
        <f t="shared" si="2"/>
        <v>0</v>
      </c>
      <c r="G16" s="55">
        <f t="shared" si="2"/>
        <v>0</v>
      </c>
      <c r="H16" s="55">
        <f t="shared" si="2"/>
        <v>0</v>
      </c>
      <c r="I16" s="55">
        <f t="shared" si="2"/>
        <v>201</v>
      </c>
      <c r="J16" s="55">
        <f t="shared" si="2"/>
        <v>44</v>
      </c>
      <c r="K16" s="55">
        <f t="shared" si="2"/>
        <v>13</v>
      </c>
      <c r="L16" s="55">
        <f t="shared" si="2"/>
        <v>363</v>
      </c>
      <c r="M16" s="55">
        <f t="shared" si="2"/>
        <v>413</v>
      </c>
      <c r="N16" s="54">
        <f t="shared" si="2"/>
        <v>1034</v>
      </c>
    </row>
    <row r="17" spans="1:14" ht="14" thickBot="1">
      <c r="A17" s="38" t="s">
        <v>50</v>
      </c>
      <c r="B17" s="39"/>
      <c r="C17" s="39"/>
      <c r="D17" s="39"/>
      <c r="E17" s="39"/>
      <c r="F17" s="39"/>
      <c r="G17" s="39"/>
      <c r="H17" s="39"/>
      <c r="I17" s="39"/>
      <c r="J17" s="39"/>
      <c r="K17" s="39"/>
      <c r="L17" s="39"/>
      <c r="M17" s="39"/>
      <c r="N17" s="40"/>
    </row>
    <row r="18" spans="1:14">
      <c r="A18" s="34" t="s">
        <v>26</v>
      </c>
      <c r="B18" s="1099">
        <v>0</v>
      </c>
      <c r="C18" s="1100">
        <v>0</v>
      </c>
      <c r="D18" s="1100">
        <v>0</v>
      </c>
      <c r="E18" s="1100">
        <v>0</v>
      </c>
      <c r="F18" s="1100">
        <v>0</v>
      </c>
      <c r="G18" s="1100">
        <v>0</v>
      </c>
      <c r="H18" s="1100">
        <v>0</v>
      </c>
      <c r="I18" s="1100">
        <v>0</v>
      </c>
      <c r="J18" s="1100">
        <v>0</v>
      </c>
      <c r="K18" s="1100">
        <v>0</v>
      </c>
      <c r="L18" s="1100">
        <v>0</v>
      </c>
      <c r="M18" s="1108">
        <v>0</v>
      </c>
      <c r="N18" s="27">
        <f t="shared" si="0"/>
        <v>0</v>
      </c>
    </row>
    <row r="19" spans="1:14">
      <c r="A19" s="34" t="s">
        <v>25</v>
      </c>
      <c r="B19" s="1102">
        <v>0</v>
      </c>
      <c r="C19" s="1092">
        <v>0</v>
      </c>
      <c r="D19" s="1092">
        <v>0</v>
      </c>
      <c r="E19" s="1092">
        <v>0</v>
      </c>
      <c r="F19" s="1092">
        <v>0</v>
      </c>
      <c r="G19" s="1092">
        <v>0</v>
      </c>
      <c r="H19" s="1092">
        <v>0</v>
      </c>
      <c r="I19" s="1092">
        <v>0</v>
      </c>
      <c r="J19" s="1092">
        <v>0</v>
      </c>
      <c r="K19" s="1092">
        <v>0</v>
      </c>
      <c r="L19" s="1092">
        <v>0</v>
      </c>
      <c r="M19" s="1103">
        <v>0</v>
      </c>
      <c r="N19" s="27">
        <f t="shared" si="0"/>
        <v>0</v>
      </c>
    </row>
    <row r="20" spans="1:14">
      <c r="A20" s="32" t="s">
        <v>29</v>
      </c>
      <c r="B20" s="1102">
        <v>0</v>
      </c>
      <c r="C20" s="1092">
        <v>0</v>
      </c>
      <c r="D20" s="1092">
        <v>0</v>
      </c>
      <c r="E20" s="1092">
        <v>0</v>
      </c>
      <c r="F20" s="1092">
        <v>0</v>
      </c>
      <c r="G20" s="1092">
        <v>0</v>
      </c>
      <c r="H20" s="1092">
        <v>0</v>
      </c>
      <c r="I20" s="1092">
        <v>0</v>
      </c>
      <c r="J20" s="1092">
        <v>0</v>
      </c>
      <c r="K20" s="1092">
        <v>0</v>
      </c>
      <c r="L20" s="1092">
        <v>0</v>
      </c>
      <c r="M20" s="1103">
        <v>0</v>
      </c>
      <c r="N20" s="27">
        <f t="shared" si="0"/>
        <v>0</v>
      </c>
    </row>
    <row r="21" spans="1:14">
      <c r="A21" s="32" t="s">
        <v>51</v>
      </c>
      <c r="B21" s="1102">
        <v>89</v>
      </c>
      <c r="C21" s="1092">
        <v>0</v>
      </c>
      <c r="D21" s="1092">
        <v>0</v>
      </c>
      <c r="E21" s="1092">
        <v>20</v>
      </c>
      <c r="F21" s="1092">
        <v>52</v>
      </c>
      <c r="G21" s="1092">
        <v>2</v>
      </c>
      <c r="H21" s="1092">
        <v>15</v>
      </c>
      <c r="I21" s="1092">
        <v>0</v>
      </c>
      <c r="J21" s="1092">
        <v>15</v>
      </c>
      <c r="K21" s="1092"/>
      <c r="L21" s="1092"/>
      <c r="M21" s="1103">
        <v>13</v>
      </c>
      <c r="N21" s="27">
        <f t="shared" si="0"/>
        <v>206</v>
      </c>
    </row>
    <row r="22" spans="1:14">
      <c r="A22" s="34" t="s">
        <v>20</v>
      </c>
      <c r="B22" s="1102">
        <v>0</v>
      </c>
      <c r="C22" s="1092">
        <v>0</v>
      </c>
      <c r="D22" s="1092">
        <v>0</v>
      </c>
      <c r="E22" s="1092">
        <v>1</v>
      </c>
      <c r="F22" s="1092">
        <v>0</v>
      </c>
      <c r="G22" s="1092">
        <v>0</v>
      </c>
      <c r="H22" s="1092">
        <v>0</v>
      </c>
      <c r="I22" s="1092">
        <v>0</v>
      </c>
      <c r="J22" s="1092">
        <v>0</v>
      </c>
      <c r="K22" s="1092">
        <v>0</v>
      </c>
      <c r="L22" s="1092">
        <v>0</v>
      </c>
      <c r="M22" s="1103">
        <v>0</v>
      </c>
      <c r="N22" s="27">
        <f t="shared" si="0"/>
        <v>1</v>
      </c>
    </row>
    <row r="23" spans="1:14">
      <c r="A23" s="34" t="s">
        <v>204</v>
      </c>
      <c r="B23" s="1102">
        <v>0</v>
      </c>
      <c r="C23" s="1092">
        <v>0</v>
      </c>
      <c r="D23" s="1092">
        <v>0</v>
      </c>
      <c r="E23" s="1092">
        <v>0</v>
      </c>
      <c r="F23" s="1092">
        <v>0</v>
      </c>
      <c r="G23" s="1092">
        <v>0</v>
      </c>
      <c r="H23" s="1092">
        <v>0</v>
      </c>
      <c r="I23" s="1092">
        <v>0</v>
      </c>
      <c r="J23" s="1092">
        <v>0</v>
      </c>
      <c r="K23" s="1092">
        <v>0</v>
      </c>
      <c r="L23" s="1092">
        <v>0</v>
      </c>
      <c r="M23" s="1103">
        <v>0</v>
      </c>
      <c r="N23" s="27">
        <f t="shared" si="0"/>
        <v>0</v>
      </c>
    </row>
    <row r="24" spans="1:14">
      <c r="A24" s="35" t="s">
        <v>47</v>
      </c>
      <c r="B24" s="1102">
        <v>0</v>
      </c>
      <c r="C24" s="1092">
        <v>0</v>
      </c>
      <c r="D24" s="1092">
        <v>0</v>
      </c>
      <c r="E24" s="1092">
        <v>0</v>
      </c>
      <c r="F24" s="1092">
        <v>0</v>
      </c>
      <c r="G24" s="1092">
        <v>0</v>
      </c>
      <c r="H24" s="1092">
        <v>0</v>
      </c>
      <c r="I24" s="1092">
        <v>0</v>
      </c>
      <c r="J24" s="1092">
        <v>0</v>
      </c>
      <c r="K24" s="1092">
        <v>0</v>
      </c>
      <c r="L24" s="1092">
        <v>0</v>
      </c>
      <c r="M24" s="1103">
        <v>0</v>
      </c>
      <c r="N24" s="27">
        <f t="shared" si="0"/>
        <v>0</v>
      </c>
    </row>
    <row r="25" spans="1:14">
      <c r="A25" s="33" t="s">
        <v>52</v>
      </c>
      <c r="B25" s="1102">
        <v>0</v>
      </c>
      <c r="C25" s="1092">
        <v>0</v>
      </c>
      <c r="D25" s="1092">
        <v>0</v>
      </c>
      <c r="E25" s="1092">
        <v>0</v>
      </c>
      <c r="F25" s="1092">
        <v>0</v>
      </c>
      <c r="G25" s="1092">
        <v>0</v>
      </c>
      <c r="H25" s="1092">
        <v>0</v>
      </c>
      <c r="I25" s="1092">
        <v>3</v>
      </c>
      <c r="J25" s="1092">
        <v>0</v>
      </c>
      <c r="K25" s="1092">
        <v>0</v>
      </c>
      <c r="L25" s="1092">
        <v>0</v>
      </c>
      <c r="M25" s="1103">
        <v>0</v>
      </c>
      <c r="N25" s="27">
        <f t="shared" si="0"/>
        <v>3</v>
      </c>
    </row>
    <row r="26" spans="1:14">
      <c r="A26" s="33" t="s">
        <v>53</v>
      </c>
      <c r="B26" s="1102">
        <v>0</v>
      </c>
      <c r="C26" s="1092">
        <v>0</v>
      </c>
      <c r="D26" s="1092">
        <v>0</v>
      </c>
      <c r="E26" s="1092">
        <v>0</v>
      </c>
      <c r="F26" s="1092">
        <v>0</v>
      </c>
      <c r="G26" s="1092">
        <v>0</v>
      </c>
      <c r="H26" s="1092">
        <v>0</v>
      </c>
      <c r="I26" s="1092">
        <v>0</v>
      </c>
      <c r="J26" s="1092">
        <v>0</v>
      </c>
      <c r="K26" s="1092">
        <v>0</v>
      </c>
      <c r="L26" s="1092">
        <v>0</v>
      </c>
      <c r="M26" s="1103">
        <v>0</v>
      </c>
      <c r="N26" s="27">
        <f t="shared" si="0"/>
        <v>0</v>
      </c>
    </row>
    <row r="27" spans="1:14" ht="14" thickBot="1">
      <c r="A27" s="32" t="s">
        <v>56</v>
      </c>
      <c r="B27" s="1105">
        <v>0</v>
      </c>
      <c r="C27" s="1106">
        <v>0</v>
      </c>
      <c r="D27" s="1106">
        <v>0</v>
      </c>
      <c r="E27" s="1106">
        <v>0</v>
      </c>
      <c r="F27" s="1106">
        <v>0</v>
      </c>
      <c r="G27" s="1106">
        <v>0</v>
      </c>
      <c r="H27" s="1106">
        <v>0</v>
      </c>
      <c r="I27" s="1106">
        <v>0</v>
      </c>
      <c r="J27" s="1106">
        <v>0</v>
      </c>
      <c r="K27" s="1106">
        <v>0</v>
      </c>
      <c r="L27" s="1106">
        <v>0</v>
      </c>
      <c r="M27" s="1109">
        <v>0</v>
      </c>
      <c r="N27" s="27">
        <f>SUM(B27:M27)</f>
        <v>0</v>
      </c>
    </row>
    <row r="28" spans="1:14" ht="14" thickBot="1">
      <c r="A28" s="53" t="s">
        <v>60</v>
      </c>
      <c r="B28" s="55">
        <f>SUM(B18:B27)</f>
        <v>89</v>
      </c>
      <c r="C28" s="55">
        <f t="shared" ref="C28:N28" si="3">SUM(C18:C27)</f>
        <v>0</v>
      </c>
      <c r="D28" s="55">
        <f t="shared" si="3"/>
        <v>0</v>
      </c>
      <c r="E28" s="55">
        <f t="shared" si="3"/>
        <v>21</v>
      </c>
      <c r="F28" s="55">
        <f t="shared" si="3"/>
        <v>52</v>
      </c>
      <c r="G28" s="55">
        <f t="shared" si="3"/>
        <v>2</v>
      </c>
      <c r="H28" s="55">
        <f t="shared" si="3"/>
        <v>15</v>
      </c>
      <c r="I28" s="55">
        <f t="shared" si="3"/>
        <v>3</v>
      </c>
      <c r="J28" s="55">
        <f t="shared" si="3"/>
        <v>15</v>
      </c>
      <c r="K28" s="55">
        <f t="shared" si="3"/>
        <v>0</v>
      </c>
      <c r="L28" s="55">
        <f t="shared" si="3"/>
        <v>0</v>
      </c>
      <c r="M28" s="55">
        <f t="shared" si="3"/>
        <v>13</v>
      </c>
      <c r="N28" s="54">
        <f t="shared" si="3"/>
        <v>210</v>
      </c>
    </row>
    <row r="29" spans="1:14" ht="14" thickBot="1">
      <c r="A29" s="38" t="s">
        <v>54</v>
      </c>
      <c r="B29" s="41"/>
      <c r="C29" s="41"/>
      <c r="D29" s="41"/>
      <c r="E29" s="41"/>
      <c r="F29" s="41"/>
      <c r="G29" s="41"/>
      <c r="H29" s="41"/>
      <c r="I29" s="41"/>
      <c r="J29" s="41"/>
      <c r="K29" s="41"/>
      <c r="L29" s="41"/>
      <c r="M29" s="41"/>
      <c r="N29" s="42"/>
    </row>
    <row r="30" spans="1:14">
      <c r="A30" s="36" t="s">
        <v>29</v>
      </c>
      <c r="B30" s="1099">
        <v>0</v>
      </c>
      <c r="C30" s="1100">
        <v>0</v>
      </c>
      <c r="D30" s="1100">
        <v>0</v>
      </c>
      <c r="E30" s="1100">
        <v>0</v>
      </c>
      <c r="F30" s="1100">
        <v>0</v>
      </c>
      <c r="G30" s="1100">
        <v>0</v>
      </c>
      <c r="H30" s="1100">
        <v>0</v>
      </c>
      <c r="I30" s="1100">
        <v>0</v>
      </c>
      <c r="J30" s="1100">
        <v>0</v>
      </c>
      <c r="K30" s="1100">
        <v>0</v>
      </c>
      <c r="L30" s="1100">
        <v>0</v>
      </c>
      <c r="M30" s="1108">
        <v>0</v>
      </c>
      <c r="N30" s="28">
        <f>SUM(B30:M30)</f>
        <v>0</v>
      </c>
    </row>
    <row r="31" spans="1:14">
      <c r="A31" s="34" t="s">
        <v>51</v>
      </c>
      <c r="B31" s="1102">
        <v>0</v>
      </c>
      <c r="C31" s="1092">
        <v>0</v>
      </c>
      <c r="D31" s="1092">
        <v>0</v>
      </c>
      <c r="E31" s="1092">
        <v>0</v>
      </c>
      <c r="F31" s="1092">
        <v>0</v>
      </c>
      <c r="G31" s="1092">
        <v>0</v>
      </c>
      <c r="H31" s="1092">
        <v>0</v>
      </c>
      <c r="I31" s="1092">
        <v>0</v>
      </c>
      <c r="J31" s="1092">
        <v>0</v>
      </c>
      <c r="K31" s="1092">
        <v>0</v>
      </c>
      <c r="L31" s="1092">
        <v>0</v>
      </c>
      <c r="M31" s="1103">
        <v>0</v>
      </c>
      <c r="N31" s="29">
        <f>SUM(B31:M31)</f>
        <v>0</v>
      </c>
    </row>
    <row r="32" spans="1:14">
      <c r="A32" s="34" t="s">
        <v>15</v>
      </c>
      <c r="B32" s="1102">
        <v>0</v>
      </c>
      <c r="C32" s="1092">
        <v>0</v>
      </c>
      <c r="D32" s="1092">
        <v>0</v>
      </c>
      <c r="E32" s="1092">
        <v>0</v>
      </c>
      <c r="F32" s="1092">
        <v>0</v>
      </c>
      <c r="G32" s="1092">
        <v>0</v>
      </c>
      <c r="H32" s="1092">
        <v>0</v>
      </c>
      <c r="I32" s="1092">
        <v>0</v>
      </c>
      <c r="J32" s="1092">
        <v>0</v>
      </c>
      <c r="K32" s="1092">
        <v>0</v>
      </c>
      <c r="L32" s="1092">
        <v>0</v>
      </c>
      <c r="M32" s="1103">
        <v>0</v>
      </c>
      <c r="N32" s="29">
        <f>SUM(B32:M32)</f>
        <v>0</v>
      </c>
    </row>
    <row r="33" spans="1:14">
      <c r="A33" s="34" t="s">
        <v>30</v>
      </c>
      <c r="B33" s="1102">
        <v>0</v>
      </c>
      <c r="C33" s="1092">
        <v>0</v>
      </c>
      <c r="D33" s="1092">
        <v>0</v>
      </c>
      <c r="E33" s="1092">
        <v>0</v>
      </c>
      <c r="F33" s="1092">
        <v>0</v>
      </c>
      <c r="G33" s="1092">
        <v>0</v>
      </c>
      <c r="H33" s="1092">
        <v>0</v>
      </c>
      <c r="I33" s="1094">
        <v>42</v>
      </c>
      <c r="J33" s="1092">
        <v>0</v>
      </c>
      <c r="K33" s="1092">
        <v>0</v>
      </c>
      <c r="L33" s="1092">
        <v>0</v>
      </c>
      <c r="M33" s="1103">
        <v>0</v>
      </c>
      <c r="N33" s="29">
        <f>SUM(B33:M33)</f>
        <v>42</v>
      </c>
    </row>
    <row r="34" spans="1:14" ht="14" thickBot="1">
      <c r="A34" s="37" t="s">
        <v>55</v>
      </c>
      <c r="B34" s="1105">
        <v>0</v>
      </c>
      <c r="C34" s="1106">
        <v>0</v>
      </c>
      <c r="D34" s="1106">
        <v>0</v>
      </c>
      <c r="E34" s="1106">
        <v>0</v>
      </c>
      <c r="F34" s="1106">
        <v>0</v>
      </c>
      <c r="G34" s="1106">
        <v>0</v>
      </c>
      <c r="H34" s="1106">
        <v>0</v>
      </c>
      <c r="I34" s="1097">
        <v>36</v>
      </c>
      <c r="J34" s="1106">
        <v>0</v>
      </c>
      <c r="K34" s="1106">
        <v>0</v>
      </c>
      <c r="L34" s="1106">
        <v>0</v>
      </c>
      <c r="M34" s="1109">
        <v>0</v>
      </c>
      <c r="N34" s="30">
        <f>SUM(B34:M34)</f>
        <v>36</v>
      </c>
    </row>
    <row r="35" spans="1:14" ht="14" thickBot="1">
      <c r="A35" s="53" t="s">
        <v>60</v>
      </c>
      <c r="B35" s="55">
        <f>SUM(B30:B34)</f>
        <v>0</v>
      </c>
      <c r="C35" s="55">
        <f t="shared" ref="C35:N35" si="4">SUM(C30:C34)</f>
        <v>0</v>
      </c>
      <c r="D35" s="55">
        <f t="shared" si="4"/>
        <v>0</v>
      </c>
      <c r="E35" s="55">
        <f t="shared" si="4"/>
        <v>0</v>
      </c>
      <c r="F35" s="55">
        <f t="shared" si="4"/>
        <v>0</v>
      </c>
      <c r="G35" s="55">
        <f t="shared" si="4"/>
        <v>0</v>
      </c>
      <c r="H35" s="55">
        <f t="shared" si="4"/>
        <v>0</v>
      </c>
      <c r="I35" s="55">
        <f t="shared" si="4"/>
        <v>78</v>
      </c>
      <c r="J35" s="55">
        <f t="shared" si="4"/>
        <v>0</v>
      </c>
      <c r="K35" s="55">
        <f t="shared" si="4"/>
        <v>0</v>
      </c>
      <c r="L35" s="55">
        <f t="shared" si="4"/>
        <v>0</v>
      </c>
      <c r="M35" s="55">
        <f t="shared" si="4"/>
        <v>0</v>
      </c>
      <c r="N35" s="302">
        <f t="shared" si="4"/>
        <v>78</v>
      </c>
    </row>
    <row r="36" spans="1:14">
      <c r="A36" s="72"/>
      <c r="B36" s="73"/>
      <c r="C36" s="73"/>
      <c r="D36" s="73"/>
      <c r="E36" s="73"/>
      <c r="F36" s="73"/>
      <c r="G36" s="73"/>
      <c r="H36" s="73"/>
      <c r="I36" s="73"/>
      <c r="J36" s="73"/>
      <c r="K36" s="73"/>
      <c r="L36" s="73"/>
      <c r="M36" s="73"/>
      <c r="N36" s="73"/>
    </row>
    <row r="38" spans="1:14" ht="14" thickBot="1">
      <c r="B38" s="43" t="s">
        <v>35</v>
      </c>
      <c r="C38" s="43" t="s">
        <v>36</v>
      </c>
      <c r="D38" s="43" t="s">
        <v>37</v>
      </c>
      <c r="E38" s="43" t="s">
        <v>38</v>
      </c>
      <c r="F38" s="43" t="s">
        <v>39</v>
      </c>
      <c r="G38" s="43" t="s">
        <v>40</v>
      </c>
      <c r="H38" s="43" t="s">
        <v>41</v>
      </c>
      <c r="I38" s="43" t="s">
        <v>42</v>
      </c>
      <c r="J38" s="43" t="s">
        <v>43</v>
      </c>
      <c r="K38" s="43" t="s">
        <v>44</v>
      </c>
      <c r="L38" s="43" t="s">
        <v>45</v>
      </c>
      <c r="M38" s="43" t="s">
        <v>46</v>
      </c>
      <c r="N38" s="43" t="s">
        <v>10</v>
      </c>
    </row>
    <row r="39" spans="1:14" ht="17" thickBot="1">
      <c r="A39" s="31" t="s">
        <v>99</v>
      </c>
      <c r="B39" s="24"/>
      <c r="C39" s="24"/>
      <c r="D39" s="22"/>
      <c r="E39" s="22"/>
      <c r="F39" s="25"/>
      <c r="G39" s="25"/>
      <c r="H39" s="22"/>
      <c r="I39" s="22"/>
      <c r="J39" s="22"/>
      <c r="K39" s="22"/>
      <c r="L39" s="24"/>
      <c r="M39" s="24"/>
      <c r="N39" s="26"/>
    </row>
    <row r="40" spans="1:14" ht="14" thickBot="1">
      <c r="A40" s="38" t="s">
        <v>48</v>
      </c>
      <c r="B40" s="39"/>
      <c r="C40" s="39"/>
      <c r="D40" s="39"/>
      <c r="E40" s="39"/>
      <c r="F40" s="39"/>
      <c r="G40" s="39"/>
      <c r="H40" s="39"/>
      <c r="I40" s="39"/>
      <c r="J40" s="39"/>
      <c r="K40" s="39"/>
      <c r="L40" s="39"/>
      <c r="M40" s="39"/>
      <c r="N40" s="40"/>
    </row>
    <row r="41" spans="1:14">
      <c r="A41" s="32" t="s">
        <v>28</v>
      </c>
      <c r="B41" s="1092">
        <v>0</v>
      </c>
      <c r="C41" s="1092">
        <v>3</v>
      </c>
      <c r="D41" s="1092">
        <v>0</v>
      </c>
      <c r="E41" s="1092">
        <v>0</v>
      </c>
      <c r="F41" s="1092">
        <v>0</v>
      </c>
      <c r="G41" s="1092">
        <v>0</v>
      </c>
      <c r="H41" s="1092">
        <v>0</v>
      </c>
      <c r="I41" s="1092">
        <v>0</v>
      </c>
      <c r="J41" s="1092">
        <v>0</v>
      </c>
      <c r="K41" s="1092">
        <v>0</v>
      </c>
      <c r="L41" s="1092">
        <v>0</v>
      </c>
      <c r="M41" s="1092">
        <v>0</v>
      </c>
      <c r="N41" s="27">
        <f>SUM(B41:M41)</f>
        <v>3</v>
      </c>
    </row>
    <row r="42" spans="1:14">
      <c r="A42" s="32" t="s">
        <v>29</v>
      </c>
      <c r="B42" s="1092">
        <v>0</v>
      </c>
      <c r="C42" s="1092">
        <v>0</v>
      </c>
      <c r="D42" s="1092">
        <v>5</v>
      </c>
      <c r="E42" s="1092">
        <v>16</v>
      </c>
      <c r="F42" s="1092">
        <v>3</v>
      </c>
      <c r="G42" s="1092">
        <v>127</v>
      </c>
      <c r="H42" s="1092">
        <v>6</v>
      </c>
      <c r="I42" s="1092">
        <v>6</v>
      </c>
      <c r="J42" s="1092">
        <v>45</v>
      </c>
      <c r="K42" s="1092">
        <v>3</v>
      </c>
      <c r="L42" s="1092">
        <v>23</v>
      </c>
      <c r="M42" s="1092">
        <v>63</v>
      </c>
      <c r="N42" s="27">
        <f>SUM(B42:M42)</f>
        <v>297</v>
      </c>
    </row>
    <row r="43" spans="1:14">
      <c r="A43" s="32" t="s">
        <v>33</v>
      </c>
      <c r="B43" s="1092">
        <v>0</v>
      </c>
      <c r="C43" s="1092">
        <v>0</v>
      </c>
      <c r="D43" s="1092">
        <v>25</v>
      </c>
      <c r="E43" s="1092">
        <v>46</v>
      </c>
      <c r="F43" s="1092">
        <v>21</v>
      </c>
      <c r="G43" s="1092">
        <v>51</v>
      </c>
      <c r="H43" s="1092">
        <v>5</v>
      </c>
      <c r="I43" s="1092">
        <v>16</v>
      </c>
      <c r="J43" s="1092">
        <v>50</v>
      </c>
      <c r="K43" s="1092">
        <v>38</v>
      </c>
      <c r="L43" s="1092">
        <v>71</v>
      </c>
      <c r="M43" s="1092">
        <v>0</v>
      </c>
      <c r="N43" s="27">
        <f>SUM(B43:M43)</f>
        <v>323</v>
      </c>
    </row>
    <row r="44" spans="1:14">
      <c r="A44" s="32" t="s">
        <v>56</v>
      </c>
      <c r="B44" s="1092">
        <v>0</v>
      </c>
      <c r="C44" s="1092">
        <v>0</v>
      </c>
      <c r="D44" s="1092">
        <v>41</v>
      </c>
      <c r="E44" s="1092">
        <v>124</v>
      </c>
      <c r="F44" s="1092">
        <v>20</v>
      </c>
      <c r="G44" s="1092">
        <v>40</v>
      </c>
      <c r="H44" s="1092">
        <v>0</v>
      </c>
      <c r="I44" s="1092">
        <v>0</v>
      </c>
      <c r="J44" s="1092">
        <v>183</v>
      </c>
      <c r="K44" s="1092">
        <v>122</v>
      </c>
      <c r="L44" s="1092">
        <v>13</v>
      </c>
      <c r="M44" s="1092">
        <v>32</v>
      </c>
      <c r="N44" s="27">
        <f>SUM(B44:M44)</f>
        <v>575</v>
      </c>
    </row>
    <row r="45" spans="1:14">
      <c r="A45" s="32" t="s">
        <v>52</v>
      </c>
      <c r="B45" s="1092">
        <v>0</v>
      </c>
      <c r="C45" s="1092">
        <v>0</v>
      </c>
      <c r="D45" s="1092">
        <v>0</v>
      </c>
      <c r="E45" s="1092">
        <v>0</v>
      </c>
      <c r="F45" s="1092">
        <v>1</v>
      </c>
      <c r="G45" s="1092">
        <v>0</v>
      </c>
      <c r="H45" s="1092">
        <v>0</v>
      </c>
      <c r="I45" s="1092">
        <v>0</v>
      </c>
      <c r="J45" s="1092">
        <v>0</v>
      </c>
      <c r="K45" s="1092">
        <v>1</v>
      </c>
      <c r="L45" s="1092">
        <v>0</v>
      </c>
      <c r="M45" s="1092">
        <v>2</v>
      </c>
      <c r="N45" s="27">
        <f>SUM(B45:M45)</f>
        <v>4</v>
      </c>
    </row>
    <row r="46" spans="1:14">
      <c r="A46" s="33" t="s">
        <v>114</v>
      </c>
      <c r="B46" s="1092">
        <v>0</v>
      </c>
      <c r="C46" s="1092">
        <v>0</v>
      </c>
      <c r="D46" s="1092">
        <v>0</v>
      </c>
      <c r="E46" s="1092">
        <v>0</v>
      </c>
      <c r="F46" s="1092">
        <v>0</v>
      </c>
      <c r="G46" s="1092">
        <v>0</v>
      </c>
      <c r="H46" s="1092">
        <v>0</v>
      </c>
      <c r="I46" s="1092">
        <v>0</v>
      </c>
      <c r="J46" s="1092">
        <v>0</v>
      </c>
      <c r="K46" s="1092">
        <v>0</v>
      </c>
      <c r="L46" s="1092">
        <v>0</v>
      </c>
      <c r="M46" s="1092">
        <v>0</v>
      </c>
      <c r="N46" s="27">
        <v>49</v>
      </c>
    </row>
    <row r="47" spans="1:14" ht="14" thickBot="1">
      <c r="A47" s="33" t="s">
        <v>115</v>
      </c>
      <c r="B47" s="1092">
        <v>0</v>
      </c>
      <c r="C47" s="1092">
        <v>0</v>
      </c>
      <c r="D47" s="1092">
        <v>0</v>
      </c>
      <c r="E47" s="1092">
        <v>0</v>
      </c>
      <c r="F47" s="1092">
        <v>0</v>
      </c>
      <c r="G47" s="1092">
        <v>0</v>
      </c>
      <c r="H47" s="1092">
        <v>0</v>
      </c>
      <c r="I47" s="1092">
        <v>0</v>
      </c>
      <c r="J47" s="1092">
        <v>0</v>
      </c>
      <c r="K47" s="1092">
        <v>0</v>
      </c>
      <c r="L47" s="1092">
        <v>0</v>
      </c>
      <c r="M47" s="1092">
        <v>0</v>
      </c>
      <c r="N47" s="27">
        <v>43</v>
      </c>
    </row>
    <row r="48" spans="1:14" ht="14" thickBot="1">
      <c r="A48" s="53" t="s">
        <v>60</v>
      </c>
      <c r="B48" s="55">
        <f>SUM(B41:B47)</f>
        <v>0</v>
      </c>
      <c r="C48" s="55">
        <f>SUM(C41:C47)</f>
        <v>3</v>
      </c>
      <c r="D48" s="55">
        <f t="shared" ref="D48:N48" si="5">SUM(D41:D47)</f>
        <v>71</v>
      </c>
      <c r="E48" s="55">
        <f t="shared" si="5"/>
        <v>186</v>
      </c>
      <c r="F48" s="55">
        <f t="shared" si="5"/>
        <v>45</v>
      </c>
      <c r="G48" s="55">
        <f t="shared" si="5"/>
        <v>218</v>
      </c>
      <c r="H48" s="55">
        <f t="shared" si="5"/>
        <v>11</v>
      </c>
      <c r="I48" s="55">
        <f t="shared" si="5"/>
        <v>22</v>
      </c>
      <c r="J48" s="55">
        <f t="shared" si="5"/>
        <v>278</v>
      </c>
      <c r="K48" s="55">
        <f t="shared" si="5"/>
        <v>164</v>
      </c>
      <c r="L48" s="55">
        <f t="shared" si="5"/>
        <v>107</v>
      </c>
      <c r="M48" s="55">
        <f t="shared" si="5"/>
        <v>97</v>
      </c>
      <c r="N48" s="54">
        <f t="shared" si="5"/>
        <v>1294</v>
      </c>
    </row>
    <row r="49" spans="1:14" ht="14" thickBot="1">
      <c r="A49" s="38" t="s">
        <v>49</v>
      </c>
      <c r="B49" s="39"/>
      <c r="C49" s="39"/>
      <c r="D49" s="39"/>
      <c r="E49" s="39"/>
      <c r="F49" s="39"/>
      <c r="G49" s="39"/>
      <c r="H49" s="39"/>
      <c r="I49" s="39"/>
      <c r="J49" s="39"/>
      <c r="K49" s="39"/>
      <c r="L49" s="39"/>
      <c r="M49" s="39"/>
      <c r="N49" s="40"/>
    </row>
    <row r="50" spans="1:14" ht="14" thickBot="1">
      <c r="A50" s="33" t="s">
        <v>49</v>
      </c>
      <c r="B50" s="1092">
        <v>0</v>
      </c>
      <c r="C50" s="1092">
        <v>0</v>
      </c>
      <c r="D50" s="1092">
        <v>0</v>
      </c>
      <c r="E50" s="1092">
        <v>0</v>
      </c>
      <c r="F50" s="1092">
        <v>0</v>
      </c>
      <c r="G50" s="1092">
        <v>0</v>
      </c>
      <c r="H50" s="1092">
        <v>0</v>
      </c>
      <c r="I50" s="1092">
        <v>0</v>
      </c>
      <c r="J50" s="1092">
        <v>0</v>
      </c>
      <c r="K50" s="1092">
        <v>0</v>
      </c>
      <c r="L50" s="1092">
        <v>0</v>
      </c>
      <c r="M50" s="1092">
        <v>0</v>
      </c>
      <c r="N50" s="27">
        <f>SUM(B50:M50)</f>
        <v>0</v>
      </c>
    </row>
    <row r="51" spans="1:14" ht="14" thickBot="1">
      <c r="A51" s="53" t="s">
        <v>60</v>
      </c>
      <c r="B51" s="55">
        <f>SUM(B50)</f>
        <v>0</v>
      </c>
      <c r="C51" s="55">
        <f t="shared" ref="C51:N51" si="6">SUM(C50)</f>
        <v>0</v>
      </c>
      <c r="D51" s="55">
        <f t="shared" si="6"/>
        <v>0</v>
      </c>
      <c r="E51" s="55">
        <f t="shared" si="6"/>
        <v>0</v>
      </c>
      <c r="F51" s="55">
        <f t="shared" si="6"/>
        <v>0</v>
      </c>
      <c r="G51" s="55">
        <f t="shared" si="6"/>
        <v>0</v>
      </c>
      <c r="H51" s="55">
        <f t="shared" si="6"/>
        <v>0</v>
      </c>
      <c r="I51" s="55">
        <v>0</v>
      </c>
      <c r="J51" s="55">
        <v>0</v>
      </c>
      <c r="K51" s="55">
        <v>0</v>
      </c>
      <c r="L51" s="55">
        <v>0</v>
      </c>
      <c r="M51" s="55">
        <v>0</v>
      </c>
      <c r="N51" s="54">
        <f t="shared" si="6"/>
        <v>0</v>
      </c>
    </row>
    <row r="52" spans="1:14" ht="14" thickBot="1">
      <c r="A52" s="38" t="s">
        <v>50</v>
      </c>
      <c r="B52" s="39"/>
      <c r="C52" s="39"/>
      <c r="D52" s="39"/>
      <c r="E52" s="39"/>
      <c r="F52" s="39"/>
      <c r="G52" s="39"/>
      <c r="H52" s="39"/>
      <c r="I52" s="39"/>
      <c r="J52" s="39"/>
      <c r="K52" s="39"/>
      <c r="L52" s="39"/>
      <c r="M52" s="39"/>
      <c r="N52" s="40"/>
    </row>
    <row r="53" spans="1:14">
      <c r="A53" s="34" t="s">
        <v>26</v>
      </c>
      <c r="B53" s="1092">
        <v>0</v>
      </c>
      <c r="C53" s="1092">
        <v>0</v>
      </c>
      <c r="D53" s="1092">
        <v>0</v>
      </c>
      <c r="E53" s="1092">
        <v>0</v>
      </c>
      <c r="F53" s="1092">
        <v>0</v>
      </c>
      <c r="G53" s="1092">
        <v>0</v>
      </c>
      <c r="H53" s="1092">
        <v>0</v>
      </c>
      <c r="I53" s="1092">
        <v>0</v>
      </c>
      <c r="J53" s="1092">
        <v>0</v>
      </c>
      <c r="K53" s="1092">
        <v>0</v>
      </c>
      <c r="L53" s="1092">
        <v>0</v>
      </c>
      <c r="M53" s="1092">
        <v>0</v>
      </c>
      <c r="N53" s="27">
        <f t="shared" ref="N53:N61" si="7">SUM(B53:M53)</f>
        <v>0</v>
      </c>
    </row>
    <row r="54" spans="1:14">
      <c r="A54" s="34" t="s">
        <v>25</v>
      </c>
      <c r="B54" s="1092">
        <v>0</v>
      </c>
      <c r="C54" s="1092">
        <v>0</v>
      </c>
      <c r="D54" s="1092">
        <v>0</v>
      </c>
      <c r="E54" s="1092">
        <v>0</v>
      </c>
      <c r="F54" s="1092">
        <v>0</v>
      </c>
      <c r="G54" s="1092">
        <v>0</v>
      </c>
      <c r="H54" s="1092">
        <v>0</v>
      </c>
      <c r="I54" s="1092">
        <v>0</v>
      </c>
      <c r="J54" s="1092">
        <v>0</v>
      </c>
      <c r="K54" s="1092">
        <v>1</v>
      </c>
      <c r="L54" s="1092">
        <v>0</v>
      </c>
      <c r="M54" s="1092">
        <v>0</v>
      </c>
      <c r="N54" s="27">
        <f t="shared" si="7"/>
        <v>1</v>
      </c>
    </row>
    <row r="55" spans="1:14">
      <c r="A55" s="32" t="s">
        <v>29</v>
      </c>
      <c r="B55" s="1092">
        <v>0</v>
      </c>
      <c r="C55" s="1092">
        <v>57</v>
      </c>
      <c r="D55" s="1092">
        <v>497</v>
      </c>
      <c r="E55" s="1092">
        <v>0</v>
      </c>
      <c r="F55" s="1092">
        <v>27</v>
      </c>
      <c r="G55" s="1092">
        <v>0</v>
      </c>
      <c r="H55" s="1092">
        <v>0</v>
      </c>
      <c r="I55" s="1092">
        <v>0</v>
      </c>
      <c r="J55" s="1092">
        <v>2</v>
      </c>
      <c r="K55" s="1092">
        <v>0</v>
      </c>
      <c r="L55" s="1092">
        <v>0</v>
      </c>
      <c r="M55" s="1092">
        <v>4</v>
      </c>
      <c r="N55" s="27">
        <f t="shared" si="7"/>
        <v>587</v>
      </c>
    </row>
    <row r="56" spans="1:14">
      <c r="A56" s="32" t="s">
        <v>51</v>
      </c>
      <c r="B56" s="1092">
        <v>25</v>
      </c>
      <c r="C56" s="1092">
        <v>84</v>
      </c>
      <c r="D56" s="1092">
        <v>33</v>
      </c>
      <c r="E56" s="1092">
        <v>1</v>
      </c>
      <c r="F56" s="1092">
        <v>0</v>
      </c>
      <c r="G56" s="1092">
        <v>0</v>
      </c>
      <c r="H56" s="1092">
        <v>0</v>
      </c>
      <c r="I56" s="1092">
        <v>0</v>
      </c>
      <c r="J56" s="1092">
        <v>14</v>
      </c>
      <c r="K56" s="1092">
        <v>4</v>
      </c>
      <c r="L56" s="1092">
        <v>0</v>
      </c>
      <c r="M56" s="1092">
        <v>1</v>
      </c>
      <c r="N56" s="27">
        <f t="shared" si="7"/>
        <v>162</v>
      </c>
    </row>
    <row r="57" spans="1:14">
      <c r="A57" s="34" t="s">
        <v>20</v>
      </c>
      <c r="B57" s="1092">
        <v>0</v>
      </c>
      <c r="C57" s="1092">
        <v>0</v>
      </c>
      <c r="D57" s="1092">
        <v>2</v>
      </c>
      <c r="E57" s="1092">
        <v>0</v>
      </c>
      <c r="F57" s="1092">
        <v>0</v>
      </c>
      <c r="G57" s="1092">
        <v>0</v>
      </c>
      <c r="H57" s="1092">
        <v>0</v>
      </c>
      <c r="I57" s="1092">
        <v>0</v>
      </c>
      <c r="J57" s="1092">
        <v>0</v>
      </c>
      <c r="K57" s="1092">
        <v>2</v>
      </c>
      <c r="L57" s="1092">
        <v>0</v>
      </c>
      <c r="M57" s="1092">
        <v>0</v>
      </c>
      <c r="N57" s="27">
        <f t="shared" si="7"/>
        <v>4</v>
      </c>
    </row>
    <row r="58" spans="1:14">
      <c r="A58" s="34" t="s">
        <v>13</v>
      </c>
      <c r="B58" s="1092">
        <v>0</v>
      </c>
      <c r="C58" s="1092">
        <v>0</v>
      </c>
      <c r="D58" s="1092">
        <v>0</v>
      </c>
      <c r="E58" s="1092">
        <v>0</v>
      </c>
      <c r="F58" s="1092">
        <v>1</v>
      </c>
      <c r="G58" s="1092">
        <v>0</v>
      </c>
      <c r="H58" s="1092">
        <v>1</v>
      </c>
      <c r="I58" s="1092">
        <v>0</v>
      </c>
      <c r="J58" s="1092">
        <v>1</v>
      </c>
      <c r="K58" s="1092">
        <v>0</v>
      </c>
      <c r="L58" s="1092">
        <v>0</v>
      </c>
      <c r="M58" s="1092">
        <v>0</v>
      </c>
      <c r="N58" s="27">
        <f t="shared" si="7"/>
        <v>3</v>
      </c>
    </row>
    <row r="59" spans="1:14">
      <c r="A59" s="35" t="s">
        <v>47</v>
      </c>
      <c r="B59" s="1092">
        <v>0</v>
      </c>
      <c r="C59" s="1092">
        <v>0</v>
      </c>
      <c r="D59" s="1092">
        <v>1</v>
      </c>
      <c r="E59" s="1092">
        <v>0</v>
      </c>
      <c r="F59" s="1092">
        <v>0</v>
      </c>
      <c r="G59" s="1092">
        <v>0</v>
      </c>
      <c r="H59" s="1092">
        <v>1</v>
      </c>
      <c r="I59" s="1092">
        <v>0</v>
      </c>
      <c r="J59" s="1092">
        <v>0</v>
      </c>
      <c r="K59" s="1092">
        <v>0</v>
      </c>
      <c r="L59" s="1092">
        <v>1</v>
      </c>
      <c r="M59" s="1092">
        <v>0</v>
      </c>
      <c r="N59" s="27">
        <f t="shared" si="7"/>
        <v>3</v>
      </c>
    </row>
    <row r="60" spans="1:14">
      <c r="A60" s="33" t="s">
        <v>52</v>
      </c>
      <c r="B60" s="1092">
        <v>0</v>
      </c>
      <c r="C60" s="1092">
        <v>0</v>
      </c>
      <c r="D60" s="1092">
        <v>0</v>
      </c>
      <c r="E60" s="1092">
        <v>0</v>
      </c>
      <c r="F60" s="1092">
        <v>0</v>
      </c>
      <c r="G60" s="1092">
        <v>0</v>
      </c>
      <c r="H60" s="1092">
        <v>0</v>
      </c>
      <c r="I60" s="1092">
        <v>1</v>
      </c>
      <c r="J60" s="1092">
        <v>0</v>
      </c>
      <c r="K60" s="1092">
        <v>0</v>
      </c>
      <c r="L60" s="1092">
        <v>2</v>
      </c>
      <c r="M60" s="1092">
        <v>7</v>
      </c>
      <c r="N60" s="27">
        <f t="shared" si="7"/>
        <v>10</v>
      </c>
    </row>
    <row r="61" spans="1:14">
      <c r="A61" s="33" t="s">
        <v>53</v>
      </c>
      <c r="B61" s="1092">
        <v>0</v>
      </c>
      <c r="C61" s="1092">
        <v>0</v>
      </c>
      <c r="D61" s="1092">
        <v>0</v>
      </c>
      <c r="E61" s="1092">
        <v>0</v>
      </c>
      <c r="F61" s="1092">
        <v>0</v>
      </c>
      <c r="G61" s="1092">
        <v>0</v>
      </c>
      <c r="H61" s="1092">
        <v>0</v>
      </c>
      <c r="I61" s="1092">
        <v>0</v>
      </c>
      <c r="J61" s="1092">
        <v>0</v>
      </c>
      <c r="K61" s="1092">
        <v>0</v>
      </c>
      <c r="L61" s="1092">
        <v>0</v>
      </c>
      <c r="M61" s="1092">
        <v>0</v>
      </c>
      <c r="N61" s="27">
        <f t="shared" si="7"/>
        <v>0</v>
      </c>
    </row>
    <row r="62" spans="1:14">
      <c r="A62" s="32" t="s">
        <v>56</v>
      </c>
      <c r="B62" s="1092">
        <v>0</v>
      </c>
      <c r="C62" s="1092">
        <v>0</v>
      </c>
      <c r="D62" s="1092">
        <v>0</v>
      </c>
      <c r="E62" s="1092">
        <v>0</v>
      </c>
      <c r="F62" s="1092">
        <v>0</v>
      </c>
      <c r="G62" s="1092">
        <v>0</v>
      </c>
      <c r="H62" s="1092">
        <v>0</v>
      </c>
      <c r="I62" s="1092">
        <v>0</v>
      </c>
      <c r="J62" s="1092">
        <v>0</v>
      </c>
      <c r="K62" s="1092">
        <v>0</v>
      </c>
      <c r="L62" s="1092">
        <v>0</v>
      </c>
      <c r="M62" s="1092">
        <v>0</v>
      </c>
      <c r="N62" s="27">
        <f>SUM(B62:M62)</f>
        <v>0</v>
      </c>
    </row>
    <row r="63" spans="1:14">
      <c r="A63" s="78" t="s">
        <v>122</v>
      </c>
      <c r="B63" s="1092">
        <v>0</v>
      </c>
      <c r="C63" s="1092">
        <v>0</v>
      </c>
      <c r="D63" s="1092">
        <v>0</v>
      </c>
      <c r="E63" s="1092">
        <v>0</v>
      </c>
      <c r="F63" s="1092">
        <v>0</v>
      </c>
      <c r="G63" s="1092">
        <v>0</v>
      </c>
      <c r="H63" s="1092">
        <v>0</v>
      </c>
      <c r="I63" s="1092">
        <v>0</v>
      </c>
      <c r="J63" s="1092">
        <v>0</v>
      </c>
      <c r="K63" s="1092">
        <v>0</v>
      </c>
      <c r="L63" s="1092">
        <v>0</v>
      </c>
      <c r="M63" s="1092">
        <v>0</v>
      </c>
      <c r="N63" s="27">
        <f>SUM(B63:M63)</f>
        <v>0</v>
      </c>
    </row>
    <row r="64" spans="1:14" ht="14" thickBot="1">
      <c r="A64" s="32" t="s">
        <v>102</v>
      </c>
      <c r="B64" s="1092">
        <v>0</v>
      </c>
      <c r="C64" s="1092">
        <v>0</v>
      </c>
      <c r="D64" s="1092">
        <v>0</v>
      </c>
      <c r="E64" s="1092">
        <v>0</v>
      </c>
      <c r="F64" s="1092">
        <v>0</v>
      </c>
      <c r="G64" s="1092">
        <v>0</v>
      </c>
      <c r="H64" s="1092">
        <v>0</v>
      </c>
      <c r="I64" s="1092">
        <v>0</v>
      </c>
      <c r="J64" s="1092">
        <v>0</v>
      </c>
      <c r="K64" s="1092">
        <v>0</v>
      </c>
      <c r="L64" s="1092">
        <v>0</v>
      </c>
      <c r="M64" s="1092">
        <v>0</v>
      </c>
      <c r="N64" s="27">
        <f>SUM(B64:M64)</f>
        <v>0</v>
      </c>
    </row>
    <row r="65" spans="1:14" ht="14" thickBot="1">
      <c r="A65" s="53" t="s">
        <v>60</v>
      </c>
      <c r="B65" s="55">
        <f>SUM(B53:B64)</f>
        <v>25</v>
      </c>
      <c r="C65" s="55">
        <f t="shared" ref="C65:N65" si="8">SUM(C53:C64)</f>
        <v>141</v>
      </c>
      <c r="D65" s="55">
        <f t="shared" si="8"/>
        <v>533</v>
      </c>
      <c r="E65" s="55">
        <f t="shared" si="8"/>
        <v>1</v>
      </c>
      <c r="F65" s="55">
        <f t="shared" si="8"/>
        <v>28</v>
      </c>
      <c r="G65" s="55">
        <f t="shared" si="8"/>
        <v>0</v>
      </c>
      <c r="H65" s="55">
        <f t="shared" si="8"/>
        <v>2</v>
      </c>
      <c r="I65" s="55">
        <f t="shared" si="8"/>
        <v>1</v>
      </c>
      <c r="J65" s="55">
        <f t="shared" si="8"/>
        <v>17</v>
      </c>
      <c r="K65" s="55">
        <f t="shared" si="8"/>
        <v>7</v>
      </c>
      <c r="L65" s="55">
        <f t="shared" si="8"/>
        <v>3</v>
      </c>
      <c r="M65" s="55">
        <f t="shared" si="8"/>
        <v>12</v>
      </c>
      <c r="N65" s="54">
        <f t="shared" si="8"/>
        <v>770</v>
      </c>
    </row>
    <row r="66" spans="1:14" ht="14" thickBot="1">
      <c r="A66" s="38" t="s">
        <v>54</v>
      </c>
      <c r="B66" s="41"/>
      <c r="C66" s="41"/>
      <c r="D66" s="41"/>
      <c r="E66" s="41"/>
      <c r="F66" s="41"/>
      <c r="G66" s="41"/>
      <c r="H66" s="41"/>
      <c r="I66" s="41"/>
      <c r="J66" s="41"/>
      <c r="K66" s="41"/>
      <c r="L66" s="41"/>
      <c r="M66" s="41"/>
      <c r="N66" s="42"/>
    </row>
    <row r="67" spans="1:14">
      <c r="A67" s="36" t="s">
        <v>29</v>
      </c>
      <c r="B67" s="1099">
        <v>0</v>
      </c>
      <c r="C67" s="1100">
        <v>0</v>
      </c>
      <c r="D67" s="1100">
        <v>0</v>
      </c>
      <c r="E67" s="1100">
        <v>0</v>
      </c>
      <c r="F67" s="1100">
        <v>0</v>
      </c>
      <c r="G67" s="1100">
        <v>0</v>
      </c>
      <c r="H67" s="1100">
        <v>0</v>
      </c>
      <c r="I67" s="1100">
        <v>0</v>
      </c>
      <c r="J67" s="1100">
        <v>0</v>
      </c>
      <c r="K67" s="1100">
        <v>0</v>
      </c>
      <c r="L67" s="1100">
        <v>0</v>
      </c>
      <c r="M67" s="1108">
        <v>0</v>
      </c>
      <c r="N67" s="28">
        <f t="shared" ref="N67:N72" si="9">SUM(B67:M67)</f>
        <v>0</v>
      </c>
    </row>
    <row r="68" spans="1:14">
      <c r="A68" s="34" t="s">
        <v>51</v>
      </c>
      <c r="B68" s="1102">
        <v>0</v>
      </c>
      <c r="C68" s="1092">
        <v>0</v>
      </c>
      <c r="D68" s="1092">
        <v>0</v>
      </c>
      <c r="E68" s="1092">
        <v>0</v>
      </c>
      <c r="F68" s="1092">
        <v>0</v>
      </c>
      <c r="G68" s="1092">
        <v>0</v>
      </c>
      <c r="H68" s="1092">
        <v>0</v>
      </c>
      <c r="I68" s="1092">
        <v>0</v>
      </c>
      <c r="J68" s="1092">
        <v>0</v>
      </c>
      <c r="K68" s="1092">
        <v>0</v>
      </c>
      <c r="L68" s="1092">
        <v>0</v>
      </c>
      <c r="M68" s="1103">
        <v>0</v>
      </c>
      <c r="N68" s="29">
        <f t="shared" si="9"/>
        <v>0</v>
      </c>
    </row>
    <row r="69" spans="1:14">
      <c r="A69" s="34" t="s">
        <v>15</v>
      </c>
      <c r="B69" s="1102">
        <v>16</v>
      </c>
      <c r="C69" s="1092">
        <v>0</v>
      </c>
      <c r="D69" s="1092">
        <v>0</v>
      </c>
      <c r="E69" s="1092">
        <v>0</v>
      </c>
      <c r="F69" s="1092">
        <v>0</v>
      </c>
      <c r="G69" s="1092">
        <v>0</v>
      </c>
      <c r="H69" s="1092">
        <v>0</v>
      </c>
      <c r="I69" s="1092">
        <v>0</v>
      </c>
      <c r="J69" s="1092">
        <v>0</v>
      </c>
      <c r="K69" s="1092">
        <v>0</v>
      </c>
      <c r="L69" s="1092">
        <v>0</v>
      </c>
      <c r="M69" s="1103">
        <v>0</v>
      </c>
      <c r="N69" s="29">
        <f t="shared" si="9"/>
        <v>16</v>
      </c>
    </row>
    <row r="70" spans="1:14">
      <c r="A70" s="34" t="s">
        <v>30</v>
      </c>
      <c r="B70" s="1102">
        <v>22</v>
      </c>
      <c r="C70" s="1092">
        <v>0</v>
      </c>
      <c r="D70" s="1092">
        <v>0</v>
      </c>
      <c r="E70" s="1092">
        <v>0</v>
      </c>
      <c r="F70" s="1092">
        <v>0</v>
      </c>
      <c r="G70" s="1092">
        <v>0</v>
      </c>
      <c r="H70" s="1092">
        <v>0</v>
      </c>
      <c r="I70" s="1094">
        <v>0</v>
      </c>
      <c r="J70" s="1092">
        <v>0</v>
      </c>
      <c r="K70" s="1092">
        <v>0</v>
      </c>
      <c r="L70" s="1092">
        <v>0</v>
      </c>
      <c r="M70" s="1103">
        <v>0</v>
      </c>
      <c r="N70" s="29">
        <f t="shared" si="9"/>
        <v>22</v>
      </c>
    </row>
    <row r="71" spans="1:14">
      <c r="A71" s="34" t="s">
        <v>55</v>
      </c>
      <c r="B71" s="1102">
        <v>0</v>
      </c>
      <c r="C71" s="1092">
        <v>0</v>
      </c>
      <c r="D71" s="1092">
        <v>0</v>
      </c>
      <c r="E71" s="1092">
        <v>25</v>
      </c>
      <c r="F71" s="1092">
        <v>0</v>
      </c>
      <c r="G71" s="1092">
        <v>0</v>
      </c>
      <c r="H71" s="1092">
        <v>0</v>
      </c>
      <c r="I71" s="1094">
        <v>0</v>
      </c>
      <c r="J71" s="1092">
        <v>0</v>
      </c>
      <c r="K71" s="1092">
        <v>0</v>
      </c>
      <c r="L71" s="1092">
        <v>0</v>
      </c>
      <c r="M71" s="1103">
        <v>0</v>
      </c>
      <c r="N71" s="29">
        <f t="shared" si="9"/>
        <v>25</v>
      </c>
    </row>
    <row r="72" spans="1:14" s="3" customFormat="1" ht="14" thickBot="1">
      <c r="A72" s="33" t="s">
        <v>53</v>
      </c>
      <c r="B72" s="1105">
        <v>0</v>
      </c>
      <c r="C72" s="1106">
        <v>0</v>
      </c>
      <c r="D72" s="1106">
        <v>0</v>
      </c>
      <c r="E72" s="1106">
        <v>0</v>
      </c>
      <c r="F72" s="1106">
        <v>0</v>
      </c>
      <c r="G72" s="1106">
        <v>0</v>
      </c>
      <c r="H72" s="1106">
        <v>0</v>
      </c>
      <c r="I72" s="1106">
        <v>0</v>
      </c>
      <c r="J72" s="1106">
        <v>0</v>
      </c>
      <c r="K72" s="1106">
        <v>0</v>
      </c>
      <c r="L72" s="1106">
        <v>0</v>
      </c>
      <c r="M72" s="1109">
        <v>0</v>
      </c>
      <c r="N72" s="27">
        <f t="shared" si="9"/>
        <v>0</v>
      </c>
    </row>
    <row r="73" spans="1:14" ht="14" thickBot="1">
      <c r="A73" s="53" t="s">
        <v>60</v>
      </c>
      <c r="B73" s="55">
        <f>SUM(B67:B72)</f>
        <v>38</v>
      </c>
      <c r="C73" s="55">
        <f t="shared" ref="C73:N73" si="10">SUM(C67:C72)</f>
        <v>0</v>
      </c>
      <c r="D73" s="55">
        <f t="shared" si="10"/>
        <v>0</v>
      </c>
      <c r="E73" s="55">
        <f t="shared" si="10"/>
        <v>25</v>
      </c>
      <c r="F73" s="55">
        <f t="shared" si="10"/>
        <v>0</v>
      </c>
      <c r="G73" s="55">
        <f t="shared" si="10"/>
        <v>0</v>
      </c>
      <c r="H73" s="55">
        <f t="shared" si="10"/>
        <v>0</v>
      </c>
      <c r="I73" s="55">
        <f t="shared" si="10"/>
        <v>0</v>
      </c>
      <c r="J73" s="55">
        <f t="shared" si="10"/>
        <v>0</v>
      </c>
      <c r="K73" s="55">
        <f t="shared" si="10"/>
        <v>0</v>
      </c>
      <c r="L73" s="55">
        <f t="shared" si="10"/>
        <v>0</v>
      </c>
      <c r="M73" s="55">
        <f t="shared" si="10"/>
        <v>0</v>
      </c>
      <c r="N73" s="302">
        <f t="shared" si="10"/>
        <v>63</v>
      </c>
    </row>
    <row r="76" spans="1:14" ht="14" thickBot="1">
      <c r="B76" s="43" t="s">
        <v>35</v>
      </c>
      <c r="C76" s="43" t="s">
        <v>36</v>
      </c>
      <c r="D76" s="43" t="s">
        <v>37</v>
      </c>
      <c r="E76" s="43" t="s">
        <v>38</v>
      </c>
      <c r="F76" s="43" t="s">
        <v>39</v>
      </c>
      <c r="G76" s="43" t="s">
        <v>40</v>
      </c>
      <c r="H76" s="43" t="s">
        <v>41</v>
      </c>
      <c r="I76" s="43" t="s">
        <v>42</v>
      </c>
      <c r="J76" s="43" t="s">
        <v>43</v>
      </c>
      <c r="K76" s="43" t="s">
        <v>44</v>
      </c>
      <c r="L76" s="43" t="s">
        <v>45</v>
      </c>
      <c r="M76" s="43" t="s">
        <v>46</v>
      </c>
      <c r="N76" s="43" t="s">
        <v>10</v>
      </c>
    </row>
    <row r="77" spans="1:14" ht="17" thickBot="1">
      <c r="A77" s="31" t="s">
        <v>143</v>
      </c>
      <c r="B77" s="24"/>
      <c r="C77" s="24"/>
      <c r="D77" s="22"/>
      <c r="E77" s="22"/>
      <c r="F77" s="25"/>
      <c r="G77" s="25"/>
      <c r="H77" s="22"/>
      <c r="I77" s="22"/>
      <c r="J77" s="22"/>
      <c r="K77" s="22"/>
      <c r="L77" s="24"/>
      <c r="M77" s="24"/>
      <c r="N77" s="26"/>
    </row>
    <row r="78" spans="1:14" ht="14" thickBot="1">
      <c r="A78" s="38" t="s">
        <v>48</v>
      </c>
      <c r="B78" s="39"/>
      <c r="C78" s="39"/>
      <c r="D78" s="39"/>
      <c r="E78" s="39"/>
      <c r="F78" s="39"/>
      <c r="G78" s="39"/>
      <c r="H78" s="39"/>
      <c r="I78" s="39"/>
      <c r="J78" s="39"/>
      <c r="K78" s="39"/>
      <c r="L78" s="39"/>
      <c r="M78" s="39"/>
      <c r="N78" s="40"/>
    </row>
    <row r="79" spans="1:14">
      <c r="A79" s="32" t="s">
        <v>28</v>
      </c>
      <c r="B79" s="1092">
        <v>0</v>
      </c>
      <c r="C79" s="1092">
        <v>0</v>
      </c>
      <c r="D79" s="1092">
        <v>0</v>
      </c>
      <c r="E79" s="1092">
        <v>0</v>
      </c>
      <c r="F79" s="1092">
        <v>0</v>
      </c>
      <c r="G79" s="1092">
        <v>0</v>
      </c>
      <c r="H79" s="1092">
        <v>0</v>
      </c>
      <c r="I79" s="1092">
        <v>0</v>
      </c>
      <c r="J79" s="1092">
        <v>0</v>
      </c>
      <c r="K79" s="1092">
        <v>0</v>
      </c>
      <c r="L79" s="1092">
        <v>0</v>
      </c>
      <c r="M79" s="1092">
        <v>0</v>
      </c>
      <c r="N79" s="27">
        <f>SUM(B79:M79)</f>
        <v>0</v>
      </c>
    </row>
    <row r="80" spans="1:14">
      <c r="A80" s="32" t="s">
        <v>29</v>
      </c>
      <c r="B80" s="1092">
        <v>25</v>
      </c>
      <c r="C80" s="1092">
        <v>0</v>
      </c>
      <c r="D80" s="1092">
        <v>7</v>
      </c>
      <c r="E80" s="1092">
        <v>0</v>
      </c>
      <c r="F80" s="1092">
        <v>0</v>
      </c>
      <c r="G80" s="1092">
        <v>3</v>
      </c>
      <c r="H80" s="1092">
        <v>3</v>
      </c>
      <c r="I80" s="1092">
        <v>0</v>
      </c>
      <c r="J80" s="1092">
        <v>2</v>
      </c>
      <c r="K80" s="1092">
        <v>13</v>
      </c>
      <c r="L80" s="1092">
        <v>3</v>
      </c>
      <c r="M80" s="1092">
        <v>9</v>
      </c>
      <c r="N80" s="27">
        <f t="shared" ref="N80:N86" si="11">SUM(B80:M80)</f>
        <v>65</v>
      </c>
    </row>
    <row r="81" spans="1:14">
      <c r="A81" s="32" t="s">
        <v>33</v>
      </c>
      <c r="B81" s="1092">
        <v>16</v>
      </c>
      <c r="C81" s="1092">
        <v>0</v>
      </c>
      <c r="D81" s="1092">
        <v>2</v>
      </c>
      <c r="E81" s="1092">
        <v>2</v>
      </c>
      <c r="F81" s="1092">
        <v>0</v>
      </c>
      <c r="G81" s="1092">
        <v>12</v>
      </c>
      <c r="H81" s="1092">
        <v>7</v>
      </c>
      <c r="I81" s="1092">
        <v>6</v>
      </c>
      <c r="J81" s="1092">
        <v>21</v>
      </c>
      <c r="K81" s="1092">
        <v>3</v>
      </c>
      <c r="L81" s="1092">
        <v>16</v>
      </c>
      <c r="M81" s="1092">
        <v>37</v>
      </c>
      <c r="N81" s="27">
        <f t="shared" si="11"/>
        <v>122</v>
      </c>
    </row>
    <row r="82" spans="1:14">
      <c r="A82" s="32" t="s">
        <v>56</v>
      </c>
      <c r="B82" s="1092">
        <v>176</v>
      </c>
      <c r="C82" s="1092">
        <v>0</v>
      </c>
      <c r="D82" s="1092">
        <v>0</v>
      </c>
      <c r="E82" s="1092">
        <v>0</v>
      </c>
      <c r="F82" s="1092">
        <v>0</v>
      </c>
      <c r="G82" s="1092">
        <v>0</v>
      </c>
      <c r="H82" s="1092">
        <v>0</v>
      </c>
      <c r="I82" s="1092">
        <v>0</v>
      </c>
      <c r="J82" s="1092">
        <v>21</v>
      </c>
      <c r="K82" s="1092">
        <v>19</v>
      </c>
      <c r="L82" s="1092">
        <v>0</v>
      </c>
      <c r="M82" s="1092">
        <v>0</v>
      </c>
      <c r="N82" s="27">
        <f t="shared" si="11"/>
        <v>216</v>
      </c>
    </row>
    <row r="83" spans="1:14">
      <c r="A83" s="78" t="s">
        <v>30</v>
      </c>
      <c r="B83" s="1092">
        <v>3</v>
      </c>
      <c r="C83" s="1092">
        <v>0</v>
      </c>
      <c r="D83" s="1092">
        <v>0</v>
      </c>
      <c r="E83" s="1092">
        <v>0</v>
      </c>
      <c r="F83" s="1092">
        <v>0</v>
      </c>
      <c r="G83" s="1092">
        <v>0</v>
      </c>
      <c r="H83" s="1092">
        <v>1</v>
      </c>
      <c r="I83" s="1092">
        <v>0</v>
      </c>
      <c r="J83" s="1092">
        <v>2</v>
      </c>
      <c r="K83" s="1092">
        <v>0</v>
      </c>
      <c r="L83" s="1092">
        <v>1</v>
      </c>
      <c r="M83" s="1092">
        <v>0</v>
      </c>
      <c r="N83" s="27">
        <f t="shared" si="11"/>
        <v>7</v>
      </c>
    </row>
    <row r="84" spans="1:14">
      <c r="A84" s="76" t="s">
        <v>148</v>
      </c>
      <c r="B84" s="1092">
        <v>0</v>
      </c>
      <c r="C84" s="1092">
        <v>0</v>
      </c>
      <c r="D84" s="1092">
        <v>0</v>
      </c>
      <c r="E84" s="1092">
        <v>0</v>
      </c>
      <c r="F84" s="1092">
        <v>0</v>
      </c>
      <c r="G84" s="1092">
        <v>0</v>
      </c>
      <c r="H84" s="1092">
        <v>0</v>
      </c>
      <c r="I84" s="1092">
        <v>0</v>
      </c>
      <c r="J84" s="1092">
        <v>0</v>
      </c>
      <c r="K84" s="1092">
        <v>0</v>
      </c>
      <c r="L84" s="1092">
        <v>0</v>
      </c>
      <c r="M84" s="1092">
        <v>0</v>
      </c>
      <c r="N84" s="27">
        <f t="shared" si="11"/>
        <v>0</v>
      </c>
    </row>
    <row r="85" spans="1:14" ht="14" thickBot="1">
      <c r="A85" s="76" t="s">
        <v>159</v>
      </c>
      <c r="B85" s="1092">
        <v>2</v>
      </c>
      <c r="C85" s="1092">
        <v>0</v>
      </c>
      <c r="D85" s="1092">
        <v>1</v>
      </c>
      <c r="E85" s="1092">
        <v>0</v>
      </c>
      <c r="F85" s="1092">
        <v>0</v>
      </c>
      <c r="G85" s="1092">
        <v>2</v>
      </c>
      <c r="H85" s="1092">
        <v>1</v>
      </c>
      <c r="I85" s="1092">
        <v>2</v>
      </c>
      <c r="J85" s="1092">
        <v>2</v>
      </c>
      <c r="K85" s="1092">
        <v>0</v>
      </c>
      <c r="L85" s="1092">
        <v>2</v>
      </c>
      <c r="M85" s="1092">
        <v>1</v>
      </c>
      <c r="N85" s="27">
        <f t="shared" si="11"/>
        <v>13</v>
      </c>
    </row>
    <row r="86" spans="1:14" ht="14" thickBot="1">
      <c r="A86" s="53" t="s">
        <v>60</v>
      </c>
      <c r="B86" s="55">
        <f>SUM(B79:B85)</f>
        <v>222</v>
      </c>
      <c r="C86" s="55">
        <f>SUM(C79:C85)</f>
        <v>0</v>
      </c>
      <c r="D86" s="55">
        <f t="shared" ref="D86:M86" si="12">SUM(D79:D85)</f>
        <v>10</v>
      </c>
      <c r="E86" s="55">
        <f t="shared" si="12"/>
        <v>2</v>
      </c>
      <c r="F86" s="55">
        <f t="shared" si="12"/>
        <v>0</v>
      </c>
      <c r="G86" s="55">
        <f t="shared" si="12"/>
        <v>17</v>
      </c>
      <c r="H86" s="55">
        <f t="shared" si="12"/>
        <v>12</v>
      </c>
      <c r="I86" s="55">
        <f t="shared" si="12"/>
        <v>8</v>
      </c>
      <c r="J86" s="55">
        <f t="shared" si="12"/>
        <v>48</v>
      </c>
      <c r="K86" s="55">
        <f t="shared" si="12"/>
        <v>35</v>
      </c>
      <c r="L86" s="55">
        <f t="shared" si="12"/>
        <v>22</v>
      </c>
      <c r="M86" s="55">
        <f t="shared" si="12"/>
        <v>47</v>
      </c>
      <c r="N86" s="27">
        <f t="shared" si="11"/>
        <v>423</v>
      </c>
    </row>
    <row r="87" spans="1:14" ht="14" thickBot="1">
      <c r="A87" s="38" t="s">
        <v>49</v>
      </c>
      <c r="B87" s="39"/>
      <c r="C87" s="39"/>
      <c r="D87" s="39"/>
      <c r="E87" s="39"/>
      <c r="F87" s="39"/>
      <c r="G87" s="39"/>
      <c r="H87" s="39"/>
      <c r="I87" s="39"/>
      <c r="J87" s="39"/>
      <c r="K87" s="39"/>
      <c r="L87" s="39"/>
      <c r="M87" s="39"/>
      <c r="N87" s="40"/>
    </row>
    <row r="88" spans="1:14" ht="14" thickBot="1">
      <c r="A88" s="33" t="s">
        <v>49</v>
      </c>
      <c r="B88" s="1092">
        <v>0</v>
      </c>
      <c r="C88" s="1092">
        <v>0</v>
      </c>
      <c r="D88" s="1092">
        <v>0</v>
      </c>
      <c r="E88" s="1092">
        <v>0</v>
      </c>
      <c r="F88" s="1092">
        <v>0</v>
      </c>
      <c r="G88" s="1092">
        <v>0</v>
      </c>
      <c r="H88" s="1092">
        <v>0</v>
      </c>
      <c r="I88" s="1092">
        <v>0</v>
      </c>
      <c r="J88" s="1092">
        <v>0</v>
      </c>
      <c r="K88" s="1092">
        <v>12</v>
      </c>
      <c r="L88" s="1092">
        <v>93</v>
      </c>
      <c r="M88" s="1092">
        <v>24</v>
      </c>
      <c r="N88" s="27">
        <f>SUM(B88:M88)</f>
        <v>129</v>
      </c>
    </row>
    <row r="89" spans="1:14" ht="14" thickBot="1">
      <c r="A89" s="53" t="s">
        <v>60</v>
      </c>
      <c r="B89" s="55">
        <f>SUM(B88)</f>
        <v>0</v>
      </c>
      <c r="C89" s="55">
        <f t="shared" ref="C89:N89" si="13">SUM(C88)</f>
        <v>0</v>
      </c>
      <c r="D89" s="55">
        <f t="shared" si="13"/>
        <v>0</v>
      </c>
      <c r="E89" s="55">
        <f t="shared" si="13"/>
        <v>0</v>
      </c>
      <c r="F89" s="55">
        <f t="shared" si="13"/>
        <v>0</v>
      </c>
      <c r="G89" s="55">
        <f t="shared" si="13"/>
        <v>0</v>
      </c>
      <c r="H89" s="55">
        <f t="shared" si="13"/>
        <v>0</v>
      </c>
      <c r="I89" s="55">
        <f t="shared" si="13"/>
        <v>0</v>
      </c>
      <c r="J89" s="55">
        <f t="shared" si="13"/>
        <v>0</v>
      </c>
      <c r="K89" s="55">
        <f t="shared" si="13"/>
        <v>12</v>
      </c>
      <c r="L89" s="55">
        <f t="shared" si="13"/>
        <v>93</v>
      </c>
      <c r="M89" s="55">
        <f t="shared" si="13"/>
        <v>24</v>
      </c>
      <c r="N89" s="54">
        <f t="shared" si="13"/>
        <v>129</v>
      </c>
    </row>
    <row r="90" spans="1:14" ht="14" thickBot="1">
      <c r="A90" s="38" t="s">
        <v>50</v>
      </c>
      <c r="B90" s="39"/>
      <c r="C90" s="39"/>
      <c r="D90" s="39"/>
      <c r="E90" s="39"/>
      <c r="F90" s="39"/>
      <c r="G90" s="39"/>
      <c r="H90" s="39"/>
      <c r="I90" s="39"/>
      <c r="J90" s="39"/>
      <c r="K90" s="39"/>
      <c r="L90" s="39"/>
      <c r="M90" s="39"/>
      <c r="N90" s="40"/>
    </row>
    <row r="91" spans="1:14">
      <c r="A91" s="34" t="s">
        <v>26</v>
      </c>
      <c r="B91" s="1092">
        <v>0</v>
      </c>
      <c r="C91" s="1092">
        <v>0</v>
      </c>
      <c r="D91" s="1092">
        <v>0</v>
      </c>
      <c r="E91" s="1092">
        <v>0</v>
      </c>
      <c r="F91" s="1092">
        <v>0</v>
      </c>
      <c r="G91" s="1092">
        <v>0</v>
      </c>
      <c r="H91" s="1092">
        <v>0</v>
      </c>
      <c r="I91" s="1092">
        <v>0</v>
      </c>
      <c r="J91" s="1092">
        <v>0</v>
      </c>
      <c r="K91" s="1092">
        <v>0</v>
      </c>
      <c r="L91" s="1092">
        <v>0</v>
      </c>
      <c r="M91" s="1092">
        <v>0</v>
      </c>
      <c r="N91" s="27">
        <f t="shared" ref="N91:N99" si="14">SUM(B91:M91)</f>
        <v>0</v>
      </c>
    </row>
    <row r="92" spans="1:14">
      <c r="A92" s="34" t="s">
        <v>25</v>
      </c>
      <c r="B92" s="1092">
        <v>0</v>
      </c>
      <c r="C92" s="1092">
        <v>0</v>
      </c>
      <c r="D92" s="1092">
        <v>0</v>
      </c>
      <c r="E92" s="1092">
        <v>0</v>
      </c>
      <c r="F92" s="1092">
        <v>0</v>
      </c>
      <c r="G92" s="1092">
        <v>1</v>
      </c>
      <c r="H92" s="1092">
        <v>0</v>
      </c>
      <c r="I92" s="1092">
        <v>0</v>
      </c>
      <c r="J92" s="1092">
        <v>0</v>
      </c>
      <c r="K92" s="1092">
        <v>0</v>
      </c>
      <c r="L92" s="1092">
        <v>0</v>
      </c>
      <c r="M92" s="1092">
        <v>0</v>
      </c>
      <c r="N92" s="27">
        <f t="shared" si="14"/>
        <v>1</v>
      </c>
    </row>
    <row r="93" spans="1:14">
      <c r="A93" s="32" t="s">
        <v>29</v>
      </c>
      <c r="B93" s="1092">
        <v>0</v>
      </c>
      <c r="C93" s="1092">
        <v>3</v>
      </c>
      <c r="D93" s="1092">
        <v>0</v>
      </c>
      <c r="E93" s="1092">
        <v>1</v>
      </c>
      <c r="F93" s="1092">
        <v>3</v>
      </c>
      <c r="G93" s="1092">
        <v>0</v>
      </c>
      <c r="H93" s="1092">
        <v>0</v>
      </c>
      <c r="I93" s="1092">
        <v>0</v>
      </c>
      <c r="J93" s="1092">
        <v>0</v>
      </c>
      <c r="K93" s="1092">
        <v>0</v>
      </c>
      <c r="L93" s="1092">
        <v>0</v>
      </c>
      <c r="M93" s="1092">
        <v>0</v>
      </c>
      <c r="N93" s="27">
        <f t="shared" si="14"/>
        <v>7</v>
      </c>
    </row>
    <row r="94" spans="1:14">
      <c r="A94" s="32" t="s">
        <v>51</v>
      </c>
      <c r="B94" s="1092">
        <v>0</v>
      </c>
      <c r="C94" s="1092">
        <v>16</v>
      </c>
      <c r="D94" s="1092">
        <v>23</v>
      </c>
      <c r="E94" s="1092">
        <v>16</v>
      </c>
      <c r="F94" s="1092">
        <v>13</v>
      </c>
      <c r="G94" s="1092">
        <v>0</v>
      </c>
      <c r="H94" s="1092">
        <v>0</v>
      </c>
      <c r="I94" s="1092">
        <v>0</v>
      </c>
      <c r="J94" s="1092">
        <v>70</v>
      </c>
      <c r="K94" s="1092">
        <v>4</v>
      </c>
      <c r="L94" s="1092">
        <v>2</v>
      </c>
      <c r="M94" s="1092">
        <v>0</v>
      </c>
      <c r="N94" s="27">
        <f t="shared" si="14"/>
        <v>144</v>
      </c>
    </row>
    <row r="95" spans="1:14">
      <c r="A95" s="34" t="s">
        <v>20</v>
      </c>
      <c r="B95" s="1092">
        <v>0</v>
      </c>
      <c r="C95" s="1092">
        <v>0</v>
      </c>
      <c r="D95" s="1092">
        <v>0</v>
      </c>
      <c r="E95" s="1092">
        <v>0</v>
      </c>
      <c r="F95" s="1092">
        <v>0</v>
      </c>
      <c r="G95" s="1092">
        <v>0</v>
      </c>
      <c r="H95" s="1092">
        <v>0</v>
      </c>
      <c r="I95" s="1092">
        <v>0</v>
      </c>
      <c r="J95" s="1092">
        <v>0</v>
      </c>
      <c r="K95" s="1092">
        <v>0</v>
      </c>
      <c r="L95" s="1092">
        <v>0</v>
      </c>
      <c r="M95" s="1092">
        <v>0</v>
      </c>
      <c r="N95" s="27">
        <f t="shared" si="14"/>
        <v>0</v>
      </c>
    </row>
    <row r="96" spans="1:14">
      <c r="A96" s="34" t="s">
        <v>13</v>
      </c>
      <c r="B96" s="1092">
        <v>0</v>
      </c>
      <c r="C96" s="1092">
        <v>0</v>
      </c>
      <c r="D96" s="1092">
        <v>0</v>
      </c>
      <c r="E96" s="1092">
        <v>0</v>
      </c>
      <c r="F96" s="1092">
        <v>0</v>
      </c>
      <c r="G96" s="1092">
        <v>0</v>
      </c>
      <c r="H96" s="1092">
        <v>0</v>
      </c>
      <c r="I96" s="1092">
        <v>0</v>
      </c>
      <c r="J96" s="1092">
        <v>0</v>
      </c>
      <c r="K96" s="1092">
        <v>0</v>
      </c>
      <c r="L96" s="1092">
        <v>0</v>
      </c>
      <c r="M96" s="1092">
        <v>0</v>
      </c>
      <c r="N96" s="27">
        <f t="shared" si="14"/>
        <v>0</v>
      </c>
    </row>
    <row r="97" spans="1:14">
      <c r="A97" s="35" t="s">
        <v>47</v>
      </c>
      <c r="B97" s="1092">
        <v>0</v>
      </c>
      <c r="C97" s="1092">
        <v>0</v>
      </c>
      <c r="D97" s="1092">
        <v>0</v>
      </c>
      <c r="E97" s="1092">
        <v>0</v>
      </c>
      <c r="F97" s="1092">
        <v>0</v>
      </c>
      <c r="G97" s="1092">
        <v>0</v>
      </c>
      <c r="H97" s="1092">
        <v>0</v>
      </c>
      <c r="I97" s="1092">
        <v>0</v>
      </c>
      <c r="J97" s="1092">
        <v>0</v>
      </c>
      <c r="K97" s="1092">
        <v>0</v>
      </c>
      <c r="L97" s="1092">
        <v>0</v>
      </c>
      <c r="M97" s="1092">
        <v>0</v>
      </c>
      <c r="N97" s="27">
        <f t="shared" si="14"/>
        <v>0</v>
      </c>
    </row>
    <row r="98" spans="1:14">
      <c r="A98" s="76" t="s">
        <v>30</v>
      </c>
      <c r="B98" s="1092">
        <v>0</v>
      </c>
      <c r="C98" s="1092">
        <v>0</v>
      </c>
      <c r="D98" s="1092">
        <v>0</v>
      </c>
      <c r="E98" s="1092">
        <v>0</v>
      </c>
      <c r="F98" s="1092">
        <v>0</v>
      </c>
      <c r="G98" s="1092">
        <v>3</v>
      </c>
      <c r="H98" s="1092">
        <v>0</v>
      </c>
      <c r="I98" s="1092">
        <v>0</v>
      </c>
      <c r="J98" s="1092">
        <v>2</v>
      </c>
      <c r="K98" s="1092">
        <v>0</v>
      </c>
      <c r="L98" s="1092">
        <v>15</v>
      </c>
      <c r="M98" s="1092">
        <v>29</v>
      </c>
      <c r="N98" s="27">
        <f t="shared" si="14"/>
        <v>49</v>
      </c>
    </row>
    <row r="99" spans="1:14">
      <c r="A99" s="76" t="s">
        <v>150</v>
      </c>
      <c r="B99" s="1092">
        <v>0</v>
      </c>
      <c r="C99" s="1092">
        <v>0</v>
      </c>
      <c r="D99" s="1092">
        <v>0</v>
      </c>
      <c r="E99" s="1092">
        <v>0</v>
      </c>
      <c r="F99" s="1092">
        <v>0</v>
      </c>
      <c r="G99" s="1092">
        <v>0</v>
      </c>
      <c r="H99" s="1092">
        <v>0</v>
      </c>
      <c r="I99" s="1092">
        <v>0</v>
      </c>
      <c r="J99" s="1092">
        <v>0</v>
      </c>
      <c r="K99" s="1092">
        <v>0</v>
      </c>
      <c r="L99" s="1092">
        <v>0</v>
      </c>
      <c r="M99" s="1092">
        <v>0</v>
      </c>
      <c r="N99" s="27">
        <f t="shared" si="14"/>
        <v>0</v>
      </c>
    </row>
    <row r="100" spans="1:14">
      <c r="A100" s="32" t="s">
        <v>56</v>
      </c>
      <c r="B100" s="1092">
        <v>0</v>
      </c>
      <c r="C100" s="1092">
        <v>0</v>
      </c>
      <c r="D100" s="1092">
        <v>0</v>
      </c>
      <c r="E100" s="1092">
        <v>0</v>
      </c>
      <c r="F100" s="1092">
        <v>0</v>
      </c>
      <c r="G100" s="1092">
        <v>0</v>
      </c>
      <c r="H100" s="1092">
        <v>0</v>
      </c>
      <c r="I100" s="1092">
        <v>0</v>
      </c>
      <c r="J100" s="1092">
        <v>0</v>
      </c>
      <c r="K100" s="1092">
        <v>0</v>
      </c>
      <c r="L100" s="1092">
        <v>0</v>
      </c>
      <c r="M100" s="1092">
        <v>8081</v>
      </c>
      <c r="N100" s="27">
        <f>SUM(B100:M100)</f>
        <v>8081</v>
      </c>
    </row>
    <row r="101" spans="1:14">
      <c r="A101" s="78" t="s">
        <v>122</v>
      </c>
      <c r="B101" s="1092">
        <v>0</v>
      </c>
      <c r="C101" s="1092">
        <v>0</v>
      </c>
      <c r="D101" s="1092">
        <v>0</v>
      </c>
      <c r="E101" s="1092">
        <v>0</v>
      </c>
      <c r="F101" s="1092">
        <v>0</v>
      </c>
      <c r="G101" s="1092">
        <v>0</v>
      </c>
      <c r="H101" s="1092">
        <v>0</v>
      </c>
      <c r="I101" s="1092">
        <v>0</v>
      </c>
      <c r="J101" s="1092">
        <v>0</v>
      </c>
      <c r="K101" s="1092">
        <v>0</v>
      </c>
      <c r="L101" s="1092">
        <v>0</v>
      </c>
      <c r="M101" s="1092">
        <v>0</v>
      </c>
      <c r="N101" s="27">
        <f>SUM(B101:M101)</f>
        <v>0</v>
      </c>
    </row>
    <row r="102" spans="1:14" ht="14" thickBot="1">
      <c r="A102" s="32" t="s">
        <v>102</v>
      </c>
      <c r="B102" s="1092">
        <v>0</v>
      </c>
      <c r="C102" s="1092">
        <v>0</v>
      </c>
      <c r="D102" s="1092">
        <v>0</v>
      </c>
      <c r="E102" s="1092">
        <v>0</v>
      </c>
      <c r="F102" s="1092">
        <v>0</v>
      </c>
      <c r="G102" s="1092">
        <v>0</v>
      </c>
      <c r="H102" s="1092">
        <v>0</v>
      </c>
      <c r="I102" s="1092">
        <v>0</v>
      </c>
      <c r="J102" s="1092">
        <v>0</v>
      </c>
      <c r="K102" s="1092">
        <v>0</v>
      </c>
      <c r="L102" s="1092">
        <v>0</v>
      </c>
      <c r="M102" s="1092">
        <v>0</v>
      </c>
      <c r="N102" s="27">
        <f>SUM(B102:M102)</f>
        <v>0</v>
      </c>
    </row>
    <row r="103" spans="1:14" ht="14" thickBot="1">
      <c r="A103" s="53" t="s">
        <v>60</v>
      </c>
      <c r="B103" s="55">
        <f>SUM(B91:B102)</f>
        <v>0</v>
      </c>
      <c r="C103" s="55">
        <f t="shared" ref="C103:N103" si="15">SUM(C91:C102)</f>
        <v>19</v>
      </c>
      <c r="D103" s="55">
        <f t="shared" si="15"/>
        <v>23</v>
      </c>
      <c r="E103" s="55">
        <f t="shared" si="15"/>
        <v>17</v>
      </c>
      <c r="F103" s="55">
        <f t="shared" si="15"/>
        <v>16</v>
      </c>
      <c r="G103" s="55">
        <f t="shared" si="15"/>
        <v>4</v>
      </c>
      <c r="H103" s="55">
        <f t="shared" si="15"/>
        <v>0</v>
      </c>
      <c r="I103" s="55">
        <f t="shared" si="15"/>
        <v>0</v>
      </c>
      <c r="J103" s="55">
        <f t="shared" si="15"/>
        <v>72</v>
      </c>
      <c r="K103" s="55">
        <f t="shared" si="15"/>
        <v>4</v>
      </c>
      <c r="L103" s="55">
        <f t="shared" si="15"/>
        <v>17</v>
      </c>
      <c r="M103" s="55">
        <f t="shared" si="15"/>
        <v>8110</v>
      </c>
      <c r="N103" s="54">
        <f t="shared" si="15"/>
        <v>8282</v>
      </c>
    </row>
    <row r="104" spans="1:14" ht="14" thickBot="1">
      <c r="A104" s="38" t="s">
        <v>54</v>
      </c>
      <c r="B104" s="41"/>
      <c r="C104" s="41"/>
      <c r="D104" s="41"/>
      <c r="E104" s="41"/>
      <c r="F104" s="41"/>
      <c r="G104" s="41"/>
      <c r="H104" s="41"/>
      <c r="I104" s="41"/>
      <c r="J104" s="41"/>
      <c r="K104" s="41"/>
      <c r="L104" s="41"/>
      <c r="M104" s="41"/>
      <c r="N104" s="42"/>
    </row>
    <row r="105" spans="1:14">
      <c r="A105" s="36" t="s">
        <v>29</v>
      </c>
      <c r="B105" s="1093">
        <v>0</v>
      </c>
      <c r="C105" s="1093">
        <v>0</v>
      </c>
      <c r="D105" s="1093">
        <v>0</v>
      </c>
      <c r="E105" s="1093">
        <v>0</v>
      </c>
      <c r="F105" s="1093">
        <v>0</v>
      </c>
      <c r="G105" s="1093">
        <v>0</v>
      </c>
      <c r="H105" s="1093">
        <v>0</v>
      </c>
      <c r="I105" s="1093">
        <v>0</v>
      </c>
      <c r="J105" s="1093">
        <v>0</v>
      </c>
      <c r="K105" s="1093">
        <v>0</v>
      </c>
      <c r="L105" s="1093">
        <v>0</v>
      </c>
      <c r="M105" s="1093">
        <v>0</v>
      </c>
      <c r="N105" s="28">
        <f t="shared" ref="N105:N110" si="16">SUM(B105:M105)</f>
        <v>0</v>
      </c>
    </row>
    <row r="106" spans="1:14">
      <c r="A106" s="34" t="s">
        <v>51</v>
      </c>
      <c r="B106" s="1092">
        <v>0</v>
      </c>
      <c r="C106" s="1092">
        <v>0</v>
      </c>
      <c r="D106" s="1092">
        <v>0</v>
      </c>
      <c r="E106" s="1092">
        <v>0</v>
      </c>
      <c r="F106" s="1092">
        <v>0</v>
      </c>
      <c r="G106" s="1092">
        <v>0</v>
      </c>
      <c r="H106" s="1092">
        <v>0</v>
      </c>
      <c r="I106" s="1092">
        <v>0</v>
      </c>
      <c r="J106" s="1092">
        <v>0</v>
      </c>
      <c r="K106" s="1092">
        <v>0</v>
      </c>
      <c r="L106" s="1092">
        <v>0</v>
      </c>
      <c r="M106" s="1092">
        <v>0</v>
      </c>
      <c r="N106" s="29">
        <f t="shared" si="16"/>
        <v>0</v>
      </c>
    </row>
    <row r="107" spans="1:14">
      <c r="A107" s="34" t="s">
        <v>15</v>
      </c>
      <c r="B107" s="1092">
        <v>0</v>
      </c>
      <c r="C107" s="1092">
        <v>0</v>
      </c>
      <c r="D107" s="1092">
        <v>0</v>
      </c>
      <c r="E107" s="1092">
        <v>0</v>
      </c>
      <c r="F107" s="1092">
        <v>0</v>
      </c>
      <c r="G107" s="1092">
        <v>0</v>
      </c>
      <c r="H107" s="1092">
        <v>0</v>
      </c>
      <c r="I107" s="1092">
        <v>0</v>
      </c>
      <c r="J107" s="1092">
        <v>0</v>
      </c>
      <c r="K107" s="1092">
        <v>0</v>
      </c>
      <c r="L107" s="1094">
        <v>0</v>
      </c>
      <c r="M107" s="1092">
        <v>0</v>
      </c>
      <c r="N107" s="29">
        <f t="shared" si="16"/>
        <v>0</v>
      </c>
    </row>
    <row r="108" spans="1:14">
      <c r="A108" s="34" t="s">
        <v>30</v>
      </c>
      <c r="B108" s="1092">
        <v>0</v>
      </c>
      <c r="C108" s="1092">
        <v>0</v>
      </c>
      <c r="D108" s="1092">
        <v>0</v>
      </c>
      <c r="E108" s="1092">
        <v>0</v>
      </c>
      <c r="F108" s="1092">
        <v>0</v>
      </c>
      <c r="G108" s="1092">
        <v>0</v>
      </c>
      <c r="H108" s="1092">
        <v>0</v>
      </c>
      <c r="I108" s="1092">
        <v>0</v>
      </c>
      <c r="J108" s="1092">
        <v>0</v>
      </c>
      <c r="K108" s="1092">
        <v>0</v>
      </c>
      <c r="L108" s="1092">
        <v>0</v>
      </c>
      <c r="M108" s="1092">
        <v>0</v>
      </c>
      <c r="N108" s="29">
        <f t="shared" si="16"/>
        <v>0</v>
      </c>
    </row>
    <row r="109" spans="1:14">
      <c r="A109" s="32" t="s">
        <v>55</v>
      </c>
      <c r="B109" s="1094">
        <v>0</v>
      </c>
      <c r="C109" s="1094">
        <v>0</v>
      </c>
      <c r="D109" s="1095">
        <v>0</v>
      </c>
      <c r="E109" s="1094">
        <v>0</v>
      </c>
      <c r="F109" s="1094">
        <v>0</v>
      </c>
      <c r="G109" s="1094">
        <v>0</v>
      </c>
      <c r="H109" s="1094">
        <v>0</v>
      </c>
      <c r="I109" s="1094">
        <v>0</v>
      </c>
      <c r="J109" s="1094">
        <v>0</v>
      </c>
      <c r="K109" s="1094">
        <v>0</v>
      </c>
      <c r="L109" s="1094">
        <v>0</v>
      </c>
      <c r="M109" s="1094">
        <v>0</v>
      </c>
      <c r="N109" s="29">
        <f t="shared" si="16"/>
        <v>0</v>
      </c>
    </row>
    <row r="110" spans="1:14" ht="14" thickBot="1">
      <c r="A110" s="104" t="s">
        <v>150</v>
      </c>
      <c r="B110" s="1096">
        <v>0</v>
      </c>
      <c r="C110" s="1097">
        <v>0</v>
      </c>
      <c r="D110" s="1097">
        <v>0</v>
      </c>
      <c r="E110" s="1097">
        <v>0</v>
      </c>
      <c r="F110" s="1097">
        <v>0</v>
      </c>
      <c r="G110" s="1097">
        <v>0</v>
      </c>
      <c r="H110" s="1097">
        <v>0</v>
      </c>
      <c r="I110" s="1097">
        <v>0</v>
      </c>
      <c r="J110" s="1097">
        <v>0</v>
      </c>
      <c r="K110" s="1097">
        <v>0</v>
      </c>
      <c r="L110" s="1097">
        <v>0</v>
      </c>
      <c r="M110" s="1098">
        <v>0</v>
      </c>
      <c r="N110" s="29">
        <f t="shared" si="16"/>
        <v>0</v>
      </c>
    </row>
    <row r="111" spans="1:14" ht="14" thickBot="1">
      <c r="A111" s="53" t="s">
        <v>60</v>
      </c>
      <c r="B111" s="55">
        <f>SUM(B105:B110)</f>
        <v>0</v>
      </c>
      <c r="C111" s="55">
        <f>SUM(C105:C110)</f>
        <v>0</v>
      </c>
      <c r="D111" s="55">
        <f>SUM(D105:D110)</f>
        <v>0</v>
      </c>
      <c r="E111" s="55">
        <f t="shared" ref="E111:M111" si="17">SUM(E105:E110)</f>
        <v>0</v>
      </c>
      <c r="F111" s="55">
        <f t="shared" si="17"/>
        <v>0</v>
      </c>
      <c r="G111" s="55">
        <f t="shared" si="17"/>
        <v>0</v>
      </c>
      <c r="H111" s="55">
        <f t="shared" si="17"/>
        <v>0</v>
      </c>
      <c r="I111" s="55">
        <f t="shared" si="17"/>
        <v>0</v>
      </c>
      <c r="J111" s="55">
        <f t="shared" si="17"/>
        <v>0</v>
      </c>
      <c r="K111" s="55">
        <f t="shared" si="17"/>
        <v>0</v>
      </c>
      <c r="L111" s="55">
        <f t="shared" si="17"/>
        <v>0</v>
      </c>
      <c r="M111" s="55">
        <f t="shared" si="17"/>
        <v>0</v>
      </c>
      <c r="N111" s="54">
        <f>SUM(N105:N110)</f>
        <v>0</v>
      </c>
    </row>
    <row r="114" spans="1:14" ht="14" thickBot="1">
      <c r="B114" s="43" t="s">
        <v>35</v>
      </c>
      <c r="C114" s="43" t="s">
        <v>36</v>
      </c>
      <c r="D114" s="43" t="s">
        <v>37</v>
      </c>
      <c r="E114" s="43" t="s">
        <v>38</v>
      </c>
      <c r="F114" s="43" t="s">
        <v>39</v>
      </c>
      <c r="G114" s="43" t="s">
        <v>40</v>
      </c>
      <c r="H114" s="43" t="s">
        <v>41</v>
      </c>
      <c r="I114" s="43" t="s">
        <v>42</v>
      </c>
      <c r="J114" s="43" t="s">
        <v>43</v>
      </c>
      <c r="K114" s="43" t="s">
        <v>44</v>
      </c>
      <c r="L114" s="43" t="s">
        <v>45</v>
      </c>
      <c r="M114" s="43" t="s">
        <v>46</v>
      </c>
      <c r="N114" s="43" t="s">
        <v>10</v>
      </c>
    </row>
    <row r="115" spans="1:14" ht="17" thickBot="1">
      <c r="A115" s="31" t="s">
        <v>162</v>
      </c>
      <c r="B115" s="24"/>
      <c r="C115" s="24"/>
      <c r="D115" s="22"/>
      <c r="E115" s="22"/>
      <c r="F115" s="25"/>
      <c r="G115" s="25"/>
      <c r="H115" s="22"/>
      <c r="I115" s="22"/>
      <c r="J115" s="22"/>
      <c r="K115" s="22"/>
      <c r="L115" s="24"/>
      <c r="M115" s="24"/>
      <c r="N115" s="26"/>
    </row>
    <row r="116" spans="1:14" ht="14" thickBot="1">
      <c r="A116" s="38" t="s">
        <v>48</v>
      </c>
      <c r="B116" s="39"/>
      <c r="C116" s="39"/>
      <c r="D116" s="39"/>
      <c r="E116" s="39"/>
      <c r="F116" s="39"/>
      <c r="G116" s="39"/>
      <c r="H116" s="39"/>
      <c r="I116" s="39"/>
      <c r="J116" s="39"/>
      <c r="K116" s="39"/>
      <c r="L116" s="39"/>
      <c r="M116" s="39"/>
      <c r="N116" s="40"/>
    </row>
    <row r="117" spans="1:14">
      <c r="A117" s="32" t="s">
        <v>29</v>
      </c>
      <c r="B117" s="1092">
        <v>13</v>
      </c>
      <c r="C117" s="1092">
        <v>15</v>
      </c>
      <c r="D117" s="1092">
        <v>3</v>
      </c>
      <c r="E117" s="1092">
        <v>0</v>
      </c>
      <c r="F117" s="1092">
        <v>13</v>
      </c>
      <c r="G117" s="1092">
        <v>0</v>
      </c>
      <c r="H117" s="1092">
        <v>0</v>
      </c>
      <c r="I117" s="1092">
        <v>0</v>
      </c>
      <c r="J117" s="1092">
        <v>0</v>
      </c>
      <c r="K117" s="1092">
        <v>0</v>
      </c>
      <c r="L117" s="1092">
        <v>0</v>
      </c>
      <c r="M117" s="1092">
        <v>0</v>
      </c>
      <c r="N117" s="27">
        <f t="shared" ref="N117:N123" si="18">SUM(B117:M117)</f>
        <v>44</v>
      </c>
    </row>
    <row r="118" spans="1:14">
      <c r="A118" s="32" t="s">
        <v>33</v>
      </c>
      <c r="B118" s="1092">
        <v>37</v>
      </c>
      <c r="C118" s="1092">
        <v>42</v>
      </c>
      <c r="D118" s="1092">
        <v>77</v>
      </c>
      <c r="E118" s="1092">
        <v>54</v>
      </c>
      <c r="F118" s="1092">
        <v>126</v>
      </c>
      <c r="G118" s="1092">
        <v>29</v>
      </c>
      <c r="H118" s="1092">
        <v>62</v>
      </c>
      <c r="I118" s="1092">
        <v>0</v>
      </c>
      <c r="J118" s="1092">
        <v>124</v>
      </c>
      <c r="K118" s="1092">
        <v>27</v>
      </c>
      <c r="L118" s="1092">
        <v>69</v>
      </c>
      <c r="M118" s="1092">
        <v>38</v>
      </c>
      <c r="N118" s="27">
        <f t="shared" si="18"/>
        <v>685</v>
      </c>
    </row>
    <row r="119" spans="1:14">
      <c r="A119" s="32" t="s">
        <v>56</v>
      </c>
      <c r="B119" s="1092">
        <v>0</v>
      </c>
      <c r="C119" s="1092">
        <v>70</v>
      </c>
      <c r="D119" s="1092">
        <v>70</v>
      </c>
      <c r="E119" s="1092">
        <v>0</v>
      </c>
      <c r="F119" s="1092">
        <v>0</v>
      </c>
      <c r="G119" s="1092">
        <v>50</v>
      </c>
      <c r="H119" s="1092">
        <v>0</v>
      </c>
      <c r="I119" s="1092">
        <v>0</v>
      </c>
      <c r="J119" s="1092">
        <v>0</v>
      </c>
      <c r="K119" s="1092">
        <v>0</v>
      </c>
      <c r="L119" s="1092">
        <v>250</v>
      </c>
      <c r="M119" s="1092">
        <v>53</v>
      </c>
      <c r="N119" s="27">
        <f t="shared" si="18"/>
        <v>493</v>
      </c>
    </row>
    <row r="120" spans="1:14">
      <c r="A120" s="78" t="s">
        <v>30</v>
      </c>
      <c r="B120" s="1092">
        <v>0</v>
      </c>
      <c r="C120" s="1092"/>
      <c r="D120" s="1092">
        <v>1</v>
      </c>
      <c r="E120" s="1092">
        <v>1</v>
      </c>
      <c r="F120" s="1092">
        <v>1</v>
      </c>
      <c r="G120" s="1092">
        <v>0</v>
      </c>
      <c r="H120" s="1092">
        <v>1</v>
      </c>
      <c r="I120" s="1092">
        <v>0</v>
      </c>
      <c r="J120" s="1092">
        <v>0</v>
      </c>
      <c r="K120" s="1092">
        <v>0</v>
      </c>
      <c r="L120" s="1092">
        <v>3</v>
      </c>
      <c r="M120" s="1092">
        <v>4</v>
      </c>
      <c r="N120" s="27">
        <f t="shared" si="18"/>
        <v>11</v>
      </c>
    </row>
    <row r="121" spans="1:14">
      <c r="A121" s="76" t="s">
        <v>176</v>
      </c>
      <c r="B121" s="1092">
        <v>0</v>
      </c>
      <c r="C121" s="1092">
        <v>919</v>
      </c>
      <c r="D121" s="1092">
        <v>2168</v>
      </c>
      <c r="E121" s="1092"/>
      <c r="F121" s="1092">
        <v>3500</v>
      </c>
      <c r="G121" s="1092">
        <v>0</v>
      </c>
      <c r="H121" s="1092">
        <v>0</v>
      </c>
      <c r="I121" s="1092">
        <v>0</v>
      </c>
      <c r="J121" s="1092">
        <v>0</v>
      </c>
      <c r="K121" s="1092">
        <v>0</v>
      </c>
      <c r="L121" s="1092">
        <v>0</v>
      </c>
      <c r="M121" s="1092">
        <v>0</v>
      </c>
      <c r="N121" s="27">
        <f t="shared" si="18"/>
        <v>6587</v>
      </c>
    </row>
    <row r="122" spans="1:14">
      <c r="A122" s="76" t="s">
        <v>165</v>
      </c>
      <c r="B122" s="1092">
        <v>0</v>
      </c>
      <c r="C122" s="1092">
        <v>0</v>
      </c>
      <c r="D122" s="1092">
        <v>0</v>
      </c>
      <c r="E122" s="1092">
        <v>0</v>
      </c>
      <c r="F122" s="1092">
        <v>0</v>
      </c>
      <c r="G122" s="1092">
        <v>0</v>
      </c>
      <c r="H122" s="1092">
        <v>0</v>
      </c>
      <c r="I122" s="1092">
        <v>0</v>
      </c>
      <c r="J122" s="1092">
        <v>0</v>
      </c>
      <c r="K122" s="1092">
        <v>285</v>
      </c>
      <c r="L122" s="1092">
        <v>0</v>
      </c>
      <c r="M122" s="1092">
        <v>0</v>
      </c>
      <c r="N122" s="27">
        <f t="shared" si="18"/>
        <v>285</v>
      </c>
    </row>
    <row r="123" spans="1:14" ht="14" thickBot="1">
      <c r="A123" s="76" t="s">
        <v>166</v>
      </c>
      <c r="B123" s="1092">
        <v>0</v>
      </c>
      <c r="C123" s="1092">
        <v>0</v>
      </c>
      <c r="D123" s="1092">
        <v>0</v>
      </c>
      <c r="E123" s="1092">
        <v>0</v>
      </c>
      <c r="F123" s="1092">
        <v>0</v>
      </c>
      <c r="G123" s="1092">
        <v>0</v>
      </c>
      <c r="H123" s="1092">
        <v>0</v>
      </c>
      <c r="I123" s="1092">
        <v>0</v>
      </c>
      <c r="J123" s="1092">
        <v>0</v>
      </c>
      <c r="K123" s="1092">
        <v>0</v>
      </c>
      <c r="L123" s="1092">
        <v>0</v>
      </c>
      <c r="M123" s="1092">
        <v>0</v>
      </c>
      <c r="N123" s="27">
        <f t="shared" si="18"/>
        <v>0</v>
      </c>
    </row>
    <row r="124" spans="1:14" ht="14" thickBot="1">
      <c r="A124" s="53" t="s">
        <v>60</v>
      </c>
      <c r="B124" s="55">
        <f>SUM(B117:B123)</f>
        <v>50</v>
      </c>
      <c r="C124" s="55">
        <f t="shared" ref="C124:M124" si="19">SUM(C117:C123)</f>
        <v>1046</v>
      </c>
      <c r="D124" s="55">
        <f t="shared" si="19"/>
        <v>2319</v>
      </c>
      <c r="E124" s="55">
        <f t="shared" si="19"/>
        <v>55</v>
      </c>
      <c r="F124" s="55">
        <f t="shared" si="19"/>
        <v>3640</v>
      </c>
      <c r="G124" s="55">
        <f t="shared" si="19"/>
        <v>79</v>
      </c>
      <c r="H124" s="55">
        <f t="shared" si="19"/>
        <v>63</v>
      </c>
      <c r="I124" s="55">
        <f t="shared" si="19"/>
        <v>0</v>
      </c>
      <c r="J124" s="55">
        <f t="shared" si="19"/>
        <v>124</v>
      </c>
      <c r="K124" s="55">
        <f>SUM(K117:K123)</f>
        <v>312</v>
      </c>
      <c r="L124" s="55">
        <f t="shared" si="19"/>
        <v>322</v>
      </c>
      <c r="M124" s="55">
        <f t="shared" si="19"/>
        <v>95</v>
      </c>
      <c r="N124" s="54">
        <f>SUM(N117:N123)</f>
        <v>8105</v>
      </c>
    </row>
    <row r="125" spans="1:14" ht="14" thickBot="1">
      <c r="A125" s="38" t="s">
        <v>49</v>
      </c>
      <c r="B125" s="39"/>
      <c r="C125" s="39"/>
      <c r="D125" s="39"/>
      <c r="E125" s="39"/>
      <c r="F125" s="39"/>
      <c r="G125" s="39"/>
      <c r="H125" s="39"/>
      <c r="I125" s="39"/>
      <c r="J125" s="39"/>
      <c r="K125" s="39"/>
      <c r="L125" s="39"/>
      <c r="M125" s="39"/>
      <c r="N125" s="40"/>
    </row>
    <row r="126" spans="1:14" ht="14" thickBot="1">
      <c r="A126" s="33" t="s">
        <v>49</v>
      </c>
      <c r="B126" s="1092"/>
      <c r="C126" s="1092">
        <v>271</v>
      </c>
      <c r="D126" s="1092"/>
      <c r="E126" s="1092"/>
      <c r="F126" s="1092">
        <v>8</v>
      </c>
      <c r="G126" s="1092">
        <v>3</v>
      </c>
      <c r="H126" s="1092">
        <v>3</v>
      </c>
      <c r="I126" s="1092"/>
      <c r="J126" s="1092">
        <v>2</v>
      </c>
      <c r="K126" s="1092"/>
      <c r="L126" s="1092"/>
      <c r="M126" s="1092"/>
      <c r="N126" s="27">
        <f>SUM(B126:M126)</f>
        <v>287</v>
      </c>
    </row>
    <row r="127" spans="1:14" ht="14" thickBot="1">
      <c r="A127" s="53" t="s">
        <v>60</v>
      </c>
      <c r="B127" s="55">
        <f>SUM(B126)</f>
        <v>0</v>
      </c>
      <c r="C127" s="55">
        <f t="shared" ref="C127:M127" si="20">SUM(C126)</f>
        <v>271</v>
      </c>
      <c r="D127" s="55">
        <f t="shared" si="20"/>
        <v>0</v>
      </c>
      <c r="E127" s="55">
        <f t="shared" si="20"/>
        <v>0</v>
      </c>
      <c r="F127" s="55">
        <f t="shared" si="20"/>
        <v>8</v>
      </c>
      <c r="G127" s="55">
        <f t="shared" si="20"/>
        <v>3</v>
      </c>
      <c r="H127" s="55">
        <f t="shared" si="20"/>
        <v>3</v>
      </c>
      <c r="I127" s="55">
        <f t="shared" si="20"/>
        <v>0</v>
      </c>
      <c r="J127" s="55">
        <f t="shared" si="20"/>
        <v>2</v>
      </c>
      <c r="K127" s="55">
        <f t="shared" si="20"/>
        <v>0</v>
      </c>
      <c r="L127" s="55">
        <f t="shared" si="20"/>
        <v>0</v>
      </c>
      <c r="M127" s="55">
        <f t="shared" si="20"/>
        <v>0</v>
      </c>
      <c r="N127" s="54">
        <f>SUM(N126)</f>
        <v>287</v>
      </c>
    </row>
    <row r="128" spans="1:14" ht="14" thickBot="1">
      <c r="A128" s="38" t="s">
        <v>50</v>
      </c>
      <c r="B128" s="39"/>
      <c r="C128" s="39"/>
      <c r="D128" s="39"/>
      <c r="E128" s="39"/>
      <c r="F128" s="39"/>
      <c r="G128" s="39"/>
      <c r="H128" s="39"/>
      <c r="I128" s="39"/>
      <c r="J128" s="39"/>
      <c r="K128" s="39"/>
      <c r="L128" s="39"/>
      <c r="M128" s="39"/>
      <c r="N128" s="40"/>
    </row>
    <row r="129" spans="1:14">
      <c r="A129" s="32" t="s">
        <v>29</v>
      </c>
      <c r="B129" s="1092">
        <v>0</v>
      </c>
      <c r="C129" s="1092">
        <v>0</v>
      </c>
      <c r="D129" s="1092">
        <v>0</v>
      </c>
      <c r="E129" s="1092">
        <v>0</v>
      </c>
      <c r="F129" s="1092">
        <v>0</v>
      </c>
      <c r="G129" s="1092">
        <v>0</v>
      </c>
      <c r="H129" s="1092">
        <v>0</v>
      </c>
      <c r="I129" s="1092">
        <v>0</v>
      </c>
      <c r="J129" s="1092">
        <v>0</v>
      </c>
      <c r="K129" s="1092">
        <v>0</v>
      </c>
      <c r="L129" s="1092">
        <v>0</v>
      </c>
      <c r="M129" s="1092">
        <v>0</v>
      </c>
      <c r="N129" s="27">
        <f t="shared" ref="N129:N135" si="21">SUM(B129:M129)</f>
        <v>0</v>
      </c>
    </row>
    <row r="130" spans="1:14">
      <c r="A130" s="32" t="s">
        <v>51</v>
      </c>
      <c r="B130" s="1092">
        <v>0</v>
      </c>
      <c r="C130" s="1092">
        <v>0</v>
      </c>
      <c r="D130" s="1092">
        <v>6</v>
      </c>
      <c r="E130" s="1092">
        <v>3</v>
      </c>
      <c r="F130" s="1092">
        <v>0</v>
      </c>
      <c r="G130" s="1092">
        <v>0</v>
      </c>
      <c r="H130" s="1092">
        <v>0</v>
      </c>
      <c r="I130" s="1092">
        <v>0</v>
      </c>
      <c r="J130" s="1092">
        <v>0</v>
      </c>
      <c r="K130" s="1092">
        <v>0</v>
      </c>
      <c r="L130" s="1092">
        <v>0</v>
      </c>
      <c r="M130" s="1092">
        <v>0</v>
      </c>
      <c r="N130" s="27">
        <f t="shared" si="21"/>
        <v>9</v>
      </c>
    </row>
    <row r="131" spans="1:14">
      <c r="A131" s="34" t="s">
        <v>20</v>
      </c>
      <c r="B131" s="1092">
        <v>0</v>
      </c>
      <c r="C131" s="1092">
        <v>0</v>
      </c>
      <c r="D131" s="1092">
        <v>0</v>
      </c>
      <c r="E131" s="1092">
        <v>0</v>
      </c>
      <c r="F131" s="1092">
        <v>0</v>
      </c>
      <c r="G131" s="1092">
        <v>0</v>
      </c>
      <c r="H131" s="1092">
        <v>0</v>
      </c>
      <c r="I131" s="1092">
        <v>0</v>
      </c>
      <c r="J131" s="1092">
        <v>0</v>
      </c>
      <c r="K131" s="1092">
        <v>0</v>
      </c>
      <c r="L131" s="1092">
        <v>2</v>
      </c>
      <c r="M131" s="1092">
        <v>0</v>
      </c>
      <c r="N131" s="27">
        <f t="shared" si="21"/>
        <v>2</v>
      </c>
    </row>
    <row r="132" spans="1:14">
      <c r="A132" s="34" t="s">
        <v>13</v>
      </c>
      <c r="B132" s="1092">
        <v>0</v>
      </c>
      <c r="C132" s="1092">
        <v>0</v>
      </c>
      <c r="D132" s="1092">
        <v>0</v>
      </c>
      <c r="E132" s="1092">
        <v>0</v>
      </c>
      <c r="F132" s="1092">
        <v>0</v>
      </c>
      <c r="G132" s="1092">
        <v>0</v>
      </c>
      <c r="H132" s="1092">
        <v>0</v>
      </c>
      <c r="I132" s="1092">
        <v>0</v>
      </c>
      <c r="J132" s="1092">
        <v>0</v>
      </c>
      <c r="K132" s="1092">
        <v>0</v>
      </c>
      <c r="L132" s="1092">
        <v>0</v>
      </c>
      <c r="M132" s="1092">
        <v>0</v>
      </c>
      <c r="N132" s="27">
        <f t="shared" si="21"/>
        <v>0</v>
      </c>
    </row>
    <row r="133" spans="1:14">
      <c r="A133" s="35" t="s">
        <v>47</v>
      </c>
      <c r="B133" s="1092">
        <v>0</v>
      </c>
      <c r="C133" s="1092">
        <v>0</v>
      </c>
      <c r="D133" s="1092">
        <v>0</v>
      </c>
      <c r="E133" s="1092">
        <v>0</v>
      </c>
      <c r="F133" s="1092">
        <v>0</v>
      </c>
      <c r="G133" s="1092">
        <v>0</v>
      </c>
      <c r="H133" s="1092">
        <v>0</v>
      </c>
      <c r="I133" s="1092">
        <v>0</v>
      </c>
      <c r="J133" s="1092">
        <v>0</v>
      </c>
      <c r="K133" s="1092">
        <v>0</v>
      </c>
      <c r="L133" s="1092">
        <v>0</v>
      </c>
      <c r="M133" s="1092">
        <v>0</v>
      </c>
      <c r="N133" s="27">
        <f t="shared" si="21"/>
        <v>0</v>
      </c>
    </row>
    <row r="134" spans="1:14">
      <c r="A134" s="76" t="s">
        <v>30</v>
      </c>
      <c r="B134" s="1092">
        <v>0</v>
      </c>
      <c r="C134" s="1092">
        <v>0</v>
      </c>
      <c r="D134" s="1092">
        <v>1</v>
      </c>
      <c r="E134" s="1092">
        <v>0</v>
      </c>
      <c r="F134" s="1092">
        <v>0</v>
      </c>
      <c r="G134" s="1092">
        <v>2</v>
      </c>
      <c r="H134" s="1092">
        <v>0</v>
      </c>
      <c r="I134" s="1092">
        <v>0</v>
      </c>
      <c r="J134" s="1092">
        <v>4</v>
      </c>
      <c r="K134" s="1092">
        <v>0</v>
      </c>
      <c r="L134" s="1092">
        <v>21</v>
      </c>
      <c r="M134" s="1092">
        <v>15</v>
      </c>
      <c r="N134" s="27">
        <f t="shared" si="21"/>
        <v>43</v>
      </c>
    </row>
    <row r="135" spans="1:14">
      <c r="A135" s="76" t="s">
        <v>150</v>
      </c>
      <c r="B135" s="1092">
        <v>0</v>
      </c>
      <c r="C135" s="1092">
        <v>0</v>
      </c>
      <c r="D135" s="1092">
        <v>0</v>
      </c>
      <c r="E135" s="1092">
        <v>0</v>
      </c>
      <c r="F135" s="1092">
        <v>0</v>
      </c>
      <c r="G135" s="1092">
        <v>0</v>
      </c>
      <c r="H135" s="1092">
        <v>0</v>
      </c>
      <c r="I135" s="1092">
        <v>0</v>
      </c>
      <c r="J135" s="1092">
        <v>0</v>
      </c>
      <c r="K135" s="1092">
        <v>0</v>
      </c>
      <c r="L135" s="1092">
        <v>0</v>
      </c>
      <c r="M135" s="1092">
        <v>0</v>
      </c>
      <c r="N135" s="27">
        <f t="shared" si="21"/>
        <v>0</v>
      </c>
    </row>
    <row r="136" spans="1:14">
      <c r="A136" s="32" t="s">
        <v>56</v>
      </c>
      <c r="B136" s="1092">
        <v>0</v>
      </c>
      <c r="C136" s="1092">
        <v>0</v>
      </c>
      <c r="D136" s="1092">
        <v>0</v>
      </c>
      <c r="E136" s="1092">
        <v>0</v>
      </c>
      <c r="F136" s="1092">
        <v>0</v>
      </c>
      <c r="G136" s="1092">
        <v>2998</v>
      </c>
      <c r="H136" s="1092">
        <v>0</v>
      </c>
      <c r="I136" s="1092">
        <v>0</v>
      </c>
      <c r="J136" s="1092">
        <v>0</v>
      </c>
      <c r="K136" s="1092">
        <v>0</v>
      </c>
      <c r="L136" s="1092">
        <v>0</v>
      </c>
      <c r="M136" s="1092">
        <v>0</v>
      </c>
      <c r="N136" s="27">
        <f>SUM(B136:M136)</f>
        <v>2998</v>
      </c>
    </row>
    <row r="137" spans="1:14">
      <c r="A137" s="78" t="s">
        <v>122</v>
      </c>
      <c r="B137" s="1092">
        <v>0</v>
      </c>
      <c r="C137" s="1092">
        <v>0</v>
      </c>
      <c r="D137" s="1092">
        <v>0</v>
      </c>
      <c r="E137" s="1092">
        <v>0</v>
      </c>
      <c r="F137" s="1092">
        <v>0</v>
      </c>
      <c r="G137" s="1092">
        <v>0</v>
      </c>
      <c r="H137" s="1092">
        <v>0</v>
      </c>
      <c r="I137" s="1092">
        <v>0</v>
      </c>
      <c r="J137" s="1092">
        <v>0</v>
      </c>
      <c r="K137" s="1092">
        <v>0</v>
      </c>
      <c r="L137" s="1092">
        <v>0</v>
      </c>
      <c r="M137" s="1092">
        <v>0</v>
      </c>
      <c r="N137" s="27">
        <f>SUM(B137:M137)</f>
        <v>0</v>
      </c>
    </row>
    <row r="138" spans="1:14">
      <c r="A138" s="32" t="s">
        <v>102</v>
      </c>
      <c r="B138" s="1092">
        <v>0</v>
      </c>
      <c r="C138" s="1092">
        <v>0</v>
      </c>
      <c r="D138" s="1092">
        <v>0</v>
      </c>
      <c r="E138" s="1092">
        <v>0</v>
      </c>
      <c r="F138" s="1092">
        <v>0</v>
      </c>
      <c r="G138" s="1092">
        <v>0</v>
      </c>
      <c r="H138" s="1092">
        <v>0</v>
      </c>
      <c r="I138" s="1092">
        <v>0</v>
      </c>
      <c r="J138" s="1092">
        <v>0</v>
      </c>
      <c r="K138" s="1092">
        <v>0</v>
      </c>
      <c r="L138" s="1092">
        <v>0</v>
      </c>
      <c r="M138" s="1092">
        <v>0</v>
      </c>
      <c r="N138" s="27">
        <f>SUM(B138:M138)</f>
        <v>0</v>
      </c>
    </row>
    <row r="139" spans="1:14" ht="14" thickBot="1">
      <c r="A139" s="78" t="s">
        <v>167</v>
      </c>
      <c r="B139" s="1092">
        <v>0</v>
      </c>
      <c r="C139" s="1092">
        <v>0</v>
      </c>
      <c r="D139" s="1092">
        <v>0</v>
      </c>
      <c r="E139" s="1092">
        <v>0</v>
      </c>
      <c r="F139" s="1092">
        <v>0</v>
      </c>
      <c r="G139" s="1092">
        <v>0</v>
      </c>
      <c r="H139" s="1092">
        <v>0</v>
      </c>
      <c r="I139" s="1092">
        <v>0</v>
      </c>
      <c r="J139" s="1092">
        <v>0</v>
      </c>
      <c r="K139" s="1092">
        <v>0</v>
      </c>
      <c r="L139" s="1092">
        <v>0</v>
      </c>
      <c r="M139" s="1092">
        <v>0</v>
      </c>
      <c r="N139" s="27">
        <f>SUM(B139:M139)</f>
        <v>0</v>
      </c>
    </row>
    <row r="140" spans="1:14" ht="14" thickBot="1">
      <c r="A140" s="53" t="s">
        <v>60</v>
      </c>
      <c r="B140" s="55">
        <f>SUM(B129:B139)</f>
        <v>0</v>
      </c>
      <c r="C140" s="55">
        <f t="shared" ref="C140:M140" si="22">SUM(C129:C139)</f>
        <v>0</v>
      </c>
      <c r="D140" s="55">
        <f t="shared" si="22"/>
        <v>7</v>
      </c>
      <c r="E140" s="55">
        <f t="shared" si="22"/>
        <v>3</v>
      </c>
      <c r="F140" s="55">
        <f t="shared" si="22"/>
        <v>0</v>
      </c>
      <c r="G140" s="55">
        <f t="shared" si="22"/>
        <v>3000</v>
      </c>
      <c r="H140" s="55">
        <f t="shared" si="22"/>
        <v>0</v>
      </c>
      <c r="I140" s="55">
        <f t="shared" si="22"/>
        <v>0</v>
      </c>
      <c r="J140" s="55">
        <f t="shared" si="22"/>
        <v>4</v>
      </c>
      <c r="K140" s="55">
        <f>SUM(K129:K139)</f>
        <v>0</v>
      </c>
      <c r="L140" s="55">
        <f t="shared" si="22"/>
        <v>23</v>
      </c>
      <c r="M140" s="55">
        <f t="shared" si="22"/>
        <v>15</v>
      </c>
      <c r="N140" s="54">
        <f>SUM(N129:N139)</f>
        <v>3052</v>
      </c>
    </row>
    <row r="143" spans="1:14" ht="14" thickBot="1">
      <c r="B143" s="43" t="s">
        <v>35</v>
      </c>
      <c r="C143" s="43" t="s">
        <v>36</v>
      </c>
      <c r="D143" s="43" t="s">
        <v>37</v>
      </c>
      <c r="E143" s="43" t="s">
        <v>38</v>
      </c>
      <c r="F143" s="43" t="s">
        <v>39</v>
      </c>
      <c r="G143" s="43" t="s">
        <v>40</v>
      </c>
      <c r="H143" s="43" t="s">
        <v>41</v>
      </c>
      <c r="I143" s="43" t="s">
        <v>42</v>
      </c>
      <c r="J143" s="43" t="s">
        <v>43</v>
      </c>
      <c r="K143" s="43" t="s">
        <v>44</v>
      </c>
      <c r="L143" s="43" t="s">
        <v>45</v>
      </c>
      <c r="M143" s="43" t="s">
        <v>46</v>
      </c>
      <c r="N143" s="43" t="s">
        <v>10</v>
      </c>
    </row>
    <row r="144" spans="1:14" ht="17" thickBot="1">
      <c r="A144" s="31" t="s">
        <v>178</v>
      </c>
      <c r="B144" s="24"/>
      <c r="C144" s="24"/>
      <c r="D144" s="22"/>
      <c r="E144" s="22"/>
      <c r="F144" s="25"/>
      <c r="G144" s="25"/>
      <c r="H144" s="22"/>
      <c r="I144" s="22"/>
      <c r="J144" s="22"/>
      <c r="K144" s="22"/>
      <c r="L144" s="24"/>
      <c r="M144" s="24"/>
      <c r="N144" s="26"/>
    </row>
    <row r="145" spans="1:14" ht="14" thickBot="1">
      <c r="A145" s="38" t="s">
        <v>48</v>
      </c>
      <c r="B145" s="39"/>
      <c r="C145" s="39"/>
      <c r="D145" s="39"/>
      <c r="E145" s="39"/>
      <c r="F145" s="39"/>
      <c r="G145" s="39"/>
      <c r="H145" s="39"/>
      <c r="I145" s="39"/>
      <c r="J145" s="39"/>
      <c r="K145" s="39"/>
      <c r="L145" s="39"/>
      <c r="M145" s="39"/>
      <c r="N145" s="40"/>
    </row>
    <row r="146" spans="1:14" hidden="1">
      <c r="A146" s="32" t="s">
        <v>29</v>
      </c>
      <c r="B146" s="44"/>
      <c r="C146" s="44"/>
      <c r="D146" s="44"/>
      <c r="E146" s="44"/>
      <c r="F146" s="44"/>
      <c r="G146" s="44"/>
      <c r="H146" s="44"/>
      <c r="I146" s="44"/>
      <c r="J146" s="44"/>
      <c r="K146" s="44"/>
      <c r="L146" s="44"/>
      <c r="M146" s="44"/>
      <c r="N146" s="27">
        <f t="shared" ref="N146:N152" si="23">SUM(B146:M146)</f>
        <v>0</v>
      </c>
    </row>
    <row r="147" spans="1:14">
      <c r="A147" s="32" t="s">
        <v>33</v>
      </c>
      <c r="B147" s="1092">
        <v>17</v>
      </c>
      <c r="C147" s="1092">
        <v>27</v>
      </c>
      <c r="D147" s="1092">
        <v>17</v>
      </c>
      <c r="E147" s="1092">
        <v>38</v>
      </c>
      <c r="F147" s="1092">
        <v>14</v>
      </c>
      <c r="G147" s="1092">
        <v>46</v>
      </c>
      <c r="H147" s="1092">
        <v>33</v>
      </c>
      <c r="I147" s="1092">
        <v>20</v>
      </c>
      <c r="J147" s="1092">
        <v>31</v>
      </c>
      <c r="K147" s="1092">
        <v>37</v>
      </c>
      <c r="L147" s="1092">
        <v>45</v>
      </c>
      <c r="M147" s="1092">
        <v>36</v>
      </c>
      <c r="N147" s="27">
        <f t="shared" si="23"/>
        <v>361</v>
      </c>
    </row>
    <row r="148" spans="1:14">
      <c r="A148" s="32" t="s">
        <v>56</v>
      </c>
      <c r="B148" s="1092">
        <v>0</v>
      </c>
      <c r="C148" s="1092">
        <v>20</v>
      </c>
      <c r="D148" s="1092">
        <v>0</v>
      </c>
      <c r="E148" s="1092">
        <v>58</v>
      </c>
      <c r="F148" s="1092">
        <v>0</v>
      </c>
      <c r="G148" s="1092">
        <v>15</v>
      </c>
      <c r="H148" s="1092">
        <v>0</v>
      </c>
      <c r="I148" s="1092">
        <v>22</v>
      </c>
      <c r="J148" s="1092">
        <v>0</v>
      </c>
      <c r="K148" s="1092">
        <v>103</v>
      </c>
      <c r="L148" s="1092">
        <v>295</v>
      </c>
      <c r="M148" s="1092">
        <v>0</v>
      </c>
      <c r="N148" s="27">
        <f t="shared" si="23"/>
        <v>513</v>
      </c>
    </row>
    <row r="149" spans="1:14">
      <c r="A149" s="78" t="s">
        <v>30</v>
      </c>
      <c r="B149" s="1092">
        <v>3</v>
      </c>
      <c r="C149" s="1092">
        <v>5</v>
      </c>
      <c r="D149" s="1092">
        <v>3</v>
      </c>
      <c r="E149" s="1092">
        <v>8</v>
      </c>
      <c r="F149" s="1092">
        <v>5</v>
      </c>
      <c r="G149" s="1092">
        <v>2</v>
      </c>
      <c r="H149" s="1092">
        <v>2</v>
      </c>
      <c r="I149" s="1092">
        <v>0</v>
      </c>
      <c r="J149" s="1092">
        <v>1</v>
      </c>
      <c r="K149" s="1092">
        <v>0</v>
      </c>
      <c r="L149" s="1092">
        <v>2</v>
      </c>
      <c r="M149" s="1092">
        <v>2</v>
      </c>
      <c r="N149" s="27">
        <f t="shared" si="23"/>
        <v>33</v>
      </c>
    </row>
    <row r="150" spans="1:14" hidden="1">
      <c r="A150" s="76" t="s">
        <v>182</v>
      </c>
      <c r="B150" s="1092"/>
      <c r="C150" s="1092"/>
      <c r="D150" s="1092"/>
      <c r="E150" s="1092"/>
      <c r="F150" s="1092"/>
      <c r="G150" s="1092"/>
      <c r="H150" s="1092"/>
      <c r="I150" s="1092"/>
      <c r="J150" s="1092"/>
      <c r="K150" s="1092"/>
      <c r="L150" s="1092"/>
      <c r="M150" s="1092"/>
      <c r="N150" s="27">
        <f t="shared" si="23"/>
        <v>0</v>
      </c>
    </row>
    <row r="151" spans="1:14">
      <c r="A151" s="76" t="s">
        <v>165</v>
      </c>
      <c r="B151" s="1092">
        <v>0</v>
      </c>
      <c r="C151" s="1092">
        <v>0</v>
      </c>
      <c r="D151" s="1092">
        <v>0</v>
      </c>
      <c r="E151" s="1092">
        <v>0</v>
      </c>
      <c r="F151" s="1092">
        <v>0</v>
      </c>
      <c r="G151" s="1092">
        <v>0</v>
      </c>
      <c r="H151" s="1092">
        <v>0</v>
      </c>
      <c r="I151" s="1092">
        <v>0</v>
      </c>
      <c r="J151" s="1092">
        <v>0</v>
      </c>
      <c r="K151" s="1092">
        <v>0</v>
      </c>
      <c r="L151" s="1092">
        <v>0</v>
      </c>
      <c r="M151" s="1092">
        <v>19915</v>
      </c>
      <c r="N151" s="27">
        <v>19915</v>
      </c>
    </row>
    <row r="152" spans="1:14" ht="14" thickBot="1">
      <c r="A152" s="76" t="s">
        <v>166</v>
      </c>
      <c r="B152" s="1092">
        <v>0</v>
      </c>
      <c r="C152" s="1092">
        <v>0</v>
      </c>
      <c r="D152" s="1092">
        <v>0</v>
      </c>
      <c r="E152" s="1092">
        <v>0</v>
      </c>
      <c r="F152" s="1092">
        <v>0</v>
      </c>
      <c r="G152" s="1092">
        <v>0</v>
      </c>
      <c r="H152" s="1092">
        <v>0</v>
      </c>
      <c r="I152" s="1092">
        <v>0</v>
      </c>
      <c r="J152" s="1092">
        <v>0</v>
      </c>
      <c r="K152" s="1092">
        <v>0</v>
      </c>
      <c r="L152" s="1092">
        <v>0</v>
      </c>
      <c r="M152" s="1092">
        <v>0</v>
      </c>
      <c r="N152" s="27">
        <f t="shared" si="23"/>
        <v>0</v>
      </c>
    </row>
    <row r="153" spans="1:14" ht="14" thickBot="1">
      <c r="A153" s="53" t="s">
        <v>60</v>
      </c>
      <c r="B153" s="55">
        <f>SUM(B146:B152)</f>
        <v>20</v>
      </c>
      <c r="C153" s="55">
        <f t="shared" ref="C153:N153" si="24">SUM(C146:C152)</f>
        <v>52</v>
      </c>
      <c r="D153" s="55">
        <f t="shared" si="24"/>
        <v>20</v>
      </c>
      <c r="E153" s="55">
        <f t="shared" si="24"/>
        <v>104</v>
      </c>
      <c r="F153" s="55">
        <f t="shared" si="24"/>
        <v>19</v>
      </c>
      <c r="G153" s="55">
        <f t="shared" si="24"/>
        <v>63</v>
      </c>
      <c r="H153" s="55">
        <f t="shared" si="24"/>
        <v>35</v>
      </c>
      <c r="I153" s="55">
        <f t="shared" si="24"/>
        <v>42</v>
      </c>
      <c r="J153" s="55">
        <f t="shared" si="24"/>
        <v>32</v>
      </c>
      <c r="K153" s="55">
        <f t="shared" si="24"/>
        <v>140</v>
      </c>
      <c r="L153" s="55">
        <f t="shared" si="24"/>
        <v>342</v>
      </c>
      <c r="M153" s="55">
        <f t="shared" si="24"/>
        <v>19953</v>
      </c>
      <c r="N153" s="54">
        <f t="shared" si="24"/>
        <v>20822</v>
      </c>
    </row>
    <row r="154" spans="1:14" ht="14" thickBot="1">
      <c r="A154" s="38" t="s">
        <v>49</v>
      </c>
      <c r="B154" s="39"/>
      <c r="C154" s="39"/>
      <c r="D154" s="39"/>
      <c r="E154" s="39"/>
      <c r="F154" s="39"/>
      <c r="G154" s="39"/>
      <c r="H154" s="39"/>
      <c r="I154" s="39"/>
      <c r="J154" s="39"/>
      <c r="K154" s="39"/>
      <c r="L154" s="39"/>
      <c r="M154" s="39"/>
      <c r="N154" s="40"/>
    </row>
    <row r="155" spans="1:14">
      <c r="A155" s="76" t="s">
        <v>147</v>
      </c>
      <c r="B155" s="1092">
        <v>0</v>
      </c>
      <c r="C155" s="1092">
        <v>0</v>
      </c>
      <c r="D155" s="1092">
        <v>0</v>
      </c>
      <c r="E155" s="1092">
        <v>0</v>
      </c>
      <c r="F155" s="1092">
        <v>0</v>
      </c>
      <c r="G155" s="1092">
        <v>0</v>
      </c>
      <c r="H155" s="1092">
        <v>0</v>
      </c>
      <c r="I155" s="1092">
        <v>0</v>
      </c>
      <c r="J155" s="1092">
        <v>0</v>
      </c>
      <c r="K155" s="1092">
        <v>0</v>
      </c>
      <c r="L155" s="1092">
        <v>0</v>
      </c>
      <c r="M155" s="1092">
        <v>10</v>
      </c>
      <c r="N155" s="27">
        <v>10</v>
      </c>
    </row>
    <row r="156" spans="1:14" ht="14" thickBot="1">
      <c r="A156" s="76" t="s">
        <v>179</v>
      </c>
      <c r="B156" s="1092">
        <v>0</v>
      </c>
      <c r="C156" s="1092">
        <v>0</v>
      </c>
      <c r="D156" s="1092">
        <v>0</v>
      </c>
      <c r="E156" s="1092">
        <v>0</v>
      </c>
      <c r="F156" s="1092">
        <v>0</v>
      </c>
      <c r="G156" s="1092">
        <v>0</v>
      </c>
      <c r="H156" s="1092">
        <v>0</v>
      </c>
      <c r="I156" s="1092">
        <v>0</v>
      </c>
      <c r="J156" s="1092">
        <v>0</v>
      </c>
      <c r="K156" s="1092">
        <v>0</v>
      </c>
      <c r="L156" s="1092">
        <v>0</v>
      </c>
      <c r="M156" s="1092">
        <v>189</v>
      </c>
      <c r="N156" s="27">
        <v>189</v>
      </c>
    </row>
    <row r="157" spans="1:14" ht="14" thickBot="1">
      <c r="A157" s="53" t="s">
        <v>60</v>
      </c>
      <c r="B157" s="55">
        <f>SUM(B155)</f>
        <v>0</v>
      </c>
      <c r="C157" s="55">
        <f t="shared" ref="C157:L157" si="25">SUM(C155)</f>
        <v>0</v>
      </c>
      <c r="D157" s="55">
        <f t="shared" si="25"/>
        <v>0</v>
      </c>
      <c r="E157" s="55">
        <f t="shared" si="25"/>
        <v>0</v>
      </c>
      <c r="F157" s="55">
        <f t="shared" si="25"/>
        <v>0</v>
      </c>
      <c r="G157" s="55">
        <f t="shared" si="25"/>
        <v>0</v>
      </c>
      <c r="H157" s="55">
        <f t="shared" si="25"/>
        <v>0</v>
      </c>
      <c r="I157" s="55">
        <f t="shared" si="25"/>
        <v>0</v>
      </c>
      <c r="J157" s="55">
        <f t="shared" si="25"/>
        <v>0</v>
      </c>
      <c r="K157" s="55">
        <f t="shared" si="25"/>
        <v>0</v>
      </c>
      <c r="L157" s="55">
        <f t="shared" si="25"/>
        <v>0</v>
      </c>
      <c r="M157" s="55">
        <f>SUM(M155)</f>
        <v>10</v>
      </c>
      <c r="N157" s="54">
        <f>SUM(N155:N156)</f>
        <v>199</v>
      </c>
    </row>
    <row r="158" spans="1:14" ht="14" thickBot="1">
      <c r="A158" s="38" t="s">
        <v>50</v>
      </c>
      <c r="B158" s="39"/>
      <c r="C158" s="39"/>
      <c r="D158" s="39"/>
      <c r="E158" s="39"/>
      <c r="F158" s="39"/>
      <c r="G158" s="39"/>
      <c r="H158" s="39"/>
      <c r="I158" s="39"/>
      <c r="J158" s="39"/>
      <c r="K158" s="39"/>
      <c r="L158" s="39"/>
      <c r="M158" s="39"/>
      <c r="N158" s="40"/>
    </row>
    <row r="159" spans="1:14">
      <c r="A159" s="32" t="s">
        <v>29</v>
      </c>
      <c r="B159" s="1092">
        <v>0</v>
      </c>
      <c r="C159" s="1092">
        <v>0</v>
      </c>
      <c r="D159" s="1092">
        <v>0</v>
      </c>
      <c r="E159" s="1092">
        <v>0</v>
      </c>
      <c r="F159" s="1092">
        <v>0</v>
      </c>
      <c r="G159" s="1092">
        <v>0</v>
      </c>
      <c r="H159" s="1092">
        <v>0</v>
      </c>
      <c r="I159" s="1092">
        <v>0</v>
      </c>
      <c r="J159" s="1092">
        <v>0</v>
      </c>
      <c r="K159" s="1092">
        <v>0</v>
      </c>
      <c r="L159" s="1092">
        <v>0</v>
      </c>
      <c r="M159" s="1092">
        <v>0</v>
      </c>
      <c r="N159" s="27">
        <f t="shared" ref="N159:N165" si="26">SUM(B159:M159)</f>
        <v>0</v>
      </c>
    </row>
    <row r="160" spans="1:14">
      <c r="A160" s="32" t="s">
        <v>51</v>
      </c>
      <c r="B160" s="1092">
        <v>0</v>
      </c>
      <c r="C160" s="1092">
        <v>0</v>
      </c>
      <c r="D160" s="1092">
        <v>0</v>
      </c>
      <c r="E160" s="1092">
        <v>0</v>
      </c>
      <c r="F160" s="1092">
        <v>0</v>
      </c>
      <c r="G160" s="1092">
        <v>0</v>
      </c>
      <c r="H160" s="1092">
        <v>0</v>
      </c>
      <c r="I160" s="1092">
        <v>0</v>
      </c>
      <c r="J160" s="1092">
        <v>0</v>
      </c>
      <c r="K160" s="1092">
        <v>15</v>
      </c>
      <c r="L160" s="1092">
        <v>0</v>
      </c>
      <c r="M160" s="1092">
        <v>0</v>
      </c>
      <c r="N160" s="27">
        <f t="shared" si="26"/>
        <v>15</v>
      </c>
    </row>
    <row r="161" spans="1:14">
      <c r="A161" s="34" t="s">
        <v>20</v>
      </c>
      <c r="B161" s="1092">
        <v>0</v>
      </c>
      <c r="C161" s="1092">
        <v>0</v>
      </c>
      <c r="D161" s="1092">
        <v>0</v>
      </c>
      <c r="E161" s="1092">
        <v>0</v>
      </c>
      <c r="F161" s="1092">
        <v>0</v>
      </c>
      <c r="G161" s="1092">
        <v>0</v>
      </c>
      <c r="H161" s="1092">
        <v>0</v>
      </c>
      <c r="I161" s="1092">
        <v>0</v>
      </c>
      <c r="J161" s="1092">
        <v>0</v>
      </c>
      <c r="K161" s="1092">
        <v>0</v>
      </c>
      <c r="L161" s="1092">
        <v>0</v>
      </c>
      <c r="M161" s="1092">
        <v>0</v>
      </c>
      <c r="N161" s="27">
        <f t="shared" si="26"/>
        <v>0</v>
      </c>
    </row>
    <row r="162" spans="1:14">
      <c r="A162" s="34" t="s">
        <v>13</v>
      </c>
      <c r="B162" s="1092">
        <v>0</v>
      </c>
      <c r="C162" s="1092">
        <v>0</v>
      </c>
      <c r="D162" s="1092">
        <v>0</v>
      </c>
      <c r="E162" s="1092">
        <v>0</v>
      </c>
      <c r="F162" s="1092">
        <v>0</v>
      </c>
      <c r="G162" s="1092">
        <v>0</v>
      </c>
      <c r="H162" s="1092">
        <v>0</v>
      </c>
      <c r="I162" s="1092">
        <v>0</v>
      </c>
      <c r="J162" s="1092">
        <v>0</v>
      </c>
      <c r="K162" s="1092">
        <v>0</v>
      </c>
      <c r="L162" s="1092">
        <v>0</v>
      </c>
      <c r="M162" s="1092">
        <v>0</v>
      </c>
      <c r="N162" s="27">
        <f>SUM(B162:M162)</f>
        <v>0</v>
      </c>
    </row>
    <row r="163" spans="1:14" hidden="1">
      <c r="A163" s="35" t="s">
        <v>47</v>
      </c>
      <c r="B163" s="1092">
        <v>0</v>
      </c>
      <c r="C163" s="1092">
        <v>0</v>
      </c>
      <c r="D163" s="1092"/>
      <c r="E163" s="1092">
        <v>0</v>
      </c>
      <c r="F163" s="1092">
        <v>0</v>
      </c>
      <c r="G163" s="1092">
        <v>0</v>
      </c>
      <c r="H163" s="1092">
        <v>0</v>
      </c>
      <c r="I163" s="1092"/>
      <c r="J163" s="1092">
        <v>0</v>
      </c>
      <c r="K163" s="1092">
        <v>0</v>
      </c>
      <c r="L163" s="1092"/>
      <c r="M163" s="1092">
        <v>0</v>
      </c>
      <c r="N163" s="27">
        <f t="shared" si="26"/>
        <v>0</v>
      </c>
    </row>
    <row r="164" spans="1:14">
      <c r="A164" s="76" t="s">
        <v>30</v>
      </c>
      <c r="B164" s="1092">
        <v>0</v>
      </c>
      <c r="C164" s="1092">
        <v>0</v>
      </c>
      <c r="D164" s="1092">
        <v>24</v>
      </c>
      <c r="E164" s="1092">
        <v>0</v>
      </c>
      <c r="F164" s="1092">
        <v>0</v>
      </c>
      <c r="G164" s="1092">
        <v>0</v>
      </c>
      <c r="H164" s="1092">
        <v>0</v>
      </c>
      <c r="I164" s="1092">
        <v>9</v>
      </c>
      <c r="J164" s="1092">
        <v>0</v>
      </c>
      <c r="K164" s="1092">
        <v>0</v>
      </c>
      <c r="L164" s="1092">
        <v>4</v>
      </c>
      <c r="M164" s="1092">
        <v>0</v>
      </c>
      <c r="N164" s="27">
        <f t="shared" si="26"/>
        <v>37</v>
      </c>
    </row>
    <row r="165" spans="1:14" hidden="1">
      <c r="A165" s="76" t="s">
        <v>150</v>
      </c>
      <c r="B165" s="1092">
        <v>0</v>
      </c>
      <c r="C165" s="1092">
        <v>0</v>
      </c>
      <c r="D165" s="1092"/>
      <c r="E165" s="1092">
        <v>0</v>
      </c>
      <c r="F165" s="1092">
        <v>0</v>
      </c>
      <c r="G165" s="1092">
        <v>0</v>
      </c>
      <c r="H165" s="1092">
        <v>0</v>
      </c>
      <c r="I165" s="1092"/>
      <c r="J165" s="1092">
        <v>0</v>
      </c>
      <c r="K165" s="1092">
        <v>0</v>
      </c>
      <c r="L165" s="1092"/>
      <c r="M165" s="1092">
        <v>0</v>
      </c>
      <c r="N165" s="27">
        <f t="shared" si="26"/>
        <v>0</v>
      </c>
    </row>
    <row r="166" spans="1:14">
      <c r="A166" s="32" t="s">
        <v>56</v>
      </c>
      <c r="B166" s="1092">
        <v>0</v>
      </c>
      <c r="C166" s="1092">
        <v>0</v>
      </c>
      <c r="D166" s="1092">
        <v>0</v>
      </c>
      <c r="E166" s="1092">
        <v>0</v>
      </c>
      <c r="F166" s="1092">
        <v>0</v>
      </c>
      <c r="G166" s="1092">
        <v>0</v>
      </c>
      <c r="H166" s="1092">
        <v>0</v>
      </c>
      <c r="I166" s="1092">
        <v>1493</v>
      </c>
      <c r="J166" s="1092">
        <v>0</v>
      </c>
      <c r="K166" s="1092">
        <v>0</v>
      </c>
      <c r="L166" s="1092">
        <v>0</v>
      </c>
      <c r="M166" s="1092">
        <v>0</v>
      </c>
      <c r="N166" s="27">
        <f>SUM(B166:M166)</f>
        <v>1493</v>
      </c>
    </row>
    <row r="167" spans="1:14">
      <c r="A167" s="78" t="s">
        <v>122</v>
      </c>
      <c r="B167" s="1092">
        <v>0</v>
      </c>
      <c r="C167" s="1092">
        <v>0</v>
      </c>
      <c r="D167" s="1092">
        <v>0</v>
      </c>
      <c r="E167" s="1092">
        <v>0</v>
      </c>
      <c r="F167" s="1092">
        <v>0</v>
      </c>
      <c r="G167" s="1092">
        <v>0</v>
      </c>
      <c r="H167" s="1092">
        <v>0</v>
      </c>
      <c r="I167" s="1092">
        <v>0</v>
      </c>
      <c r="J167" s="1092">
        <v>0</v>
      </c>
      <c r="K167" s="1092">
        <v>0</v>
      </c>
      <c r="L167" s="1092">
        <v>0</v>
      </c>
      <c r="M167" s="1092">
        <v>0</v>
      </c>
      <c r="N167" s="27">
        <f>SUM(B167:M167)</f>
        <v>0</v>
      </c>
    </row>
    <row r="168" spans="1:14" ht="14" hidden="1" thickBot="1">
      <c r="A168" s="32" t="s">
        <v>102</v>
      </c>
      <c r="B168" s="1092">
        <v>0</v>
      </c>
      <c r="C168" s="1092">
        <v>0</v>
      </c>
      <c r="D168" s="1092">
        <v>0</v>
      </c>
      <c r="E168" s="1092">
        <v>0</v>
      </c>
      <c r="F168" s="1092">
        <v>0</v>
      </c>
      <c r="G168" s="1092">
        <v>0</v>
      </c>
      <c r="H168" s="1092">
        <v>0</v>
      </c>
      <c r="I168" s="1092">
        <v>0</v>
      </c>
      <c r="J168" s="1092">
        <v>0</v>
      </c>
      <c r="K168" s="1092">
        <v>0</v>
      </c>
      <c r="L168" s="1092">
        <v>0</v>
      </c>
      <c r="M168" s="1092">
        <v>0</v>
      </c>
      <c r="N168" s="27">
        <f>SUM(B168:M168)</f>
        <v>0</v>
      </c>
    </row>
    <row r="169" spans="1:14">
      <c r="A169" s="78" t="s">
        <v>167</v>
      </c>
      <c r="B169" s="1092">
        <v>0</v>
      </c>
      <c r="C169" s="1092">
        <v>0</v>
      </c>
      <c r="D169" s="1092">
        <v>0</v>
      </c>
      <c r="E169" s="1092">
        <v>0</v>
      </c>
      <c r="F169" s="1092">
        <v>0</v>
      </c>
      <c r="G169" s="1092">
        <v>0</v>
      </c>
      <c r="H169" s="1092">
        <v>0</v>
      </c>
      <c r="I169" s="1092">
        <v>0</v>
      </c>
      <c r="J169" s="1092">
        <v>0</v>
      </c>
      <c r="K169" s="1092">
        <v>0</v>
      </c>
      <c r="L169" s="1092">
        <v>0</v>
      </c>
      <c r="M169" s="1092">
        <v>0</v>
      </c>
      <c r="N169" s="27">
        <f>SUM(B169:M169)</f>
        <v>0</v>
      </c>
    </row>
    <row r="170" spans="1:14">
      <c r="A170" s="32" t="s">
        <v>165</v>
      </c>
      <c r="B170" s="1092">
        <v>0</v>
      </c>
      <c r="C170" s="1092">
        <v>0</v>
      </c>
      <c r="D170" s="1092">
        <v>0</v>
      </c>
      <c r="E170" s="1092">
        <v>0</v>
      </c>
      <c r="F170" s="1092">
        <v>0</v>
      </c>
      <c r="G170" s="1092">
        <v>0</v>
      </c>
      <c r="H170" s="1092">
        <v>0</v>
      </c>
      <c r="I170" s="1092">
        <v>0</v>
      </c>
      <c r="J170" s="1092">
        <v>0</v>
      </c>
      <c r="K170" s="1092">
        <v>0</v>
      </c>
      <c r="L170" s="1092">
        <v>0</v>
      </c>
      <c r="M170" s="1092">
        <v>0</v>
      </c>
      <c r="N170" s="27">
        <v>1300</v>
      </c>
    </row>
    <row r="171" spans="1:14" ht="14" thickBot="1">
      <c r="A171" s="78" t="s">
        <v>184</v>
      </c>
      <c r="B171" s="1092">
        <v>0</v>
      </c>
      <c r="C171" s="1092">
        <v>0</v>
      </c>
      <c r="D171" s="1092">
        <v>0</v>
      </c>
      <c r="E171" s="1092">
        <v>11</v>
      </c>
      <c r="F171" s="1092">
        <v>0</v>
      </c>
      <c r="G171" s="1092">
        <v>0</v>
      </c>
      <c r="H171" s="1092">
        <v>0</v>
      </c>
      <c r="I171" s="1092">
        <v>0</v>
      </c>
      <c r="J171" s="1092">
        <v>0</v>
      </c>
      <c r="K171" s="1092">
        <v>0</v>
      </c>
      <c r="L171" s="1092">
        <v>0</v>
      </c>
      <c r="M171" s="1092">
        <v>0</v>
      </c>
      <c r="N171" s="27">
        <f>SUM(B171:M171)</f>
        <v>11</v>
      </c>
    </row>
    <row r="172" spans="1:14" ht="14" thickBot="1">
      <c r="A172" s="53" t="s">
        <v>60</v>
      </c>
      <c r="B172" s="55">
        <f>SUM(B159:B171)</f>
        <v>0</v>
      </c>
      <c r="C172" s="55">
        <f t="shared" ref="C172:N172" si="27">SUM(C159:C171)</f>
        <v>0</v>
      </c>
      <c r="D172" s="55">
        <f t="shared" si="27"/>
        <v>24</v>
      </c>
      <c r="E172" s="55">
        <f t="shared" si="27"/>
        <v>11</v>
      </c>
      <c r="F172" s="55">
        <f t="shared" si="27"/>
        <v>0</v>
      </c>
      <c r="G172" s="55">
        <f t="shared" si="27"/>
        <v>0</v>
      </c>
      <c r="H172" s="55">
        <f t="shared" si="27"/>
        <v>0</v>
      </c>
      <c r="I172" s="55">
        <f t="shared" si="27"/>
        <v>1502</v>
      </c>
      <c r="J172" s="55">
        <f t="shared" si="27"/>
        <v>0</v>
      </c>
      <c r="K172" s="55">
        <f t="shared" si="27"/>
        <v>15</v>
      </c>
      <c r="L172" s="55">
        <f>SUM(L159:L171)</f>
        <v>4</v>
      </c>
      <c r="M172" s="55">
        <f>SUM(M159:M171)</f>
        <v>0</v>
      </c>
      <c r="N172" s="54">
        <f t="shared" si="27"/>
        <v>2856</v>
      </c>
    </row>
    <row r="175" spans="1:14" ht="14" thickBot="1">
      <c r="A175" t="s">
        <v>203</v>
      </c>
      <c r="B175" s="43" t="s">
        <v>35</v>
      </c>
      <c r="C175" s="43" t="s">
        <v>36</v>
      </c>
      <c r="D175" s="43" t="s">
        <v>37</v>
      </c>
      <c r="E175" s="43" t="s">
        <v>38</v>
      </c>
      <c r="F175" s="43" t="s">
        <v>39</v>
      </c>
      <c r="G175" s="43" t="s">
        <v>40</v>
      </c>
      <c r="H175" s="43" t="s">
        <v>41</v>
      </c>
      <c r="I175" s="43" t="s">
        <v>42</v>
      </c>
      <c r="J175" s="43" t="s">
        <v>43</v>
      </c>
      <c r="K175" s="43" t="s">
        <v>44</v>
      </c>
      <c r="L175" s="43" t="s">
        <v>45</v>
      </c>
      <c r="M175" s="43" t="s">
        <v>46</v>
      </c>
      <c r="N175" s="43" t="s">
        <v>10</v>
      </c>
    </row>
    <row r="176" spans="1:14" ht="17" thickBot="1">
      <c r="A176" s="31" t="s">
        <v>186</v>
      </c>
      <c r="B176" s="24"/>
      <c r="C176" s="24"/>
      <c r="D176" s="22"/>
      <c r="E176" s="22"/>
      <c r="F176" s="25"/>
      <c r="G176" s="25"/>
      <c r="H176" s="22"/>
      <c r="I176" s="22"/>
      <c r="J176" s="22"/>
      <c r="K176" s="22"/>
      <c r="L176" s="24"/>
      <c r="M176" s="24"/>
      <c r="N176" s="26"/>
    </row>
    <row r="177" spans="1:14" ht="14" thickBot="1">
      <c r="A177" s="38" t="str">
        <f>Ontario!A177</f>
        <v>SoCal Water$mart Residential Rebates</v>
      </c>
      <c r="B177" s="39"/>
      <c r="C177" s="39"/>
      <c r="D177" s="39"/>
      <c r="E177" s="39"/>
      <c r="F177" s="39"/>
      <c r="G177" s="39"/>
      <c r="H177" s="39"/>
      <c r="I177" s="39"/>
      <c r="J177" s="39"/>
      <c r="K177" s="39"/>
      <c r="L177" s="39"/>
      <c r="M177" s="39"/>
      <c r="N177" s="40"/>
    </row>
    <row r="178" spans="1:14">
      <c r="A178" s="32" t="str">
        <f>Ontario!A178</f>
        <v>High Efficiency Toilets (HET)</v>
      </c>
      <c r="B178" s="1092">
        <v>0</v>
      </c>
      <c r="C178" s="1092">
        <v>0</v>
      </c>
      <c r="D178" s="1092">
        <v>0</v>
      </c>
      <c r="E178" s="1092">
        <v>0</v>
      </c>
      <c r="F178" s="1092">
        <v>0</v>
      </c>
      <c r="G178" s="1092">
        <v>0</v>
      </c>
      <c r="H178" s="1092">
        <v>0</v>
      </c>
      <c r="I178" s="1092">
        <v>0</v>
      </c>
      <c r="J178" s="1092">
        <v>0</v>
      </c>
      <c r="K178" s="1092">
        <v>0</v>
      </c>
      <c r="L178" s="1092">
        <v>0</v>
      </c>
      <c r="M178" s="1092">
        <v>3</v>
      </c>
      <c r="N178" s="27">
        <f>SUM(B178:M178)</f>
        <v>3</v>
      </c>
    </row>
    <row r="179" spans="1:14">
      <c r="A179" s="32" t="str">
        <f>Ontario!A179</f>
        <v>High Efficiency Clothes Washers (HECW)</v>
      </c>
      <c r="B179" s="1092">
        <v>0</v>
      </c>
      <c r="C179" s="1092">
        <v>64</v>
      </c>
      <c r="D179" s="1092">
        <v>11</v>
      </c>
      <c r="E179" s="1092">
        <v>7</v>
      </c>
      <c r="F179" s="1092">
        <v>32</v>
      </c>
      <c r="G179" s="1092">
        <v>8</v>
      </c>
      <c r="H179" s="1092">
        <v>30</v>
      </c>
      <c r="I179" s="1092">
        <v>19</v>
      </c>
      <c r="J179" s="1092">
        <v>50</v>
      </c>
      <c r="K179" s="1092">
        <v>22</v>
      </c>
      <c r="L179" s="1092">
        <v>23</v>
      </c>
      <c r="M179" s="1092">
        <v>29</v>
      </c>
      <c r="N179" s="27">
        <f>SUM(B179:M179)</f>
        <v>295</v>
      </c>
    </row>
    <row r="180" spans="1:14">
      <c r="A180" s="32" t="str">
        <f>Ontario!A180</f>
        <v>Rotating Nozzles for Pop-up Spray Heads</v>
      </c>
      <c r="B180" s="1092">
        <v>0</v>
      </c>
      <c r="C180" s="1092">
        <v>3</v>
      </c>
      <c r="D180" s="1092">
        <v>0</v>
      </c>
      <c r="E180" s="1092">
        <v>1</v>
      </c>
      <c r="F180" s="1092">
        <v>0</v>
      </c>
      <c r="G180" s="1092">
        <v>2</v>
      </c>
      <c r="H180" s="1092">
        <v>4</v>
      </c>
      <c r="I180" s="1092">
        <v>0</v>
      </c>
      <c r="J180" s="1092">
        <v>3</v>
      </c>
      <c r="K180" s="1092">
        <v>0</v>
      </c>
      <c r="L180" s="1092">
        <v>2</v>
      </c>
      <c r="M180" s="1092">
        <v>1</v>
      </c>
      <c r="N180" s="27">
        <f>SUM(B180:M180)</f>
        <v>16</v>
      </c>
    </row>
    <row r="181" spans="1:14" ht="14" thickBot="1">
      <c r="A181" s="32" t="str">
        <f>Ontario!A181</f>
        <v>Weather Based Irrigation Controllers (WBIC)</v>
      </c>
      <c r="B181" s="1092">
        <v>0</v>
      </c>
      <c r="C181" s="1092">
        <v>5</v>
      </c>
      <c r="D181" s="1092">
        <v>6</v>
      </c>
      <c r="E181" s="1092">
        <v>2</v>
      </c>
      <c r="F181" s="1092">
        <v>0</v>
      </c>
      <c r="G181" s="1092">
        <v>2</v>
      </c>
      <c r="H181" s="1092">
        <v>2</v>
      </c>
      <c r="I181" s="1092">
        <v>1</v>
      </c>
      <c r="J181" s="1092">
        <v>1</v>
      </c>
      <c r="K181" s="1092">
        <v>0</v>
      </c>
      <c r="L181" s="1092">
        <v>3</v>
      </c>
      <c r="M181" s="1092">
        <v>0</v>
      </c>
      <c r="N181" s="27">
        <f>SUM(B181:M181)</f>
        <v>22</v>
      </c>
    </row>
    <row r="182" spans="1:14" hidden="1">
      <c r="A182" s="76" t="s">
        <v>182</v>
      </c>
      <c r="B182" s="44"/>
      <c r="C182" s="44"/>
      <c r="D182" s="44"/>
      <c r="E182" s="44"/>
      <c r="F182" s="44"/>
      <c r="G182" s="44"/>
      <c r="H182" s="44"/>
      <c r="I182" s="44"/>
      <c r="J182" s="44"/>
      <c r="K182" s="44"/>
      <c r="L182" s="44"/>
      <c r="M182" s="44"/>
      <c r="N182" s="27">
        <f>SUM(B182:M182)</f>
        <v>0</v>
      </c>
    </row>
    <row r="183" spans="1:14" ht="14" thickBot="1">
      <c r="A183" s="38" t="str">
        <f>Ontario!A183</f>
        <v>IEUA Locally Implemented Residential Programs</v>
      </c>
      <c r="B183" s="39"/>
      <c r="C183" s="39"/>
      <c r="D183" s="39"/>
      <c r="E183" s="39"/>
      <c r="F183" s="39"/>
      <c r="G183" s="39"/>
      <c r="H183" s="39"/>
      <c r="I183" s="39"/>
      <c r="J183" s="39"/>
      <c r="K183" s="39"/>
      <c r="L183" s="39"/>
      <c r="M183" s="39"/>
      <c r="N183" s="40"/>
    </row>
    <row r="184" spans="1:14">
      <c r="A184" s="32" t="str">
        <f>Ontario!A184</f>
        <v>FreeSprinklerNozzles.com Program</v>
      </c>
      <c r="B184" s="1092">
        <v>0</v>
      </c>
      <c r="C184" s="1092">
        <v>0</v>
      </c>
      <c r="D184" s="1092">
        <v>0</v>
      </c>
      <c r="E184" s="1092">
        <v>0</v>
      </c>
      <c r="F184" s="1092">
        <v>0</v>
      </c>
      <c r="G184" s="1092">
        <v>0</v>
      </c>
      <c r="H184" s="1092">
        <v>0</v>
      </c>
      <c r="I184" s="1092">
        <v>0</v>
      </c>
      <c r="J184" s="1092">
        <v>0</v>
      </c>
      <c r="K184" s="1092">
        <v>0</v>
      </c>
      <c r="L184" s="1092">
        <v>0</v>
      </c>
      <c r="M184" s="1092">
        <v>8496</v>
      </c>
      <c r="N184" s="27">
        <f>SUM(B184:M184)</f>
        <v>8496</v>
      </c>
    </row>
    <row r="185" spans="1:14">
      <c r="A185" s="32" t="str">
        <f>Ontario!A185</f>
        <v>Residential Landscape Retrofit Program</v>
      </c>
      <c r="B185" s="1092">
        <v>0</v>
      </c>
      <c r="C185" s="1092">
        <v>0</v>
      </c>
      <c r="D185" s="1092">
        <v>0</v>
      </c>
      <c r="E185" s="1092">
        <v>0</v>
      </c>
      <c r="F185" s="1092">
        <v>29</v>
      </c>
      <c r="G185" s="1092">
        <v>6</v>
      </c>
      <c r="H185" s="1092">
        <v>1</v>
      </c>
      <c r="I185" s="1092">
        <v>0</v>
      </c>
      <c r="J185" s="1092">
        <v>3</v>
      </c>
      <c r="K185" s="1092">
        <v>2</v>
      </c>
      <c r="L185" s="1092">
        <v>1</v>
      </c>
      <c r="M185" s="1092">
        <v>0</v>
      </c>
      <c r="N185" s="27">
        <f>SUM(B185:M185)</f>
        <v>42</v>
      </c>
    </row>
    <row r="186" spans="1:14" ht="14" thickBot="1">
      <c r="A186" s="32" t="str">
        <f>Ontario!A186</f>
        <v>Landscape Transformation Program</v>
      </c>
      <c r="B186" s="1092">
        <v>0</v>
      </c>
      <c r="C186" s="1092">
        <v>0</v>
      </c>
      <c r="D186" s="1092">
        <v>0</v>
      </c>
      <c r="E186" s="1092">
        <v>0</v>
      </c>
      <c r="F186" s="1092">
        <v>0</v>
      </c>
      <c r="G186" s="1092">
        <v>0</v>
      </c>
      <c r="H186" s="1092">
        <v>1</v>
      </c>
      <c r="I186" s="1092">
        <v>1</v>
      </c>
      <c r="J186" s="1092">
        <v>0</v>
      </c>
      <c r="K186" s="1092">
        <v>0</v>
      </c>
      <c r="L186" s="1092">
        <v>0</v>
      </c>
      <c r="M186" s="1092">
        <v>4</v>
      </c>
      <c r="N186" s="27">
        <f>SUM(B186:M186)</f>
        <v>6</v>
      </c>
    </row>
    <row r="187" spans="1:14" ht="14" thickBot="1">
      <c r="A187" s="53" t="s">
        <v>60</v>
      </c>
      <c r="B187" s="55">
        <f>SUM(B178:B186)</f>
        <v>0</v>
      </c>
      <c r="C187" s="55">
        <f t="shared" ref="C187:M187" si="28">SUM(C178:C186)</f>
        <v>72</v>
      </c>
      <c r="D187" s="55">
        <f t="shared" si="28"/>
        <v>17</v>
      </c>
      <c r="E187" s="55">
        <f t="shared" si="28"/>
        <v>10</v>
      </c>
      <c r="F187" s="55">
        <f t="shared" si="28"/>
        <v>61</v>
      </c>
      <c r="G187" s="55">
        <f t="shared" si="28"/>
        <v>18</v>
      </c>
      <c r="H187" s="55">
        <f t="shared" si="28"/>
        <v>38</v>
      </c>
      <c r="I187" s="55">
        <f t="shared" si="28"/>
        <v>21</v>
      </c>
      <c r="J187" s="55">
        <f t="shared" si="28"/>
        <v>57</v>
      </c>
      <c r="K187" s="55">
        <f t="shared" si="28"/>
        <v>24</v>
      </c>
      <c r="L187" s="55">
        <f t="shared" si="28"/>
        <v>29</v>
      </c>
      <c r="M187" s="55">
        <f t="shared" si="28"/>
        <v>8533</v>
      </c>
      <c r="N187" s="54">
        <f>SUM(N178:N186)</f>
        <v>8880</v>
      </c>
    </row>
    <row r="188" spans="1:14" ht="14" thickBot="1">
      <c r="A188" s="38" t="str">
        <f>Ontario!A188</f>
        <v xml:space="preserve">IEUA High Efficiency Toilet (HET) Installation Prog. </v>
      </c>
      <c r="B188" s="39"/>
      <c r="C188" s="39"/>
      <c r="D188" s="39"/>
      <c r="E188" s="39"/>
      <c r="F188" s="39"/>
      <c r="G188" s="39"/>
      <c r="H188" s="39"/>
      <c r="I188" s="39"/>
      <c r="J188" s="39"/>
      <c r="K188" s="39"/>
      <c r="L188" s="39"/>
      <c r="M188" s="39"/>
      <c r="N188" s="40"/>
    </row>
    <row r="189" spans="1:14">
      <c r="A189" s="32" t="str">
        <f>Ontario!A189</f>
        <v>IEUA Multi-Family Direct Install Prog. (HET/ULFT)</v>
      </c>
      <c r="B189" s="1092">
        <v>0</v>
      </c>
      <c r="C189" s="1092">
        <v>0</v>
      </c>
      <c r="D189" s="1092">
        <v>0</v>
      </c>
      <c r="E189" s="1092">
        <v>0</v>
      </c>
      <c r="F189" s="1092">
        <v>0</v>
      </c>
      <c r="G189" s="1092">
        <v>0</v>
      </c>
      <c r="H189" s="1092">
        <v>0</v>
      </c>
      <c r="I189" s="1092">
        <v>0</v>
      </c>
      <c r="J189" s="1092">
        <v>0</v>
      </c>
      <c r="K189" s="1092">
        <v>0</v>
      </c>
      <c r="L189" s="1092">
        <v>0</v>
      </c>
      <c r="M189" s="1092">
        <v>0</v>
      </c>
      <c r="N189" s="27">
        <f>SUM(B189:M189)</f>
        <v>0</v>
      </c>
    </row>
    <row r="190" spans="1:14" ht="14" thickBot="1">
      <c r="A190" s="32" t="str">
        <f>Ontario!A190</f>
        <v>IEUA Single-Family Direct Install Prog. (HET/ULFT)</v>
      </c>
      <c r="B190" s="1092">
        <v>3</v>
      </c>
      <c r="C190" s="1092">
        <v>18</v>
      </c>
      <c r="D190" s="1092">
        <v>7</v>
      </c>
      <c r="E190" s="1092">
        <v>5</v>
      </c>
      <c r="F190" s="1092">
        <v>24</v>
      </c>
      <c r="G190" s="1092">
        <v>33</v>
      </c>
      <c r="H190" s="1092">
        <v>27</v>
      </c>
      <c r="I190" s="1092">
        <v>27</v>
      </c>
      <c r="J190" s="1092">
        <v>6</v>
      </c>
      <c r="K190" s="1092">
        <v>26</v>
      </c>
      <c r="L190" s="1092">
        <v>3</v>
      </c>
      <c r="M190" s="1092">
        <v>0</v>
      </c>
      <c r="N190" s="27">
        <f>SUM(B190:M190)</f>
        <v>179</v>
      </c>
    </row>
    <row r="191" spans="1:14" ht="14" thickBot="1">
      <c r="A191" s="53" t="s">
        <v>60</v>
      </c>
      <c r="B191" s="320">
        <f>SUM(B189:B190)</f>
        <v>3</v>
      </c>
      <c r="C191" s="320">
        <f t="shared" ref="C191:M191" si="29">SUM(C189:C190)</f>
        <v>18</v>
      </c>
      <c r="D191" s="320">
        <f t="shared" si="29"/>
        <v>7</v>
      </c>
      <c r="E191" s="320">
        <f t="shared" si="29"/>
        <v>5</v>
      </c>
      <c r="F191" s="320">
        <f t="shared" si="29"/>
        <v>24</v>
      </c>
      <c r="G191" s="320">
        <f t="shared" si="29"/>
        <v>33</v>
      </c>
      <c r="H191" s="320">
        <f t="shared" si="29"/>
        <v>27</v>
      </c>
      <c r="I191" s="320">
        <f t="shared" si="29"/>
        <v>27</v>
      </c>
      <c r="J191" s="320">
        <f t="shared" si="29"/>
        <v>6</v>
      </c>
      <c r="K191" s="320">
        <f t="shared" si="29"/>
        <v>26</v>
      </c>
      <c r="L191" s="320">
        <f t="shared" si="29"/>
        <v>3</v>
      </c>
      <c r="M191" s="320">
        <f t="shared" si="29"/>
        <v>0</v>
      </c>
      <c r="N191" s="54">
        <f>SUM(N189:N190)</f>
        <v>179</v>
      </c>
    </row>
    <row r="192" spans="1:14" ht="14" thickBot="1">
      <c r="A192" s="38" t="str">
        <f>Ontario!A192</f>
        <v>SoCal Water$mart Commercial Rebates</v>
      </c>
      <c r="B192" s="39"/>
      <c r="C192" s="39"/>
      <c r="D192" s="39"/>
      <c r="E192" s="39"/>
      <c r="F192" s="39"/>
      <c r="G192" s="39"/>
      <c r="H192" s="39"/>
      <c r="I192" s="39"/>
      <c r="J192" s="39"/>
      <c r="K192" s="39"/>
      <c r="L192" s="39"/>
      <c r="M192" s="39"/>
      <c r="N192" s="40"/>
    </row>
    <row r="193" spans="1:14">
      <c r="A193" s="32" t="str">
        <f>Ontario!A193</f>
        <v>High Efficiency Toilets (HET)</v>
      </c>
      <c r="B193" s="1092">
        <v>0</v>
      </c>
      <c r="C193" s="1092">
        <v>0</v>
      </c>
      <c r="D193" s="1092">
        <v>0</v>
      </c>
      <c r="E193" s="1092">
        <v>0</v>
      </c>
      <c r="F193" s="1092">
        <v>0</v>
      </c>
      <c r="G193" s="1092">
        <v>0</v>
      </c>
      <c r="H193" s="1092">
        <v>0</v>
      </c>
      <c r="I193" s="1092">
        <v>0</v>
      </c>
      <c r="J193" s="1092">
        <v>0</v>
      </c>
      <c r="K193" s="1092">
        <v>0</v>
      </c>
      <c r="L193" s="1092">
        <v>0</v>
      </c>
      <c r="M193" s="1092">
        <v>0</v>
      </c>
      <c r="N193" s="27">
        <f t="shared" ref="N193:N208" si="30">SUM(B193:M193)</f>
        <v>0</v>
      </c>
    </row>
    <row r="194" spans="1:14">
      <c r="A194" s="32" t="str">
        <f>Ontario!A194</f>
        <v>Waterless Urinals</v>
      </c>
      <c r="B194" s="1092">
        <v>0</v>
      </c>
      <c r="C194" s="1092">
        <v>0</v>
      </c>
      <c r="D194" s="1092">
        <v>0</v>
      </c>
      <c r="E194" s="1092">
        <v>0</v>
      </c>
      <c r="F194" s="1092">
        <v>0</v>
      </c>
      <c r="G194" s="1092">
        <v>0</v>
      </c>
      <c r="H194" s="1092">
        <v>0</v>
      </c>
      <c r="I194" s="1092">
        <v>0</v>
      </c>
      <c r="J194" s="1092">
        <v>0</v>
      </c>
      <c r="K194" s="1092">
        <v>0</v>
      </c>
      <c r="L194" s="1092">
        <v>0</v>
      </c>
      <c r="M194" s="1092">
        <v>0</v>
      </c>
      <c r="N194" s="27">
        <f t="shared" si="30"/>
        <v>0</v>
      </c>
    </row>
    <row r="195" spans="1:14">
      <c r="A195" s="32" t="s">
        <v>204</v>
      </c>
      <c r="B195" s="1092">
        <v>0</v>
      </c>
      <c r="C195" s="1092">
        <v>0</v>
      </c>
      <c r="D195" s="1092">
        <v>0</v>
      </c>
      <c r="E195" s="1092">
        <v>0</v>
      </c>
      <c r="F195" s="1092">
        <v>0</v>
      </c>
      <c r="G195" s="1092">
        <v>0</v>
      </c>
      <c r="H195" s="1092">
        <v>0</v>
      </c>
      <c r="I195" s="1092">
        <v>0</v>
      </c>
      <c r="J195" s="1092">
        <v>0</v>
      </c>
      <c r="K195" s="1092">
        <v>0</v>
      </c>
      <c r="L195" s="1092">
        <v>0</v>
      </c>
      <c r="M195" s="1092">
        <v>0</v>
      </c>
      <c r="N195" s="27">
        <f t="shared" si="30"/>
        <v>0</v>
      </c>
    </row>
    <row r="196" spans="1:14">
      <c r="A196" s="32" t="str">
        <f>Ontario!A196</f>
        <v>High Efficiency Clothes Washers</v>
      </c>
      <c r="B196" s="1092">
        <v>0</v>
      </c>
      <c r="C196" s="1092">
        <v>0</v>
      </c>
      <c r="D196" s="1092">
        <v>0</v>
      </c>
      <c r="E196" s="1092">
        <v>0</v>
      </c>
      <c r="F196" s="1092">
        <v>0</v>
      </c>
      <c r="G196" s="1092">
        <v>0</v>
      </c>
      <c r="H196" s="1092">
        <v>0</v>
      </c>
      <c r="I196" s="1092">
        <v>0</v>
      </c>
      <c r="J196" s="1092">
        <v>0</v>
      </c>
      <c r="K196" s="1092">
        <v>0</v>
      </c>
      <c r="L196" s="1092">
        <v>0</v>
      </c>
      <c r="M196" s="1092">
        <v>0</v>
      </c>
      <c r="N196" s="27">
        <f t="shared" si="30"/>
        <v>0</v>
      </c>
    </row>
    <row r="197" spans="1:14" hidden="1">
      <c r="A197" s="35" t="s">
        <v>47</v>
      </c>
      <c r="B197" s="1092">
        <v>0</v>
      </c>
      <c r="C197" s="1092">
        <v>0</v>
      </c>
      <c r="D197" s="1092"/>
      <c r="E197" s="1092"/>
      <c r="F197" s="1092"/>
      <c r="G197" s="1092"/>
      <c r="H197" s="1092"/>
      <c r="I197" s="1092"/>
      <c r="J197" s="1092"/>
      <c r="K197" s="1092"/>
      <c r="L197" s="1092"/>
      <c r="M197" s="1092"/>
      <c r="N197" s="27">
        <f t="shared" si="30"/>
        <v>0</v>
      </c>
    </row>
    <row r="198" spans="1:14">
      <c r="A198" s="32" t="str">
        <f>Ontario!A198</f>
        <v>Weather Based Irrigation Controllers (WBIC)</v>
      </c>
      <c r="B198" s="1092">
        <v>0</v>
      </c>
      <c r="C198" s="1092">
        <v>0</v>
      </c>
      <c r="D198" s="1092">
        <v>1</v>
      </c>
      <c r="E198" s="1092">
        <v>0</v>
      </c>
      <c r="F198" s="1092">
        <v>0</v>
      </c>
      <c r="G198" s="1092">
        <v>1</v>
      </c>
      <c r="H198" s="1092">
        <v>0</v>
      </c>
      <c r="I198" s="1092">
        <v>0</v>
      </c>
      <c r="J198" s="1092">
        <v>0</v>
      </c>
      <c r="K198" s="1092">
        <v>0</v>
      </c>
      <c r="L198" s="1092">
        <v>1</v>
      </c>
      <c r="M198" s="1092">
        <v>5</v>
      </c>
      <c r="N198" s="27">
        <f t="shared" si="30"/>
        <v>8</v>
      </c>
    </row>
    <row r="199" spans="1:14" hidden="1">
      <c r="A199" s="76" t="s">
        <v>150</v>
      </c>
      <c r="B199" s="1092">
        <v>0</v>
      </c>
      <c r="C199" s="1092">
        <v>0</v>
      </c>
      <c r="D199" s="1092"/>
      <c r="E199" s="1092"/>
      <c r="F199" s="1092"/>
      <c r="G199" s="1092"/>
      <c r="H199" s="1092"/>
      <c r="I199" s="1092"/>
      <c r="J199" s="1092"/>
      <c r="K199" s="1092"/>
      <c r="L199" s="1092"/>
      <c r="M199" s="1092"/>
      <c r="N199" s="27">
        <f t="shared" si="30"/>
        <v>0</v>
      </c>
    </row>
    <row r="200" spans="1:14">
      <c r="A200" s="32" t="str">
        <f>Ontario!A200</f>
        <v>Rotating Nozzles for Pop-up Spray Heads</v>
      </c>
      <c r="B200" s="1092">
        <v>0</v>
      </c>
      <c r="C200" s="1092">
        <v>0</v>
      </c>
      <c r="D200" s="1092">
        <v>0</v>
      </c>
      <c r="E200" s="1092">
        <v>1</v>
      </c>
      <c r="F200" s="1092">
        <v>0</v>
      </c>
      <c r="G200" s="1092">
        <v>0</v>
      </c>
      <c r="H200" s="1092">
        <v>0</v>
      </c>
      <c r="I200" s="1092">
        <v>0</v>
      </c>
      <c r="J200" s="1092">
        <v>0</v>
      </c>
      <c r="K200" s="1092">
        <v>0</v>
      </c>
      <c r="L200" s="1092">
        <v>0</v>
      </c>
      <c r="M200" s="1092">
        <v>0</v>
      </c>
      <c r="N200" s="27">
        <f t="shared" si="30"/>
        <v>1</v>
      </c>
    </row>
    <row r="201" spans="1:14">
      <c r="A201" s="32" t="str">
        <f>Ontario!A201</f>
        <v>Large Rotary Nozzles</v>
      </c>
      <c r="B201" s="1092">
        <v>0</v>
      </c>
      <c r="C201" s="1092">
        <v>0</v>
      </c>
      <c r="D201" s="1092">
        <v>0</v>
      </c>
      <c r="E201" s="1092">
        <v>0</v>
      </c>
      <c r="F201" s="1092">
        <v>0</v>
      </c>
      <c r="G201" s="1092">
        <v>0</v>
      </c>
      <c r="H201" s="1092">
        <v>0</v>
      </c>
      <c r="I201" s="1092">
        <v>0</v>
      </c>
      <c r="J201" s="1092">
        <v>0</v>
      </c>
      <c r="K201" s="1092">
        <v>0</v>
      </c>
      <c r="L201" s="1092">
        <v>0</v>
      </c>
      <c r="M201" s="1092">
        <v>0</v>
      </c>
      <c r="N201" s="27">
        <f t="shared" si="30"/>
        <v>0</v>
      </c>
    </row>
    <row r="202" spans="1:14" hidden="1">
      <c r="A202" s="32" t="s">
        <v>102</v>
      </c>
      <c r="B202" s="1092">
        <v>0</v>
      </c>
      <c r="C202" s="1092">
        <v>0</v>
      </c>
      <c r="D202" s="1092">
        <v>0</v>
      </c>
      <c r="E202" s="1092">
        <v>0</v>
      </c>
      <c r="F202" s="1092">
        <v>0</v>
      </c>
      <c r="G202" s="1092">
        <v>0</v>
      </c>
      <c r="H202" s="1092">
        <v>0</v>
      </c>
      <c r="I202" s="1092">
        <v>0</v>
      </c>
      <c r="J202" s="1092">
        <v>0</v>
      </c>
      <c r="K202" s="1092">
        <v>0</v>
      </c>
      <c r="L202" s="1092">
        <v>0</v>
      </c>
      <c r="M202" s="1092">
        <v>0</v>
      </c>
      <c r="N202" s="27">
        <f t="shared" si="30"/>
        <v>0</v>
      </c>
    </row>
    <row r="203" spans="1:14">
      <c r="A203" s="32" t="str">
        <f>Ontario!A203</f>
        <v xml:space="preserve">Central Computerized Irrigation Controller </v>
      </c>
      <c r="B203" s="1092">
        <v>0</v>
      </c>
      <c r="C203" s="1092">
        <v>0</v>
      </c>
      <c r="D203" s="1092">
        <v>0</v>
      </c>
      <c r="E203" s="1092">
        <v>0</v>
      </c>
      <c r="F203" s="1092">
        <v>0</v>
      </c>
      <c r="G203" s="1092">
        <v>0</v>
      </c>
      <c r="H203" s="1092">
        <v>0</v>
      </c>
      <c r="I203" s="1092">
        <v>0</v>
      </c>
      <c r="J203" s="1092">
        <v>0</v>
      </c>
      <c r="K203" s="1092">
        <v>0</v>
      </c>
      <c r="L203" s="1092">
        <v>0</v>
      </c>
      <c r="M203" s="1092">
        <v>0</v>
      </c>
      <c r="N203" s="27">
        <f>SUM(B203:M203)</f>
        <v>0</v>
      </c>
    </row>
    <row r="204" spans="1:14">
      <c r="A204" s="32" t="str">
        <f>Ontario!A204</f>
        <v>Laminar Flow Restrictor</v>
      </c>
      <c r="B204" s="1092">
        <v>0</v>
      </c>
      <c r="C204" s="1092">
        <v>0</v>
      </c>
      <c r="D204" s="1092">
        <v>0</v>
      </c>
      <c r="E204" s="1092">
        <v>0</v>
      </c>
      <c r="F204" s="1092">
        <v>0</v>
      </c>
      <c r="G204" s="1092">
        <v>0</v>
      </c>
      <c r="H204" s="1092">
        <v>0</v>
      </c>
      <c r="I204" s="1092">
        <v>0</v>
      </c>
      <c r="J204" s="1092">
        <v>0</v>
      </c>
      <c r="K204" s="1092">
        <v>0</v>
      </c>
      <c r="L204" s="1092">
        <v>0</v>
      </c>
      <c r="M204" s="1092">
        <v>0</v>
      </c>
      <c r="N204" s="27">
        <f>SUM(B204:M204)</f>
        <v>0</v>
      </c>
    </row>
    <row r="205" spans="1:14" ht="14" thickBot="1">
      <c r="A205" s="32" t="str">
        <f>Ontario!A205</f>
        <v>Air-Cooled Ice Machine</v>
      </c>
      <c r="B205" s="1092">
        <v>0</v>
      </c>
      <c r="C205" s="1092">
        <v>0</v>
      </c>
      <c r="D205" s="1092">
        <v>0</v>
      </c>
      <c r="E205" s="1092">
        <v>0</v>
      </c>
      <c r="F205" s="1092">
        <v>0</v>
      </c>
      <c r="G205" s="1092">
        <v>0</v>
      </c>
      <c r="H205" s="1092">
        <v>0</v>
      </c>
      <c r="I205" s="1092">
        <v>0</v>
      </c>
      <c r="J205" s="1092">
        <v>0</v>
      </c>
      <c r="K205" s="1092">
        <v>0</v>
      </c>
      <c r="L205" s="1092">
        <v>0</v>
      </c>
      <c r="M205" s="1092">
        <v>0</v>
      </c>
      <c r="N205" s="27">
        <f>SUM(B205:M205)</f>
        <v>0</v>
      </c>
    </row>
    <row r="206" spans="1:14" ht="14" thickBot="1">
      <c r="A206" s="38" t="str">
        <f>Ontario!A206</f>
        <v>IEUA Locally Implemented Commercial Programs</v>
      </c>
      <c r="B206" s="39"/>
      <c r="C206" s="39"/>
      <c r="D206" s="39"/>
      <c r="E206" s="39"/>
      <c r="F206" s="39"/>
      <c r="G206" s="39"/>
      <c r="H206" s="39"/>
      <c r="I206" s="39"/>
      <c r="J206" s="39"/>
      <c r="K206" s="39"/>
      <c r="L206" s="39"/>
      <c r="M206" s="39"/>
      <c r="N206" s="40"/>
    </row>
    <row r="207" spans="1:14">
      <c r="A207" s="32" t="str">
        <f>Ontario!A207</f>
        <v>Fontana Unified School Retrofit Program</v>
      </c>
      <c r="B207" s="1092">
        <v>0</v>
      </c>
      <c r="C207" s="1092">
        <v>0</v>
      </c>
      <c r="D207" s="1092">
        <v>0</v>
      </c>
      <c r="E207" s="1092">
        <v>0</v>
      </c>
      <c r="F207" s="1092">
        <v>0</v>
      </c>
      <c r="G207" s="1092">
        <v>0</v>
      </c>
      <c r="H207" s="1092">
        <v>0</v>
      </c>
      <c r="I207" s="1092">
        <v>0</v>
      </c>
      <c r="J207" s="1092">
        <v>0</v>
      </c>
      <c r="K207" s="1092">
        <v>0</v>
      </c>
      <c r="L207" s="1092">
        <v>0</v>
      </c>
      <c r="M207" s="1092">
        <v>0</v>
      </c>
      <c r="N207" s="27">
        <f t="shared" si="30"/>
        <v>0</v>
      </c>
    </row>
    <row r="208" spans="1:14" ht="14" thickBot="1">
      <c r="A208" s="32" t="str">
        <f>Ontario!A208</f>
        <v>FreeSprinklerNozzles.com Program</v>
      </c>
      <c r="B208" s="1092">
        <v>0</v>
      </c>
      <c r="C208" s="1092">
        <v>0</v>
      </c>
      <c r="D208" s="1092">
        <v>0</v>
      </c>
      <c r="E208" s="1092">
        <v>0</v>
      </c>
      <c r="F208" s="1092">
        <v>0</v>
      </c>
      <c r="G208" s="1092">
        <v>0</v>
      </c>
      <c r="H208" s="1092">
        <v>0</v>
      </c>
      <c r="I208" s="1092">
        <v>0</v>
      </c>
      <c r="J208" s="1092">
        <v>0</v>
      </c>
      <c r="K208" s="1092">
        <v>0</v>
      </c>
      <c r="L208" s="1092">
        <v>0</v>
      </c>
      <c r="M208" s="1092">
        <v>17635</v>
      </c>
      <c r="N208" s="27">
        <f t="shared" si="30"/>
        <v>17635</v>
      </c>
    </row>
    <row r="209" spans="1:14" ht="14" thickBot="1">
      <c r="A209" s="53" t="s">
        <v>60</v>
      </c>
      <c r="B209" s="55">
        <f>SUM(B193:B208)</f>
        <v>0</v>
      </c>
      <c r="C209" s="55">
        <f>SUM(C193:C208)</f>
        <v>0</v>
      </c>
      <c r="D209" s="55">
        <f t="shared" ref="D209:N209" si="31">SUM(D193:D208)</f>
        <v>1</v>
      </c>
      <c r="E209" s="55">
        <f t="shared" si="31"/>
        <v>1</v>
      </c>
      <c r="F209" s="55">
        <f t="shared" si="31"/>
        <v>0</v>
      </c>
      <c r="G209" s="55">
        <f t="shared" si="31"/>
        <v>1</v>
      </c>
      <c r="H209" s="55">
        <f t="shared" si="31"/>
        <v>0</v>
      </c>
      <c r="I209" s="55">
        <f t="shared" si="31"/>
        <v>0</v>
      </c>
      <c r="J209" s="55">
        <f t="shared" si="31"/>
        <v>0</v>
      </c>
      <c r="K209" s="55">
        <f t="shared" si="31"/>
        <v>0</v>
      </c>
      <c r="L209" s="55">
        <f t="shared" si="31"/>
        <v>1</v>
      </c>
      <c r="M209" s="55">
        <f t="shared" si="31"/>
        <v>17640</v>
      </c>
      <c r="N209" s="54">
        <f t="shared" si="31"/>
        <v>17644</v>
      </c>
    </row>
    <row r="212" spans="1:14" ht="14" thickBot="1">
      <c r="A212" t="s">
        <v>203</v>
      </c>
      <c r="B212" s="43" t="s">
        <v>35</v>
      </c>
      <c r="C212" s="43" t="s">
        <v>36</v>
      </c>
      <c r="D212" s="43" t="s">
        <v>37</v>
      </c>
      <c r="E212" s="43" t="s">
        <v>38</v>
      </c>
      <c r="F212" s="43" t="s">
        <v>39</v>
      </c>
      <c r="G212" s="43" t="s">
        <v>40</v>
      </c>
      <c r="H212" s="43" t="s">
        <v>41</v>
      </c>
      <c r="I212" s="43" t="s">
        <v>42</v>
      </c>
      <c r="J212" s="43" t="s">
        <v>43</v>
      </c>
      <c r="K212" s="43" t="s">
        <v>44</v>
      </c>
      <c r="L212" s="43" t="s">
        <v>45</v>
      </c>
      <c r="M212" s="43" t="s">
        <v>46</v>
      </c>
      <c r="N212" s="43" t="s">
        <v>10</v>
      </c>
    </row>
    <row r="213" spans="1:14" ht="17" thickBot="1">
      <c r="A213" s="31" t="s">
        <v>210</v>
      </c>
      <c r="B213" s="24"/>
      <c r="C213" s="24"/>
      <c r="D213" s="22"/>
      <c r="E213" s="22"/>
      <c r="F213" s="25"/>
      <c r="G213" s="25"/>
      <c r="H213" s="22"/>
      <c r="I213" s="22"/>
      <c r="J213" s="22"/>
      <c r="K213" s="22"/>
      <c r="L213" s="24"/>
      <c r="M213" s="24"/>
      <c r="N213" s="26"/>
    </row>
    <row r="214" spans="1:14" ht="14" thickBot="1">
      <c r="A214" s="38" t="str">
        <f>Ontario!A214</f>
        <v>SoCal Water$mart Residential Rebates</v>
      </c>
      <c r="B214" s="39"/>
      <c r="C214" s="39"/>
      <c r="D214" s="39"/>
      <c r="E214" s="39"/>
      <c r="F214" s="39"/>
      <c r="G214" s="39"/>
      <c r="H214" s="39"/>
      <c r="I214" s="39"/>
      <c r="J214" s="39"/>
      <c r="K214" s="39"/>
      <c r="L214" s="39"/>
      <c r="M214" s="39"/>
      <c r="N214" s="40"/>
    </row>
    <row r="215" spans="1:14">
      <c r="A215" s="32" t="str">
        <f>Ontario!A215</f>
        <v>High Efficiency Toilets (HET)</v>
      </c>
      <c r="B215" s="1092">
        <v>10</v>
      </c>
      <c r="C215" s="1092">
        <v>5</v>
      </c>
      <c r="D215" s="1092">
        <v>18</v>
      </c>
      <c r="E215" s="1092">
        <v>15</v>
      </c>
      <c r="F215" s="1092">
        <v>3</v>
      </c>
      <c r="G215" s="1092">
        <v>17</v>
      </c>
      <c r="H215" s="1092">
        <v>27</v>
      </c>
      <c r="I215" s="1092">
        <v>8</v>
      </c>
      <c r="J215" s="1092">
        <v>1</v>
      </c>
      <c r="K215" s="1092">
        <v>28</v>
      </c>
      <c r="L215" s="1092">
        <v>23</v>
      </c>
      <c r="M215" s="1092">
        <v>15</v>
      </c>
      <c r="N215" s="27">
        <f>SUM(B215:M215)</f>
        <v>170</v>
      </c>
    </row>
    <row r="216" spans="1:14">
      <c r="A216" s="32" t="str">
        <f>Ontario!A216</f>
        <v>High Efficiency Clothes Washers (HECW)</v>
      </c>
      <c r="B216" s="1092">
        <v>60</v>
      </c>
      <c r="C216" s="1092">
        <v>26</v>
      </c>
      <c r="D216" s="1092">
        <v>42</v>
      </c>
      <c r="E216" s="1092">
        <v>30</v>
      </c>
      <c r="F216" s="1092">
        <v>9</v>
      </c>
      <c r="G216" s="1092">
        <v>27</v>
      </c>
      <c r="H216" s="1092">
        <v>34</v>
      </c>
      <c r="I216" s="1092">
        <v>37</v>
      </c>
      <c r="J216" s="1092">
        <v>5</v>
      </c>
      <c r="K216" s="1092">
        <v>40</v>
      </c>
      <c r="L216" s="1092">
        <v>50</v>
      </c>
      <c r="M216" s="1092">
        <v>23</v>
      </c>
      <c r="N216" s="27">
        <f>SUM(B216:M216)</f>
        <v>383</v>
      </c>
    </row>
    <row r="217" spans="1:14">
      <c r="A217" s="32" t="str">
        <f>Ontario!A217</f>
        <v>Rotating Nozzles for Pop-up Spray Heads</v>
      </c>
      <c r="B217" s="1092">
        <v>5</v>
      </c>
      <c r="C217" s="1092">
        <v>3</v>
      </c>
      <c r="D217" s="1092">
        <v>1</v>
      </c>
      <c r="E217" s="1092">
        <v>0</v>
      </c>
      <c r="F217" s="1092">
        <v>3</v>
      </c>
      <c r="G217" s="1092">
        <v>1</v>
      </c>
      <c r="H217" s="1092">
        <v>1</v>
      </c>
      <c r="I217" s="1092">
        <v>1</v>
      </c>
      <c r="J217" s="1092">
        <v>0</v>
      </c>
      <c r="K217" s="1092">
        <v>0</v>
      </c>
      <c r="L217" s="1092">
        <v>0</v>
      </c>
      <c r="M217" s="1092">
        <v>0</v>
      </c>
      <c r="N217" s="27">
        <f>SUM(B217:M217)</f>
        <v>15</v>
      </c>
    </row>
    <row r="218" spans="1:14">
      <c r="A218" s="32" t="str">
        <f>Ontario!A218</f>
        <v>Weather Based Irrigation Controllers (WBIC)</v>
      </c>
      <c r="B218" s="1092">
        <v>8</v>
      </c>
      <c r="C218" s="1092">
        <v>6</v>
      </c>
      <c r="D218" s="1092">
        <v>5</v>
      </c>
      <c r="E218" s="1092">
        <v>3</v>
      </c>
      <c r="F218" s="1092">
        <v>2</v>
      </c>
      <c r="G218" s="1092">
        <v>2</v>
      </c>
      <c r="H218" s="1092">
        <v>2</v>
      </c>
      <c r="I218" s="1092">
        <v>2</v>
      </c>
      <c r="J218" s="1092">
        <v>1</v>
      </c>
      <c r="K218" s="1092">
        <v>1</v>
      </c>
      <c r="L218" s="1092">
        <v>0</v>
      </c>
      <c r="M218" s="1092">
        <v>2</v>
      </c>
      <c r="N218" s="27">
        <f>SUM(B218:M218)</f>
        <v>34</v>
      </c>
    </row>
    <row r="219" spans="1:14" ht="14" hidden="1" thickBot="1">
      <c r="A219" s="76" t="s">
        <v>182</v>
      </c>
      <c r="B219" s="1092"/>
      <c r="C219" s="1092"/>
      <c r="D219" s="1092"/>
      <c r="E219" s="1092"/>
      <c r="F219" s="1092"/>
      <c r="G219" s="1092"/>
      <c r="H219" s="1092"/>
      <c r="I219" s="1092"/>
      <c r="J219" s="1092"/>
      <c r="K219" s="1092"/>
      <c r="L219" s="1092"/>
      <c r="M219" s="1092"/>
      <c r="N219" s="27">
        <f>SUM(B219:M219)</f>
        <v>0</v>
      </c>
    </row>
    <row r="220" spans="1:14" ht="14" thickBot="1">
      <c r="A220" s="76" t="s">
        <v>212</v>
      </c>
      <c r="B220" s="1092">
        <v>0</v>
      </c>
      <c r="C220" s="1092">
        <v>0</v>
      </c>
      <c r="D220" s="1092">
        <v>0</v>
      </c>
      <c r="E220" s="1092">
        <v>0</v>
      </c>
      <c r="F220" s="1092">
        <v>0</v>
      </c>
      <c r="G220" s="1092">
        <v>7</v>
      </c>
      <c r="H220" s="1092">
        <v>0</v>
      </c>
      <c r="I220" s="1092">
        <v>0</v>
      </c>
      <c r="J220" s="1092">
        <v>0</v>
      </c>
      <c r="K220" s="1092">
        <v>5</v>
      </c>
      <c r="L220" s="1092">
        <v>8</v>
      </c>
      <c r="M220" s="1092">
        <v>6</v>
      </c>
      <c r="N220" s="27">
        <f>M220+L220+K220+J220+I220+H220+G220+F220+E220+D220+C220+B220</f>
        <v>26</v>
      </c>
    </row>
    <row r="221" spans="1:14" ht="14" thickBot="1">
      <c r="A221" s="38" t="str">
        <f>Ontario!A221</f>
        <v>IEUA Locally Implemented Residential Programs</v>
      </c>
      <c r="B221" s="39"/>
      <c r="C221" s="39"/>
      <c r="D221" s="39"/>
      <c r="E221" s="39"/>
      <c r="F221" s="39"/>
      <c r="G221" s="39"/>
      <c r="H221" s="39"/>
      <c r="I221" s="39"/>
      <c r="J221" s="39"/>
      <c r="K221" s="39"/>
      <c r="L221" s="39"/>
      <c r="M221" s="39"/>
      <c r="N221" s="40"/>
    </row>
    <row r="222" spans="1:14">
      <c r="A222" s="32" t="str">
        <f>Ontario!A222</f>
        <v>FreeSprinklerNozzles.com Program</v>
      </c>
      <c r="B222" s="1092">
        <v>6153</v>
      </c>
      <c r="C222" s="1092">
        <v>0</v>
      </c>
      <c r="D222" s="1092">
        <v>0</v>
      </c>
      <c r="E222" s="1092">
        <v>0</v>
      </c>
      <c r="F222" s="1092">
        <v>0</v>
      </c>
      <c r="G222" s="1092">
        <v>0</v>
      </c>
      <c r="H222" s="1092">
        <v>0</v>
      </c>
      <c r="I222" s="1092">
        <v>0</v>
      </c>
      <c r="J222" s="1092">
        <v>0</v>
      </c>
      <c r="K222" s="1092">
        <v>0</v>
      </c>
      <c r="L222" s="1092">
        <v>0</v>
      </c>
      <c r="M222" s="1092">
        <v>0</v>
      </c>
      <c r="N222" s="27">
        <f>SUM(B222:M222)</f>
        <v>6153</v>
      </c>
    </row>
    <row r="223" spans="1:14">
      <c r="A223" s="32" t="str">
        <f>Ontario!A223</f>
        <v>Residential Landscape Retrofit Program</v>
      </c>
      <c r="B223" s="1092">
        <v>17</v>
      </c>
      <c r="C223" s="1092">
        <v>7</v>
      </c>
      <c r="D223" s="1092">
        <v>2</v>
      </c>
      <c r="E223" s="1092">
        <v>1</v>
      </c>
      <c r="F223" s="1092">
        <v>0</v>
      </c>
      <c r="G223" s="1092">
        <v>0</v>
      </c>
      <c r="H223" s="1092">
        <v>0</v>
      </c>
      <c r="I223" s="1092">
        <v>3</v>
      </c>
      <c r="J223" s="1092">
        <v>2</v>
      </c>
      <c r="K223" s="1092">
        <v>1</v>
      </c>
      <c r="L223" s="1092">
        <v>2</v>
      </c>
      <c r="M223" s="1092">
        <v>6</v>
      </c>
      <c r="N223" s="27">
        <f>SUM(B223:M223)</f>
        <v>41</v>
      </c>
    </row>
    <row r="224" spans="1:14" ht="14" thickBot="1">
      <c r="A224" s="32" t="str">
        <f>Ontario!A224</f>
        <v>Landscape Transformation Program</v>
      </c>
      <c r="B224" s="1092">
        <v>0</v>
      </c>
      <c r="C224" s="1092">
        <v>0</v>
      </c>
      <c r="D224" s="1092">
        <v>0</v>
      </c>
      <c r="E224" s="1092">
        <v>0</v>
      </c>
      <c r="F224" s="1092">
        <v>1</v>
      </c>
      <c r="G224" s="1092">
        <v>5</v>
      </c>
      <c r="H224" s="1092">
        <v>1</v>
      </c>
      <c r="I224" s="1092">
        <v>0</v>
      </c>
      <c r="J224" s="1092">
        <v>0</v>
      </c>
      <c r="K224" s="1092">
        <v>0</v>
      </c>
      <c r="L224" s="1092">
        <v>2</v>
      </c>
      <c r="M224" s="1092">
        <v>4</v>
      </c>
      <c r="N224" s="27">
        <f>SUM(B224:M224)</f>
        <v>13</v>
      </c>
    </row>
    <row r="225" spans="1:14" ht="14" thickBot="1">
      <c r="A225" s="53" t="s">
        <v>60</v>
      </c>
      <c r="B225" s="55">
        <f>SUM(B215:B224)</f>
        <v>6253</v>
      </c>
      <c r="C225" s="55">
        <f t="shared" ref="C225:M225" si="32">SUM(C215:C224)</f>
        <v>47</v>
      </c>
      <c r="D225" s="55">
        <f t="shared" si="32"/>
        <v>68</v>
      </c>
      <c r="E225" s="55">
        <f t="shared" si="32"/>
        <v>49</v>
      </c>
      <c r="F225" s="55">
        <f t="shared" si="32"/>
        <v>18</v>
      </c>
      <c r="G225" s="55">
        <f t="shared" si="32"/>
        <v>59</v>
      </c>
      <c r="H225" s="55">
        <f t="shared" si="32"/>
        <v>65</v>
      </c>
      <c r="I225" s="55">
        <f t="shared" si="32"/>
        <v>51</v>
      </c>
      <c r="J225" s="55">
        <f t="shared" si="32"/>
        <v>9</v>
      </c>
      <c r="K225" s="55">
        <f t="shared" si="32"/>
        <v>75</v>
      </c>
      <c r="L225" s="55">
        <f t="shared" si="32"/>
        <v>85</v>
      </c>
      <c r="M225" s="55">
        <f t="shared" si="32"/>
        <v>56</v>
      </c>
      <c r="N225" s="54">
        <f>SUM(N215:N224)</f>
        <v>6835</v>
      </c>
    </row>
    <row r="226" spans="1:14" ht="14" hidden="1" thickBot="1">
      <c r="A226" s="38" t="str">
        <f>Ontario!A226</f>
        <v xml:space="preserve">IEUA High Efficiency Toilet (HET) Installation Prog. </v>
      </c>
      <c r="B226" s="39"/>
      <c r="C226" s="39"/>
      <c r="D226" s="39"/>
      <c r="E226" s="39"/>
      <c r="F226" s="39"/>
      <c r="G226" s="39"/>
      <c r="H226" s="39"/>
      <c r="I226" s="39"/>
      <c r="J226" s="39"/>
      <c r="K226" s="39"/>
      <c r="L226" s="39"/>
      <c r="M226" s="39"/>
      <c r="N226" s="40"/>
    </row>
    <row r="227" spans="1:14" hidden="1">
      <c r="A227" s="32" t="str">
        <f>Ontario!A227</f>
        <v>IEUA Multi-Family Direct Install Prog. (HET/ULFT)</v>
      </c>
      <c r="B227" s="168"/>
      <c r="C227" s="168"/>
      <c r="D227" s="168"/>
      <c r="E227" s="168"/>
      <c r="F227" s="168"/>
      <c r="G227" s="168"/>
      <c r="H227" s="168"/>
      <c r="I227" s="168"/>
      <c r="J227" s="168"/>
      <c r="K227" s="168"/>
      <c r="L227" s="168"/>
      <c r="M227" s="168"/>
      <c r="N227" s="27">
        <f>SUM(B227:M227)</f>
        <v>0</v>
      </c>
    </row>
    <row r="228" spans="1:14" ht="14" hidden="1" thickBot="1">
      <c r="A228" s="32" t="str">
        <f>Ontario!A228</f>
        <v>IEUA Single-Family Direct Install Prog. (HET/ULFT)</v>
      </c>
      <c r="B228" s="168"/>
      <c r="C228" s="168"/>
      <c r="D228" s="168"/>
      <c r="E228" s="168"/>
      <c r="F228" s="168"/>
      <c r="G228" s="168"/>
      <c r="H228" s="168"/>
      <c r="I228" s="168"/>
      <c r="J228" s="168"/>
      <c r="K228" s="168"/>
      <c r="L228" s="168"/>
      <c r="M228" s="168"/>
      <c r="N228" s="27">
        <f>SUM(B228:M228)</f>
        <v>0</v>
      </c>
    </row>
    <row r="229" spans="1:14" ht="14" hidden="1" thickBot="1">
      <c r="A229" s="53" t="s">
        <v>60</v>
      </c>
      <c r="B229" s="55">
        <f>SUM(B227:B228)</f>
        <v>0</v>
      </c>
      <c r="C229" s="55">
        <f t="shared" ref="C229:M229" si="33">SUM(C227:C228)</f>
        <v>0</v>
      </c>
      <c r="D229" s="55">
        <f t="shared" si="33"/>
        <v>0</v>
      </c>
      <c r="E229" s="55">
        <f t="shared" si="33"/>
        <v>0</v>
      </c>
      <c r="F229" s="55">
        <f t="shared" si="33"/>
        <v>0</v>
      </c>
      <c r="G229" s="55">
        <f t="shared" si="33"/>
        <v>0</v>
      </c>
      <c r="H229" s="55">
        <f t="shared" si="33"/>
        <v>0</v>
      </c>
      <c r="I229" s="55">
        <f t="shared" si="33"/>
        <v>0</v>
      </c>
      <c r="J229" s="55">
        <f t="shared" si="33"/>
        <v>0</v>
      </c>
      <c r="K229" s="55">
        <f t="shared" si="33"/>
        <v>0</v>
      </c>
      <c r="L229" s="55">
        <f t="shared" si="33"/>
        <v>0</v>
      </c>
      <c r="M229" s="55">
        <f t="shared" si="33"/>
        <v>0</v>
      </c>
      <c r="N229" s="54">
        <f>SUM(N227:N228)</f>
        <v>0</v>
      </c>
    </row>
    <row r="230" spans="1:14" ht="14" thickBot="1">
      <c r="A230" s="38" t="str">
        <f>Ontario!A230</f>
        <v>SoCal Water$mart Commercial Rebates</v>
      </c>
      <c r="B230" s="39"/>
      <c r="C230" s="39"/>
      <c r="D230" s="39"/>
      <c r="E230" s="39"/>
      <c r="F230" s="39"/>
      <c r="G230" s="39"/>
      <c r="H230" s="39"/>
      <c r="I230" s="39"/>
      <c r="J230" s="39"/>
      <c r="K230" s="39"/>
      <c r="L230" s="39"/>
      <c r="M230" s="39"/>
      <c r="N230" s="40"/>
    </row>
    <row r="231" spans="1:14">
      <c r="A231" s="32" t="str">
        <f>Ontario!A231</f>
        <v>High Efficiency Toilets (HET)</v>
      </c>
      <c r="B231" s="1092">
        <v>0</v>
      </c>
      <c r="C231" s="1092">
        <v>0</v>
      </c>
      <c r="D231" s="1092">
        <v>0</v>
      </c>
      <c r="E231" s="1092">
        <v>0</v>
      </c>
      <c r="F231" s="1092">
        <v>0</v>
      </c>
      <c r="G231" s="1092">
        <v>0</v>
      </c>
      <c r="H231" s="1092">
        <v>0</v>
      </c>
      <c r="I231" s="1092">
        <v>0</v>
      </c>
      <c r="J231" s="1092">
        <v>0</v>
      </c>
      <c r="K231" s="1092">
        <v>0</v>
      </c>
      <c r="L231" s="1092">
        <v>0</v>
      </c>
      <c r="M231" s="1092">
        <v>0</v>
      </c>
      <c r="N231" s="27">
        <f t="shared" ref="N231:N240" si="34">SUM(B231:M231)</f>
        <v>0</v>
      </c>
    </row>
    <row r="232" spans="1:14">
      <c r="A232" s="32" t="str">
        <f>Ontario!A232</f>
        <v>Waterless Urinals</v>
      </c>
      <c r="B232" s="1092">
        <v>0</v>
      </c>
      <c r="C232" s="1092">
        <v>0</v>
      </c>
      <c r="D232" s="1092">
        <v>0</v>
      </c>
      <c r="E232" s="1092">
        <v>0</v>
      </c>
      <c r="F232" s="1092">
        <v>0</v>
      </c>
      <c r="G232" s="1092">
        <v>0</v>
      </c>
      <c r="H232" s="1092">
        <v>0</v>
      </c>
      <c r="I232" s="1092">
        <v>0</v>
      </c>
      <c r="J232" s="1092">
        <v>0</v>
      </c>
      <c r="K232" s="1092">
        <v>0</v>
      </c>
      <c r="L232" s="1092">
        <v>0</v>
      </c>
      <c r="M232" s="1092">
        <v>0</v>
      </c>
      <c r="N232" s="27">
        <f t="shared" si="34"/>
        <v>0</v>
      </c>
    </row>
    <row r="233" spans="1:14">
      <c r="A233" s="32" t="s">
        <v>204</v>
      </c>
      <c r="B233" s="1092">
        <v>0</v>
      </c>
      <c r="C233" s="1092">
        <v>0</v>
      </c>
      <c r="D233" s="1092">
        <v>0</v>
      </c>
      <c r="E233" s="1092">
        <v>0</v>
      </c>
      <c r="F233" s="1092">
        <v>0</v>
      </c>
      <c r="G233" s="1092">
        <v>0</v>
      </c>
      <c r="H233" s="1092">
        <v>0</v>
      </c>
      <c r="I233" s="1092">
        <v>0</v>
      </c>
      <c r="J233" s="1092">
        <v>0</v>
      </c>
      <c r="K233" s="1092">
        <v>0</v>
      </c>
      <c r="L233" s="1092">
        <v>0</v>
      </c>
      <c r="M233" s="1092">
        <v>0</v>
      </c>
      <c r="N233" s="27">
        <f t="shared" si="34"/>
        <v>0</v>
      </c>
    </row>
    <row r="234" spans="1:14" hidden="1">
      <c r="A234" s="32" t="str">
        <f>Ontario!A234</f>
        <v>High Efficiency Clothes Washers</v>
      </c>
      <c r="B234" s="1092"/>
      <c r="C234" s="1092"/>
      <c r="D234" s="1092"/>
      <c r="E234" s="1092"/>
      <c r="F234" s="1092"/>
      <c r="G234" s="1092"/>
      <c r="H234" s="1092"/>
      <c r="I234" s="1092"/>
      <c r="J234" s="1092"/>
      <c r="K234" s="1092"/>
      <c r="L234" s="1092"/>
      <c r="M234" s="1092"/>
      <c r="N234" s="27">
        <f t="shared" si="34"/>
        <v>0</v>
      </c>
    </row>
    <row r="235" spans="1:14" hidden="1">
      <c r="A235" s="35" t="s">
        <v>47</v>
      </c>
      <c r="B235" s="1092"/>
      <c r="C235" s="1092"/>
      <c r="D235" s="1092"/>
      <c r="E235" s="1092"/>
      <c r="F235" s="1092"/>
      <c r="G235" s="1092"/>
      <c r="H235" s="1092"/>
      <c r="I235" s="1092"/>
      <c r="J235" s="1092"/>
      <c r="K235" s="1092"/>
      <c r="L235" s="1092"/>
      <c r="M235" s="1092"/>
      <c r="N235" s="27">
        <f t="shared" si="34"/>
        <v>0</v>
      </c>
    </row>
    <row r="236" spans="1:14">
      <c r="A236" s="32" t="str">
        <f>Ontario!A236</f>
        <v>Weather Based Irrigation Controllers (WBIC)</v>
      </c>
      <c r="B236" s="1092">
        <v>2</v>
      </c>
      <c r="C236" s="1092">
        <v>0</v>
      </c>
      <c r="D236" s="1092">
        <v>4</v>
      </c>
      <c r="E236" s="1092">
        <v>10</v>
      </c>
      <c r="F236" s="1092">
        <v>0</v>
      </c>
      <c r="G236" s="1092">
        <v>0</v>
      </c>
      <c r="H236" s="1092">
        <v>0</v>
      </c>
      <c r="I236" s="1092">
        <v>0</v>
      </c>
      <c r="J236" s="1092">
        <v>0</v>
      </c>
      <c r="K236" s="1092">
        <v>4</v>
      </c>
      <c r="L236" s="1092">
        <v>0</v>
      </c>
      <c r="M236" s="1092">
        <v>0</v>
      </c>
      <c r="N236" s="27">
        <f t="shared" si="34"/>
        <v>20</v>
      </c>
    </row>
    <row r="237" spans="1:14" hidden="1">
      <c r="A237" s="76" t="s">
        <v>150</v>
      </c>
      <c r="B237" s="1092"/>
      <c r="C237" s="1092"/>
      <c r="D237" s="1092"/>
      <c r="E237" s="1092"/>
      <c r="F237" s="1092"/>
      <c r="G237" s="1092"/>
      <c r="H237" s="1092"/>
      <c r="I237" s="1092"/>
      <c r="J237" s="1092"/>
      <c r="K237" s="1092"/>
      <c r="L237" s="1092"/>
      <c r="M237" s="1092"/>
      <c r="N237" s="27">
        <f t="shared" si="34"/>
        <v>0</v>
      </c>
    </row>
    <row r="238" spans="1:14">
      <c r="A238" s="32" t="str">
        <f>Ontario!A238</f>
        <v>Rotating Nozzles for Pop-up Spray Heads</v>
      </c>
      <c r="B238" s="1092">
        <v>0</v>
      </c>
      <c r="C238" s="1092">
        <v>240</v>
      </c>
      <c r="D238" s="1092">
        <v>0</v>
      </c>
      <c r="E238" s="1092">
        <v>0</v>
      </c>
      <c r="F238" s="1092">
        <v>0</v>
      </c>
      <c r="G238" s="1092">
        <v>0</v>
      </c>
      <c r="H238" s="1092">
        <v>552</v>
      </c>
      <c r="I238" s="1092">
        <v>0</v>
      </c>
      <c r="J238" s="1092">
        <v>0</v>
      </c>
      <c r="K238" s="1092">
        <v>0</v>
      </c>
      <c r="L238" s="1092">
        <v>0</v>
      </c>
      <c r="M238" s="1092">
        <v>0</v>
      </c>
      <c r="N238" s="27">
        <f t="shared" si="34"/>
        <v>792</v>
      </c>
    </row>
    <row r="239" spans="1:14">
      <c r="A239" s="32" t="str">
        <f>Ontario!A239</f>
        <v>Large Rotary Nozzles</v>
      </c>
      <c r="B239" s="1092">
        <v>0</v>
      </c>
      <c r="C239" s="1092">
        <v>0</v>
      </c>
      <c r="D239" s="1092">
        <v>0</v>
      </c>
      <c r="E239" s="1092">
        <v>0</v>
      </c>
      <c r="F239" s="1092">
        <v>0</v>
      </c>
      <c r="G239" s="1092">
        <v>0</v>
      </c>
      <c r="H239" s="1092">
        <v>0</v>
      </c>
      <c r="I239" s="1092">
        <v>0</v>
      </c>
      <c r="J239" s="1092">
        <v>0</v>
      </c>
      <c r="K239" s="1092">
        <v>0</v>
      </c>
      <c r="L239" s="1092">
        <v>0</v>
      </c>
      <c r="M239" s="1092">
        <v>0</v>
      </c>
      <c r="N239" s="27">
        <f t="shared" si="34"/>
        <v>0</v>
      </c>
    </row>
    <row r="240" spans="1:14" hidden="1">
      <c r="A240" s="32" t="s">
        <v>102</v>
      </c>
      <c r="B240" s="1092"/>
      <c r="C240" s="1092"/>
      <c r="D240" s="1092"/>
      <c r="E240" s="1092"/>
      <c r="F240" s="1092"/>
      <c r="G240" s="1092"/>
      <c r="H240" s="1092"/>
      <c r="I240" s="1092"/>
      <c r="J240" s="1092"/>
      <c r="K240" s="1092"/>
      <c r="L240" s="1092"/>
      <c r="M240" s="1092"/>
      <c r="N240" s="27">
        <f t="shared" si="34"/>
        <v>0</v>
      </c>
    </row>
    <row r="241" spans="1:14">
      <c r="A241" s="32" t="str">
        <f>Ontario!A241</f>
        <v xml:space="preserve">Central Computerized Irrigation Controller </v>
      </c>
      <c r="B241" s="1092">
        <v>0</v>
      </c>
      <c r="C241" s="1092">
        <v>0</v>
      </c>
      <c r="D241" s="1092">
        <v>0</v>
      </c>
      <c r="E241" s="1092">
        <v>0</v>
      </c>
      <c r="F241" s="1092">
        <v>0</v>
      </c>
      <c r="G241" s="1092">
        <v>0</v>
      </c>
      <c r="H241" s="1092">
        <v>0</v>
      </c>
      <c r="I241" s="1092">
        <v>0</v>
      </c>
      <c r="J241" s="1092">
        <v>0</v>
      </c>
      <c r="K241" s="1092">
        <v>0</v>
      </c>
      <c r="L241" s="1092">
        <v>0</v>
      </c>
      <c r="M241" s="1092">
        <v>0</v>
      </c>
      <c r="N241" s="27">
        <f>SUM(B241:M241)</f>
        <v>0</v>
      </c>
    </row>
    <row r="242" spans="1:14">
      <c r="A242" s="32" t="str">
        <f>Ontario!A242</f>
        <v>Laminar Flow Restrictor</v>
      </c>
      <c r="B242" s="1092">
        <v>0</v>
      </c>
      <c r="C242" s="1092">
        <v>0</v>
      </c>
      <c r="D242" s="1092">
        <v>0</v>
      </c>
      <c r="E242" s="1092">
        <v>0</v>
      </c>
      <c r="F242" s="1092">
        <v>0</v>
      </c>
      <c r="G242" s="1092">
        <v>0</v>
      </c>
      <c r="H242" s="1092">
        <v>0</v>
      </c>
      <c r="I242" s="1092">
        <v>0</v>
      </c>
      <c r="J242" s="1092">
        <v>0</v>
      </c>
      <c r="K242" s="1092">
        <v>0</v>
      </c>
      <c r="L242" s="1092">
        <v>0</v>
      </c>
      <c r="M242" s="1092">
        <v>0</v>
      </c>
      <c r="N242" s="27">
        <f>SUM(B242:M242)</f>
        <v>0</v>
      </c>
    </row>
    <row r="243" spans="1:14">
      <c r="A243" s="32" t="str">
        <f>Ontario!A243</f>
        <v>Air-Cooled Ice Machine</v>
      </c>
      <c r="B243" s="1092">
        <v>0</v>
      </c>
      <c r="C243" s="1092">
        <v>0</v>
      </c>
      <c r="D243" s="1092">
        <v>0</v>
      </c>
      <c r="E243" s="1092">
        <v>0</v>
      </c>
      <c r="F243" s="1092">
        <v>0</v>
      </c>
      <c r="G243" s="1092">
        <v>0</v>
      </c>
      <c r="H243" s="1092">
        <v>0</v>
      </c>
      <c r="I243" s="1092">
        <v>0</v>
      </c>
      <c r="J243" s="1092">
        <v>1</v>
      </c>
      <c r="K243" s="1092">
        <v>0</v>
      </c>
      <c r="L243" s="1092">
        <v>0</v>
      </c>
      <c r="M243" s="1092">
        <v>0</v>
      </c>
      <c r="N243" s="27">
        <f>SUM(B243:M243)</f>
        <v>1</v>
      </c>
    </row>
    <row r="244" spans="1:14" ht="14" thickBot="1">
      <c r="A244" s="32" t="s">
        <v>213</v>
      </c>
      <c r="B244" s="1092">
        <v>0</v>
      </c>
      <c r="C244" s="1092">
        <v>0</v>
      </c>
      <c r="D244" s="1092">
        <v>0</v>
      </c>
      <c r="E244" s="1092">
        <v>0</v>
      </c>
      <c r="F244" s="1092">
        <v>0</v>
      </c>
      <c r="G244" s="1092">
        <v>0</v>
      </c>
      <c r="H244" s="1092">
        <v>0</v>
      </c>
      <c r="I244" s="1092">
        <v>0</v>
      </c>
      <c r="J244" s="1092">
        <v>0</v>
      </c>
      <c r="K244" s="1092">
        <v>0</v>
      </c>
      <c r="L244" s="1092">
        <v>0</v>
      </c>
      <c r="M244" s="1092">
        <v>0</v>
      </c>
      <c r="N244" s="27">
        <f>SUM(B244:M244)</f>
        <v>0</v>
      </c>
    </row>
    <row r="245" spans="1:14" ht="14" thickBot="1">
      <c r="A245" s="38" t="str">
        <f>Ontario!A245</f>
        <v>IEUA Locally Implemented Commercial Programs</v>
      </c>
      <c r="B245" s="39"/>
      <c r="C245" s="39"/>
      <c r="D245" s="39"/>
      <c r="E245" s="39"/>
      <c r="F245" s="39"/>
      <c r="G245" s="39"/>
      <c r="H245" s="39"/>
      <c r="I245" s="39"/>
      <c r="J245" s="39"/>
      <c r="K245" s="39"/>
      <c r="L245" s="39"/>
      <c r="M245" s="39"/>
      <c r="N245" s="40"/>
    </row>
    <row r="246" spans="1:14" hidden="1">
      <c r="A246" s="32" t="str">
        <f>Ontario!A246</f>
        <v>Fontana Unified School Retrofit Program</v>
      </c>
      <c r="B246" s="168"/>
      <c r="C246" s="168"/>
      <c r="D246" s="168"/>
      <c r="E246" s="168"/>
      <c r="F246" s="168"/>
      <c r="G246" s="168"/>
      <c r="H246" s="168"/>
      <c r="I246" s="168"/>
      <c r="J246" s="168"/>
      <c r="K246" s="168"/>
      <c r="L246" s="168"/>
      <c r="M246" s="168"/>
      <c r="N246" s="27">
        <f>SUM(B246:M246)</f>
        <v>0</v>
      </c>
    </row>
    <row r="247" spans="1:14" ht="14" thickBot="1">
      <c r="A247" s="32" t="str">
        <f>Ontario!A247</f>
        <v>FreeSprinklerNozzles.com Program</v>
      </c>
      <c r="B247" s="1092">
        <v>12700</v>
      </c>
      <c r="C247" s="1092">
        <v>0</v>
      </c>
      <c r="D247" s="1092">
        <v>0</v>
      </c>
      <c r="E247" s="1092">
        <v>0</v>
      </c>
      <c r="F247" s="1092">
        <v>0</v>
      </c>
      <c r="G247" s="1092">
        <v>0</v>
      </c>
      <c r="H247" s="1092">
        <v>0</v>
      </c>
      <c r="I247" s="1092">
        <v>0</v>
      </c>
      <c r="J247" s="1092">
        <v>0</v>
      </c>
      <c r="K247" s="1092">
        <v>0</v>
      </c>
      <c r="L247" s="1092">
        <v>0</v>
      </c>
      <c r="M247" s="1092">
        <v>0</v>
      </c>
      <c r="N247" s="27">
        <f>SUM(B247:M247)</f>
        <v>12700</v>
      </c>
    </row>
    <row r="248" spans="1:14" ht="14" thickBot="1">
      <c r="A248" s="53" t="s">
        <v>60</v>
      </c>
      <c r="B248" s="55">
        <f>SUM(B231:B247)</f>
        <v>12702</v>
      </c>
      <c r="C248" s="55">
        <f>SUM(C231:C247)</f>
        <v>240</v>
      </c>
      <c r="D248" s="55">
        <f t="shared" ref="D248:N248" si="35">SUM(D231:D247)</f>
        <v>4</v>
      </c>
      <c r="E248" s="55">
        <f t="shared" si="35"/>
        <v>10</v>
      </c>
      <c r="F248" s="55">
        <f t="shared" si="35"/>
        <v>0</v>
      </c>
      <c r="G248" s="55">
        <f t="shared" si="35"/>
        <v>0</v>
      </c>
      <c r="H248" s="55">
        <f t="shared" si="35"/>
        <v>552</v>
      </c>
      <c r="I248" s="55">
        <f t="shared" si="35"/>
        <v>0</v>
      </c>
      <c r="J248" s="55">
        <f t="shared" si="35"/>
        <v>1</v>
      </c>
      <c r="K248" s="55">
        <f t="shared" si="35"/>
        <v>4</v>
      </c>
      <c r="L248" s="55">
        <f t="shared" si="35"/>
        <v>0</v>
      </c>
      <c r="M248" s="55">
        <f t="shared" si="35"/>
        <v>0</v>
      </c>
      <c r="N248" s="54">
        <f t="shared" si="35"/>
        <v>13513</v>
      </c>
    </row>
    <row r="250" spans="1:14" ht="14" thickBot="1">
      <c r="B250" s="43" t="s">
        <v>35</v>
      </c>
      <c r="C250" s="43" t="s">
        <v>36</v>
      </c>
      <c r="D250" s="43" t="s">
        <v>37</v>
      </c>
      <c r="E250" s="43" t="s">
        <v>38</v>
      </c>
      <c r="F250" s="43" t="s">
        <v>39</v>
      </c>
      <c r="G250" s="43" t="s">
        <v>40</v>
      </c>
      <c r="H250" s="43" t="s">
        <v>41</v>
      </c>
      <c r="I250" s="43" t="s">
        <v>42</v>
      </c>
      <c r="J250" s="43" t="s">
        <v>43</v>
      </c>
      <c r="K250" s="43" t="s">
        <v>44</v>
      </c>
      <c r="L250" s="43" t="s">
        <v>45</v>
      </c>
      <c r="M250" s="43" t="s">
        <v>46</v>
      </c>
      <c r="N250" s="43" t="s">
        <v>10</v>
      </c>
    </row>
    <row r="251" spans="1:14" ht="17" thickBot="1">
      <c r="A251" s="31" t="s">
        <v>234</v>
      </c>
      <c r="B251" s="24"/>
      <c r="C251" s="24"/>
      <c r="D251" s="22"/>
      <c r="E251" s="22"/>
      <c r="F251" s="25"/>
      <c r="G251" s="25"/>
      <c r="H251" s="22"/>
      <c r="I251" s="22"/>
      <c r="J251" s="22"/>
      <c r="K251" s="22"/>
      <c r="L251" s="24"/>
      <c r="M251" s="24"/>
      <c r="N251" s="26"/>
    </row>
    <row r="252" spans="1:14" ht="14" thickBot="1">
      <c r="A252" s="38" t="s">
        <v>189</v>
      </c>
      <c r="B252" s="39"/>
      <c r="C252" s="39"/>
      <c r="D252" s="39"/>
      <c r="E252" s="39"/>
      <c r="F252" s="39"/>
      <c r="G252" s="39"/>
      <c r="H252" s="39"/>
      <c r="I252" s="39"/>
      <c r="J252" s="39"/>
      <c r="K252" s="39"/>
      <c r="L252" s="39"/>
      <c r="M252" s="39"/>
      <c r="N252" s="40"/>
    </row>
    <row r="253" spans="1:14">
      <c r="A253" s="32" t="s">
        <v>29</v>
      </c>
      <c r="B253" s="1092">
        <v>19</v>
      </c>
      <c r="C253" s="1092">
        <v>32</v>
      </c>
      <c r="D253" s="1092">
        <v>28</v>
      </c>
      <c r="E253" s="1092">
        <v>74</v>
      </c>
      <c r="F253" s="1092">
        <v>27</v>
      </c>
      <c r="G253" s="1092">
        <v>15</v>
      </c>
      <c r="H253" s="1092">
        <v>21</v>
      </c>
      <c r="I253" s="1092">
        <v>33</v>
      </c>
      <c r="J253" s="1092">
        <v>51</v>
      </c>
      <c r="K253" s="1092">
        <v>52</v>
      </c>
      <c r="L253" s="1092">
        <v>47</v>
      </c>
      <c r="M253" s="1092">
        <v>46</v>
      </c>
      <c r="N253" s="27">
        <f t="shared" ref="N253:N258" si="36">SUM(B253:M253)</f>
        <v>445</v>
      </c>
    </row>
    <row r="254" spans="1:14">
      <c r="A254" s="32" t="s">
        <v>33</v>
      </c>
      <c r="B254" s="1092">
        <v>20</v>
      </c>
      <c r="C254" s="1092">
        <v>42</v>
      </c>
      <c r="D254" s="1092">
        <v>23</v>
      </c>
      <c r="E254" s="1092">
        <v>49</v>
      </c>
      <c r="F254" s="1092">
        <v>24</v>
      </c>
      <c r="G254" s="1092">
        <v>13</v>
      </c>
      <c r="H254" s="1092">
        <v>15</v>
      </c>
      <c r="I254" s="1092">
        <v>20</v>
      </c>
      <c r="J254" s="1092">
        <v>33</v>
      </c>
      <c r="K254" s="1092">
        <v>29</v>
      </c>
      <c r="L254" s="1092">
        <v>23</v>
      </c>
      <c r="M254" s="1092">
        <v>15</v>
      </c>
      <c r="N254" s="27">
        <f t="shared" si="36"/>
        <v>306</v>
      </c>
    </row>
    <row r="255" spans="1:14">
      <c r="A255" s="32" t="s">
        <v>56</v>
      </c>
      <c r="B255" s="1092">
        <v>0</v>
      </c>
      <c r="C255" s="1092">
        <v>0</v>
      </c>
      <c r="D255" s="1092">
        <v>15</v>
      </c>
      <c r="E255" s="1092">
        <v>50</v>
      </c>
      <c r="F255" s="1092">
        <v>104</v>
      </c>
      <c r="G255" s="1092">
        <v>38</v>
      </c>
      <c r="H255" s="1092">
        <v>17</v>
      </c>
      <c r="I255" s="1092">
        <v>0</v>
      </c>
      <c r="J255" s="1092">
        <v>50</v>
      </c>
      <c r="K255" s="1092">
        <v>73</v>
      </c>
      <c r="L255" s="1092">
        <v>26</v>
      </c>
      <c r="M255" s="1092">
        <v>0</v>
      </c>
      <c r="N255" s="27">
        <f t="shared" si="36"/>
        <v>373</v>
      </c>
    </row>
    <row r="256" spans="1:14">
      <c r="A256" s="78" t="s">
        <v>30</v>
      </c>
      <c r="B256" s="1092">
        <v>2</v>
      </c>
      <c r="C256" s="1092">
        <v>3</v>
      </c>
      <c r="D256" s="1092">
        <v>8</v>
      </c>
      <c r="E256" s="1092">
        <v>3</v>
      </c>
      <c r="F256" s="1092">
        <v>3</v>
      </c>
      <c r="G256" s="1092">
        <v>0</v>
      </c>
      <c r="H256" s="1092">
        <v>1</v>
      </c>
      <c r="I256" s="1092">
        <v>0</v>
      </c>
      <c r="J256" s="1092">
        <v>1</v>
      </c>
      <c r="K256" s="1092">
        <v>4</v>
      </c>
      <c r="L256" s="1092">
        <v>4</v>
      </c>
      <c r="M256" s="1092">
        <v>5</v>
      </c>
      <c r="N256" s="27">
        <f t="shared" si="36"/>
        <v>34</v>
      </c>
    </row>
    <row r="257" spans="1:14">
      <c r="A257" s="76" t="s">
        <v>213</v>
      </c>
      <c r="B257" s="1092">
        <v>0</v>
      </c>
      <c r="C257" s="1092">
        <v>0</v>
      </c>
      <c r="D257" s="1092">
        <v>0</v>
      </c>
      <c r="E257" s="1092">
        <v>0</v>
      </c>
      <c r="F257" s="1092">
        <v>0</v>
      </c>
      <c r="G257" s="1092">
        <v>0</v>
      </c>
      <c r="H257" s="1092">
        <v>0</v>
      </c>
      <c r="I257" s="1092">
        <v>0</v>
      </c>
      <c r="J257" s="1092">
        <v>0</v>
      </c>
      <c r="K257" s="1092">
        <v>0</v>
      </c>
      <c r="L257" s="1092">
        <v>0</v>
      </c>
      <c r="M257" s="1092">
        <v>0</v>
      </c>
      <c r="N257" s="27">
        <f t="shared" si="36"/>
        <v>0</v>
      </c>
    </row>
    <row r="258" spans="1:14" ht="14" thickBot="1">
      <c r="A258" s="76" t="s">
        <v>212</v>
      </c>
      <c r="B258" s="1092">
        <v>4</v>
      </c>
      <c r="C258" s="1092">
        <v>2</v>
      </c>
      <c r="D258" s="1092">
        <v>0</v>
      </c>
      <c r="E258" s="1092">
        <v>1</v>
      </c>
      <c r="F258" s="1092">
        <v>12</v>
      </c>
      <c r="G258" s="1092">
        <v>0</v>
      </c>
      <c r="H258" s="1092">
        <v>0</v>
      </c>
      <c r="I258" s="1092">
        <v>3</v>
      </c>
      <c r="J258" s="1092">
        <v>19</v>
      </c>
      <c r="K258" s="1092">
        <v>5</v>
      </c>
      <c r="L258" s="1092">
        <v>9</v>
      </c>
      <c r="M258" s="1092">
        <v>15</v>
      </c>
      <c r="N258" s="27">
        <f t="shared" si="36"/>
        <v>70</v>
      </c>
    </row>
    <row r="259" spans="1:14" ht="14" thickBot="1">
      <c r="A259" s="38" t="s">
        <v>190</v>
      </c>
      <c r="B259" s="39"/>
      <c r="C259" s="39"/>
      <c r="D259" s="39"/>
      <c r="E259" s="39"/>
      <c r="F259" s="39"/>
      <c r="G259" s="39"/>
      <c r="H259" s="39"/>
      <c r="I259" s="39"/>
      <c r="J259" s="39"/>
      <c r="K259" s="39"/>
      <c r="L259" s="39"/>
      <c r="M259" s="39"/>
      <c r="N259" s="40"/>
    </row>
    <row r="260" spans="1:14">
      <c r="A260" s="76" t="s">
        <v>165</v>
      </c>
      <c r="B260" s="1092">
        <v>11090</v>
      </c>
      <c r="C260" s="1092">
        <v>0</v>
      </c>
      <c r="D260" s="1092">
        <v>0</v>
      </c>
      <c r="E260" s="1092">
        <v>0</v>
      </c>
      <c r="F260" s="1092">
        <v>0</v>
      </c>
      <c r="G260" s="1092">
        <v>0</v>
      </c>
      <c r="H260" s="1092">
        <v>0</v>
      </c>
      <c r="I260" s="1092">
        <v>0</v>
      </c>
      <c r="J260" s="1092">
        <v>0</v>
      </c>
      <c r="K260" s="1092">
        <v>0</v>
      </c>
      <c r="L260" s="1092">
        <v>0</v>
      </c>
      <c r="M260" s="1092">
        <v>0</v>
      </c>
      <c r="N260" s="27">
        <f>SUM(B260:M260)</f>
        <v>11090</v>
      </c>
    </row>
    <row r="261" spans="1:14">
      <c r="A261" s="76" t="s">
        <v>166</v>
      </c>
      <c r="B261" s="1092">
        <v>0</v>
      </c>
      <c r="C261" s="1092">
        <v>17</v>
      </c>
      <c r="D261" s="1092">
        <v>14</v>
      </c>
      <c r="E261" s="1092">
        <v>6</v>
      </c>
      <c r="F261" s="1092">
        <v>5</v>
      </c>
      <c r="G261" s="1092">
        <v>0</v>
      </c>
      <c r="H261" s="1092">
        <v>6</v>
      </c>
      <c r="I261" s="1092">
        <v>1</v>
      </c>
      <c r="J261" s="1092">
        <v>3</v>
      </c>
      <c r="K261" s="1092">
        <v>0</v>
      </c>
      <c r="L261" s="1092">
        <v>0</v>
      </c>
      <c r="M261" s="1092">
        <v>0</v>
      </c>
      <c r="N261" s="27">
        <f>SUM(B261:M261)</f>
        <v>52</v>
      </c>
    </row>
    <row r="262" spans="1:14">
      <c r="A262" s="76" t="s">
        <v>193</v>
      </c>
      <c r="B262" s="1092">
        <v>0</v>
      </c>
      <c r="C262" s="1092">
        <v>1</v>
      </c>
      <c r="D262" s="1092">
        <v>4</v>
      </c>
      <c r="E262" s="1092">
        <v>1</v>
      </c>
      <c r="F262" s="1092">
        <v>0</v>
      </c>
      <c r="G262" s="1092">
        <v>4</v>
      </c>
      <c r="H262" s="1092">
        <v>7</v>
      </c>
      <c r="I262" s="1092">
        <v>5</v>
      </c>
      <c r="J262" s="1092">
        <v>1</v>
      </c>
      <c r="K262" s="1092">
        <v>2</v>
      </c>
      <c r="L262" s="1092">
        <v>1</v>
      </c>
      <c r="M262" s="1092">
        <v>1</v>
      </c>
      <c r="N262" s="27">
        <f>SUM(B262:M262)</f>
        <v>27</v>
      </c>
    </row>
    <row r="263" spans="1:14" ht="14" thickBot="1">
      <c r="A263" s="76" t="s">
        <v>266</v>
      </c>
      <c r="B263" s="1092">
        <v>0</v>
      </c>
      <c r="C263" s="1092">
        <v>0</v>
      </c>
      <c r="D263" s="1092">
        <v>0</v>
      </c>
      <c r="E263" s="1092">
        <v>0</v>
      </c>
      <c r="F263" s="1092">
        <v>0</v>
      </c>
      <c r="G263" s="1092">
        <v>0</v>
      </c>
      <c r="H263" s="1092">
        <v>0</v>
      </c>
      <c r="I263" s="1092">
        <v>0</v>
      </c>
      <c r="J263" s="1092">
        <v>0</v>
      </c>
      <c r="K263" s="1092">
        <v>0</v>
      </c>
      <c r="L263" s="1092">
        <v>0</v>
      </c>
      <c r="M263" s="1092">
        <v>0</v>
      </c>
      <c r="N263" s="27">
        <f>SUM(B263:M263)</f>
        <v>0</v>
      </c>
    </row>
    <row r="264" spans="1:14" ht="14" thickBot="1">
      <c r="A264" s="256" t="s">
        <v>60</v>
      </c>
      <c r="B264" s="289">
        <f t="shared" ref="B264:M264" si="37">SUM(B253:B263)</f>
        <v>11135</v>
      </c>
      <c r="C264" s="290">
        <f t="shared" si="37"/>
        <v>97</v>
      </c>
      <c r="D264" s="290">
        <f t="shared" si="37"/>
        <v>92</v>
      </c>
      <c r="E264" s="290">
        <f t="shared" si="37"/>
        <v>184</v>
      </c>
      <c r="F264" s="290">
        <f t="shared" si="37"/>
        <v>175</v>
      </c>
      <c r="G264" s="290">
        <f t="shared" si="37"/>
        <v>70</v>
      </c>
      <c r="H264" s="290">
        <f t="shared" si="37"/>
        <v>67</v>
      </c>
      <c r="I264" s="290">
        <f t="shared" si="37"/>
        <v>62</v>
      </c>
      <c r="J264" s="290">
        <f t="shared" si="37"/>
        <v>158</v>
      </c>
      <c r="K264" s="290">
        <f t="shared" si="37"/>
        <v>165</v>
      </c>
      <c r="L264" s="290">
        <f t="shared" si="37"/>
        <v>110</v>
      </c>
      <c r="M264" s="290">
        <f t="shared" si="37"/>
        <v>82</v>
      </c>
      <c r="N264" s="54">
        <f>SUM(N253:N263)</f>
        <v>12397</v>
      </c>
    </row>
    <row r="265" spans="1:14" ht="14" hidden="1" thickBot="1">
      <c r="A265" s="38" t="s">
        <v>191</v>
      </c>
      <c r="B265" s="288"/>
      <c r="C265" s="288"/>
      <c r="D265" s="288"/>
      <c r="E265" s="288"/>
      <c r="F265" s="288"/>
      <c r="G265" s="288"/>
      <c r="H265" s="288"/>
      <c r="I265" s="288"/>
      <c r="J265" s="288"/>
      <c r="K265" s="288"/>
      <c r="L265" s="288"/>
      <c r="M265" s="288"/>
      <c r="N265" s="319"/>
    </row>
    <row r="266" spans="1:14" ht="14" hidden="1" thickBot="1">
      <c r="A266" s="76" t="s">
        <v>147</v>
      </c>
      <c r="B266" s="168"/>
      <c r="C266" s="168"/>
      <c r="D266" s="168"/>
      <c r="E266" s="168"/>
      <c r="F266" s="168"/>
      <c r="G266" s="168"/>
      <c r="H266" s="168"/>
      <c r="I266" s="168"/>
      <c r="J266" s="168"/>
      <c r="K266" s="168"/>
      <c r="L266" s="168"/>
      <c r="M266" s="168"/>
      <c r="N266" s="27"/>
    </row>
    <row r="267" spans="1:14" ht="14" hidden="1" thickBot="1">
      <c r="A267" s="76" t="s">
        <v>179</v>
      </c>
      <c r="B267" s="168"/>
      <c r="C267" s="168"/>
      <c r="D267" s="168"/>
      <c r="E267" s="168"/>
      <c r="F267" s="168"/>
      <c r="G267" s="168"/>
      <c r="H267" s="168"/>
      <c r="I267" s="168"/>
      <c r="J267" s="168"/>
      <c r="K267" s="168"/>
      <c r="L267" s="168"/>
      <c r="M267" s="168"/>
      <c r="N267" s="27"/>
    </row>
    <row r="268" spans="1:14" ht="14" hidden="1" thickBot="1">
      <c r="A268" s="53" t="s">
        <v>60</v>
      </c>
      <c r="B268" s="55"/>
      <c r="C268" s="55"/>
      <c r="D268" s="55"/>
      <c r="E268" s="55"/>
      <c r="F268" s="55"/>
      <c r="G268" s="55"/>
      <c r="H268" s="55"/>
      <c r="I268" s="55"/>
      <c r="J268" s="55"/>
      <c r="K268" s="55"/>
      <c r="L268" s="55"/>
      <c r="M268" s="55"/>
      <c r="N268" s="54"/>
    </row>
    <row r="269" spans="1:14" ht="14" thickBot="1">
      <c r="A269" s="38" t="s">
        <v>194</v>
      </c>
      <c r="B269" s="39"/>
      <c r="C269" s="39"/>
      <c r="D269" s="39"/>
      <c r="E269" s="39"/>
      <c r="F269" s="39"/>
      <c r="G269" s="39"/>
      <c r="H269" s="39"/>
      <c r="I269" s="39"/>
      <c r="J269" s="39"/>
      <c r="K269" s="39"/>
      <c r="L269" s="39"/>
      <c r="M269" s="39"/>
      <c r="N269" s="40"/>
    </row>
    <row r="270" spans="1:14">
      <c r="A270" s="32" t="s">
        <v>29</v>
      </c>
      <c r="B270" s="1092">
        <v>0</v>
      </c>
      <c r="C270" s="1092">
        <v>0</v>
      </c>
      <c r="D270" s="1092">
        <v>0</v>
      </c>
      <c r="E270" s="1092">
        <v>0</v>
      </c>
      <c r="F270" s="1092">
        <v>0</v>
      </c>
      <c r="G270" s="1092">
        <v>14</v>
      </c>
      <c r="H270" s="1092">
        <v>93</v>
      </c>
      <c r="I270" s="1092">
        <v>0</v>
      </c>
      <c r="J270" s="1092">
        <v>0</v>
      </c>
      <c r="K270" s="1092">
        <v>0</v>
      </c>
      <c r="L270" s="1092">
        <v>0</v>
      </c>
      <c r="M270" s="1092">
        <v>0</v>
      </c>
      <c r="N270" s="27">
        <f>SUM(B270:M270)</f>
        <v>107</v>
      </c>
    </row>
    <row r="271" spans="1:14">
      <c r="A271" s="32" t="s">
        <v>51</v>
      </c>
      <c r="B271" s="1092">
        <v>0</v>
      </c>
      <c r="C271" s="1092">
        <v>0</v>
      </c>
      <c r="D271" s="1092">
        <v>0</v>
      </c>
      <c r="E271" s="1092">
        <v>0</v>
      </c>
      <c r="F271" s="1092">
        <v>0</v>
      </c>
      <c r="G271" s="1092">
        <v>0</v>
      </c>
      <c r="H271" s="1092">
        <v>0</v>
      </c>
      <c r="I271" s="1092">
        <v>0</v>
      </c>
      <c r="J271" s="1092">
        <v>0</v>
      </c>
      <c r="K271" s="1092">
        <v>0</v>
      </c>
      <c r="L271" s="1092">
        <v>0</v>
      </c>
      <c r="M271" s="1092">
        <v>0</v>
      </c>
      <c r="N271" s="27">
        <f t="shared" ref="N271:N283" si="38">SUM(B271:M271)</f>
        <v>0</v>
      </c>
    </row>
    <row r="272" spans="1:14">
      <c r="A272" s="34" t="s">
        <v>204</v>
      </c>
      <c r="B272" s="1092">
        <v>0</v>
      </c>
      <c r="C272" s="1092">
        <v>0</v>
      </c>
      <c r="D272" s="1092">
        <v>0</v>
      </c>
      <c r="E272" s="1092">
        <v>0</v>
      </c>
      <c r="F272" s="1092">
        <v>0</v>
      </c>
      <c r="G272" s="1092">
        <v>0</v>
      </c>
      <c r="H272" s="1092">
        <v>0</v>
      </c>
      <c r="I272" s="1092">
        <v>0</v>
      </c>
      <c r="J272" s="1092">
        <v>0</v>
      </c>
      <c r="K272" s="1092">
        <v>0</v>
      </c>
      <c r="L272" s="1092">
        <v>0</v>
      </c>
      <c r="M272" s="1092">
        <v>0</v>
      </c>
      <c r="N272" s="27">
        <f t="shared" si="38"/>
        <v>0</v>
      </c>
    </row>
    <row r="273" spans="1:14" hidden="1">
      <c r="A273" s="34" t="s">
        <v>13</v>
      </c>
      <c r="B273" s="1092"/>
      <c r="C273" s="1092">
        <v>0</v>
      </c>
      <c r="D273" s="1092"/>
      <c r="E273" s="1092">
        <v>0</v>
      </c>
      <c r="F273" s="1092"/>
      <c r="G273" s="1092"/>
      <c r="H273" s="1092"/>
      <c r="I273" s="1092"/>
      <c r="J273" s="1092"/>
      <c r="K273" s="1092"/>
      <c r="L273" s="1092"/>
      <c r="M273" s="1092"/>
      <c r="N273" s="27">
        <f t="shared" si="38"/>
        <v>0</v>
      </c>
    </row>
    <row r="274" spans="1:14" hidden="1">
      <c r="A274" s="35" t="s">
        <v>47</v>
      </c>
      <c r="B274" s="1092"/>
      <c r="C274" s="1092">
        <v>0</v>
      </c>
      <c r="D274" s="1092"/>
      <c r="E274" s="1092">
        <v>0</v>
      </c>
      <c r="F274" s="1092"/>
      <c r="G274" s="1092"/>
      <c r="H274" s="1092"/>
      <c r="I274" s="1092"/>
      <c r="J274" s="1092"/>
      <c r="K274" s="1092"/>
      <c r="L274" s="1092"/>
      <c r="M274" s="1092"/>
      <c r="N274" s="27">
        <f t="shared" si="38"/>
        <v>0</v>
      </c>
    </row>
    <row r="275" spans="1:14">
      <c r="A275" s="76" t="s">
        <v>30</v>
      </c>
      <c r="B275" s="1092">
        <v>0</v>
      </c>
      <c r="C275" s="1092">
        <v>0</v>
      </c>
      <c r="D275" s="1092">
        <v>3</v>
      </c>
      <c r="E275" s="1092">
        <v>0</v>
      </c>
      <c r="F275" s="1092">
        <v>4</v>
      </c>
      <c r="G275" s="1092">
        <v>5</v>
      </c>
      <c r="H275" s="1092">
        <v>0</v>
      </c>
      <c r="I275" s="1092">
        <v>0</v>
      </c>
      <c r="J275" s="1092">
        <v>0</v>
      </c>
      <c r="K275" s="1092">
        <v>2</v>
      </c>
      <c r="L275" s="1092">
        <v>5</v>
      </c>
      <c r="M275" s="1092">
        <v>22</v>
      </c>
      <c r="N275" s="27">
        <f t="shared" si="38"/>
        <v>41</v>
      </c>
    </row>
    <row r="276" spans="1:14" hidden="1">
      <c r="A276" s="76" t="s">
        <v>150</v>
      </c>
      <c r="B276" s="1092"/>
      <c r="C276" s="1092">
        <v>0</v>
      </c>
      <c r="D276" s="1092"/>
      <c r="E276" s="1092">
        <v>0</v>
      </c>
      <c r="F276" s="1092"/>
      <c r="G276" s="1092"/>
      <c r="H276" s="1092"/>
      <c r="I276" s="1092"/>
      <c r="J276" s="1092"/>
      <c r="K276" s="1092"/>
      <c r="L276" s="1092"/>
      <c r="M276" s="1092"/>
      <c r="N276" s="27">
        <f t="shared" si="38"/>
        <v>0</v>
      </c>
    </row>
    <row r="277" spans="1:14">
      <c r="A277" s="32" t="s">
        <v>56</v>
      </c>
      <c r="B277" s="1092">
        <v>109</v>
      </c>
      <c r="C277" s="1092">
        <v>0</v>
      </c>
      <c r="D277" s="1092">
        <v>0</v>
      </c>
      <c r="E277" s="1092">
        <v>0</v>
      </c>
      <c r="F277" s="1092">
        <v>430</v>
      </c>
      <c r="G277" s="1092">
        <v>4550</v>
      </c>
      <c r="H277" s="1092">
        <v>0</v>
      </c>
      <c r="I277" s="1092">
        <v>0</v>
      </c>
      <c r="J277" s="1092">
        <v>1500</v>
      </c>
      <c r="K277" s="1092">
        <v>520</v>
      </c>
      <c r="L277" s="1092">
        <v>1730</v>
      </c>
      <c r="M277" s="1092">
        <v>13395</v>
      </c>
      <c r="N277" s="27">
        <f t="shared" si="38"/>
        <v>22234</v>
      </c>
    </row>
    <row r="278" spans="1:14">
      <c r="A278" s="78" t="s">
        <v>122</v>
      </c>
      <c r="B278" s="1092">
        <v>0</v>
      </c>
      <c r="C278" s="1092">
        <v>0</v>
      </c>
      <c r="D278" s="1092">
        <v>0</v>
      </c>
      <c r="E278" s="1092">
        <v>0</v>
      </c>
      <c r="F278" s="1092">
        <v>0</v>
      </c>
      <c r="G278" s="1092">
        <v>0</v>
      </c>
      <c r="H278" s="1092">
        <v>0</v>
      </c>
      <c r="I278" s="1092">
        <v>0</v>
      </c>
      <c r="J278" s="1092">
        <v>0</v>
      </c>
      <c r="K278" s="1092">
        <v>0</v>
      </c>
      <c r="L278" s="1092">
        <v>0</v>
      </c>
      <c r="M278" s="1092">
        <v>0</v>
      </c>
      <c r="N278" s="27">
        <f t="shared" si="38"/>
        <v>0</v>
      </c>
    </row>
    <row r="279" spans="1:14" hidden="1">
      <c r="A279" s="32" t="s">
        <v>102</v>
      </c>
      <c r="B279" s="1092"/>
      <c r="C279" s="1092">
        <v>0</v>
      </c>
      <c r="D279" s="1092"/>
      <c r="E279" s="1092">
        <v>0</v>
      </c>
      <c r="F279" s="1092"/>
      <c r="G279" s="1092"/>
      <c r="H279" s="1092"/>
      <c r="I279" s="1092"/>
      <c r="J279" s="1092"/>
      <c r="K279" s="1092"/>
      <c r="L279" s="1092"/>
      <c r="M279" s="1092"/>
      <c r="N279" s="27">
        <f t="shared" si="38"/>
        <v>0</v>
      </c>
    </row>
    <row r="280" spans="1:14">
      <c r="A280" s="78" t="s">
        <v>184</v>
      </c>
      <c r="B280" s="1092">
        <v>0</v>
      </c>
      <c r="C280" s="1092">
        <v>0</v>
      </c>
      <c r="D280" s="1092">
        <v>0</v>
      </c>
      <c r="E280" s="1092">
        <v>0</v>
      </c>
      <c r="F280" s="1092">
        <v>0</v>
      </c>
      <c r="G280" s="1092">
        <v>0</v>
      </c>
      <c r="H280" s="1092">
        <v>0</v>
      </c>
      <c r="I280" s="1092">
        <v>0</v>
      </c>
      <c r="J280" s="1092">
        <v>0</v>
      </c>
      <c r="K280" s="1092">
        <v>0</v>
      </c>
      <c r="L280" s="1092">
        <v>0</v>
      </c>
      <c r="M280" s="1092">
        <v>0</v>
      </c>
      <c r="N280" s="27">
        <f t="shared" si="38"/>
        <v>0</v>
      </c>
    </row>
    <row r="281" spans="1:14">
      <c r="A281" s="78" t="s">
        <v>187</v>
      </c>
      <c r="B281" s="1092">
        <v>0</v>
      </c>
      <c r="C281" s="1092">
        <v>0</v>
      </c>
      <c r="D281" s="1092">
        <v>0</v>
      </c>
      <c r="E281" s="1092">
        <v>0</v>
      </c>
      <c r="F281" s="1092">
        <v>0</v>
      </c>
      <c r="G281" s="1092">
        <v>0</v>
      </c>
      <c r="H281" s="1092">
        <v>0</v>
      </c>
      <c r="I281" s="1092">
        <v>0</v>
      </c>
      <c r="J281" s="1092">
        <v>0</v>
      </c>
      <c r="K281" s="1092">
        <v>0</v>
      </c>
      <c r="L281" s="1092">
        <v>0</v>
      </c>
      <c r="M281" s="1092">
        <v>0</v>
      </c>
      <c r="N281" s="27">
        <f t="shared" si="38"/>
        <v>0</v>
      </c>
    </row>
    <row r="282" spans="1:14">
      <c r="A282" s="78" t="s">
        <v>188</v>
      </c>
      <c r="B282" s="1092">
        <v>0</v>
      </c>
      <c r="C282" s="1092">
        <v>0</v>
      </c>
      <c r="D282" s="1092">
        <v>0</v>
      </c>
      <c r="E282" s="1092">
        <v>0</v>
      </c>
      <c r="F282" s="1092">
        <v>0</v>
      </c>
      <c r="G282" s="1092">
        <v>0</v>
      </c>
      <c r="H282" s="1092">
        <v>0</v>
      </c>
      <c r="I282" s="1092">
        <v>0</v>
      </c>
      <c r="J282" s="1092">
        <v>0</v>
      </c>
      <c r="K282" s="1092">
        <v>0</v>
      </c>
      <c r="L282" s="1092">
        <v>0</v>
      </c>
      <c r="M282" s="1092">
        <v>0</v>
      </c>
      <c r="N282" s="27">
        <f t="shared" si="38"/>
        <v>0</v>
      </c>
    </row>
    <row r="283" spans="1:14" ht="14" thickBot="1">
      <c r="A283" s="78" t="s">
        <v>213</v>
      </c>
      <c r="B283" s="1092">
        <v>36</v>
      </c>
      <c r="C283" s="1092">
        <v>0</v>
      </c>
      <c r="D283" s="1092">
        <v>0</v>
      </c>
      <c r="E283" s="1092">
        <v>0</v>
      </c>
      <c r="F283" s="1092">
        <v>0</v>
      </c>
      <c r="G283" s="1092">
        <v>0</v>
      </c>
      <c r="H283" s="1092">
        <v>0</v>
      </c>
      <c r="I283" s="1092">
        <v>0</v>
      </c>
      <c r="J283" s="1092">
        <v>0</v>
      </c>
      <c r="K283" s="1092">
        <v>0</v>
      </c>
      <c r="L283" s="1092">
        <v>0</v>
      </c>
      <c r="M283" s="1092">
        <v>0</v>
      </c>
      <c r="N283" s="27">
        <f t="shared" si="38"/>
        <v>36</v>
      </c>
    </row>
    <row r="284" spans="1:14" ht="14" thickBot="1">
      <c r="A284" s="38" t="s">
        <v>192</v>
      </c>
      <c r="B284" s="39"/>
      <c r="C284" s="39"/>
      <c r="D284" s="39"/>
      <c r="E284" s="39"/>
      <c r="F284" s="39"/>
      <c r="G284" s="39"/>
      <c r="H284" s="39"/>
      <c r="I284" s="39"/>
      <c r="J284" s="39"/>
      <c r="K284" s="39"/>
      <c r="L284" s="39"/>
      <c r="M284" s="39"/>
      <c r="N284" s="40"/>
    </row>
    <row r="285" spans="1:14" hidden="1">
      <c r="A285" s="78" t="s">
        <v>167</v>
      </c>
      <c r="B285" s="168"/>
      <c r="C285" s="168"/>
      <c r="D285" s="168"/>
      <c r="E285" s="168"/>
      <c r="F285" s="168"/>
      <c r="G285" s="168"/>
      <c r="H285" s="168"/>
      <c r="I285" s="168"/>
      <c r="J285" s="168"/>
      <c r="K285" s="168"/>
      <c r="L285" s="168"/>
      <c r="M285" s="168"/>
      <c r="N285" s="27"/>
    </row>
    <row r="286" spans="1:14" ht="14" thickBot="1">
      <c r="A286" s="32" t="s">
        <v>165</v>
      </c>
      <c r="B286" s="1092">
        <v>26025</v>
      </c>
      <c r="C286" s="1092">
        <v>0</v>
      </c>
      <c r="D286" s="1092">
        <v>0</v>
      </c>
      <c r="E286" s="1092">
        <v>0</v>
      </c>
      <c r="F286" s="1092">
        <v>0</v>
      </c>
      <c r="G286" s="1092">
        <v>0</v>
      </c>
      <c r="H286" s="1092">
        <v>0</v>
      </c>
      <c r="I286" s="1092">
        <v>0</v>
      </c>
      <c r="J286" s="1092">
        <v>0</v>
      </c>
      <c r="K286" s="1092">
        <v>0</v>
      </c>
      <c r="L286" s="1092">
        <v>0</v>
      </c>
      <c r="M286" s="1092">
        <v>0</v>
      </c>
      <c r="N286" s="27">
        <f>SUM(B286:M286)</f>
        <v>26025</v>
      </c>
    </row>
    <row r="287" spans="1:14" ht="14" thickBot="1">
      <c r="A287" s="53" t="s">
        <v>60</v>
      </c>
      <c r="B287" s="55">
        <f t="shared" ref="B287:I287" si="39">SUM(B270:B286)</f>
        <v>26170</v>
      </c>
      <c r="C287" s="55">
        <f t="shared" si="39"/>
        <v>0</v>
      </c>
      <c r="D287" s="55">
        <f t="shared" si="39"/>
        <v>3</v>
      </c>
      <c r="E287" s="55">
        <f t="shared" si="39"/>
        <v>0</v>
      </c>
      <c r="F287" s="55">
        <f t="shared" si="39"/>
        <v>434</v>
      </c>
      <c r="G287" s="55">
        <f t="shared" si="39"/>
        <v>4569</v>
      </c>
      <c r="H287" s="55">
        <f t="shared" si="39"/>
        <v>93</v>
      </c>
      <c r="I287" s="55">
        <f t="shared" si="39"/>
        <v>0</v>
      </c>
      <c r="J287" s="55">
        <f>SUM(J270:J286)</f>
        <v>1500</v>
      </c>
      <c r="K287" s="55">
        <f>SUM(K270:K286)</f>
        <v>522</v>
      </c>
      <c r="L287" s="55">
        <f>SUM(L270:L286)</f>
        <v>1735</v>
      </c>
      <c r="M287" s="55">
        <f>SUM(M270:M286)</f>
        <v>13417</v>
      </c>
      <c r="N287" s="54">
        <f>SUM(N270:N286)</f>
        <v>48443</v>
      </c>
    </row>
    <row r="289" spans="1:14" ht="14" thickBot="1">
      <c r="B289" s="43" t="s">
        <v>35</v>
      </c>
      <c r="C289" s="43" t="s">
        <v>36</v>
      </c>
      <c r="D289" s="43" t="s">
        <v>37</v>
      </c>
      <c r="E289" s="43" t="s">
        <v>38</v>
      </c>
      <c r="F289" s="43" t="s">
        <v>39</v>
      </c>
      <c r="G289" s="43" t="s">
        <v>40</v>
      </c>
      <c r="H289" s="43" t="s">
        <v>41</v>
      </c>
      <c r="I289" s="43" t="s">
        <v>42</v>
      </c>
      <c r="J289" s="43" t="s">
        <v>43</v>
      </c>
      <c r="K289" s="43" t="s">
        <v>44</v>
      </c>
      <c r="L289" s="43" t="s">
        <v>45</v>
      </c>
      <c r="M289" s="43" t="s">
        <v>46</v>
      </c>
      <c r="N289" s="43" t="s">
        <v>10</v>
      </c>
    </row>
    <row r="290" spans="1:14" ht="17" thickBot="1">
      <c r="A290" s="31" t="s">
        <v>263</v>
      </c>
      <c r="B290" s="285"/>
      <c r="C290" s="24"/>
      <c r="D290" s="22"/>
      <c r="E290" s="22"/>
      <c r="F290" s="25"/>
      <c r="G290" s="25"/>
      <c r="H290" s="22"/>
      <c r="I290" s="22"/>
      <c r="J290" s="22"/>
      <c r="K290" s="22"/>
      <c r="L290" s="24"/>
      <c r="M290" s="24"/>
      <c r="N290" s="26"/>
    </row>
    <row r="291" spans="1:14" ht="14" thickBot="1">
      <c r="A291" s="38" t="s">
        <v>189</v>
      </c>
      <c r="B291" s="281"/>
      <c r="C291" s="39"/>
      <c r="D291" s="39"/>
      <c r="E291" s="39"/>
      <c r="F291" s="39"/>
      <c r="G291" s="39"/>
      <c r="H291" s="39"/>
      <c r="I291" s="39"/>
      <c r="J291" s="39"/>
      <c r="K291" s="39"/>
      <c r="L291" s="39"/>
      <c r="M291" s="39"/>
      <c r="N291" s="40"/>
    </row>
    <row r="292" spans="1:14">
      <c r="A292" s="32" t="s">
        <v>29</v>
      </c>
      <c r="B292" s="1102">
        <v>105</v>
      </c>
      <c r="C292" s="1092">
        <v>75</v>
      </c>
      <c r="D292" s="1092">
        <v>129</v>
      </c>
      <c r="E292" s="1092">
        <v>176</v>
      </c>
      <c r="F292" s="1092">
        <v>48</v>
      </c>
      <c r="G292" s="1092">
        <v>22</v>
      </c>
      <c r="H292" s="1092">
        <v>45</v>
      </c>
      <c r="I292" s="1092">
        <v>7</v>
      </c>
      <c r="J292" s="1092">
        <v>24</v>
      </c>
      <c r="K292" s="1092">
        <v>1</v>
      </c>
      <c r="L292" s="1092">
        <v>6</v>
      </c>
      <c r="M292" s="1092">
        <v>2</v>
      </c>
      <c r="N292" s="27">
        <f>SUM(B292:M292)</f>
        <v>640</v>
      </c>
    </row>
    <row r="293" spans="1:14">
      <c r="A293" s="32" t="s">
        <v>33</v>
      </c>
      <c r="B293" s="1102">
        <v>37</v>
      </c>
      <c r="C293" s="1092">
        <v>24</v>
      </c>
      <c r="D293" s="1092">
        <v>24</v>
      </c>
      <c r="E293" s="1092">
        <v>30</v>
      </c>
      <c r="F293" s="1092">
        <v>8</v>
      </c>
      <c r="G293" s="1092">
        <v>10</v>
      </c>
      <c r="H293" s="1092">
        <v>6</v>
      </c>
      <c r="I293" s="1092">
        <v>31</v>
      </c>
      <c r="J293" s="1092">
        <v>33</v>
      </c>
      <c r="K293" s="1092">
        <v>9</v>
      </c>
      <c r="L293" s="1092">
        <v>15</v>
      </c>
      <c r="M293" s="1092">
        <v>45</v>
      </c>
      <c r="N293" s="27">
        <f t="shared" ref="N293:N302" si="40">SUM(B293:M293)</f>
        <v>272</v>
      </c>
    </row>
    <row r="294" spans="1:14">
      <c r="A294" s="32" t="s">
        <v>56</v>
      </c>
      <c r="B294" s="1102">
        <v>70</v>
      </c>
      <c r="C294" s="1092">
        <v>296</v>
      </c>
      <c r="D294" s="1092">
        <v>0</v>
      </c>
      <c r="E294" s="1092">
        <v>116</v>
      </c>
      <c r="F294" s="1092">
        <v>20</v>
      </c>
      <c r="G294" s="1092">
        <v>0</v>
      </c>
      <c r="H294" s="1092">
        <v>89</v>
      </c>
      <c r="I294" s="1092">
        <v>20</v>
      </c>
      <c r="J294" s="1092">
        <v>24</v>
      </c>
      <c r="K294" s="1092">
        <v>0</v>
      </c>
      <c r="L294" s="1092">
        <v>0</v>
      </c>
      <c r="M294" s="1092">
        <v>0</v>
      </c>
      <c r="N294" s="27">
        <f t="shared" si="40"/>
        <v>635</v>
      </c>
    </row>
    <row r="295" spans="1:14">
      <c r="A295" s="78" t="s">
        <v>30</v>
      </c>
      <c r="B295" s="1102">
        <v>11</v>
      </c>
      <c r="C295" s="1092">
        <v>11</v>
      </c>
      <c r="D295" s="1092">
        <v>4</v>
      </c>
      <c r="E295" s="1092">
        <v>16</v>
      </c>
      <c r="F295" s="1092">
        <v>7</v>
      </c>
      <c r="G295" s="1092">
        <v>5</v>
      </c>
      <c r="H295" s="1092">
        <v>4</v>
      </c>
      <c r="I295" s="1092">
        <v>4</v>
      </c>
      <c r="J295" s="1092">
        <v>12</v>
      </c>
      <c r="K295" s="1092">
        <v>2</v>
      </c>
      <c r="L295" s="1092">
        <v>10</v>
      </c>
      <c r="M295" s="1092">
        <v>6</v>
      </c>
      <c r="N295" s="27">
        <f t="shared" si="40"/>
        <v>92</v>
      </c>
    </row>
    <row r="296" spans="1:14">
      <c r="A296" s="76" t="s">
        <v>213</v>
      </c>
      <c r="B296" s="1102">
        <v>0</v>
      </c>
      <c r="C296" s="1092">
        <v>7</v>
      </c>
      <c r="D296" s="1092">
        <v>41</v>
      </c>
      <c r="E296" s="1092">
        <v>9</v>
      </c>
      <c r="F296" s="1092">
        <v>6</v>
      </c>
      <c r="G296" s="1092">
        <v>49</v>
      </c>
      <c r="H296" s="1092">
        <v>176</v>
      </c>
      <c r="I296" s="1092">
        <v>84</v>
      </c>
      <c r="J296" s="1092">
        <v>53</v>
      </c>
      <c r="K296" s="1092">
        <v>7</v>
      </c>
      <c r="L296" s="1092">
        <v>4</v>
      </c>
      <c r="M296" s="1092">
        <v>0</v>
      </c>
      <c r="N296" s="27">
        <f t="shared" si="40"/>
        <v>436</v>
      </c>
    </row>
    <row r="297" spans="1:14">
      <c r="A297" s="76" t="s">
        <v>212</v>
      </c>
      <c r="B297" s="1102">
        <v>16</v>
      </c>
      <c r="C297" s="1092">
        <v>33</v>
      </c>
      <c r="D297" s="1092">
        <v>18</v>
      </c>
      <c r="E297" s="1092">
        <v>9</v>
      </c>
      <c r="F297" s="1092">
        <v>7</v>
      </c>
      <c r="G297" s="1092">
        <v>250</v>
      </c>
      <c r="H297" s="1092">
        <v>6</v>
      </c>
      <c r="I297" s="1092">
        <v>3</v>
      </c>
      <c r="J297" s="1092">
        <v>25</v>
      </c>
      <c r="K297" s="1092">
        <v>4</v>
      </c>
      <c r="L297" s="1092">
        <v>34</v>
      </c>
      <c r="M297" s="1092">
        <v>5</v>
      </c>
      <c r="N297" s="27">
        <f t="shared" si="40"/>
        <v>410</v>
      </c>
    </row>
    <row r="298" spans="1:14" ht="14" thickBot="1">
      <c r="A298" s="76" t="s">
        <v>267</v>
      </c>
      <c r="B298" s="1092">
        <v>0</v>
      </c>
      <c r="C298" s="1092">
        <v>0</v>
      </c>
      <c r="D298" s="1092">
        <v>0</v>
      </c>
      <c r="E298" s="1092">
        <v>0</v>
      </c>
      <c r="F298" s="1092">
        <v>0</v>
      </c>
      <c r="G298" s="1092">
        <v>0</v>
      </c>
      <c r="H298" s="1092">
        <v>0</v>
      </c>
      <c r="I298" s="1092">
        <v>0</v>
      </c>
      <c r="J298" s="1092">
        <v>0</v>
      </c>
      <c r="K298" s="1092">
        <v>0</v>
      </c>
      <c r="L298" s="1092">
        <v>1</v>
      </c>
      <c r="M298" s="1092">
        <v>0</v>
      </c>
      <c r="N298" s="27">
        <f t="shared" si="40"/>
        <v>1</v>
      </c>
    </row>
    <row r="299" spans="1:14" ht="14" thickBot="1">
      <c r="A299" s="38" t="s">
        <v>190</v>
      </c>
      <c r="B299" s="281"/>
      <c r="C299" s="39"/>
      <c r="D299" s="39"/>
      <c r="E299" s="39"/>
      <c r="F299" s="39"/>
      <c r="G299" s="39"/>
      <c r="H299" s="39"/>
      <c r="I299" s="39"/>
      <c r="J299" s="39"/>
      <c r="K299" s="39"/>
      <c r="L299" s="39"/>
      <c r="M299" s="39"/>
      <c r="N299" s="280"/>
    </row>
    <row r="300" spans="1:14">
      <c r="A300" s="76" t="s">
        <v>165</v>
      </c>
      <c r="B300" s="1102">
        <v>0</v>
      </c>
      <c r="C300" s="1092">
        <v>0</v>
      </c>
      <c r="D300" s="1092">
        <v>0</v>
      </c>
      <c r="E300" s="1092">
        <v>0</v>
      </c>
      <c r="F300" s="1092">
        <v>0</v>
      </c>
      <c r="G300" s="1092">
        <v>0</v>
      </c>
      <c r="H300" s="1092">
        <v>0</v>
      </c>
      <c r="I300" s="1092">
        <v>0</v>
      </c>
      <c r="J300" s="1092">
        <v>0</v>
      </c>
      <c r="K300" s="1092">
        <v>0</v>
      </c>
      <c r="L300" s="1092">
        <v>0</v>
      </c>
      <c r="M300" s="1092">
        <v>6169</v>
      </c>
      <c r="N300" s="27">
        <f t="shared" si="40"/>
        <v>6169</v>
      </c>
    </row>
    <row r="301" spans="1:14">
      <c r="A301" s="76" t="s">
        <v>166</v>
      </c>
      <c r="B301" s="1102">
        <v>8</v>
      </c>
      <c r="C301" s="1092">
        <v>3</v>
      </c>
      <c r="D301" s="1092">
        <v>0</v>
      </c>
      <c r="E301" s="1092">
        <v>12</v>
      </c>
      <c r="F301" s="1092">
        <v>18</v>
      </c>
      <c r="G301" s="1092">
        <v>17</v>
      </c>
      <c r="H301" s="1092">
        <v>33</v>
      </c>
      <c r="I301" s="1092">
        <v>26</v>
      </c>
      <c r="J301" s="1092">
        <v>35</v>
      </c>
      <c r="K301" s="1092">
        <v>12</v>
      </c>
      <c r="L301" s="1092">
        <v>1</v>
      </c>
      <c r="M301" s="1092">
        <v>6</v>
      </c>
      <c r="N301" s="27">
        <f t="shared" si="40"/>
        <v>171</v>
      </c>
    </row>
    <row r="302" spans="1:14">
      <c r="A302" s="76" t="s">
        <v>193</v>
      </c>
      <c r="B302" s="1102">
        <v>5</v>
      </c>
      <c r="C302" s="1092">
        <v>3</v>
      </c>
      <c r="D302" s="1092">
        <v>0</v>
      </c>
      <c r="E302" s="1092">
        <v>0</v>
      </c>
      <c r="F302" s="1092">
        <v>0</v>
      </c>
      <c r="G302" s="1092">
        <v>0</v>
      </c>
      <c r="H302" s="1092">
        <v>2</v>
      </c>
      <c r="I302" s="1092">
        <v>0</v>
      </c>
      <c r="J302" s="1092">
        <v>0</v>
      </c>
      <c r="K302" s="1092">
        <v>0</v>
      </c>
      <c r="L302" s="1092">
        <v>0</v>
      </c>
      <c r="M302" s="1092">
        <v>0</v>
      </c>
      <c r="N302" s="27">
        <f t="shared" si="40"/>
        <v>10</v>
      </c>
    </row>
    <row r="303" spans="1:14" ht="14" thickBot="1">
      <c r="A303" s="76" t="s">
        <v>266</v>
      </c>
      <c r="B303" s="1092">
        <v>0</v>
      </c>
      <c r="C303" s="1092">
        <v>0</v>
      </c>
      <c r="D303" s="1092">
        <v>0</v>
      </c>
      <c r="E303" s="1092">
        <v>0</v>
      </c>
      <c r="F303" s="1092">
        <v>0</v>
      </c>
      <c r="G303" s="1092">
        <v>0</v>
      </c>
      <c r="H303" s="1092"/>
      <c r="I303" s="1092">
        <v>0</v>
      </c>
      <c r="J303" s="1092">
        <v>0</v>
      </c>
      <c r="K303" s="1092">
        <v>0</v>
      </c>
      <c r="L303" s="1092">
        <v>0</v>
      </c>
      <c r="M303" s="1092">
        <v>0</v>
      </c>
      <c r="N303" s="27">
        <v>0</v>
      </c>
    </row>
    <row r="304" spans="1:14" ht="14" thickBot="1">
      <c r="A304" s="53" t="s">
        <v>60</v>
      </c>
      <c r="B304" s="55">
        <f t="shared" ref="B304:L304" si="41">SUM(B292:B303)</f>
        <v>252</v>
      </c>
      <c r="C304" s="55">
        <f t="shared" si="41"/>
        <v>452</v>
      </c>
      <c r="D304" s="55">
        <f t="shared" si="41"/>
        <v>216</v>
      </c>
      <c r="E304" s="55">
        <f t="shared" si="41"/>
        <v>368</v>
      </c>
      <c r="F304" s="55">
        <f t="shared" si="41"/>
        <v>114</v>
      </c>
      <c r="G304" s="55">
        <f t="shared" si="41"/>
        <v>353</v>
      </c>
      <c r="H304" s="55">
        <f t="shared" si="41"/>
        <v>361</v>
      </c>
      <c r="I304" s="55">
        <f t="shared" si="41"/>
        <v>175</v>
      </c>
      <c r="J304" s="55">
        <f t="shared" si="41"/>
        <v>206</v>
      </c>
      <c r="K304" s="55">
        <f t="shared" si="41"/>
        <v>35</v>
      </c>
      <c r="L304" s="55">
        <f t="shared" si="41"/>
        <v>71</v>
      </c>
      <c r="M304" s="55">
        <f>SUM(M292:M303)</f>
        <v>6233</v>
      </c>
      <c r="N304" s="54">
        <f>SUM(N292:N303)</f>
        <v>8836</v>
      </c>
    </row>
    <row r="305" spans="1:14" ht="14" thickBot="1">
      <c r="A305" s="38" t="s">
        <v>194</v>
      </c>
      <c r="B305" s="281"/>
      <c r="C305" s="39"/>
      <c r="D305" s="39"/>
      <c r="E305" s="39"/>
      <c r="F305" s="39"/>
      <c r="G305" s="39"/>
      <c r="H305" s="39"/>
      <c r="I305" s="39"/>
      <c r="J305" s="39"/>
      <c r="K305" s="39"/>
      <c r="L305" s="39"/>
      <c r="M305" s="39"/>
      <c r="N305" s="40"/>
    </row>
    <row r="306" spans="1:14">
      <c r="A306" s="32" t="s">
        <v>29</v>
      </c>
      <c r="B306" s="1102">
        <v>49</v>
      </c>
      <c r="C306" s="1092">
        <v>316</v>
      </c>
      <c r="D306" s="1092">
        <v>0</v>
      </c>
      <c r="E306" s="1092">
        <v>16</v>
      </c>
      <c r="F306" s="1092">
        <v>14</v>
      </c>
      <c r="G306" s="1092">
        <v>59</v>
      </c>
      <c r="H306" s="1092">
        <v>160</v>
      </c>
      <c r="I306" s="1092">
        <v>0</v>
      </c>
      <c r="J306" s="1092">
        <v>0</v>
      </c>
      <c r="K306" s="1092">
        <f>108+1222</f>
        <v>1330</v>
      </c>
      <c r="L306" s="1092">
        <v>1400</v>
      </c>
      <c r="M306" s="1092">
        <v>0</v>
      </c>
      <c r="N306" s="27">
        <f>SUM(B306:M306)</f>
        <v>3344</v>
      </c>
    </row>
    <row r="307" spans="1:14">
      <c r="A307" s="78" t="s">
        <v>264</v>
      </c>
      <c r="B307" s="1102">
        <v>0</v>
      </c>
      <c r="C307" s="1092">
        <v>0</v>
      </c>
      <c r="D307" s="1092">
        <v>0</v>
      </c>
      <c r="E307" s="1092">
        <v>0</v>
      </c>
      <c r="F307" s="1092">
        <v>0</v>
      </c>
      <c r="G307" s="1092">
        <v>0</v>
      </c>
      <c r="H307" s="1092">
        <v>0</v>
      </c>
      <c r="I307" s="1092">
        <v>0</v>
      </c>
      <c r="J307" s="1092">
        <v>0</v>
      </c>
      <c r="K307" s="1092">
        <v>0</v>
      </c>
      <c r="L307" s="1092">
        <v>0</v>
      </c>
      <c r="M307" s="1092">
        <v>0</v>
      </c>
      <c r="N307" s="27">
        <f t="shared" ref="N307:N317" si="42">SUM(B307:M307)</f>
        <v>0</v>
      </c>
    </row>
    <row r="308" spans="1:14">
      <c r="A308" s="34" t="s">
        <v>204</v>
      </c>
      <c r="B308" s="1102">
        <v>0</v>
      </c>
      <c r="C308" s="1092">
        <v>0</v>
      </c>
      <c r="D308" s="1092">
        <v>0</v>
      </c>
      <c r="E308" s="1092">
        <v>0</v>
      </c>
      <c r="F308" s="1092">
        <v>0</v>
      </c>
      <c r="G308" s="1092">
        <v>0</v>
      </c>
      <c r="H308" s="1092">
        <v>0</v>
      </c>
      <c r="I308" s="1092">
        <v>0</v>
      </c>
      <c r="J308" s="1092">
        <v>0</v>
      </c>
      <c r="K308" s="1092">
        <v>0</v>
      </c>
      <c r="L308" s="1092">
        <v>0</v>
      </c>
      <c r="M308" s="1092">
        <v>0</v>
      </c>
      <c r="N308" s="27">
        <f t="shared" si="42"/>
        <v>0</v>
      </c>
    </row>
    <row r="309" spans="1:14">
      <c r="A309" s="76" t="s">
        <v>30</v>
      </c>
      <c r="B309" s="1102">
        <v>2</v>
      </c>
      <c r="C309" s="1092">
        <v>0</v>
      </c>
      <c r="D309" s="1092">
        <v>6</v>
      </c>
      <c r="E309" s="1092">
        <v>0</v>
      </c>
      <c r="F309" s="1092">
        <v>1</v>
      </c>
      <c r="G309" s="1092">
        <v>26</v>
      </c>
      <c r="H309" s="1092">
        <v>3</v>
      </c>
      <c r="I309" s="1092">
        <v>16</v>
      </c>
      <c r="J309" s="1092">
        <v>5</v>
      </c>
      <c r="K309" s="1092">
        <v>0</v>
      </c>
      <c r="L309" s="1092">
        <v>0</v>
      </c>
      <c r="M309" s="1092">
        <v>0</v>
      </c>
      <c r="N309" s="27">
        <f t="shared" si="42"/>
        <v>59</v>
      </c>
    </row>
    <row r="310" spans="1:14">
      <c r="A310" s="32" t="s">
        <v>56</v>
      </c>
      <c r="B310" s="1102">
        <v>2275</v>
      </c>
      <c r="C310" s="1092">
        <v>0</v>
      </c>
      <c r="D310" s="1092">
        <v>1380</v>
      </c>
      <c r="E310" s="1092">
        <v>0</v>
      </c>
      <c r="F310" s="1092">
        <v>0</v>
      </c>
      <c r="G310" s="1092">
        <v>5025</v>
      </c>
      <c r="H310" s="1092">
        <v>0</v>
      </c>
      <c r="I310" s="1092">
        <v>912</v>
      </c>
      <c r="J310" s="1092">
        <v>268</v>
      </c>
      <c r="K310" s="1092">
        <v>0</v>
      </c>
      <c r="L310" s="1092">
        <v>0</v>
      </c>
      <c r="M310" s="1092">
        <v>0</v>
      </c>
      <c r="N310" s="27">
        <f t="shared" si="42"/>
        <v>9860</v>
      </c>
    </row>
    <row r="311" spans="1:14">
      <c r="A311" s="78" t="s">
        <v>122</v>
      </c>
      <c r="B311" s="1102">
        <v>0</v>
      </c>
      <c r="C311" s="1092">
        <v>0</v>
      </c>
      <c r="D311" s="1092">
        <v>0</v>
      </c>
      <c r="E311" s="1092">
        <v>0</v>
      </c>
      <c r="F311" s="1092">
        <v>0</v>
      </c>
      <c r="G311" s="1092">
        <v>0</v>
      </c>
      <c r="H311" s="1092">
        <v>0</v>
      </c>
      <c r="I311" s="1092">
        <v>0</v>
      </c>
      <c r="J311" s="1092">
        <v>0</v>
      </c>
      <c r="K311" s="1092">
        <v>0</v>
      </c>
      <c r="L311" s="1092">
        <v>0</v>
      </c>
      <c r="M311" s="1092">
        <v>0</v>
      </c>
      <c r="N311" s="27">
        <f t="shared" si="42"/>
        <v>0</v>
      </c>
    </row>
    <row r="312" spans="1:14">
      <c r="A312" s="78" t="s">
        <v>184</v>
      </c>
      <c r="B312" s="1102">
        <v>0</v>
      </c>
      <c r="C312" s="1092">
        <v>0</v>
      </c>
      <c r="D312" s="1092">
        <v>0</v>
      </c>
      <c r="E312" s="1092">
        <v>0</v>
      </c>
      <c r="F312" s="1092">
        <v>0</v>
      </c>
      <c r="G312" s="1092">
        <v>0</v>
      </c>
      <c r="H312" s="1092">
        <v>0</v>
      </c>
      <c r="I312" s="1092">
        <v>0</v>
      </c>
      <c r="J312" s="1092">
        <v>0</v>
      </c>
      <c r="K312" s="1092">
        <v>0</v>
      </c>
      <c r="L312" s="1092">
        <v>0</v>
      </c>
      <c r="M312" s="1092">
        <v>0</v>
      </c>
      <c r="N312" s="27">
        <f t="shared" si="42"/>
        <v>0</v>
      </c>
    </row>
    <row r="313" spans="1:14" ht="12" customHeight="1">
      <c r="A313" s="78" t="s">
        <v>187</v>
      </c>
      <c r="B313" s="1102">
        <v>0</v>
      </c>
      <c r="C313" s="1092">
        <v>0</v>
      </c>
      <c r="D313" s="1092">
        <v>0</v>
      </c>
      <c r="E313" s="1092">
        <v>0</v>
      </c>
      <c r="F313" s="1092">
        <v>0</v>
      </c>
      <c r="G313" s="1092">
        <v>0</v>
      </c>
      <c r="H313" s="1092">
        <v>0</v>
      </c>
      <c r="I313" s="1092">
        <v>0</v>
      </c>
      <c r="J313" s="1092">
        <v>0</v>
      </c>
      <c r="K313" s="1092">
        <v>0</v>
      </c>
      <c r="L313" s="1092">
        <v>0</v>
      </c>
      <c r="M313" s="1092">
        <v>0</v>
      </c>
      <c r="N313" s="27">
        <f t="shared" si="42"/>
        <v>0</v>
      </c>
    </row>
    <row r="314" spans="1:14">
      <c r="A314" s="78" t="s">
        <v>188</v>
      </c>
      <c r="B314" s="1102">
        <v>0</v>
      </c>
      <c r="C314" s="1092">
        <v>0</v>
      </c>
      <c r="D314" s="1092">
        <v>0</v>
      </c>
      <c r="E314" s="1092">
        <v>1</v>
      </c>
      <c r="F314" s="1092">
        <v>1</v>
      </c>
      <c r="G314" s="1092">
        <v>0</v>
      </c>
      <c r="H314" s="1092">
        <v>0</v>
      </c>
      <c r="I314" s="1092">
        <v>0</v>
      </c>
      <c r="J314" s="1092">
        <v>1</v>
      </c>
      <c r="K314" s="1092">
        <v>1</v>
      </c>
      <c r="L314" s="1092">
        <v>0</v>
      </c>
      <c r="M314" s="1092">
        <v>0</v>
      </c>
      <c r="N314" s="27">
        <f t="shared" si="42"/>
        <v>4</v>
      </c>
    </row>
    <row r="315" spans="1:14">
      <c r="A315" s="78" t="s">
        <v>213</v>
      </c>
      <c r="B315" s="1102">
        <v>2</v>
      </c>
      <c r="C315" s="1092">
        <v>3</v>
      </c>
      <c r="D315" s="1092">
        <v>1</v>
      </c>
      <c r="E315" s="1092">
        <v>2</v>
      </c>
      <c r="F315" s="1092">
        <v>0</v>
      </c>
      <c r="G315" s="1092">
        <v>0</v>
      </c>
      <c r="H315" s="1092">
        <v>13</v>
      </c>
      <c r="I315" s="1092">
        <v>4</v>
      </c>
      <c r="J315" s="1092">
        <v>6</v>
      </c>
      <c r="K315" s="1092">
        <v>3</v>
      </c>
      <c r="L315" s="1092">
        <v>2</v>
      </c>
      <c r="M315" s="1092">
        <v>0</v>
      </c>
      <c r="N315" s="27">
        <f t="shared" si="42"/>
        <v>36</v>
      </c>
    </row>
    <row r="316" spans="1:14">
      <c r="A316" s="76" t="s">
        <v>267</v>
      </c>
      <c r="B316" s="1092">
        <v>0</v>
      </c>
      <c r="C316" s="1092">
        <v>0</v>
      </c>
      <c r="D316" s="1092">
        <v>0</v>
      </c>
      <c r="E316" s="1092">
        <v>0</v>
      </c>
      <c r="F316" s="1092">
        <v>0</v>
      </c>
      <c r="G316" s="1092">
        <v>0</v>
      </c>
      <c r="H316" s="1092">
        <v>0</v>
      </c>
      <c r="I316" s="1092">
        <v>0</v>
      </c>
      <c r="J316" s="1092">
        <v>0</v>
      </c>
      <c r="K316" s="1092">
        <v>0</v>
      </c>
      <c r="L316" s="1092">
        <v>0</v>
      </c>
      <c r="M316" s="1092">
        <v>0</v>
      </c>
      <c r="N316" s="27">
        <f t="shared" si="42"/>
        <v>0</v>
      </c>
    </row>
    <row r="317" spans="1:14" ht="14" thickBot="1">
      <c r="A317" s="32" t="s">
        <v>268</v>
      </c>
      <c r="B317" s="1102">
        <v>0</v>
      </c>
      <c r="C317" s="1092">
        <v>0</v>
      </c>
      <c r="D317" s="1092">
        <v>0</v>
      </c>
      <c r="E317" s="1092">
        <v>0</v>
      </c>
      <c r="F317" s="1092">
        <v>0</v>
      </c>
      <c r="G317" s="1092">
        <v>0</v>
      </c>
      <c r="H317" s="1092">
        <v>0</v>
      </c>
      <c r="I317" s="1092">
        <v>0</v>
      </c>
      <c r="J317" s="1092">
        <v>0</v>
      </c>
      <c r="K317" s="1092">
        <v>1728</v>
      </c>
      <c r="L317" s="1092">
        <v>0</v>
      </c>
      <c r="M317" s="1092">
        <v>450</v>
      </c>
      <c r="N317" s="27">
        <f t="shared" si="42"/>
        <v>2178</v>
      </c>
    </row>
    <row r="318" spans="1:14" ht="14" thickBot="1">
      <c r="A318" s="38" t="s">
        <v>192</v>
      </c>
      <c r="B318" s="281"/>
      <c r="C318" s="39"/>
      <c r="D318" s="39"/>
      <c r="E318" s="39"/>
      <c r="F318" s="39"/>
      <c r="G318" s="39"/>
      <c r="H318" s="39"/>
      <c r="I318" s="39"/>
      <c r="J318" s="39"/>
      <c r="K318" s="39"/>
      <c r="L318" s="39"/>
      <c r="M318" s="39"/>
      <c r="N318" s="280"/>
    </row>
    <row r="319" spans="1:14" ht="14" thickBot="1">
      <c r="A319" s="32" t="s">
        <v>165</v>
      </c>
      <c r="B319" s="1102">
        <v>0</v>
      </c>
      <c r="C319" s="1092">
        <v>0</v>
      </c>
      <c r="D319" s="1092">
        <v>0</v>
      </c>
      <c r="E319" s="1092">
        <v>0</v>
      </c>
      <c r="F319" s="1092">
        <v>0</v>
      </c>
      <c r="G319" s="1092">
        <v>0</v>
      </c>
      <c r="H319" s="1092">
        <v>0</v>
      </c>
      <c r="I319" s="1092">
        <v>0</v>
      </c>
      <c r="J319" s="1092">
        <v>0</v>
      </c>
      <c r="K319" s="1092">
        <v>0</v>
      </c>
      <c r="L319" s="1092">
        <v>0</v>
      </c>
      <c r="M319" s="1092">
        <v>6340</v>
      </c>
      <c r="N319" s="27">
        <f>SUM(B319:M319)</f>
        <v>6340</v>
      </c>
    </row>
    <row r="320" spans="1:14" ht="14" thickBot="1">
      <c r="A320" s="53" t="s">
        <v>60</v>
      </c>
      <c r="B320" s="55">
        <f t="shared" ref="B320:L320" si="43">SUM(B306:B319)</f>
        <v>2328</v>
      </c>
      <c r="C320" s="55">
        <f t="shared" si="43"/>
        <v>319</v>
      </c>
      <c r="D320" s="55">
        <f t="shared" si="43"/>
        <v>1387</v>
      </c>
      <c r="E320" s="55">
        <f t="shared" si="43"/>
        <v>19</v>
      </c>
      <c r="F320" s="55">
        <f t="shared" si="43"/>
        <v>16</v>
      </c>
      <c r="G320" s="55">
        <f t="shared" si="43"/>
        <v>5110</v>
      </c>
      <c r="H320" s="55">
        <f t="shared" si="43"/>
        <v>176</v>
      </c>
      <c r="I320" s="55">
        <f t="shared" si="43"/>
        <v>932</v>
      </c>
      <c r="J320" s="55">
        <f t="shared" si="43"/>
        <v>280</v>
      </c>
      <c r="K320" s="55">
        <f t="shared" si="43"/>
        <v>3062</v>
      </c>
      <c r="L320" s="55">
        <f t="shared" si="43"/>
        <v>1402</v>
      </c>
      <c r="M320" s="55">
        <f>SUM(M306:M319)</f>
        <v>6790</v>
      </c>
      <c r="N320" s="54">
        <f>SUM(N306:N319)</f>
        <v>21821</v>
      </c>
    </row>
    <row r="322" spans="1:14" ht="14" thickBot="1">
      <c r="B322" s="43" t="s">
        <v>35</v>
      </c>
      <c r="C322" s="43" t="s">
        <v>36</v>
      </c>
      <c r="D322" s="43" t="s">
        <v>37</v>
      </c>
      <c r="E322" s="43" t="s">
        <v>38</v>
      </c>
      <c r="F322" s="43" t="s">
        <v>39</v>
      </c>
      <c r="G322" s="43" t="s">
        <v>40</v>
      </c>
      <c r="H322" s="43" t="s">
        <v>41</v>
      </c>
      <c r="I322" s="43" t="s">
        <v>42</v>
      </c>
      <c r="J322" s="43" t="s">
        <v>43</v>
      </c>
      <c r="K322" s="43" t="s">
        <v>44</v>
      </c>
      <c r="L322" s="43" t="s">
        <v>45</v>
      </c>
      <c r="M322" s="43" t="s">
        <v>46</v>
      </c>
      <c r="N322" s="43" t="s">
        <v>10</v>
      </c>
    </row>
    <row r="323" spans="1:14" ht="17" thickBot="1">
      <c r="A323" s="31" t="s">
        <v>317</v>
      </c>
      <c r="B323" s="285"/>
      <c r="C323" s="24"/>
      <c r="D323" s="22"/>
      <c r="E323" s="22"/>
      <c r="F323" s="25"/>
      <c r="G323" s="25"/>
      <c r="H323" s="22"/>
      <c r="I323" s="22"/>
      <c r="J323" s="22"/>
      <c r="K323" s="22"/>
      <c r="L323" s="24"/>
      <c r="M323" s="24"/>
      <c r="N323" s="26"/>
    </row>
    <row r="324" spans="1:14" ht="14" thickBot="1">
      <c r="A324" s="38" t="s">
        <v>189</v>
      </c>
      <c r="B324" s="281"/>
      <c r="C324" s="39"/>
      <c r="D324" s="39"/>
      <c r="E324" s="39"/>
      <c r="F324" s="39"/>
      <c r="G324" s="39"/>
      <c r="H324" s="39"/>
      <c r="I324" s="39"/>
      <c r="J324" s="39"/>
      <c r="K324" s="39"/>
      <c r="L324" s="39"/>
      <c r="M324" s="39"/>
      <c r="N324" s="40"/>
    </row>
    <row r="325" spans="1:14">
      <c r="A325" s="32" t="s">
        <v>29</v>
      </c>
      <c r="B325" s="1102">
        <v>3</v>
      </c>
      <c r="C325" s="1092">
        <v>0</v>
      </c>
      <c r="D325" s="1092">
        <v>9</v>
      </c>
      <c r="E325" s="1092">
        <v>11</v>
      </c>
      <c r="F325" s="1092">
        <v>17</v>
      </c>
      <c r="G325" s="1092">
        <v>0</v>
      </c>
      <c r="H325" s="1092">
        <v>9</v>
      </c>
      <c r="I325" s="1092">
        <v>4</v>
      </c>
      <c r="J325" s="1092">
        <v>0</v>
      </c>
      <c r="K325" s="1092">
        <v>0</v>
      </c>
      <c r="L325" s="1092">
        <v>4</v>
      </c>
      <c r="M325" s="1092">
        <v>0</v>
      </c>
      <c r="N325" s="27">
        <f>SUM(B325:M325)</f>
        <v>57</v>
      </c>
    </row>
    <row r="326" spans="1:14">
      <c r="A326" s="32" t="s">
        <v>33</v>
      </c>
      <c r="B326" s="1102">
        <v>22</v>
      </c>
      <c r="C326" s="1092">
        <v>6</v>
      </c>
      <c r="D326" s="1092">
        <v>33</v>
      </c>
      <c r="E326" s="1092">
        <v>30</v>
      </c>
      <c r="F326" s="1092">
        <v>19</v>
      </c>
      <c r="G326" s="1092">
        <v>8</v>
      </c>
      <c r="H326" s="1092">
        <v>9</v>
      </c>
      <c r="I326" s="1092">
        <v>39</v>
      </c>
      <c r="J326" s="1092">
        <v>13</v>
      </c>
      <c r="K326" s="1092">
        <v>17</v>
      </c>
      <c r="L326" s="1092">
        <v>8</v>
      </c>
      <c r="M326" s="1092">
        <v>20</v>
      </c>
      <c r="N326" s="27">
        <f t="shared" ref="N326:N332" si="44">SUM(B326:M326)</f>
        <v>224</v>
      </c>
    </row>
    <row r="327" spans="1:14">
      <c r="A327" s="32" t="s">
        <v>56</v>
      </c>
      <c r="B327" s="1102">
        <v>0</v>
      </c>
      <c r="C327" s="1092">
        <v>30</v>
      </c>
      <c r="D327" s="1092">
        <v>37</v>
      </c>
      <c r="E327" s="1092">
        <v>0</v>
      </c>
      <c r="F327" s="1092">
        <v>66</v>
      </c>
      <c r="G327" s="1092">
        <v>0</v>
      </c>
      <c r="H327" s="1092">
        <v>58</v>
      </c>
      <c r="I327" s="1092">
        <v>0</v>
      </c>
      <c r="J327" s="1092">
        <v>0</v>
      </c>
      <c r="K327" s="1092">
        <v>30</v>
      </c>
      <c r="L327" s="1092">
        <v>0</v>
      </c>
      <c r="M327" s="1092">
        <v>0</v>
      </c>
      <c r="N327" s="27">
        <f t="shared" si="44"/>
        <v>221</v>
      </c>
    </row>
    <row r="328" spans="1:14">
      <c r="A328" s="78" t="s">
        <v>30</v>
      </c>
      <c r="B328" s="1102">
        <v>21</v>
      </c>
      <c r="C328" s="1092">
        <v>6</v>
      </c>
      <c r="D328" s="1092">
        <v>22</v>
      </c>
      <c r="E328" s="1092">
        <v>3</v>
      </c>
      <c r="F328" s="1092">
        <v>15</v>
      </c>
      <c r="G328" s="1092">
        <v>2</v>
      </c>
      <c r="H328" s="1092">
        <v>2</v>
      </c>
      <c r="I328" s="1092">
        <v>14</v>
      </c>
      <c r="J328" s="1092">
        <v>0</v>
      </c>
      <c r="K328" s="1092">
        <v>8</v>
      </c>
      <c r="L328" s="1092">
        <v>21</v>
      </c>
      <c r="M328" s="1092">
        <v>9</v>
      </c>
      <c r="N328" s="27">
        <f t="shared" si="44"/>
        <v>123</v>
      </c>
    </row>
    <row r="329" spans="1:14">
      <c r="A329" s="76" t="s">
        <v>213</v>
      </c>
      <c r="B329" s="1102">
        <v>1</v>
      </c>
      <c r="C329" s="1092">
        <v>4</v>
      </c>
      <c r="D329" s="1092">
        <v>8</v>
      </c>
      <c r="E329" s="1092">
        <v>10</v>
      </c>
      <c r="F329" s="1092">
        <v>11</v>
      </c>
      <c r="G329" s="1092">
        <v>5</v>
      </c>
      <c r="H329" s="1092">
        <v>8</v>
      </c>
      <c r="I329" s="1092">
        <v>3</v>
      </c>
      <c r="J329" s="1092">
        <v>15</v>
      </c>
      <c r="K329" s="1092">
        <v>6</v>
      </c>
      <c r="L329" s="1092">
        <v>2</v>
      </c>
      <c r="M329" s="1092">
        <v>2</v>
      </c>
      <c r="N329" s="27">
        <f t="shared" si="44"/>
        <v>75</v>
      </c>
    </row>
    <row r="330" spans="1:14">
      <c r="A330" s="76" t="s">
        <v>212</v>
      </c>
      <c r="B330" s="1102">
        <v>8</v>
      </c>
      <c r="C330" s="1092">
        <v>2</v>
      </c>
      <c r="D330" s="1092">
        <v>9</v>
      </c>
      <c r="E330" s="1092">
        <v>3</v>
      </c>
      <c r="F330" s="1092">
        <v>2</v>
      </c>
      <c r="G330" s="1092">
        <v>0</v>
      </c>
      <c r="H330" s="1092">
        <v>0</v>
      </c>
      <c r="I330" s="1092">
        <v>6</v>
      </c>
      <c r="J330" s="1092">
        <v>2</v>
      </c>
      <c r="K330" s="1092">
        <v>0</v>
      </c>
      <c r="L330" s="1092">
        <v>2</v>
      </c>
      <c r="M330" s="1092">
        <v>0</v>
      </c>
      <c r="N330" s="27">
        <f t="shared" si="44"/>
        <v>34</v>
      </c>
    </row>
    <row r="331" spans="1:14">
      <c r="A331" s="76" t="s">
        <v>331</v>
      </c>
      <c r="B331" s="1092">
        <v>0</v>
      </c>
      <c r="C331" s="1092">
        <v>0</v>
      </c>
      <c r="D331" s="1092">
        <v>0</v>
      </c>
      <c r="E331" s="1092">
        <v>0</v>
      </c>
      <c r="F331" s="1092">
        <v>0</v>
      </c>
      <c r="G331" s="1092">
        <v>0</v>
      </c>
      <c r="H331" s="1092">
        <v>0</v>
      </c>
      <c r="I331" s="1092">
        <v>0</v>
      </c>
      <c r="J331" s="1092">
        <v>1</v>
      </c>
      <c r="K331" s="1092">
        <v>0</v>
      </c>
      <c r="L331" s="1092">
        <v>0</v>
      </c>
      <c r="M331" s="1092">
        <v>0</v>
      </c>
      <c r="N331" s="27">
        <f t="shared" si="44"/>
        <v>1</v>
      </c>
    </row>
    <row r="332" spans="1:14" ht="14" thickBot="1">
      <c r="A332" s="76" t="s">
        <v>267</v>
      </c>
      <c r="B332" s="1092">
        <v>0</v>
      </c>
      <c r="C332" s="1092">
        <v>0</v>
      </c>
      <c r="D332" s="1092">
        <v>0</v>
      </c>
      <c r="E332" s="1092">
        <v>0</v>
      </c>
      <c r="F332" s="1092">
        <v>0</v>
      </c>
      <c r="G332" s="1092">
        <v>0</v>
      </c>
      <c r="H332" s="1092">
        <v>0</v>
      </c>
      <c r="I332" s="1092">
        <v>0</v>
      </c>
      <c r="J332" s="1092">
        <v>0</v>
      </c>
      <c r="K332" s="1092">
        <v>0</v>
      </c>
      <c r="L332" s="1092">
        <v>0</v>
      </c>
      <c r="M332" s="1092">
        <v>0</v>
      </c>
      <c r="N332" s="27">
        <f t="shared" si="44"/>
        <v>0</v>
      </c>
    </row>
    <row r="333" spans="1:14" ht="14" thickBot="1">
      <c r="A333" s="38" t="s">
        <v>190</v>
      </c>
      <c r="B333" s="281"/>
      <c r="C333" s="39"/>
      <c r="D333" s="39"/>
      <c r="E333" s="39"/>
      <c r="F333" s="39"/>
      <c r="G333" s="39"/>
      <c r="H333" s="39"/>
      <c r="I333" s="39"/>
      <c r="J333" s="39"/>
      <c r="K333" s="39"/>
      <c r="L333" s="39"/>
      <c r="M333" s="39"/>
      <c r="N333" s="280"/>
    </row>
    <row r="334" spans="1:14">
      <c r="A334" s="76" t="s">
        <v>165</v>
      </c>
      <c r="B334" s="1102">
        <v>0</v>
      </c>
      <c r="C334" s="1092">
        <v>0</v>
      </c>
      <c r="D334" s="1092">
        <v>325</v>
      </c>
      <c r="E334" s="1092">
        <v>100</v>
      </c>
      <c r="F334" s="1092">
        <v>50</v>
      </c>
      <c r="G334" s="1092">
        <v>50</v>
      </c>
      <c r="H334" s="1092">
        <v>25</v>
      </c>
      <c r="I334" s="1092">
        <v>0</v>
      </c>
      <c r="J334" s="1092">
        <v>59</v>
      </c>
      <c r="K334" s="1092">
        <v>50</v>
      </c>
      <c r="L334" s="1092">
        <v>300</v>
      </c>
      <c r="M334" s="1092">
        <v>0</v>
      </c>
      <c r="N334" s="27">
        <f t="shared" ref="N334:N336" si="45">SUM(B334:M334)</f>
        <v>959</v>
      </c>
    </row>
    <row r="335" spans="1:14">
      <c r="A335" s="76" t="s">
        <v>166</v>
      </c>
      <c r="B335" s="1102">
        <v>14</v>
      </c>
      <c r="C335" s="1092">
        <v>11</v>
      </c>
      <c r="D335" s="1092">
        <v>4</v>
      </c>
      <c r="E335" s="1092">
        <v>8</v>
      </c>
      <c r="F335" s="1092">
        <v>8</v>
      </c>
      <c r="G335" s="1092">
        <v>2</v>
      </c>
      <c r="H335" s="1092">
        <v>6</v>
      </c>
      <c r="I335" s="1092">
        <v>4</v>
      </c>
      <c r="J335" s="1092">
        <v>4</v>
      </c>
      <c r="K335" s="1092">
        <v>4</v>
      </c>
      <c r="L335" s="1092">
        <v>7</v>
      </c>
      <c r="M335" s="1092">
        <v>4</v>
      </c>
      <c r="N335" s="27">
        <f t="shared" si="45"/>
        <v>76</v>
      </c>
    </row>
    <row r="336" spans="1:14">
      <c r="A336" s="76" t="s">
        <v>336</v>
      </c>
      <c r="B336" s="1092">
        <v>6</v>
      </c>
      <c r="C336" s="1092">
        <v>16</v>
      </c>
      <c r="D336" s="1092">
        <v>13</v>
      </c>
      <c r="E336" s="1092">
        <v>7</v>
      </c>
      <c r="F336" s="1092">
        <v>6</v>
      </c>
      <c r="G336" s="1092">
        <v>3</v>
      </c>
      <c r="H336" s="1092">
        <v>1</v>
      </c>
      <c r="I336" s="1092">
        <v>4</v>
      </c>
      <c r="J336" s="1092">
        <v>2</v>
      </c>
      <c r="K336" s="1092">
        <v>3</v>
      </c>
      <c r="L336" s="1092">
        <v>9</v>
      </c>
      <c r="M336" s="1092">
        <v>3</v>
      </c>
      <c r="N336" s="27">
        <f t="shared" si="45"/>
        <v>73</v>
      </c>
    </row>
    <row r="337" spans="1:15" ht="14" thickBot="1">
      <c r="A337" s="76" t="s">
        <v>266</v>
      </c>
      <c r="B337" s="1092">
        <v>0</v>
      </c>
      <c r="C337" s="1092">
        <v>11</v>
      </c>
      <c r="D337" s="1092">
        <v>2</v>
      </c>
      <c r="E337" s="1092">
        <v>4</v>
      </c>
      <c r="F337" s="1092">
        <v>1</v>
      </c>
      <c r="G337" s="1092">
        <v>2</v>
      </c>
      <c r="H337" s="1092">
        <v>3</v>
      </c>
      <c r="I337" s="1092">
        <v>12</v>
      </c>
      <c r="J337" s="1092">
        <v>2</v>
      </c>
      <c r="K337" s="1092">
        <v>4</v>
      </c>
      <c r="L337" s="1092">
        <v>1</v>
      </c>
      <c r="M337" s="1092">
        <v>0</v>
      </c>
      <c r="N337" s="27">
        <f>SUM(B337:M337)</f>
        <v>42</v>
      </c>
      <c r="O337" s="424"/>
    </row>
    <row r="338" spans="1:15" ht="14" thickBot="1">
      <c r="A338" s="53" t="s">
        <v>60</v>
      </c>
      <c r="B338" s="55">
        <f t="shared" ref="B338:N338" si="46">SUM(B325:B337)</f>
        <v>75</v>
      </c>
      <c r="C338" s="55">
        <f t="shared" si="46"/>
        <v>86</v>
      </c>
      <c r="D338" s="55">
        <f t="shared" si="46"/>
        <v>462</v>
      </c>
      <c r="E338" s="55">
        <f t="shared" si="46"/>
        <v>176</v>
      </c>
      <c r="F338" s="55">
        <f t="shared" si="46"/>
        <v>195</v>
      </c>
      <c r="G338" s="55">
        <f t="shared" si="46"/>
        <v>72</v>
      </c>
      <c r="H338" s="55">
        <f t="shared" si="46"/>
        <v>121</v>
      </c>
      <c r="I338" s="55">
        <f t="shared" si="46"/>
        <v>86</v>
      </c>
      <c r="J338" s="55">
        <f t="shared" si="46"/>
        <v>98</v>
      </c>
      <c r="K338" s="55">
        <f t="shared" si="46"/>
        <v>122</v>
      </c>
      <c r="L338" s="55">
        <f t="shared" si="46"/>
        <v>354</v>
      </c>
      <c r="M338" s="55">
        <f t="shared" si="46"/>
        <v>38</v>
      </c>
      <c r="N338" s="54">
        <f t="shared" si="46"/>
        <v>1885</v>
      </c>
    </row>
    <row r="339" spans="1:15" ht="14" thickBot="1">
      <c r="A339" s="53"/>
      <c r="B339" s="55"/>
      <c r="C339" s="55"/>
      <c r="D339" s="55"/>
      <c r="E339" s="55"/>
      <c r="F339" s="55"/>
      <c r="G339" s="55"/>
      <c r="H339" s="55"/>
      <c r="I339" s="55"/>
      <c r="J339" s="55"/>
      <c r="K339" s="55"/>
      <c r="L339" s="55"/>
      <c r="M339" s="55"/>
      <c r="N339" s="54"/>
    </row>
    <row r="340" spans="1:15" ht="14" thickBot="1">
      <c r="A340" s="38" t="s">
        <v>194</v>
      </c>
      <c r="B340" s="281"/>
      <c r="C340" s="39"/>
      <c r="D340" s="39"/>
      <c r="E340" s="39"/>
      <c r="F340" s="39"/>
      <c r="G340" s="39"/>
      <c r="H340" s="39"/>
      <c r="I340" s="39"/>
      <c r="J340" s="39"/>
      <c r="K340" s="39"/>
      <c r="L340" s="39"/>
      <c r="M340" s="39"/>
      <c r="N340" s="40"/>
    </row>
    <row r="341" spans="1:15">
      <c r="A341" s="32" t="s">
        <v>29</v>
      </c>
      <c r="B341" s="1102">
        <v>0</v>
      </c>
      <c r="C341" s="1092">
        <v>31</v>
      </c>
      <c r="D341" s="1092">
        <v>0</v>
      </c>
      <c r="E341" s="1092">
        <v>0</v>
      </c>
      <c r="F341" s="1092">
        <v>0</v>
      </c>
      <c r="G341" s="1092">
        <v>0</v>
      </c>
      <c r="H341" s="1092">
        <v>0</v>
      </c>
      <c r="I341" s="1092">
        <v>64</v>
      </c>
      <c r="J341" s="1092">
        <v>0</v>
      </c>
      <c r="K341" s="1092">
        <v>0</v>
      </c>
      <c r="L341" s="1092">
        <v>0</v>
      </c>
      <c r="M341" s="1092">
        <v>0</v>
      </c>
      <c r="N341" s="27">
        <f>SUM(B341:M341)</f>
        <v>95</v>
      </c>
    </row>
    <row r="342" spans="1:15">
      <c r="A342" s="78" t="s">
        <v>264</v>
      </c>
      <c r="B342" s="1102">
        <v>0</v>
      </c>
      <c r="C342" s="1092">
        <v>0</v>
      </c>
      <c r="D342" s="1092">
        <v>0</v>
      </c>
      <c r="E342" s="1092">
        <v>0</v>
      </c>
      <c r="F342" s="1092">
        <v>0</v>
      </c>
      <c r="G342" s="1092">
        <v>0</v>
      </c>
      <c r="H342" s="1092">
        <v>0</v>
      </c>
      <c r="I342" s="1092">
        <v>0</v>
      </c>
      <c r="J342" s="1092">
        <v>0</v>
      </c>
      <c r="K342" s="1092">
        <v>0</v>
      </c>
      <c r="L342" s="1092">
        <v>0</v>
      </c>
      <c r="M342" s="1092">
        <v>0</v>
      </c>
      <c r="N342" s="27">
        <f t="shared" ref="N342:N352" si="47">SUM(B342:M342)</f>
        <v>0</v>
      </c>
    </row>
    <row r="343" spans="1:15">
      <c r="A343" s="34" t="s">
        <v>204</v>
      </c>
      <c r="B343" s="1102">
        <v>0</v>
      </c>
      <c r="C343" s="1092">
        <v>0</v>
      </c>
      <c r="D343" s="1092">
        <v>0</v>
      </c>
      <c r="E343" s="1092">
        <v>0</v>
      </c>
      <c r="F343" s="1092">
        <v>0</v>
      </c>
      <c r="G343" s="1092">
        <v>0</v>
      </c>
      <c r="H343" s="1092">
        <v>0</v>
      </c>
      <c r="I343" s="1092">
        <v>0</v>
      </c>
      <c r="J343" s="1092">
        <v>0</v>
      </c>
      <c r="K343" s="1092">
        <v>0</v>
      </c>
      <c r="L343" s="1092">
        <v>0</v>
      </c>
      <c r="M343" s="1092">
        <v>0</v>
      </c>
      <c r="N343" s="27">
        <f t="shared" si="47"/>
        <v>0</v>
      </c>
    </row>
    <row r="344" spans="1:15">
      <c r="A344" s="76" t="s">
        <v>30</v>
      </c>
      <c r="B344" s="1102">
        <v>2</v>
      </c>
      <c r="C344" s="1092">
        <v>0</v>
      </c>
      <c r="D344" s="1092">
        <v>19</v>
      </c>
      <c r="E344" s="1092">
        <v>0</v>
      </c>
      <c r="F344" s="1092">
        <v>0</v>
      </c>
      <c r="G344" s="1092">
        <v>0</v>
      </c>
      <c r="H344" s="1092">
        <v>3</v>
      </c>
      <c r="I344" s="1092">
        <v>2</v>
      </c>
      <c r="J344" s="1092">
        <v>0</v>
      </c>
      <c r="K344" s="1092">
        <v>3</v>
      </c>
      <c r="L344" s="1092">
        <v>4</v>
      </c>
      <c r="M344" s="1092">
        <v>1</v>
      </c>
      <c r="N344" s="27">
        <f t="shared" si="47"/>
        <v>34</v>
      </c>
    </row>
    <row r="345" spans="1:15">
      <c r="A345" s="32" t="s">
        <v>56</v>
      </c>
      <c r="B345" s="1102">
        <v>0</v>
      </c>
      <c r="C345" s="1092">
        <v>0</v>
      </c>
      <c r="D345" s="1092">
        <v>0</v>
      </c>
      <c r="E345" s="1092">
        <v>0</v>
      </c>
      <c r="F345" s="1092">
        <v>0</v>
      </c>
      <c r="G345" s="1092">
        <v>0</v>
      </c>
      <c r="H345" s="1092">
        <v>0</v>
      </c>
      <c r="I345" s="1092">
        <v>0</v>
      </c>
      <c r="J345" s="1092">
        <v>0</v>
      </c>
      <c r="K345" s="1092">
        <v>0</v>
      </c>
      <c r="L345" s="1092">
        <v>0</v>
      </c>
      <c r="M345" s="1092">
        <v>0</v>
      </c>
      <c r="N345" s="27">
        <f t="shared" si="47"/>
        <v>0</v>
      </c>
    </row>
    <row r="346" spans="1:15">
      <c r="A346" s="78" t="s">
        <v>122</v>
      </c>
      <c r="B346" s="1102">
        <v>0</v>
      </c>
      <c r="C346" s="1092">
        <v>0</v>
      </c>
      <c r="D346" s="1092">
        <v>0</v>
      </c>
      <c r="E346" s="1092">
        <v>0</v>
      </c>
      <c r="F346" s="1092">
        <v>0</v>
      </c>
      <c r="G346" s="1092">
        <v>0</v>
      </c>
      <c r="H346" s="1092">
        <v>0</v>
      </c>
      <c r="I346" s="1092">
        <v>0</v>
      </c>
      <c r="J346" s="1092">
        <v>0</v>
      </c>
      <c r="K346" s="1092">
        <v>0</v>
      </c>
      <c r="L346" s="1092">
        <v>0</v>
      </c>
      <c r="M346" s="1092">
        <v>0</v>
      </c>
      <c r="N346" s="27">
        <f t="shared" si="47"/>
        <v>0</v>
      </c>
    </row>
    <row r="347" spans="1:15">
      <c r="A347" s="78" t="s">
        <v>184</v>
      </c>
      <c r="B347" s="1102">
        <v>0</v>
      </c>
      <c r="C347" s="1092">
        <v>0</v>
      </c>
      <c r="D347" s="1092">
        <v>0</v>
      </c>
      <c r="E347" s="1092">
        <v>0</v>
      </c>
      <c r="F347" s="1092">
        <v>0</v>
      </c>
      <c r="G347" s="1092">
        <v>0</v>
      </c>
      <c r="H347" s="1092">
        <v>0</v>
      </c>
      <c r="I347" s="1092">
        <v>0</v>
      </c>
      <c r="J347" s="1092">
        <v>0</v>
      </c>
      <c r="K347" s="1092">
        <v>0</v>
      </c>
      <c r="L347" s="1092">
        <v>0</v>
      </c>
      <c r="M347" s="1092">
        <v>0</v>
      </c>
      <c r="N347" s="27">
        <f t="shared" si="47"/>
        <v>0</v>
      </c>
    </row>
    <row r="348" spans="1:15">
      <c r="A348" s="78" t="s">
        <v>187</v>
      </c>
      <c r="B348" s="1102">
        <v>0</v>
      </c>
      <c r="C348" s="1092">
        <v>0</v>
      </c>
      <c r="D348" s="1092">
        <v>0</v>
      </c>
      <c r="E348" s="1092">
        <v>0</v>
      </c>
      <c r="F348" s="1092">
        <v>0</v>
      </c>
      <c r="G348" s="1092">
        <v>0</v>
      </c>
      <c r="H348" s="1092">
        <v>0</v>
      </c>
      <c r="I348" s="1092">
        <v>0</v>
      </c>
      <c r="J348" s="1092">
        <v>0</v>
      </c>
      <c r="K348" s="1092">
        <v>0</v>
      </c>
      <c r="L348" s="1092">
        <v>0</v>
      </c>
      <c r="M348" s="1092">
        <v>0</v>
      </c>
      <c r="N348" s="27">
        <f t="shared" si="47"/>
        <v>0</v>
      </c>
    </row>
    <row r="349" spans="1:15">
      <c r="A349" s="78" t="s">
        <v>188</v>
      </c>
      <c r="B349" s="1102">
        <v>0</v>
      </c>
      <c r="C349" s="1092">
        <v>0</v>
      </c>
      <c r="D349" s="1092">
        <v>0</v>
      </c>
      <c r="E349" s="1092">
        <v>0</v>
      </c>
      <c r="F349" s="1092">
        <v>0</v>
      </c>
      <c r="G349" s="1092">
        <v>0</v>
      </c>
      <c r="H349" s="1092">
        <v>0</v>
      </c>
      <c r="I349" s="1092">
        <v>0</v>
      </c>
      <c r="J349" s="1092">
        <v>0</v>
      </c>
      <c r="K349" s="1092">
        <v>0</v>
      </c>
      <c r="L349" s="1092">
        <v>0</v>
      </c>
      <c r="M349" s="1092">
        <v>0</v>
      </c>
      <c r="N349" s="27">
        <f t="shared" si="47"/>
        <v>0</v>
      </c>
    </row>
    <row r="350" spans="1:15">
      <c r="A350" s="78" t="s">
        <v>213</v>
      </c>
      <c r="B350" s="1102">
        <v>1</v>
      </c>
      <c r="C350" s="1092">
        <v>0</v>
      </c>
      <c r="D350" s="1092">
        <v>1</v>
      </c>
      <c r="E350" s="1092">
        <v>0</v>
      </c>
      <c r="F350" s="1092">
        <v>0</v>
      </c>
      <c r="G350" s="1092">
        <v>0</v>
      </c>
      <c r="H350" s="1092">
        <v>0</v>
      </c>
      <c r="I350" s="1092">
        <v>0</v>
      </c>
      <c r="J350" s="1092">
        <v>0</v>
      </c>
      <c r="K350" s="1092">
        <v>0</v>
      </c>
      <c r="L350" s="1092">
        <v>1</v>
      </c>
      <c r="M350" s="1092">
        <v>0</v>
      </c>
      <c r="N350" s="27">
        <f t="shared" si="47"/>
        <v>3</v>
      </c>
    </row>
    <row r="351" spans="1:15">
      <c r="A351" s="76" t="s">
        <v>267</v>
      </c>
      <c r="B351" s="1092">
        <v>0</v>
      </c>
      <c r="C351" s="1092">
        <v>0</v>
      </c>
      <c r="D351" s="1092">
        <v>0</v>
      </c>
      <c r="E351" s="1092">
        <v>0</v>
      </c>
      <c r="F351" s="1092">
        <v>0</v>
      </c>
      <c r="G351" s="1092">
        <v>0</v>
      </c>
      <c r="H351" s="1092">
        <v>0</v>
      </c>
      <c r="I351" s="1092">
        <v>0</v>
      </c>
      <c r="J351" s="1092">
        <v>0</v>
      </c>
      <c r="K351" s="1092">
        <v>0</v>
      </c>
      <c r="L351" s="1092">
        <v>0</v>
      </c>
      <c r="M351" s="1092">
        <v>0</v>
      </c>
      <c r="N351" s="27">
        <f t="shared" si="47"/>
        <v>0</v>
      </c>
    </row>
    <row r="352" spans="1:15" ht="14" thickBot="1">
      <c r="A352" s="32" t="s">
        <v>268</v>
      </c>
      <c r="B352" s="1102">
        <v>0</v>
      </c>
      <c r="C352" s="1092">
        <v>480</v>
      </c>
      <c r="D352" s="1092">
        <v>70</v>
      </c>
      <c r="E352" s="1092">
        <v>0</v>
      </c>
      <c r="F352" s="1092">
        <v>0</v>
      </c>
      <c r="G352" s="1092">
        <v>0</v>
      </c>
      <c r="H352" s="1092">
        <v>0</v>
      </c>
      <c r="I352" s="1092">
        <v>0</v>
      </c>
      <c r="J352" s="1092">
        <v>0</v>
      </c>
      <c r="K352" s="1092">
        <v>0</v>
      </c>
      <c r="L352" s="1092">
        <v>0</v>
      </c>
      <c r="M352" s="1092">
        <v>0</v>
      </c>
      <c r="N352" s="27">
        <f t="shared" si="47"/>
        <v>550</v>
      </c>
    </row>
    <row r="353" spans="1:14" ht="14" thickBot="1">
      <c r="A353" s="38" t="s">
        <v>192</v>
      </c>
      <c r="B353" s="281"/>
      <c r="C353" s="39"/>
      <c r="D353" s="39"/>
      <c r="E353" s="39"/>
      <c r="F353" s="39"/>
      <c r="G353" s="39"/>
      <c r="H353" s="39"/>
      <c r="I353" s="39"/>
      <c r="J353" s="39"/>
      <c r="K353" s="39"/>
      <c r="L353" s="39"/>
      <c r="M353" s="39"/>
      <c r="N353" s="280"/>
    </row>
    <row r="354" spans="1:14" ht="14" thickBot="1">
      <c r="A354" s="32" t="s">
        <v>165</v>
      </c>
      <c r="B354" s="1102">
        <v>0</v>
      </c>
      <c r="C354" s="1092">
        <v>0</v>
      </c>
      <c r="D354" s="1092">
        <v>4000</v>
      </c>
      <c r="E354" s="1092">
        <v>0</v>
      </c>
      <c r="F354" s="1092">
        <v>90</v>
      </c>
      <c r="G354" s="1092">
        <v>0</v>
      </c>
      <c r="H354" s="1092">
        <v>0</v>
      </c>
      <c r="I354" s="1092">
        <v>0</v>
      </c>
      <c r="J354" s="1092">
        <v>0</v>
      </c>
      <c r="K354" s="1092">
        <v>0</v>
      </c>
      <c r="L354" s="1092">
        <v>0</v>
      </c>
      <c r="M354" s="1092">
        <v>0</v>
      </c>
      <c r="N354" s="27">
        <f>SUM(B354:M354)</f>
        <v>4090</v>
      </c>
    </row>
    <row r="355" spans="1:14" ht="14" thickBot="1">
      <c r="A355" s="53" t="s">
        <v>60</v>
      </c>
      <c r="B355" s="55">
        <f t="shared" ref="B355:L355" si="48">SUM(B341:B354)</f>
        <v>3</v>
      </c>
      <c r="C355" s="55">
        <f t="shared" si="48"/>
        <v>511</v>
      </c>
      <c r="D355" s="55">
        <f t="shared" si="48"/>
        <v>4090</v>
      </c>
      <c r="E355" s="55">
        <f t="shared" si="48"/>
        <v>0</v>
      </c>
      <c r="F355" s="55">
        <f t="shared" si="48"/>
        <v>90</v>
      </c>
      <c r="G355" s="55">
        <f t="shared" si="48"/>
        <v>0</v>
      </c>
      <c r="H355" s="55">
        <f t="shared" si="48"/>
        <v>3</v>
      </c>
      <c r="I355" s="55">
        <f t="shared" si="48"/>
        <v>66</v>
      </c>
      <c r="J355" s="55">
        <f t="shared" si="48"/>
        <v>0</v>
      </c>
      <c r="K355" s="55">
        <f t="shared" si="48"/>
        <v>3</v>
      </c>
      <c r="L355" s="55">
        <f t="shared" si="48"/>
        <v>5</v>
      </c>
      <c r="M355" s="55">
        <f>SUM(M341:M354)</f>
        <v>1</v>
      </c>
      <c r="N355" s="54">
        <f>SUM(N341:N354)</f>
        <v>4772</v>
      </c>
    </row>
    <row r="357" spans="1:14" ht="14" thickBot="1">
      <c r="B357" s="43" t="s">
        <v>35</v>
      </c>
      <c r="C357" s="43" t="s">
        <v>36</v>
      </c>
      <c r="D357" s="43" t="s">
        <v>37</v>
      </c>
      <c r="E357" s="43" t="s">
        <v>38</v>
      </c>
      <c r="F357" s="43" t="s">
        <v>39</v>
      </c>
      <c r="G357" s="43" t="s">
        <v>40</v>
      </c>
      <c r="H357" s="43" t="s">
        <v>41</v>
      </c>
      <c r="I357" s="43" t="s">
        <v>42</v>
      </c>
      <c r="J357" s="43" t="s">
        <v>43</v>
      </c>
      <c r="K357" s="43" t="s">
        <v>44</v>
      </c>
      <c r="L357" s="43" t="s">
        <v>45</v>
      </c>
      <c r="M357" s="43" t="s">
        <v>46</v>
      </c>
      <c r="N357" s="43" t="s">
        <v>10</v>
      </c>
    </row>
    <row r="358" spans="1:14" ht="17" thickBot="1">
      <c r="A358" s="31" t="s">
        <v>350</v>
      </c>
      <c r="B358" s="24"/>
      <c r="C358" s="24"/>
      <c r="D358" s="22"/>
      <c r="E358" s="22"/>
      <c r="F358" s="25"/>
      <c r="G358" s="25"/>
      <c r="H358" s="22"/>
      <c r="I358" s="22"/>
      <c r="J358" s="22"/>
      <c r="K358" s="22"/>
      <c r="L358" s="24"/>
      <c r="M358" s="24"/>
      <c r="N358" s="26"/>
    </row>
    <row r="359" spans="1:14" ht="14" thickBot="1">
      <c r="A359" s="38" t="s">
        <v>189</v>
      </c>
      <c r="B359" s="39"/>
      <c r="C359" s="39"/>
      <c r="D359" s="39"/>
      <c r="E359" s="39"/>
      <c r="F359" s="39"/>
      <c r="G359" s="39"/>
      <c r="H359" s="39"/>
      <c r="I359" s="39"/>
      <c r="J359" s="39"/>
      <c r="K359" s="39"/>
      <c r="L359" s="39"/>
      <c r="M359" s="39"/>
      <c r="N359" s="40"/>
    </row>
    <row r="360" spans="1:14">
      <c r="A360" s="32" t="s">
        <v>29</v>
      </c>
      <c r="B360" s="1092">
        <v>4</v>
      </c>
      <c r="C360" s="1092">
        <v>1</v>
      </c>
      <c r="D360" s="1092">
        <v>2</v>
      </c>
      <c r="E360" s="1092">
        <v>0</v>
      </c>
      <c r="F360" s="1092">
        <v>3</v>
      </c>
      <c r="G360" s="1092">
        <v>17</v>
      </c>
      <c r="H360" s="1092">
        <v>6</v>
      </c>
      <c r="I360" s="1092">
        <v>0</v>
      </c>
      <c r="J360" s="1092">
        <v>3</v>
      </c>
      <c r="K360" s="1092">
        <v>0</v>
      </c>
      <c r="L360" s="1092">
        <v>0</v>
      </c>
      <c r="M360" s="1092">
        <v>1</v>
      </c>
      <c r="N360" s="27">
        <f t="shared" ref="N360:N367" si="49">SUM(B360:M360)</f>
        <v>37</v>
      </c>
    </row>
    <row r="361" spans="1:14">
      <c r="A361" s="32" t="s">
        <v>33</v>
      </c>
      <c r="B361" s="1092">
        <v>17</v>
      </c>
      <c r="C361" s="1092">
        <v>21</v>
      </c>
      <c r="D361" s="1092">
        <v>10</v>
      </c>
      <c r="E361" s="1092">
        <v>10</v>
      </c>
      <c r="F361" s="1092">
        <v>16</v>
      </c>
      <c r="G361" s="1092">
        <v>27</v>
      </c>
      <c r="H361" s="1092">
        <v>10</v>
      </c>
      <c r="I361" s="1092">
        <v>18</v>
      </c>
      <c r="J361" s="1092">
        <v>10</v>
      </c>
      <c r="K361" s="1092">
        <v>1</v>
      </c>
      <c r="L361" s="1092">
        <v>0</v>
      </c>
      <c r="M361" s="1092">
        <v>16</v>
      </c>
      <c r="N361" s="27">
        <f t="shared" si="49"/>
        <v>156</v>
      </c>
    </row>
    <row r="362" spans="1:14">
      <c r="A362" s="32" t="s">
        <v>56</v>
      </c>
      <c r="B362" s="1092">
        <v>0</v>
      </c>
      <c r="C362" s="1092">
        <v>96</v>
      </c>
      <c r="D362" s="1092">
        <v>30</v>
      </c>
      <c r="E362" s="1092">
        <v>0</v>
      </c>
      <c r="F362" s="1092">
        <v>50</v>
      </c>
      <c r="G362" s="1092">
        <v>55</v>
      </c>
      <c r="H362" s="1092">
        <v>0</v>
      </c>
      <c r="I362" s="1092">
        <v>0</v>
      </c>
      <c r="J362" s="1092">
        <v>0</v>
      </c>
      <c r="K362" s="1092">
        <v>0</v>
      </c>
      <c r="L362" s="1092">
        <v>0</v>
      </c>
      <c r="M362" s="1092">
        <v>0</v>
      </c>
      <c r="N362" s="27">
        <f t="shared" si="49"/>
        <v>231</v>
      </c>
    </row>
    <row r="363" spans="1:14">
      <c r="A363" s="78" t="s">
        <v>30</v>
      </c>
      <c r="B363" s="1092">
        <v>17</v>
      </c>
      <c r="C363" s="1092">
        <v>0</v>
      </c>
      <c r="D363" s="1092">
        <v>0</v>
      </c>
      <c r="E363" s="1092">
        <v>0</v>
      </c>
      <c r="F363" s="1092">
        <v>6</v>
      </c>
      <c r="G363" s="1092">
        <v>2</v>
      </c>
      <c r="H363" s="1092">
        <v>1</v>
      </c>
      <c r="I363" s="1092">
        <v>19</v>
      </c>
      <c r="J363" s="1092">
        <v>3</v>
      </c>
      <c r="K363" s="1092">
        <v>1</v>
      </c>
      <c r="L363" s="1092">
        <v>0</v>
      </c>
      <c r="M363" s="1092">
        <v>23</v>
      </c>
      <c r="N363" s="27">
        <f t="shared" si="49"/>
        <v>72</v>
      </c>
    </row>
    <row r="364" spans="1:14">
      <c r="A364" s="76" t="s">
        <v>213</v>
      </c>
      <c r="B364" s="1092">
        <v>0</v>
      </c>
      <c r="C364" s="1092">
        <v>0</v>
      </c>
      <c r="D364" s="1092">
        <v>0</v>
      </c>
      <c r="E364" s="1092">
        <v>0</v>
      </c>
      <c r="F364" s="1092">
        <v>0</v>
      </c>
      <c r="G364" s="1092">
        <v>0</v>
      </c>
      <c r="H364" s="1092">
        <v>0</v>
      </c>
      <c r="I364" s="1092">
        <v>0</v>
      </c>
      <c r="J364" s="1092">
        <v>0</v>
      </c>
      <c r="K364" s="1092">
        <v>0</v>
      </c>
      <c r="L364" s="1092">
        <v>0</v>
      </c>
      <c r="M364" s="1092">
        <v>0</v>
      </c>
      <c r="N364" s="27">
        <f t="shared" si="49"/>
        <v>0</v>
      </c>
    </row>
    <row r="365" spans="1:14">
      <c r="A365" s="76" t="s">
        <v>212</v>
      </c>
      <c r="B365" s="1092">
        <v>0</v>
      </c>
      <c r="C365" s="1092">
        <v>0</v>
      </c>
      <c r="D365" s="1092">
        <v>0</v>
      </c>
      <c r="E365" s="1092">
        <v>0</v>
      </c>
      <c r="F365" s="1092">
        <v>0</v>
      </c>
      <c r="G365" s="1092">
        <v>7</v>
      </c>
      <c r="H365" s="1092">
        <v>0</v>
      </c>
      <c r="I365" s="1092">
        <v>0</v>
      </c>
      <c r="J365" s="1092">
        <v>0</v>
      </c>
      <c r="K365" s="1092">
        <v>0</v>
      </c>
      <c r="L365" s="1092">
        <v>2</v>
      </c>
      <c r="M365" s="1092">
        <v>0</v>
      </c>
      <c r="N365" s="27">
        <f t="shared" si="49"/>
        <v>9</v>
      </c>
    </row>
    <row r="366" spans="1:14">
      <c r="A366" s="76" t="s">
        <v>331</v>
      </c>
      <c r="B366" s="1092">
        <v>0</v>
      </c>
      <c r="C366" s="1092">
        <v>0</v>
      </c>
      <c r="D366" s="1092">
        <v>0</v>
      </c>
      <c r="E366" s="1092">
        <v>0</v>
      </c>
      <c r="F366" s="1092">
        <v>1</v>
      </c>
      <c r="G366" s="1092">
        <v>0</v>
      </c>
      <c r="H366" s="1092">
        <v>0</v>
      </c>
      <c r="I366" s="1092">
        <v>0</v>
      </c>
      <c r="J366" s="1092">
        <v>0</v>
      </c>
      <c r="K366" s="1092">
        <v>1</v>
      </c>
      <c r="L366" s="1092">
        <v>0</v>
      </c>
      <c r="M366" s="1092">
        <v>0</v>
      </c>
      <c r="N366" s="27">
        <f t="shared" si="49"/>
        <v>2</v>
      </c>
    </row>
    <row r="367" spans="1:14" ht="14" thickBot="1">
      <c r="A367" s="76" t="s">
        <v>267</v>
      </c>
      <c r="B367" s="1092">
        <v>0</v>
      </c>
      <c r="C367" s="1092">
        <v>0</v>
      </c>
      <c r="D367" s="1092">
        <v>0</v>
      </c>
      <c r="E367" s="1092">
        <v>0</v>
      </c>
      <c r="F367" s="1092">
        <v>0</v>
      </c>
      <c r="G367" s="1092">
        <v>0</v>
      </c>
      <c r="H367" s="1092">
        <v>0</v>
      </c>
      <c r="I367" s="1092">
        <v>0</v>
      </c>
      <c r="J367" s="1092">
        <v>0</v>
      </c>
      <c r="K367" s="1092">
        <v>0</v>
      </c>
      <c r="L367" s="1092">
        <v>0</v>
      </c>
      <c r="M367" s="1092">
        <v>0</v>
      </c>
      <c r="N367" s="27">
        <f t="shared" si="49"/>
        <v>0</v>
      </c>
    </row>
    <row r="368" spans="1:14" ht="14" thickBot="1">
      <c r="A368" s="38" t="s">
        <v>190</v>
      </c>
      <c r="B368" s="39"/>
      <c r="C368" s="39"/>
      <c r="D368" s="39"/>
      <c r="E368" s="39"/>
      <c r="F368" s="39"/>
      <c r="G368" s="39"/>
      <c r="H368" s="39"/>
      <c r="I368" s="39"/>
      <c r="J368" s="39"/>
      <c r="K368" s="39"/>
      <c r="L368" s="39"/>
      <c r="M368" s="39"/>
      <c r="N368" s="280"/>
    </row>
    <row r="369" spans="1:14">
      <c r="A369" s="76" t="s">
        <v>165</v>
      </c>
      <c r="B369" s="1092">
        <v>290</v>
      </c>
      <c r="C369" s="1092">
        <v>52</v>
      </c>
      <c r="D369" s="1092">
        <v>0</v>
      </c>
      <c r="E369" s="1092">
        <v>350</v>
      </c>
      <c r="F369" s="1092">
        <v>75</v>
      </c>
      <c r="G369" s="1092">
        <v>50</v>
      </c>
      <c r="H369" s="1092">
        <v>0</v>
      </c>
      <c r="I369" s="1092">
        <v>0</v>
      </c>
      <c r="J369" s="1092">
        <v>0</v>
      </c>
      <c r="K369" s="1092">
        <v>75</v>
      </c>
      <c r="L369" s="1092">
        <v>0</v>
      </c>
      <c r="M369" s="1092">
        <v>100</v>
      </c>
      <c r="N369" s="27">
        <f>SUM(B369:M369)</f>
        <v>992</v>
      </c>
    </row>
    <row r="370" spans="1:14">
      <c r="A370" s="76" t="s">
        <v>166</v>
      </c>
      <c r="B370" s="1092">
        <v>6</v>
      </c>
      <c r="C370" s="1092">
        <v>7</v>
      </c>
      <c r="D370" s="1092">
        <v>0</v>
      </c>
      <c r="E370" s="1092">
        <v>3</v>
      </c>
      <c r="F370" s="1092">
        <v>7</v>
      </c>
      <c r="G370" s="1092">
        <v>0</v>
      </c>
      <c r="H370" s="1092">
        <v>0</v>
      </c>
      <c r="I370" s="1092">
        <v>1</v>
      </c>
      <c r="J370" s="1092">
        <v>2</v>
      </c>
      <c r="K370" s="1092">
        <v>1</v>
      </c>
      <c r="L370" s="1092">
        <v>0</v>
      </c>
      <c r="M370" s="1092">
        <v>2</v>
      </c>
      <c r="N370" s="27">
        <f>SUM(B370:M370)</f>
        <v>29</v>
      </c>
    </row>
    <row r="371" spans="1:14">
      <c r="A371" s="76" t="s">
        <v>336</v>
      </c>
      <c r="B371" s="1092">
        <v>6</v>
      </c>
      <c r="C371" s="1092">
        <v>7</v>
      </c>
      <c r="D371" s="1092">
        <v>3</v>
      </c>
      <c r="E371" s="1092">
        <v>10</v>
      </c>
      <c r="F371" s="1092">
        <v>8</v>
      </c>
      <c r="G371" s="1092">
        <v>2</v>
      </c>
      <c r="H371" s="1092">
        <v>2</v>
      </c>
      <c r="I371" s="1092">
        <v>3</v>
      </c>
      <c r="J371" s="1092">
        <v>4</v>
      </c>
      <c r="K371" s="1092">
        <v>0</v>
      </c>
      <c r="L371" s="1092">
        <v>5</v>
      </c>
      <c r="M371" s="1092">
        <v>1</v>
      </c>
      <c r="N371" s="27">
        <f>SUM(B371:M371)</f>
        <v>51</v>
      </c>
    </row>
    <row r="372" spans="1:14" ht="14" thickBot="1">
      <c r="A372" s="76" t="s">
        <v>266</v>
      </c>
      <c r="B372" s="1092">
        <v>0</v>
      </c>
      <c r="C372" s="1092">
        <v>3</v>
      </c>
      <c r="D372" s="1092">
        <v>1</v>
      </c>
      <c r="E372" s="1092">
        <v>13</v>
      </c>
      <c r="F372" s="1092">
        <v>16</v>
      </c>
      <c r="G372" s="1092">
        <v>13</v>
      </c>
      <c r="H372" s="1092">
        <v>9</v>
      </c>
      <c r="I372" s="1092">
        <v>8</v>
      </c>
      <c r="J372" s="1092">
        <v>9</v>
      </c>
      <c r="K372" s="1092">
        <v>21</v>
      </c>
      <c r="L372" s="1092">
        <v>12</v>
      </c>
      <c r="M372" s="1092">
        <v>10</v>
      </c>
      <c r="N372" s="27">
        <f>SUM(B372:M372)</f>
        <v>115</v>
      </c>
    </row>
    <row r="373" spans="1:14" ht="14" thickBot="1">
      <c r="A373" s="53" t="s">
        <v>60</v>
      </c>
      <c r="B373" s="55">
        <f>SUM(B360:B372)</f>
        <v>340</v>
      </c>
      <c r="C373" s="55">
        <f t="shared" ref="C373:M373" si="50">SUM(C360:C372)</f>
        <v>187</v>
      </c>
      <c r="D373" s="55">
        <f t="shared" si="50"/>
        <v>46</v>
      </c>
      <c r="E373" s="55">
        <f t="shared" si="50"/>
        <v>386</v>
      </c>
      <c r="F373" s="55">
        <f t="shared" si="50"/>
        <v>182</v>
      </c>
      <c r="G373" s="55">
        <f t="shared" si="50"/>
        <v>173</v>
      </c>
      <c r="H373" s="55">
        <f t="shared" si="50"/>
        <v>28</v>
      </c>
      <c r="I373" s="55">
        <f t="shared" si="50"/>
        <v>49</v>
      </c>
      <c r="J373" s="55">
        <f t="shared" si="50"/>
        <v>31</v>
      </c>
      <c r="K373" s="55">
        <f t="shared" si="50"/>
        <v>100</v>
      </c>
      <c r="L373" s="55">
        <f t="shared" si="50"/>
        <v>19</v>
      </c>
      <c r="M373" s="55">
        <f t="shared" si="50"/>
        <v>153</v>
      </c>
      <c r="N373" s="54"/>
    </row>
    <row r="374" spans="1:14" ht="14" thickBot="1">
      <c r="A374" s="38" t="s">
        <v>194</v>
      </c>
      <c r="B374" s="39"/>
      <c r="C374" s="39"/>
      <c r="D374" s="39"/>
      <c r="E374" s="39"/>
      <c r="F374" s="39"/>
      <c r="G374" s="39"/>
      <c r="H374" s="39"/>
      <c r="I374" s="39"/>
      <c r="J374" s="39"/>
      <c r="K374" s="39"/>
      <c r="L374" s="39"/>
      <c r="M374" s="39"/>
      <c r="N374" s="40"/>
    </row>
    <row r="375" spans="1:14">
      <c r="A375" s="32" t="s">
        <v>29</v>
      </c>
      <c r="B375" s="1092">
        <v>0</v>
      </c>
      <c r="C375" s="1092">
        <v>0</v>
      </c>
      <c r="D375" s="1092">
        <v>0</v>
      </c>
      <c r="E375" s="1092">
        <v>0</v>
      </c>
      <c r="F375" s="1092">
        <v>0</v>
      </c>
      <c r="G375" s="1092">
        <v>0</v>
      </c>
      <c r="H375" s="1092">
        <v>0</v>
      </c>
      <c r="I375" s="1092">
        <v>0</v>
      </c>
      <c r="J375" s="1092">
        <v>0</v>
      </c>
      <c r="K375" s="1092">
        <v>0</v>
      </c>
      <c r="L375" s="1092">
        <v>0</v>
      </c>
      <c r="M375" s="1092">
        <v>0</v>
      </c>
      <c r="N375" s="27">
        <f t="shared" ref="N375:N386" si="51">SUM(B375:M375)</f>
        <v>0</v>
      </c>
    </row>
    <row r="376" spans="1:14">
      <c r="A376" s="78" t="s">
        <v>264</v>
      </c>
      <c r="B376" s="1092">
        <v>0</v>
      </c>
      <c r="C376" s="1092">
        <v>0</v>
      </c>
      <c r="D376" s="1092">
        <v>0</v>
      </c>
      <c r="E376" s="1092">
        <v>0</v>
      </c>
      <c r="F376" s="1092">
        <v>0</v>
      </c>
      <c r="G376" s="1092">
        <v>0</v>
      </c>
      <c r="H376" s="1092">
        <v>0</v>
      </c>
      <c r="I376" s="1092">
        <v>0</v>
      </c>
      <c r="J376" s="1092">
        <v>0</v>
      </c>
      <c r="K376" s="1092">
        <v>0</v>
      </c>
      <c r="L376" s="1092">
        <v>0</v>
      </c>
      <c r="M376" s="1092">
        <v>0</v>
      </c>
      <c r="N376" s="27">
        <f t="shared" si="51"/>
        <v>0</v>
      </c>
    </row>
    <row r="377" spans="1:14">
      <c r="A377" s="34" t="s">
        <v>204</v>
      </c>
      <c r="B377" s="1092">
        <v>0</v>
      </c>
      <c r="C377" s="1092">
        <v>0</v>
      </c>
      <c r="D377" s="1092">
        <v>0</v>
      </c>
      <c r="E377" s="1092">
        <v>0</v>
      </c>
      <c r="F377" s="1092">
        <v>0</v>
      </c>
      <c r="G377" s="1092">
        <v>0</v>
      </c>
      <c r="H377" s="1092">
        <v>0</v>
      </c>
      <c r="I377" s="1092">
        <v>0</v>
      </c>
      <c r="J377" s="1092">
        <v>0</v>
      </c>
      <c r="K377" s="1092">
        <v>0</v>
      </c>
      <c r="L377" s="1092">
        <v>0</v>
      </c>
      <c r="M377" s="1092">
        <v>0</v>
      </c>
      <c r="N377" s="27">
        <f t="shared" si="51"/>
        <v>0</v>
      </c>
    </row>
    <row r="378" spans="1:14">
      <c r="A378" s="76" t="s">
        <v>30</v>
      </c>
      <c r="B378" s="1092">
        <v>0</v>
      </c>
      <c r="C378" s="1092">
        <v>0</v>
      </c>
      <c r="D378" s="1092">
        <v>0</v>
      </c>
      <c r="E378" s="1092">
        <v>0</v>
      </c>
      <c r="F378" s="1092">
        <v>0</v>
      </c>
      <c r="G378" s="1092">
        <v>0</v>
      </c>
      <c r="H378" s="1092">
        <v>0</v>
      </c>
      <c r="I378" s="1092">
        <v>0</v>
      </c>
      <c r="J378" s="1092">
        <v>0</v>
      </c>
      <c r="K378" s="1092">
        <v>0</v>
      </c>
      <c r="L378" s="1092">
        <v>0</v>
      </c>
      <c r="M378" s="1092">
        <v>0</v>
      </c>
      <c r="N378" s="27">
        <f t="shared" si="51"/>
        <v>0</v>
      </c>
    </row>
    <row r="379" spans="1:14">
      <c r="A379" s="32" t="s">
        <v>56</v>
      </c>
      <c r="B379" s="1092">
        <v>0</v>
      </c>
      <c r="C379" s="1092">
        <v>0</v>
      </c>
      <c r="D379" s="1092">
        <v>0</v>
      </c>
      <c r="E379" s="1092">
        <v>0</v>
      </c>
      <c r="F379" s="1092">
        <v>0</v>
      </c>
      <c r="G379" s="1092">
        <v>0</v>
      </c>
      <c r="H379" s="1092">
        <v>0</v>
      </c>
      <c r="I379" s="1092">
        <v>0</v>
      </c>
      <c r="J379" s="1092">
        <v>0</v>
      </c>
      <c r="K379" s="1092">
        <v>0</v>
      </c>
      <c r="L379" s="1092">
        <v>0</v>
      </c>
      <c r="M379" s="1092">
        <v>0</v>
      </c>
      <c r="N379" s="27">
        <f t="shared" si="51"/>
        <v>0</v>
      </c>
    </row>
    <row r="380" spans="1:14">
      <c r="A380" s="78" t="s">
        <v>122</v>
      </c>
      <c r="B380" s="1092">
        <v>0</v>
      </c>
      <c r="C380" s="1092">
        <v>0</v>
      </c>
      <c r="D380" s="1092">
        <v>0</v>
      </c>
      <c r="E380" s="1092">
        <v>0</v>
      </c>
      <c r="F380" s="1092">
        <v>0</v>
      </c>
      <c r="G380" s="1092">
        <v>0</v>
      </c>
      <c r="H380" s="1092">
        <v>0</v>
      </c>
      <c r="I380" s="1092">
        <v>0</v>
      </c>
      <c r="J380" s="1092">
        <v>0</v>
      </c>
      <c r="K380" s="1092">
        <v>0</v>
      </c>
      <c r="L380" s="1092">
        <v>0</v>
      </c>
      <c r="M380" s="1092">
        <v>0</v>
      </c>
      <c r="N380" s="27">
        <f t="shared" si="51"/>
        <v>0</v>
      </c>
    </row>
    <row r="381" spans="1:14">
      <c r="A381" s="78" t="s">
        <v>184</v>
      </c>
      <c r="B381" s="1092">
        <v>0</v>
      </c>
      <c r="C381" s="1092">
        <v>0</v>
      </c>
      <c r="D381" s="1092">
        <v>0</v>
      </c>
      <c r="E381" s="1092">
        <v>0</v>
      </c>
      <c r="F381" s="1092">
        <v>0</v>
      </c>
      <c r="G381" s="1092">
        <v>0</v>
      </c>
      <c r="H381" s="1092">
        <v>0</v>
      </c>
      <c r="I381" s="1092">
        <v>0</v>
      </c>
      <c r="J381" s="1092">
        <v>0</v>
      </c>
      <c r="K381" s="1092">
        <v>0</v>
      </c>
      <c r="L381" s="1092">
        <v>0</v>
      </c>
      <c r="M381" s="1092">
        <v>0</v>
      </c>
      <c r="N381" s="27">
        <f t="shared" si="51"/>
        <v>0</v>
      </c>
    </row>
    <row r="382" spans="1:14">
      <c r="A382" s="78" t="s">
        <v>187</v>
      </c>
      <c r="B382" s="1092">
        <v>0</v>
      </c>
      <c r="C382" s="1092">
        <v>0</v>
      </c>
      <c r="D382" s="1092">
        <v>0</v>
      </c>
      <c r="E382" s="1092">
        <v>0</v>
      </c>
      <c r="F382" s="1092">
        <v>0</v>
      </c>
      <c r="G382" s="1092">
        <v>0</v>
      </c>
      <c r="H382" s="1092">
        <v>0</v>
      </c>
      <c r="I382" s="1092">
        <v>0</v>
      </c>
      <c r="J382" s="1092">
        <v>0</v>
      </c>
      <c r="K382" s="1092">
        <v>0</v>
      </c>
      <c r="L382" s="1092">
        <v>0</v>
      </c>
      <c r="M382" s="1092">
        <v>0</v>
      </c>
      <c r="N382" s="27">
        <f t="shared" si="51"/>
        <v>0</v>
      </c>
    </row>
    <row r="383" spans="1:14">
      <c r="A383" s="78" t="s">
        <v>188</v>
      </c>
      <c r="B383" s="1092">
        <v>0</v>
      </c>
      <c r="C383" s="1092">
        <v>0</v>
      </c>
      <c r="D383" s="1092">
        <v>0</v>
      </c>
      <c r="E383" s="1092">
        <v>0</v>
      </c>
      <c r="F383" s="1092">
        <v>0</v>
      </c>
      <c r="G383" s="1092">
        <v>0</v>
      </c>
      <c r="H383" s="1092">
        <v>0</v>
      </c>
      <c r="I383" s="1092">
        <v>0</v>
      </c>
      <c r="J383" s="1092">
        <v>0</v>
      </c>
      <c r="K383" s="1092">
        <v>0</v>
      </c>
      <c r="L383" s="1092">
        <v>0</v>
      </c>
      <c r="M383" s="1092">
        <v>0</v>
      </c>
      <c r="N383" s="27">
        <f t="shared" si="51"/>
        <v>0</v>
      </c>
    </row>
    <row r="384" spans="1:14">
      <c r="A384" s="78" t="s">
        <v>213</v>
      </c>
      <c r="B384" s="1092">
        <v>0</v>
      </c>
      <c r="C384" s="1092">
        <v>0</v>
      </c>
      <c r="D384" s="1092">
        <v>0</v>
      </c>
      <c r="E384" s="1092">
        <v>0</v>
      </c>
      <c r="F384" s="1092">
        <v>0</v>
      </c>
      <c r="G384" s="1092">
        <v>0</v>
      </c>
      <c r="H384" s="1092">
        <v>0</v>
      </c>
      <c r="I384" s="1092">
        <v>0</v>
      </c>
      <c r="J384" s="1092">
        <v>0</v>
      </c>
      <c r="K384" s="1092">
        <v>0</v>
      </c>
      <c r="L384" s="1092">
        <v>0</v>
      </c>
      <c r="M384" s="1092">
        <v>0</v>
      </c>
      <c r="N384" s="27">
        <f t="shared" si="51"/>
        <v>0</v>
      </c>
    </row>
    <row r="385" spans="1:14">
      <c r="A385" s="76" t="s">
        <v>267</v>
      </c>
      <c r="B385" s="1092">
        <v>0</v>
      </c>
      <c r="C385" s="1092">
        <v>0</v>
      </c>
      <c r="D385" s="1092">
        <v>0</v>
      </c>
      <c r="E385" s="1092">
        <v>0</v>
      </c>
      <c r="F385" s="1092">
        <v>0</v>
      </c>
      <c r="G385" s="1092">
        <v>0</v>
      </c>
      <c r="H385" s="1092">
        <v>0</v>
      </c>
      <c r="I385" s="1092">
        <v>0</v>
      </c>
      <c r="J385" s="1092">
        <v>0</v>
      </c>
      <c r="K385" s="1092">
        <v>0</v>
      </c>
      <c r="L385" s="1092">
        <v>0</v>
      </c>
      <c r="M385" s="1092">
        <v>0</v>
      </c>
      <c r="N385" s="27">
        <f t="shared" si="51"/>
        <v>0</v>
      </c>
    </row>
    <row r="386" spans="1:14" ht="14" thickBot="1">
      <c r="A386" s="78" t="s">
        <v>268</v>
      </c>
      <c r="B386" s="1092">
        <v>0</v>
      </c>
      <c r="C386" s="1092">
        <v>0</v>
      </c>
      <c r="D386" s="1092">
        <v>0</v>
      </c>
      <c r="E386" s="1092">
        <v>0</v>
      </c>
      <c r="F386" s="1092">
        <v>0</v>
      </c>
      <c r="G386" s="1092">
        <v>0</v>
      </c>
      <c r="H386" s="1092">
        <v>0</v>
      </c>
      <c r="I386" s="1092">
        <v>0</v>
      </c>
      <c r="J386" s="1092">
        <v>0</v>
      </c>
      <c r="K386" s="1092">
        <v>0</v>
      </c>
      <c r="L386" s="1092">
        <v>0</v>
      </c>
      <c r="M386" s="1092">
        <v>0</v>
      </c>
      <c r="N386" s="27">
        <f t="shared" si="51"/>
        <v>0</v>
      </c>
    </row>
    <row r="387" spans="1:14" ht="14" thickBot="1">
      <c r="A387" s="38" t="s">
        <v>192</v>
      </c>
      <c r="B387" s="39"/>
      <c r="C387" s="39"/>
      <c r="D387" s="39"/>
      <c r="E387" s="39"/>
      <c r="F387" s="39"/>
      <c r="G387" s="39"/>
      <c r="H387" s="39"/>
      <c r="I387" s="39"/>
      <c r="J387" s="39"/>
      <c r="K387" s="39"/>
      <c r="L387" s="39"/>
      <c r="M387" s="39"/>
      <c r="N387" s="40"/>
    </row>
    <row r="388" spans="1:14" ht="14" thickBot="1">
      <c r="A388" s="32" t="s">
        <v>165</v>
      </c>
      <c r="B388" s="1092">
        <v>0</v>
      </c>
      <c r="C388" s="1092">
        <v>0</v>
      </c>
      <c r="D388" s="1092">
        <v>0</v>
      </c>
      <c r="E388" s="1092">
        <v>0</v>
      </c>
      <c r="F388" s="1092">
        <v>0</v>
      </c>
      <c r="G388" s="1092">
        <v>0</v>
      </c>
      <c r="H388" s="1092">
        <v>0</v>
      </c>
      <c r="I388" s="1092">
        <v>0</v>
      </c>
      <c r="J388" s="1092">
        <v>0</v>
      </c>
      <c r="K388" s="1092">
        <v>650</v>
      </c>
      <c r="L388" s="1092">
        <v>0</v>
      </c>
      <c r="M388" s="1092">
        <v>0</v>
      </c>
      <c r="N388" s="27">
        <f>SUM(B388:M388)</f>
        <v>650</v>
      </c>
    </row>
    <row r="389" spans="1:14" ht="14" thickBot="1">
      <c r="A389" s="53" t="s">
        <v>60</v>
      </c>
      <c r="B389" s="55">
        <f t="shared" ref="B389:M389" si="52">SUM(B375:B388)</f>
        <v>0</v>
      </c>
      <c r="C389" s="55">
        <f t="shared" si="52"/>
        <v>0</v>
      </c>
      <c r="D389" s="55">
        <f t="shared" si="52"/>
        <v>0</v>
      </c>
      <c r="E389" s="55">
        <f t="shared" si="52"/>
        <v>0</v>
      </c>
      <c r="F389" s="55">
        <f t="shared" si="52"/>
        <v>0</v>
      </c>
      <c r="G389" s="55">
        <f t="shared" si="52"/>
        <v>0</v>
      </c>
      <c r="H389" s="55">
        <f t="shared" si="52"/>
        <v>0</v>
      </c>
      <c r="I389" s="55">
        <f t="shared" si="52"/>
        <v>0</v>
      </c>
      <c r="J389" s="55">
        <f t="shared" si="52"/>
        <v>0</v>
      </c>
      <c r="K389" s="55">
        <f t="shared" si="52"/>
        <v>650</v>
      </c>
      <c r="L389" s="55">
        <f t="shared" si="52"/>
        <v>0</v>
      </c>
      <c r="M389" s="55">
        <f t="shared" si="52"/>
        <v>0</v>
      </c>
      <c r="N389" s="54"/>
    </row>
    <row r="391" spans="1:14" ht="14" thickBot="1">
      <c r="B391" s="43" t="s">
        <v>35</v>
      </c>
      <c r="C391" s="43" t="s">
        <v>36</v>
      </c>
      <c r="D391" s="43" t="s">
        <v>37</v>
      </c>
      <c r="E391" s="43" t="s">
        <v>38</v>
      </c>
      <c r="F391" s="43" t="s">
        <v>39</v>
      </c>
      <c r="G391" s="43" t="s">
        <v>40</v>
      </c>
      <c r="H391" s="43" t="s">
        <v>41</v>
      </c>
      <c r="I391" s="43" t="s">
        <v>42</v>
      </c>
      <c r="J391" s="43" t="s">
        <v>43</v>
      </c>
      <c r="K391" s="43" t="s">
        <v>44</v>
      </c>
      <c r="L391" s="43" t="s">
        <v>45</v>
      </c>
      <c r="M391" s="43" t="s">
        <v>46</v>
      </c>
      <c r="N391" s="43" t="s">
        <v>10</v>
      </c>
    </row>
    <row r="392" spans="1:14" ht="17" thickBot="1">
      <c r="A392" s="31" t="s">
        <v>392</v>
      </c>
      <c r="B392" s="24"/>
      <c r="C392" s="24"/>
      <c r="D392" s="22"/>
      <c r="E392" s="22"/>
      <c r="F392" s="25"/>
      <c r="G392" s="25"/>
      <c r="H392" s="22"/>
      <c r="I392" s="22"/>
      <c r="J392" s="22"/>
      <c r="K392" s="22"/>
      <c r="L392" s="24"/>
      <c r="M392" s="24"/>
      <c r="N392" s="26"/>
    </row>
    <row r="393" spans="1:14" ht="14" thickBot="1">
      <c r="A393" s="38" t="s">
        <v>189</v>
      </c>
      <c r="B393" s="39"/>
      <c r="C393" s="39"/>
      <c r="D393" s="39"/>
      <c r="E393" s="39"/>
      <c r="F393" s="39"/>
      <c r="G393" s="39"/>
      <c r="H393" s="39"/>
      <c r="I393" s="39"/>
      <c r="J393" s="39"/>
      <c r="K393" s="39"/>
      <c r="L393" s="39"/>
      <c r="M393" s="39"/>
      <c r="N393" s="40"/>
    </row>
    <row r="394" spans="1:14">
      <c r="A394" s="32" t="s">
        <v>29</v>
      </c>
      <c r="B394" s="1092">
        <v>0</v>
      </c>
      <c r="C394" s="1092">
        <v>0</v>
      </c>
      <c r="D394" s="1092">
        <v>0</v>
      </c>
      <c r="E394" s="1092">
        <v>0</v>
      </c>
      <c r="F394" s="1092">
        <v>0</v>
      </c>
      <c r="G394" s="1092">
        <v>4</v>
      </c>
      <c r="H394" s="1092">
        <v>0</v>
      </c>
      <c r="I394" s="1092">
        <v>0</v>
      </c>
      <c r="J394" s="1092">
        <v>0</v>
      </c>
      <c r="K394" s="1092">
        <v>4</v>
      </c>
      <c r="L394" s="1092">
        <v>2</v>
      </c>
      <c r="M394" s="1092">
        <v>3</v>
      </c>
      <c r="N394" s="27">
        <f t="shared" ref="N394:N401" si="53">SUM(B394:M394)</f>
        <v>13</v>
      </c>
    </row>
    <row r="395" spans="1:14">
      <c r="A395" s="32" t="s">
        <v>33</v>
      </c>
      <c r="B395" s="1092">
        <v>3</v>
      </c>
      <c r="C395" s="1092">
        <v>4</v>
      </c>
      <c r="D395" s="1092">
        <v>36</v>
      </c>
      <c r="E395" s="1092">
        <v>5</v>
      </c>
      <c r="F395" s="1092">
        <v>8</v>
      </c>
      <c r="G395" s="1092">
        <v>9</v>
      </c>
      <c r="H395" s="1092">
        <v>15</v>
      </c>
      <c r="I395" s="1092">
        <v>8</v>
      </c>
      <c r="J395" s="1092">
        <v>15</v>
      </c>
      <c r="K395" s="1092">
        <v>10</v>
      </c>
      <c r="L395" s="1092">
        <v>8</v>
      </c>
      <c r="M395" s="1092">
        <v>27</v>
      </c>
      <c r="N395" s="27">
        <f t="shared" si="53"/>
        <v>148</v>
      </c>
    </row>
    <row r="396" spans="1:14">
      <c r="A396" s="32" t="s">
        <v>56</v>
      </c>
      <c r="B396" s="1092">
        <v>0</v>
      </c>
      <c r="C396" s="1092">
        <v>0</v>
      </c>
      <c r="D396" s="1092">
        <v>1</v>
      </c>
      <c r="E396" s="1092">
        <v>0</v>
      </c>
      <c r="F396" s="1092">
        <v>0</v>
      </c>
      <c r="G396" s="1092">
        <v>0</v>
      </c>
      <c r="H396" s="1092">
        <v>0</v>
      </c>
      <c r="I396" s="1092">
        <v>0</v>
      </c>
      <c r="J396" s="1092">
        <v>0</v>
      </c>
      <c r="K396" s="1092">
        <v>0</v>
      </c>
      <c r="L396" s="1092">
        <v>0</v>
      </c>
      <c r="M396" s="1092">
        <v>0</v>
      </c>
      <c r="N396" s="27">
        <f t="shared" si="53"/>
        <v>1</v>
      </c>
    </row>
    <row r="397" spans="1:14">
      <c r="A397" s="78" t="s">
        <v>30</v>
      </c>
      <c r="B397" s="1092">
        <v>7</v>
      </c>
      <c r="C397" s="1092">
        <v>15</v>
      </c>
      <c r="D397" s="1092">
        <v>32</v>
      </c>
      <c r="E397" s="1092">
        <v>8</v>
      </c>
      <c r="F397" s="1092">
        <v>8</v>
      </c>
      <c r="G397" s="1092">
        <v>15</v>
      </c>
      <c r="H397" s="1092">
        <v>10</v>
      </c>
      <c r="I397" s="1092">
        <v>4</v>
      </c>
      <c r="J397" s="1092">
        <v>9</v>
      </c>
      <c r="K397" s="1092">
        <v>17</v>
      </c>
      <c r="L397" s="1092">
        <v>23</v>
      </c>
      <c r="M397" s="1092">
        <v>42</v>
      </c>
      <c r="N397" s="27">
        <f t="shared" si="53"/>
        <v>190</v>
      </c>
    </row>
    <row r="398" spans="1:14">
      <c r="A398" s="76" t="s">
        <v>213</v>
      </c>
      <c r="B398" s="1092">
        <v>0</v>
      </c>
      <c r="C398" s="1092">
        <v>0</v>
      </c>
      <c r="D398" s="1092">
        <v>0</v>
      </c>
      <c r="E398" s="1092">
        <v>0</v>
      </c>
      <c r="F398" s="1092">
        <v>0</v>
      </c>
      <c r="G398" s="1092">
        <v>2</v>
      </c>
      <c r="H398" s="1092">
        <v>4</v>
      </c>
      <c r="I398" s="1092">
        <v>4</v>
      </c>
      <c r="J398" s="1092">
        <v>2</v>
      </c>
      <c r="K398" s="1092">
        <v>6</v>
      </c>
      <c r="L398" s="1092">
        <v>9</v>
      </c>
      <c r="M398" s="1092">
        <v>4</v>
      </c>
      <c r="N398" s="27">
        <f t="shared" si="53"/>
        <v>31</v>
      </c>
    </row>
    <row r="399" spans="1:14">
      <c r="A399" s="76" t="s">
        <v>212</v>
      </c>
      <c r="B399" s="1092">
        <v>0</v>
      </c>
      <c r="C399" s="1092">
        <v>0</v>
      </c>
      <c r="D399" s="1092">
        <v>0</v>
      </c>
      <c r="E399" s="1092">
        <v>0</v>
      </c>
      <c r="F399" s="1092">
        <v>0</v>
      </c>
      <c r="G399" s="1092">
        <v>0</v>
      </c>
      <c r="H399" s="1092">
        <v>1</v>
      </c>
      <c r="I399" s="1092">
        <v>0</v>
      </c>
      <c r="J399" s="1092">
        <v>1</v>
      </c>
      <c r="K399" s="1092">
        <v>1</v>
      </c>
      <c r="L399" s="1092">
        <v>0</v>
      </c>
      <c r="M399" s="1092">
        <v>0</v>
      </c>
      <c r="N399" s="27">
        <f t="shared" si="53"/>
        <v>3</v>
      </c>
    </row>
    <row r="400" spans="1:14">
      <c r="A400" s="76" t="s">
        <v>331</v>
      </c>
      <c r="B400" s="1092">
        <v>0</v>
      </c>
      <c r="C400" s="1092">
        <v>0</v>
      </c>
      <c r="D400" s="1092">
        <v>0</v>
      </c>
      <c r="E400" s="1092">
        <v>0</v>
      </c>
      <c r="F400" s="1092">
        <v>0</v>
      </c>
      <c r="G400" s="1092">
        <v>0</v>
      </c>
      <c r="H400" s="1092">
        <v>0</v>
      </c>
      <c r="I400" s="1092">
        <v>0</v>
      </c>
      <c r="J400" s="1092">
        <v>0</v>
      </c>
      <c r="K400" s="1092">
        <v>0</v>
      </c>
      <c r="L400" s="1092">
        <v>0</v>
      </c>
      <c r="M400" s="1092">
        <v>0</v>
      </c>
      <c r="N400" s="27">
        <f t="shared" si="53"/>
        <v>0</v>
      </c>
    </row>
    <row r="401" spans="1:14" ht="14" thickBot="1">
      <c r="A401" s="76" t="s">
        <v>267</v>
      </c>
      <c r="B401" s="1092">
        <v>0</v>
      </c>
      <c r="C401" s="1092">
        <v>0</v>
      </c>
      <c r="D401" s="1092">
        <v>1</v>
      </c>
      <c r="E401" s="1092">
        <v>0</v>
      </c>
      <c r="F401" s="1092">
        <v>0</v>
      </c>
      <c r="G401" s="1092">
        <v>0</v>
      </c>
      <c r="H401" s="1092">
        <v>0</v>
      </c>
      <c r="I401" s="1092">
        <v>0</v>
      </c>
      <c r="J401" s="1092">
        <v>0</v>
      </c>
      <c r="K401" s="1092">
        <v>0</v>
      </c>
      <c r="L401" s="1092">
        <v>0</v>
      </c>
      <c r="M401" s="1092">
        <v>0</v>
      </c>
      <c r="N401" s="27">
        <f t="shared" si="53"/>
        <v>1</v>
      </c>
    </row>
    <row r="402" spans="1:14" ht="14" thickBot="1">
      <c r="A402" s="38" t="s">
        <v>190</v>
      </c>
      <c r="B402" s="39"/>
      <c r="C402" s="39"/>
      <c r="D402" s="39"/>
      <c r="E402" s="39"/>
      <c r="F402" s="39"/>
      <c r="G402" s="39"/>
      <c r="H402" s="39"/>
      <c r="I402" s="39"/>
      <c r="J402" s="39"/>
      <c r="K402" s="39"/>
      <c r="L402" s="39"/>
      <c r="M402" s="39"/>
      <c r="N402" s="280"/>
    </row>
    <row r="403" spans="1:14">
      <c r="A403" s="76" t="s">
        <v>393</v>
      </c>
      <c r="B403" s="1092">
        <v>0</v>
      </c>
      <c r="C403" s="1092">
        <v>0</v>
      </c>
      <c r="D403" s="1092">
        <v>0</v>
      </c>
      <c r="E403" s="1092">
        <v>0</v>
      </c>
      <c r="F403" s="1092">
        <v>0</v>
      </c>
      <c r="G403" s="1092">
        <v>0</v>
      </c>
      <c r="H403" s="1092">
        <v>0</v>
      </c>
      <c r="I403" s="1092">
        <v>0</v>
      </c>
      <c r="J403" s="1092">
        <v>13</v>
      </c>
      <c r="K403" s="1092">
        <v>12</v>
      </c>
      <c r="L403" s="1092">
        <v>5</v>
      </c>
      <c r="M403" s="1092">
        <v>8</v>
      </c>
      <c r="N403" s="27">
        <f>SUM(B403:M403)</f>
        <v>38</v>
      </c>
    </row>
    <row r="404" spans="1:14">
      <c r="A404" s="76" t="s">
        <v>166</v>
      </c>
      <c r="B404" s="1092">
        <v>5</v>
      </c>
      <c r="C404" s="1092">
        <v>14</v>
      </c>
      <c r="D404" s="1092">
        <v>0</v>
      </c>
      <c r="E404" s="1092">
        <v>6</v>
      </c>
      <c r="F404" s="1092">
        <v>1</v>
      </c>
      <c r="G404" s="1092">
        <v>1</v>
      </c>
      <c r="H404" s="1092">
        <v>2</v>
      </c>
      <c r="I404" s="1092">
        <v>1</v>
      </c>
      <c r="J404" s="1092">
        <v>2</v>
      </c>
      <c r="K404" s="1092">
        <v>3</v>
      </c>
      <c r="L404" s="1092">
        <v>4</v>
      </c>
      <c r="M404" s="1092">
        <v>5</v>
      </c>
      <c r="N404" s="27">
        <f>SUM(B404:M404)</f>
        <v>44</v>
      </c>
    </row>
    <row r="405" spans="1:14">
      <c r="A405" s="76" t="s">
        <v>336</v>
      </c>
      <c r="B405" s="1092">
        <v>3</v>
      </c>
      <c r="C405" s="1092">
        <v>4</v>
      </c>
      <c r="D405" s="1092">
        <v>6</v>
      </c>
      <c r="E405" s="1092">
        <v>9</v>
      </c>
      <c r="F405" s="1092">
        <v>1</v>
      </c>
      <c r="G405" s="1092">
        <v>2</v>
      </c>
      <c r="H405" s="1092">
        <v>2</v>
      </c>
      <c r="I405" s="1092">
        <v>5</v>
      </c>
      <c r="J405" s="1092">
        <v>4</v>
      </c>
      <c r="K405" s="1092">
        <v>7</v>
      </c>
      <c r="L405" s="1092">
        <v>3</v>
      </c>
      <c r="M405" s="1092">
        <v>9</v>
      </c>
      <c r="N405" s="27">
        <f>SUM(B405:M405)</f>
        <v>55</v>
      </c>
    </row>
    <row r="406" spans="1:14" ht="14" thickBot="1">
      <c r="A406" s="76" t="s">
        <v>266</v>
      </c>
      <c r="B406" s="1092">
        <v>9</v>
      </c>
      <c r="C406" s="1092">
        <v>16</v>
      </c>
      <c r="D406" s="1092">
        <v>9</v>
      </c>
      <c r="E406" s="1092">
        <v>13</v>
      </c>
      <c r="F406" s="1092">
        <v>8</v>
      </c>
      <c r="G406" s="1092">
        <v>12</v>
      </c>
      <c r="H406" s="1092">
        <v>9</v>
      </c>
      <c r="I406" s="1092">
        <v>13</v>
      </c>
      <c r="J406" s="1092">
        <v>6</v>
      </c>
      <c r="K406" s="1092">
        <v>7</v>
      </c>
      <c r="L406" s="1092">
        <v>18</v>
      </c>
      <c r="M406" s="1092">
        <v>12</v>
      </c>
      <c r="N406" s="27">
        <f>SUM(B406:M406)</f>
        <v>132</v>
      </c>
    </row>
    <row r="407" spans="1:14" ht="14" thickBot="1">
      <c r="A407" s="53" t="s">
        <v>60</v>
      </c>
      <c r="B407" s="55">
        <f t="shared" ref="B407:K407" si="54">SUM(B394:B406)</f>
        <v>27</v>
      </c>
      <c r="C407" s="55">
        <f t="shared" si="54"/>
        <v>53</v>
      </c>
      <c r="D407" s="55">
        <f t="shared" si="54"/>
        <v>85</v>
      </c>
      <c r="E407" s="55">
        <f t="shared" si="54"/>
        <v>41</v>
      </c>
      <c r="F407" s="55">
        <f t="shared" si="54"/>
        <v>26</v>
      </c>
      <c r="G407" s="55">
        <f t="shared" si="54"/>
        <v>45</v>
      </c>
      <c r="H407" s="55">
        <f t="shared" si="54"/>
        <v>43</v>
      </c>
      <c r="I407" s="55">
        <f t="shared" si="54"/>
        <v>35</v>
      </c>
      <c r="J407" s="55">
        <f t="shared" si="54"/>
        <v>52</v>
      </c>
      <c r="K407" s="55">
        <f t="shared" si="54"/>
        <v>67</v>
      </c>
      <c r="L407" s="55"/>
      <c r="M407" s="55"/>
      <c r="N407" s="54"/>
    </row>
    <row r="408" spans="1:14" ht="14" thickBot="1">
      <c r="A408" s="38" t="s">
        <v>194</v>
      </c>
      <c r="B408" s="39"/>
      <c r="C408" s="39"/>
      <c r="D408" s="39"/>
      <c r="E408" s="39"/>
      <c r="F408" s="39"/>
      <c r="G408" s="39"/>
      <c r="H408" s="39"/>
      <c r="I408" s="39"/>
      <c r="J408" s="39"/>
      <c r="K408" s="39"/>
      <c r="L408" s="39"/>
      <c r="M408" s="39"/>
      <c r="N408" s="40"/>
    </row>
    <row r="409" spans="1:14">
      <c r="A409" s="32" t="s">
        <v>29</v>
      </c>
      <c r="B409" s="1092">
        <v>0</v>
      </c>
      <c r="C409" s="1092">
        <v>0</v>
      </c>
      <c r="D409" s="1092">
        <v>0</v>
      </c>
      <c r="E409" s="1092">
        <v>0</v>
      </c>
      <c r="F409" s="1092">
        <v>0</v>
      </c>
      <c r="G409" s="1092">
        <v>0</v>
      </c>
      <c r="H409" s="1092">
        <v>0</v>
      </c>
      <c r="I409" s="1092">
        <v>0</v>
      </c>
      <c r="J409" s="1092">
        <v>0</v>
      </c>
      <c r="K409" s="1092">
        <v>0</v>
      </c>
      <c r="L409" s="1092">
        <v>0</v>
      </c>
      <c r="M409" s="1092">
        <v>0</v>
      </c>
      <c r="N409" s="27">
        <f t="shared" ref="N409:N420" si="55">SUM(B409:M409)</f>
        <v>0</v>
      </c>
    </row>
    <row r="410" spans="1:14">
      <c r="A410" s="78" t="s">
        <v>264</v>
      </c>
      <c r="B410" s="1092">
        <v>0</v>
      </c>
      <c r="C410" s="1092">
        <v>0</v>
      </c>
      <c r="D410" s="1092">
        <v>0</v>
      </c>
      <c r="E410" s="1092">
        <v>0</v>
      </c>
      <c r="F410" s="1092">
        <v>0</v>
      </c>
      <c r="G410" s="1092">
        <v>0</v>
      </c>
      <c r="H410" s="1092">
        <v>0</v>
      </c>
      <c r="I410" s="1092">
        <v>0</v>
      </c>
      <c r="J410" s="1092">
        <v>0</v>
      </c>
      <c r="K410" s="1092">
        <v>0</v>
      </c>
      <c r="L410" s="1092">
        <v>0</v>
      </c>
      <c r="M410" s="1092">
        <v>0</v>
      </c>
      <c r="N410" s="27">
        <f t="shared" si="55"/>
        <v>0</v>
      </c>
    </row>
    <row r="411" spans="1:14">
      <c r="A411" s="34" t="s">
        <v>204</v>
      </c>
      <c r="B411" s="1092">
        <v>0</v>
      </c>
      <c r="C411" s="1092">
        <v>0</v>
      </c>
      <c r="D411" s="1092">
        <v>0</v>
      </c>
      <c r="E411" s="1092">
        <v>1</v>
      </c>
      <c r="F411" s="1092">
        <v>0</v>
      </c>
      <c r="G411" s="1092">
        <v>0</v>
      </c>
      <c r="H411" s="1092">
        <v>0</v>
      </c>
      <c r="I411" s="1092">
        <v>0</v>
      </c>
      <c r="J411" s="1092">
        <v>0</v>
      </c>
      <c r="K411" s="1092">
        <v>0</v>
      </c>
      <c r="L411" s="1092">
        <v>0</v>
      </c>
      <c r="M411" s="1092">
        <v>0</v>
      </c>
      <c r="N411" s="27">
        <f t="shared" si="55"/>
        <v>1</v>
      </c>
    </row>
    <row r="412" spans="1:14">
      <c r="A412" s="76" t="s">
        <v>30</v>
      </c>
      <c r="B412" s="1092">
        <v>0</v>
      </c>
      <c r="C412" s="1092">
        <v>0</v>
      </c>
      <c r="D412" s="1092">
        <v>0</v>
      </c>
      <c r="E412" s="1092">
        <v>0</v>
      </c>
      <c r="F412" s="1092">
        <v>0</v>
      </c>
      <c r="G412" s="1092">
        <v>0</v>
      </c>
      <c r="H412" s="1092">
        <v>0</v>
      </c>
      <c r="I412" s="1092">
        <v>0</v>
      </c>
      <c r="J412" s="1092">
        <v>0</v>
      </c>
      <c r="K412" s="1092">
        <v>0</v>
      </c>
      <c r="L412" s="1092">
        <v>0</v>
      </c>
      <c r="M412" s="1092">
        <v>0</v>
      </c>
      <c r="N412" s="27">
        <f t="shared" si="55"/>
        <v>0</v>
      </c>
    </row>
    <row r="413" spans="1:14">
      <c r="A413" s="32" t="s">
        <v>56</v>
      </c>
      <c r="B413" s="1092">
        <v>0</v>
      </c>
      <c r="C413" s="1092">
        <v>0</v>
      </c>
      <c r="D413" s="1092">
        <v>0</v>
      </c>
      <c r="E413" s="1092">
        <v>0</v>
      </c>
      <c r="F413" s="1092">
        <v>0</v>
      </c>
      <c r="G413" s="1092">
        <v>0</v>
      </c>
      <c r="H413" s="1092">
        <v>0</v>
      </c>
      <c r="I413" s="1092">
        <v>0</v>
      </c>
      <c r="J413" s="1092">
        <v>0</v>
      </c>
      <c r="K413" s="1092">
        <v>0</v>
      </c>
      <c r="L413" s="1092">
        <v>0</v>
      </c>
      <c r="M413" s="1092">
        <v>0</v>
      </c>
      <c r="N413" s="27">
        <f t="shared" si="55"/>
        <v>0</v>
      </c>
    </row>
    <row r="414" spans="1:14">
      <c r="A414" s="78" t="s">
        <v>122</v>
      </c>
      <c r="B414" s="1092">
        <v>0</v>
      </c>
      <c r="C414" s="1092">
        <v>0</v>
      </c>
      <c r="D414" s="1092">
        <v>0</v>
      </c>
      <c r="E414" s="1092">
        <v>0</v>
      </c>
      <c r="F414" s="1092">
        <v>0</v>
      </c>
      <c r="G414" s="1092">
        <v>0</v>
      </c>
      <c r="H414" s="1092">
        <v>0</v>
      </c>
      <c r="I414" s="1092">
        <v>0</v>
      </c>
      <c r="J414" s="1092">
        <v>0</v>
      </c>
      <c r="K414" s="1092">
        <v>0</v>
      </c>
      <c r="L414" s="1092">
        <v>0</v>
      </c>
      <c r="M414" s="1092">
        <v>0</v>
      </c>
      <c r="N414" s="27">
        <f t="shared" si="55"/>
        <v>0</v>
      </c>
    </row>
    <row r="415" spans="1:14">
      <c r="A415" s="78" t="s">
        <v>184</v>
      </c>
      <c r="B415" s="1092">
        <v>0</v>
      </c>
      <c r="C415" s="1092">
        <v>0</v>
      </c>
      <c r="D415" s="1092">
        <v>0</v>
      </c>
      <c r="E415" s="1092">
        <v>0</v>
      </c>
      <c r="F415" s="1092">
        <v>0</v>
      </c>
      <c r="G415" s="1092">
        <v>0</v>
      </c>
      <c r="H415" s="1092">
        <v>0</v>
      </c>
      <c r="I415" s="1092">
        <v>0</v>
      </c>
      <c r="J415" s="1092">
        <v>0</v>
      </c>
      <c r="K415" s="1092">
        <v>0</v>
      </c>
      <c r="L415" s="1092">
        <v>0</v>
      </c>
      <c r="M415" s="1092">
        <v>0</v>
      </c>
      <c r="N415" s="27">
        <f t="shared" si="55"/>
        <v>0</v>
      </c>
    </row>
    <row r="416" spans="1:14">
      <c r="A416" s="78" t="s">
        <v>187</v>
      </c>
      <c r="B416" s="1092">
        <v>0</v>
      </c>
      <c r="C416" s="1092">
        <v>0</v>
      </c>
      <c r="D416" s="1092">
        <v>0</v>
      </c>
      <c r="E416" s="1092">
        <v>0</v>
      </c>
      <c r="F416" s="1092">
        <v>0</v>
      </c>
      <c r="G416" s="1092">
        <v>0</v>
      </c>
      <c r="H416" s="1092">
        <v>0</v>
      </c>
      <c r="I416" s="1092">
        <v>0</v>
      </c>
      <c r="J416" s="1092">
        <v>0</v>
      </c>
      <c r="K416" s="1092">
        <v>0</v>
      </c>
      <c r="L416" s="1092">
        <v>0</v>
      </c>
      <c r="M416" s="1092">
        <v>0</v>
      </c>
      <c r="N416" s="27">
        <f t="shared" si="55"/>
        <v>0</v>
      </c>
    </row>
    <row r="417" spans="1:14">
      <c r="A417" s="78" t="s">
        <v>188</v>
      </c>
      <c r="B417" s="1092">
        <v>0</v>
      </c>
      <c r="C417" s="1092">
        <v>0</v>
      </c>
      <c r="D417" s="1092">
        <v>0</v>
      </c>
      <c r="E417" s="1092">
        <v>0</v>
      </c>
      <c r="F417" s="1092">
        <v>0</v>
      </c>
      <c r="G417" s="1092">
        <v>0</v>
      </c>
      <c r="H417" s="1092">
        <v>0</v>
      </c>
      <c r="I417" s="1092">
        <v>0</v>
      </c>
      <c r="J417" s="1092">
        <v>0</v>
      </c>
      <c r="K417" s="1092">
        <v>0</v>
      </c>
      <c r="L417" s="1092">
        <v>0</v>
      </c>
      <c r="M417" s="1092">
        <v>0</v>
      </c>
      <c r="N417" s="27">
        <f t="shared" si="55"/>
        <v>0</v>
      </c>
    </row>
    <row r="418" spans="1:14">
      <c r="A418" s="78" t="s">
        <v>213</v>
      </c>
      <c r="B418" s="1092">
        <v>0</v>
      </c>
      <c r="C418" s="1092">
        <v>0</v>
      </c>
      <c r="D418" s="1092">
        <v>0</v>
      </c>
      <c r="E418" s="1092">
        <v>0</v>
      </c>
      <c r="F418" s="1092">
        <v>0</v>
      </c>
      <c r="G418" s="1092">
        <v>0</v>
      </c>
      <c r="H418" s="1092">
        <v>0</v>
      </c>
      <c r="I418" s="1092">
        <v>0</v>
      </c>
      <c r="J418" s="1092">
        <v>3</v>
      </c>
      <c r="K418" s="1092">
        <v>0</v>
      </c>
      <c r="L418" s="1092">
        <v>0</v>
      </c>
      <c r="M418" s="1092">
        <v>0</v>
      </c>
      <c r="N418" s="27">
        <f t="shared" si="55"/>
        <v>3</v>
      </c>
    </row>
    <row r="419" spans="1:14">
      <c r="A419" s="76" t="s">
        <v>267</v>
      </c>
      <c r="B419" s="1092">
        <v>0</v>
      </c>
      <c r="C419" s="1092">
        <v>0</v>
      </c>
      <c r="D419" s="1092">
        <v>0</v>
      </c>
      <c r="E419" s="1092">
        <v>0</v>
      </c>
      <c r="F419" s="1092">
        <v>0</v>
      </c>
      <c r="G419" s="1092">
        <v>0</v>
      </c>
      <c r="H419" s="1092">
        <v>0</v>
      </c>
      <c r="I419" s="1092">
        <v>0</v>
      </c>
      <c r="J419" s="1092">
        <v>0</v>
      </c>
      <c r="K419" s="1092">
        <v>0</v>
      </c>
      <c r="L419" s="1092">
        <v>0</v>
      </c>
      <c r="M419" s="1092">
        <v>0</v>
      </c>
      <c r="N419" s="27">
        <f t="shared" si="55"/>
        <v>0</v>
      </c>
    </row>
    <row r="420" spans="1:14" ht="14" thickBot="1">
      <c r="A420" s="78" t="s">
        <v>268</v>
      </c>
      <c r="B420" s="1092">
        <v>0</v>
      </c>
      <c r="C420" s="1092">
        <v>0</v>
      </c>
      <c r="D420" s="1092">
        <v>0</v>
      </c>
      <c r="E420" s="1092">
        <v>0</v>
      </c>
      <c r="F420" s="1092">
        <v>0</v>
      </c>
      <c r="G420" s="1092">
        <v>0</v>
      </c>
      <c r="H420" s="1092">
        <v>0</v>
      </c>
      <c r="I420" s="1092">
        <v>0</v>
      </c>
      <c r="J420" s="1092">
        <v>0</v>
      </c>
      <c r="K420" s="1092">
        <v>0</v>
      </c>
      <c r="L420" s="1092">
        <v>0</v>
      </c>
      <c r="M420" s="1092">
        <v>0</v>
      </c>
      <c r="N420" s="27">
        <f t="shared" si="55"/>
        <v>0</v>
      </c>
    </row>
    <row r="421" spans="1:14" ht="14" thickBot="1">
      <c r="A421" s="38" t="s">
        <v>192</v>
      </c>
      <c r="B421" s="39"/>
      <c r="C421" s="39"/>
      <c r="D421" s="39"/>
      <c r="E421" s="39"/>
      <c r="F421" s="39"/>
      <c r="G421" s="39"/>
      <c r="H421" s="39"/>
      <c r="I421" s="39"/>
      <c r="J421" s="39"/>
      <c r="K421" s="39"/>
      <c r="L421" s="39"/>
      <c r="M421" s="39"/>
      <c r="N421" s="40"/>
    </row>
    <row r="422" spans="1:14" ht="14" thickBot="1">
      <c r="A422" s="76" t="s">
        <v>193</v>
      </c>
      <c r="B422" s="1092"/>
      <c r="C422" s="1092"/>
      <c r="D422" s="1092"/>
      <c r="E422" s="1092"/>
      <c r="F422" s="1092"/>
      <c r="G422" s="1092"/>
      <c r="H422" s="1092"/>
      <c r="I422" s="1092"/>
      <c r="J422" s="1092"/>
      <c r="K422" s="1092"/>
      <c r="L422" s="1092"/>
      <c r="M422" s="1092"/>
      <c r="N422" s="27">
        <f>SUM(B422:M422)</f>
        <v>0</v>
      </c>
    </row>
    <row r="423" spans="1:14" ht="14" thickBot="1">
      <c r="A423" s="53" t="s">
        <v>60</v>
      </c>
      <c r="B423" s="55">
        <f t="shared" ref="B423:M423" si="56">SUM(B409:B422)</f>
        <v>0</v>
      </c>
      <c r="C423" s="55">
        <f t="shared" si="56"/>
        <v>0</v>
      </c>
      <c r="D423" s="55">
        <f t="shared" si="56"/>
        <v>0</v>
      </c>
      <c r="E423" s="55">
        <f t="shared" si="56"/>
        <v>1</v>
      </c>
      <c r="F423" s="55">
        <f t="shared" si="56"/>
        <v>0</v>
      </c>
      <c r="G423" s="55">
        <f t="shared" si="56"/>
        <v>0</v>
      </c>
      <c r="H423" s="55">
        <f t="shared" si="56"/>
        <v>0</v>
      </c>
      <c r="I423" s="55">
        <f t="shared" si="56"/>
        <v>0</v>
      </c>
      <c r="J423" s="55">
        <f t="shared" si="56"/>
        <v>3</v>
      </c>
      <c r="K423" s="55">
        <f t="shared" si="56"/>
        <v>0</v>
      </c>
      <c r="L423" s="55">
        <f t="shared" si="56"/>
        <v>0</v>
      </c>
      <c r="M423" s="55">
        <f t="shared" si="56"/>
        <v>0</v>
      </c>
      <c r="N423" s="54"/>
    </row>
    <row r="425" spans="1:14" ht="14" thickBot="1">
      <c r="B425" s="43" t="s">
        <v>35</v>
      </c>
      <c r="C425" s="43" t="s">
        <v>36</v>
      </c>
      <c r="D425" s="43" t="s">
        <v>37</v>
      </c>
      <c r="E425" s="43" t="s">
        <v>38</v>
      </c>
      <c r="F425" s="43" t="s">
        <v>39</v>
      </c>
      <c r="G425" s="43" t="s">
        <v>40</v>
      </c>
      <c r="H425" s="43" t="s">
        <v>41</v>
      </c>
      <c r="I425" s="43" t="s">
        <v>42</v>
      </c>
      <c r="J425" s="43" t="s">
        <v>43</v>
      </c>
      <c r="K425" s="43" t="s">
        <v>44</v>
      </c>
      <c r="L425" s="43" t="s">
        <v>45</v>
      </c>
      <c r="M425" s="43" t="s">
        <v>46</v>
      </c>
      <c r="N425" s="43" t="s">
        <v>10</v>
      </c>
    </row>
    <row r="426" spans="1:14" ht="17" thickBot="1">
      <c r="A426" s="31" t="s">
        <v>434</v>
      </c>
      <c r="B426" s="24"/>
      <c r="C426" s="24"/>
      <c r="D426" s="22"/>
      <c r="E426" s="22"/>
      <c r="F426" s="25"/>
      <c r="G426" s="25"/>
      <c r="H426" s="22"/>
      <c r="I426" s="22"/>
      <c r="J426" s="22"/>
      <c r="K426" s="22"/>
      <c r="L426" s="24"/>
      <c r="M426" s="24"/>
      <c r="N426" s="26"/>
    </row>
    <row r="427" spans="1:14" ht="14" thickBot="1">
      <c r="A427" s="38" t="s">
        <v>189</v>
      </c>
      <c r="B427" s="39"/>
      <c r="C427" s="39"/>
      <c r="D427" s="39"/>
      <c r="E427" s="39"/>
      <c r="F427" s="39"/>
      <c r="G427" s="39"/>
      <c r="H427" s="39"/>
      <c r="I427" s="39"/>
      <c r="J427" s="39"/>
      <c r="K427" s="39"/>
      <c r="L427" s="39"/>
      <c r="M427" s="39"/>
      <c r="N427" s="40"/>
    </row>
    <row r="428" spans="1:14">
      <c r="A428" s="32" t="s">
        <v>29</v>
      </c>
      <c r="B428" s="1092"/>
      <c r="C428" s="1092">
        <v>2</v>
      </c>
      <c r="D428" s="1092">
        <v>5</v>
      </c>
      <c r="E428" s="1092">
        <v>2</v>
      </c>
      <c r="F428" s="1092">
        <v>30</v>
      </c>
      <c r="G428" s="1092">
        <v>5</v>
      </c>
      <c r="H428" s="1092"/>
      <c r="I428" s="1092">
        <v>18</v>
      </c>
      <c r="J428" s="1092">
        <v>3</v>
      </c>
      <c r="K428" s="1092">
        <v>1</v>
      </c>
      <c r="L428" s="1092"/>
      <c r="M428" s="1092">
        <v>1</v>
      </c>
      <c r="N428" s="27">
        <f t="shared" ref="N428:N435" si="57">SUM(B428:M428)</f>
        <v>67</v>
      </c>
    </row>
    <row r="429" spans="1:14">
      <c r="A429" s="32" t="s">
        <v>33</v>
      </c>
      <c r="B429" s="1092">
        <v>5</v>
      </c>
      <c r="C429" s="1092">
        <v>11</v>
      </c>
      <c r="D429" s="1092">
        <v>19</v>
      </c>
      <c r="E429" s="1092">
        <v>10</v>
      </c>
      <c r="F429" s="1092">
        <v>14</v>
      </c>
      <c r="G429" s="1092">
        <v>8</v>
      </c>
      <c r="H429" s="1092">
        <v>10</v>
      </c>
      <c r="I429" s="1092">
        <v>22</v>
      </c>
      <c r="J429" s="1092">
        <v>6</v>
      </c>
      <c r="K429" s="1092">
        <v>7</v>
      </c>
      <c r="L429" s="1092">
        <v>15</v>
      </c>
      <c r="M429" s="1092">
        <v>6</v>
      </c>
      <c r="N429" s="27">
        <f t="shared" si="57"/>
        <v>133</v>
      </c>
    </row>
    <row r="430" spans="1:14">
      <c r="A430" s="32" t="s">
        <v>56</v>
      </c>
      <c r="B430" s="1092"/>
      <c r="C430" s="1092"/>
      <c r="D430" s="1092"/>
      <c r="E430" s="1092"/>
      <c r="F430" s="1092"/>
      <c r="G430" s="1092"/>
      <c r="H430" s="1092"/>
      <c r="I430" s="1092"/>
      <c r="J430" s="1092">
        <v>1</v>
      </c>
      <c r="K430" s="1092"/>
      <c r="L430" s="1092"/>
      <c r="M430" s="1092">
        <v>1</v>
      </c>
      <c r="N430" s="27">
        <f t="shared" si="57"/>
        <v>2</v>
      </c>
    </row>
    <row r="431" spans="1:14">
      <c r="A431" s="78" t="s">
        <v>30</v>
      </c>
      <c r="B431" s="1092">
        <v>13</v>
      </c>
      <c r="C431" s="1092">
        <v>41</v>
      </c>
      <c r="D431" s="1092">
        <v>37</v>
      </c>
      <c r="E431" s="1092">
        <v>7</v>
      </c>
      <c r="F431" s="1092">
        <v>17</v>
      </c>
      <c r="G431" s="1092">
        <v>4</v>
      </c>
      <c r="H431" s="1092">
        <v>5</v>
      </c>
      <c r="I431" s="1092">
        <v>11</v>
      </c>
      <c r="J431" s="1092">
        <v>4</v>
      </c>
      <c r="K431" s="1092">
        <v>7</v>
      </c>
      <c r="L431" s="1092">
        <v>12</v>
      </c>
      <c r="M431" s="1092">
        <v>23</v>
      </c>
      <c r="N431" s="27">
        <f t="shared" si="57"/>
        <v>181</v>
      </c>
    </row>
    <row r="432" spans="1:14">
      <c r="A432" s="76" t="s">
        <v>213</v>
      </c>
      <c r="B432" s="1092">
        <v>5</v>
      </c>
      <c r="C432" s="1092">
        <v>2</v>
      </c>
      <c r="D432" s="1092"/>
      <c r="E432" s="1092">
        <v>4</v>
      </c>
      <c r="F432" s="1092">
        <v>2</v>
      </c>
      <c r="G432" s="1092">
        <v>2</v>
      </c>
      <c r="H432" s="1092">
        <v>8</v>
      </c>
      <c r="I432" s="1092">
        <v>4</v>
      </c>
      <c r="J432" s="1092">
        <v>3</v>
      </c>
      <c r="K432" s="1092"/>
      <c r="L432" s="1092">
        <v>2</v>
      </c>
      <c r="M432" s="1092">
        <v>8</v>
      </c>
      <c r="N432" s="27">
        <f t="shared" si="57"/>
        <v>40</v>
      </c>
    </row>
    <row r="433" spans="1:14">
      <c r="A433" s="76" t="s">
        <v>212</v>
      </c>
      <c r="B433" s="1092"/>
      <c r="C433" s="1092"/>
      <c r="D433" s="1092"/>
      <c r="E433" s="1092"/>
      <c r="F433" s="1092">
        <v>2</v>
      </c>
      <c r="G433" s="1092"/>
      <c r="H433" s="1092"/>
      <c r="I433" s="1092"/>
      <c r="J433" s="1092"/>
      <c r="K433" s="1092"/>
      <c r="L433" s="1092"/>
      <c r="M433" s="1092">
        <v>2</v>
      </c>
      <c r="N433" s="27">
        <f t="shared" si="57"/>
        <v>4</v>
      </c>
    </row>
    <row r="434" spans="1:14">
      <c r="A434" s="76" t="s">
        <v>331</v>
      </c>
      <c r="B434" s="1092"/>
      <c r="C434" s="1092"/>
      <c r="D434" s="1092"/>
      <c r="E434" s="1092"/>
      <c r="F434" s="1092"/>
      <c r="G434" s="1092"/>
      <c r="H434" s="1092"/>
      <c r="I434" s="1092"/>
      <c r="J434" s="1092"/>
      <c r="K434" s="1092"/>
      <c r="L434" s="1092"/>
      <c r="M434" s="1092"/>
      <c r="N434" s="27">
        <f t="shared" si="57"/>
        <v>0</v>
      </c>
    </row>
    <row r="435" spans="1:14" ht="14" thickBot="1">
      <c r="A435" s="76" t="s">
        <v>267</v>
      </c>
      <c r="B435" s="1092"/>
      <c r="C435" s="1092"/>
      <c r="D435" s="1092"/>
      <c r="E435" s="1092"/>
      <c r="F435" s="1092"/>
      <c r="G435" s="1092"/>
      <c r="H435" s="1092"/>
      <c r="I435" s="1092"/>
      <c r="J435" s="1092"/>
      <c r="K435" s="1092"/>
      <c r="L435" s="1092"/>
      <c r="M435" s="1092"/>
      <c r="N435" s="27">
        <f t="shared" si="57"/>
        <v>0</v>
      </c>
    </row>
    <row r="436" spans="1:14" ht="14" thickBot="1">
      <c r="A436" s="38" t="s">
        <v>190</v>
      </c>
      <c r="B436" s="39"/>
      <c r="C436" s="39"/>
      <c r="D436" s="39"/>
      <c r="E436" s="39"/>
      <c r="F436" s="39"/>
      <c r="G436" s="39"/>
      <c r="H436" s="39"/>
      <c r="I436" s="39"/>
      <c r="J436" s="39"/>
      <c r="K436" s="39"/>
      <c r="L436" s="39"/>
      <c r="M436" s="39"/>
      <c r="N436" s="280"/>
    </row>
    <row r="437" spans="1:14">
      <c r="A437" s="76" t="s">
        <v>393</v>
      </c>
      <c r="B437" s="1092">
        <v>19</v>
      </c>
      <c r="C437" s="1092">
        <v>3</v>
      </c>
      <c r="D437" s="1092"/>
      <c r="E437" s="1092"/>
      <c r="F437" s="1092"/>
      <c r="G437" s="1092"/>
      <c r="H437" s="1092"/>
      <c r="I437" s="1092"/>
      <c r="J437" s="1092">
        <v>11</v>
      </c>
      <c r="K437" s="1092"/>
      <c r="L437" s="1092">
        <v>5</v>
      </c>
      <c r="M437" s="1092">
        <v>36</v>
      </c>
      <c r="N437" s="27">
        <f>SUM(B437:M437)</f>
        <v>74</v>
      </c>
    </row>
    <row r="438" spans="1:14">
      <c r="A438" s="76" t="s">
        <v>166</v>
      </c>
      <c r="B438" s="1092">
        <v>11</v>
      </c>
      <c r="C438" s="1140">
        <v>2</v>
      </c>
      <c r="D438" s="1092">
        <v>18</v>
      </c>
      <c r="E438" s="1092">
        <v>11</v>
      </c>
      <c r="F438" s="1092">
        <v>13</v>
      </c>
      <c r="G438" s="1092">
        <v>0</v>
      </c>
      <c r="H438" s="1092">
        <v>3</v>
      </c>
      <c r="I438" s="1092">
        <v>0</v>
      </c>
      <c r="J438" s="1092">
        <v>0</v>
      </c>
      <c r="K438" s="1092">
        <v>0</v>
      </c>
      <c r="L438" s="1092">
        <v>2</v>
      </c>
      <c r="M438" s="1092">
        <v>0</v>
      </c>
      <c r="N438" s="27">
        <f>SUM(B438:M438)</f>
        <v>60</v>
      </c>
    </row>
    <row r="439" spans="1:14">
      <c r="A439" s="76" t="s">
        <v>336</v>
      </c>
      <c r="B439" s="1092">
        <v>0</v>
      </c>
      <c r="C439" s="1092">
        <v>8</v>
      </c>
      <c r="D439" s="1092">
        <v>8</v>
      </c>
      <c r="E439" s="1092">
        <v>18</v>
      </c>
      <c r="F439" s="1092">
        <v>9</v>
      </c>
      <c r="G439" s="1092">
        <v>2</v>
      </c>
      <c r="H439" s="1092">
        <v>8</v>
      </c>
      <c r="I439" s="1092">
        <v>2</v>
      </c>
      <c r="J439" s="1092">
        <v>1</v>
      </c>
      <c r="K439" s="1092">
        <v>0</v>
      </c>
      <c r="L439" s="1092">
        <v>0</v>
      </c>
      <c r="M439" s="1092">
        <v>2</v>
      </c>
      <c r="N439" s="27">
        <f>SUM(B439:M439)</f>
        <v>58</v>
      </c>
    </row>
    <row r="440" spans="1:14">
      <c r="A440" s="76" t="s">
        <v>266</v>
      </c>
      <c r="B440" s="1092">
        <v>24</v>
      </c>
      <c r="C440" s="1092">
        <v>12</v>
      </c>
      <c r="D440" s="1092">
        <v>16</v>
      </c>
      <c r="E440" s="1092">
        <v>7</v>
      </c>
      <c r="F440" s="1092">
        <v>7</v>
      </c>
      <c r="G440" s="1092">
        <v>10</v>
      </c>
      <c r="H440" s="1092">
        <v>24</v>
      </c>
      <c r="I440" s="1092">
        <v>16</v>
      </c>
      <c r="J440" s="1092">
        <v>2</v>
      </c>
      <c r="K440" s="1092">
        <v>0</v>
      </c>
      <c r="L440" s="1092">
        <v>0</v>
      </c>
      <c r="M440" s="1092">
        <v>0</v>
      </c>
      <c r="N440" s="27">
        <f>SUM(B440:M440)</f>
        <v>118</v>
      </c>
    </row>
    <row r="441" spans="1:14" ht="14" thickBot="1">
      <c r="A441" s="76" t="s">
        <v>467</v>
      </c>
      <c r="B441" s="1092"/>
      <c r="C441" s="1092"/>
      <c r="D441" s="1092"/>
      <c r="E441" s="1092"/>
      <c r="F441" s="1092"/>
      <c r="G441" s="1092"/>
      <c r="H441" s="1092"/>
      <c r="I441" s="1092"/>
      <c r="J441" s="1092"/>
      <c r="K441" s="1092"/>
      <c r="L441" s="1092"/>
      <c r="M441" s="1092"/>
      <c r="N441" s="27">
        <f>SUM(B441:M441)</f>
        <v>0</v>
      </c>
    </row>
    <row r="442" spans="1:14" ht="14" thickBot="1">
      <c r="A442" s="53" t="s">
        <v>60</v>
      </c>
      <c r="B442" s="55">
        <f>SUM(B428:B441)</f>
        <v>77</v>
      </c>
      <c r="C442" s="55">
        <f t="shared" ref="C442:M442" si="58">SUM(C428:C441)</f>
        <v>81</v>
      </c>
      <c r="D442" s="55">
        <f t="shared" si="58"/>
        <v>103</v>
      </c>
      <c r="E442" s="55">
        <f t="shared" si="58"/>
        <v>59</v>
      </c>
      <c r="F442" s="55">
        <f t="shared" si="58"/>
        <v>94</v>
      </c>
      <c r="G442" s="55">
        <f t="shared" si="58"/>
        <v>31</v>
      </c>
      <c r="H442" s="55">
        <f t="shared" si="58"/>
        <v>58</v>
      </c>
      <c r="I442" s="55">
        <f t="shared" si="58"/>
        <v>73</v>
      </c>
      <c r="J442" s="55">
        <f t="shared" si="58"/>
        <v>31</v>
      </c>
      <c r="K442" s="55">
        <f t="shared" si="58"/>
        <v>15</v>
      </c>
      <c r="L442" s="55">
        <f t="shared" si="58"/>
        <v>36</v>
      </c>
      <c r="M442" s="55">
        <f t="shared" si="58"/>
        <v>79</v>
      </c>
      <c r="N442" s="54"/>
    </row>
    <row r="443" spans="1:14" ht="14" thickBot="1">
      <c r="A443" s="38" t="s">
        <v>194</v>
      </c>
      <c r="B443" s="39"/>
      <c r="C443" s="39"/>
      <c r="D443" s="39"/>
      <c r="E443" s="39"/>
      <c r="F443" s="39"/>
      <c r="G443" s="39"/>
      <c r="H443" s="39"/>
      <c r="I443" s="39"/>
      <c r="J443" s="39"/>
      <c r="K443" s="39"/>
      <c r="L443" s="39"/>
      <c r="M443" s="39"/>
      <c r="N443" s="40"/>
    </row>
    <row r="444" spans="1:14">
      <c r="A444" s="32" t="s">
        <v>29</v>
      </c>
      <c r="B444" s="1092"/>
      <c r="C444" s="1092"/>
      <c r="D444" s="1092"/>
      <c r="E444" s="1092"/>
      <c r="F444" s="1092"/>
      <c r="G444" s="1092">
        <v>106</v>
      </c>
      <c r="H444" s="1092">
        <v>4</v>
      </c>
      <c r="I444" s="1092"/>
      <c r="J444" s="1092"/>
      <c r="K444" s="1092"/>
      <c r="L444" s="1092"/>
      <c r="M444" s="1092"/>
      <c r="N444" s="27">
        <f t="shared" ref="N444:N455" si="59">SUM(B444:M444)</f>
        <v>110</v>
      </c>
    </row>
    <row r="445" spans="1:14">
      <c r="A445" s="78" t="s">
        <v>264</v>
      </c>
      <c r="B445" s="1092"/>
      <c r="C445" s="1092"/>
      <c r="D445" s="1092"/>
      <c r="E445" s="1092"/>
      <c r="F445" s="1092"/>
      <c r="G445" s="1092"/>
      <c r="H445" s="1092"/>
      <c r="I445" s="1092"/>
      <c r="J445" s="1092"/>
      <c r="K445" s="1092"/>
      <c r="L445" s="1092"/>
      <c r="M445" s="1092"/>
      <c r="N445" s="27">
        <f t="shared" si="59"/>
        <v>0</v>
      </c>
    </row>
    <row r="446" spans="1:14">
      <c r="A446" s="34" t="s">
        <v>204</v>
      </c>
      <c r="B446" s="1092"/>
      <c r="C446" s="1092"/>
      <c r="D446" s="1092"/>
      <c r="E446" s="1092"/>
      <c r="F446" s="1092"/>
      <c r="G446" s="1092"/>
      <c r="H446" s="1092"/>
      <c r="I446" s="1092"/>
      <c r="J446" s="1092"/>
      <c r="K446" s="1092"/>
      <c r="L446" s="1092"/>
      <c r="M446" s="1092"/>
      <c r="N446" s="27">
        <f t="shared" si="59"/>
        <v>0</v>
      </c>
    </row>
    <row r="447" spans="1:14">
      <c r="A447" s="76" t="s">
        <v>30</v>
      </c>
      <c r="B447" s="1092"/>
      <c r="C447" s="1092"/>
      <c r="D447" s="1092"/>
      <c r="E447" s="1092"/>
      <c r="F447" s="1092"/>
      <c r="G447" s="1092"/>
      <c r="H447" s="1092"/>
      <c r="I447" s="1092"/>
      <c r="J447" s="1092"/>
      <c r="K447" s="1092"/>
      <c r="L447" s="1092"/>
      <c r="M447" s="1092"/>
      <c r="N447" s="27">
        <f t="shared" si="59"/>
        <v>0</v>
      </c>
    </row>
    <row r="448" spans="1:14">
      <c r="A448" s="32" t="s">
        <v>56</v>
      </c>
      <c r="B448" s="1092"/>
      <c r="C448" s="1092"/>
      <c r="D448" s="1092"/>
      <c r="E448" s="1092"/>
      <c r="F448" s="1092"/>
      <c r="G448" s="1092"/>
      <c r="H448" s="1092"/>
      <c r="I448" s="1092"/>
      <c r="J448" s="1092"/>
      <c r="K448" s="1092"/>
      <c r="L448" s="1092"/>
      <c r="M448" s="1092"/>
      <c r="N448" s="27">
        <f t="shared" si="59"/>
        <v>0</v>
      </c>
    </row>
    <row r="449" spans="1:14">
      <c r="A449" s="78" t="s">
        <v>122</v>
      </c>
      <c r="B449" s="1092"/>
      <c r="C449" s="1092"/>
      <c r="D449" s="1092"/>
      <c r="E449" s="1092"/>
      <c r="F449" s="1092"/>
      <c r="G449" s="1092"/>
      <c r="H449" s="1092"/>
      <c r="I449" s="1092"/>
      <c r="J449" s="1092"/>
      <c r="K449" s="1092"/>
      <c r="L449" s="1092"/>
      <c r="M449" s="1092"/>
      <c r="N449" s="27">
        <f t="shared" si="59"/>
        <v>0</v>
      </c>
    </row>
    <row r="450" spans="1:14">
      <c r="A450" s="78" t="s">
        <v>184</v>
      </c>
      <c r="B450" s="1092"/>
      <c r="C450" s="1092"/>
      <c r="D450" s="1092"/>
      <c r="E450" s="1092"/>
      <c r="F450" s="1092"/>
      <c r="G450" s="1092"/>
      <c r="H450" s="1092"/>
      <c r="I450" s="1092"/>
      <c r="J450" s="1092"/>
      <c r="K450" s="1092"/>
      <c r="L450" s="1092"/>
      <c r="M450" s="1092"/>
      <c r="N450" s="27">
        <f t="shared" si="59"/>
        <v>0</v>
      </c>
    </row>
    <row r="451" spans="1:14">
      <c r="A451" s="78" t="s">
        <v>187</v>
      </c>
      <c r="B451" s="1092"/>
      <c r="C451" s="1092"/>
      <c r="D451" s="1092"/>
      <c r="E451" s="1092"/>
      <c r="F451" s="1092"/>
      <c r="G451" s="1092"/>
      <c r="H451" s="1092"/>
      <c r="I451" s="1092"/>
      <c r="J451" s="1092"/>
      <c r="K451" s="1092"/>
      <c r="L451" s="1092"/>
      <c r="M451" s="1092"/>
      <c r="N451" s="27">
        <f t="shared" si="59"/>
        <v>0</v>
      </c>
    </row>
    <row r="452" spans="1:14">
      <c r="A452" s="78" t="s">
        <v>188</v>
      </c>
      <c r="B452" s="1092"/>
      <c r="C452" s="1092"/>
      <c r="D452" s="1092"/>
      <c r="E452" s="1092"/>
      <c r="F452" s="1092"/>
      <c r="G452" s="1092"/>
      <c r="H452" s="1092"/>
      <c r="I452" s="1092"/>
      <c r="J452" s="1092"/>
      <c r="K452" s="1092"/>
      <c r="L452" s="1092"/>
      <c r="M452" s="1092"/>
      <c r="N452" s="27">
        <f t="shared" si="59"/>
        <v>0</v>
      </c>
    </row>
    <row r="453" spans="1:14">
      <c r="A453" s="78" t="s">
        <v>213</v>
      </c>
      <c r="B453" s="1092"/>
      <c r="C453" s="1092"/>
      <c r="D453" s="1092"/>
      <c r="E453" s="1092"/>
      <c r="F453" s="1092"/>
      <c r="G453" s="1092"/>
      <c r="H453" s="1092"/>
      <c r="I453" s="1092">
        <v>1</v>
      </c>
      <c r="J453" s="1092"/>
      <c r="K453" s="1092"/>
      <c r="L453" s="1092">
        <v>2</v>
      </c>
      <c r="M453" s="1092">
        <v>2</v>
      </c>
      <c r="N453" s="27">
        <f t="shared" si="59"/>
        <v>5</v>
      </c>
    </row>
    <row r="454" spans="1:14">
      <c r="A454" s="76" t="s">
        <v>267</v>
      </c>
      <c r="B454" s="1092"/>
      <c r="C454" s="1092"/>
      <c r="D454" s="1092"/>
      <c r="E454" s="1092"/>
      <c r="F454" s="1092"/>
      <c r="G454" s="1092"/>
      <c r="H454" s="1092"/>
      <c r="I454" s="1092"/>
      <c r="J454" s="1092"/>
      <c r="K454" s="1092"/>
      <c r="L454" s="1092"/>
      <c r="M454" s="1092"/>
      <c r="N454" s="27">
        <f t="shared" si="59"/>
        <v>0</v>
      </c>
    </row>
    <row r="455" spans="1:14" ht="14" thickBot="1">
      <c r="A455" s="78" t="s">
        <v>268</v>
      </c>
      <c r="B455" s="1092"/>
      <c r="C455" s="1092"/>
      <c r="D455" s="1092"/>
      <c r="E455" s="1092"/>
      <c r="F455" s="1092"/>
      <c r="G455" s="1092"/>
      <c r="H455" s="1092"/>
      <c r="I455" s="1092"/>
      <c r="J455" s="1092"/>
      <c r="K455" s="1092"/>
      <c r="L455" s="1092"/>
      <c r="M455" s="1092"/>
      <c r="N455" s="27">
        <f t="shared" si="59"/>
        <v>0</v>
      </c>
    </row>
    <row r="456" spans="1:14" ht="14" thickBot="1">
      <c r="A456" s="38" t="s">
        <v>192</v>
      </c>
      <c r="B456" s="39"/>
      <c r="C456" s="39"/>
      <c r="D456" s="39"/>
      <c r="E456" s="39"/>
      <c r="F456" s="39"/>
      <c r="G456" s="39"/>
      <c r="H456" s="39"/>
      <c r="I456" s="39"/>
      <c r="J456" s="39"/>
      <c r="K456" s="39"/>
      <c r="L456" s="39"/>
      <c r="M456" s="39"/>
      <c r="N456" s="40"/>
    </row>
    <row r="457" spans="1:14" ht="14" thickBot="1">
      <c r="A457" s="76" t="s">
        <v>193</v>
      </c>
      <c r="B457" s="1092"/>
      <c r="C457" s="1092"/>
      <c r="D457" s="1092"/>
      <c r="E457" s="1092"/>
      <c r="F457" s="1092"/>
      <c r="G457" s="1092"/>
      <c r="H457" s="1092"/>
      <c r="I457" s="1092"/>
      <c r="J457" s="1092"/>
      <c r="K457" s="1092"/>
      <c r="L457" s="1092"/>
      <c r="M457" s="1092"/>
      <c r="N457" s="27">
        <f>SUM(B457:M457)</f>
        <v>0</v>
      </c>
    </row>
    <row r="458" spans="1:14" ht="14" thickBot="1">
      <c r="A458" s="53" t="s">
        <v>60</v>
      </c>
      <c r="B458" s="55">
        <f t="shared" ref="B458:M458" si="60">SUM(B444:B457)</f>
        <v>0</v>
      </c>
      <c r="C458" s="55">
        <f t="shared" si="60"/>
        <v>0</v>
      </c>
      <c r="D458" s="55">
        <f t="shared" si="60"/>
        <v>0</v>
      </c>
      <c r="E458" s="55">
        <f t="shared" si="60"/>
        <v>0</v>
      </c>
      <c r="F458" s="55">
        <f t="shared" si="60"/>
        <v>0</v>
      </c>
      <c r="G458" s="55">
        <f t="shared" si="60"/>
        <v>106</v>
      </c>
      <c r="H458" s="55">
        <f t="shared" si="60"/>
        <v>4</v>
      </c>
      <c r="I458" s="55">
        <f t="shared" si="60"/>
        <v>1</v>
      </c>
      <c r="J458" s="55">
        <f t="shared" si="60"/>
        <v>0</v>
      </c>
      <c r="K458" s="55">
        <f t="shared" si="60"/>
        <v>0</v>
      </c>
      <c r="L458" s="55">
        <f t="shared" si="60"/>
        <v>2</v>
      </c>
      <c r="M458" s="55">
        <f t="shared" si="60"/>
        <v>2</v>
      </c>
      <c r="N458" s="54"/>
    </row>
  </sheetData>
  <printOptions gridLines="1"/>
  <pageMargins left="0.75" right="0.75" top="1" bottom="1" header="0.5" footer="0.5"/>
  <pageSetup scale="70" orientation="landscape" r:id="rId1"/>
  <headerFooter alignWithMargins="0"/>
  <rowBreaks count="1" manualBreakCount="1">
    <brk id="76" max="13" man="1"/>
  </rowBreak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tabColor rgb="FFFF0000"/>
  </sheetPr>
  <dimension ref="A1:U650"/>
  <sheetViews>
    <sheetView showGridLines="0" view="pageBreakPreview" topLeftCell="A22" zoomScale="75" zoomScaleNormal="90" zoomScaleSheetLayoutView="75" workbookViewId="0">
      <pane xSplit="1" topLeftCell="B1" activePane="topRight" state="frozen"/>
      <selection activeCell="O7" sqref="O7"/>
      <selection pane="topRight" activeCell="M2" sqref="M2:N3"/>
    </sheetView>
  </sheetViews>
  <sheetFormatPr baseColWidth="10" defaultColWidth="8.83203125" defaultRowHeight="13"/>
  <cols>
    <col min="1" max="1" width="57.33203125" customWidth="1"/>
    <col min="2" max="5" width="8.83203125" customWidth="1"/>
    <col min="6" max="7" width="8.83203125" style="424" customWidth="1"/>
    <col min="8" max="8" width="17.1640625" style="424" customWidth="1"/>
    <col min="9" max="12" width="17.1640625" customWidth="1"/>
    <col min="13" max="14" width="8.83203125" customWidth="1"/>
  </cols>
  <sheetData>
    <row r="1" spans="1:14" s="363" customFormat="1" ht="16">
      <c r="A1" s="98"/>
      <c r="B1" s="99"/>
      <c r="C1" s="99"/>
      <c r="D1" s="99"/>
      <c r="E1" s="99"/>
      <c r="F1" s="421"/>
      <c r="G1" s="421"/>
      <c r="H1" s="421"/>
      <c r="I1" s="1468" t="s">
        <v>0</v>
      </c>
      <c r="J1" s="1468"/>
      <c r="K1" s="1468"/>
      <c r="L1" s="1468"/>
      <c r="M1" s="99"/>
      <c r="N1" s="101"/>
    </row>
    <row r="2" spans="1:14" ht="16">
      <c r="A2" s="97"/>
      <c r="B2" s="1469" t="s">
        <v>1</v>
      </c>
      <c r="C2" s="1469"/>
      <c r="D2" s="1469" t="s">
        <v>2</v>
      </c>
      <c r="E2" s="1469"/>
      <c r="F2" s="1470" t="s">
        <v>3</v>
      </c>
      <c r="G2" s="1470"/>
      <c r="H2" s="1384" t="s">
        <v>3</v>
      </c>
      <c r="I2" s="127" t="s">
        <v>195</v>
      </c>
      <c r="J2" s="102"/>
      <c r="K2" s="102"/>
      <c r="L2" s="128"/>
      <c r="M2" s="1471" t="s">
        <v>469</v>
      </c>
      <c r="N2" s="1472"/>
    </row>
    <row r="3" spans="1:14" ht="19" thickBot="1">
      <c r="A3" s="103" t="s">
        <v>5</v>
      </c>
      <c r="B3" s="1473" t="s">
        <v>6</v>
      </c>
      <c r="C3" s="1473"/>
      <c r="D3" s="1473" t="s">
        <v>7</v>
      </c>
      <c r="E3" s="1473"/>
      <c r="F3" s="1474" t="s">
        <v>7</v>
      </c>
      <c r="G3" s="1474"/>
      <c r="H3" s="1386" t="s">
        <v>58</v>
      </c>
      <c r="I3" s="1387" t="s">
        <v>196</v>
      </c>
      <c r="J3" s="1385" t="s">
        <v>8</v>
      </c>
      <c r="K3" s="1385" t="s">
        <v>9</v>
      </c>
      <c r="L3" s="401" t="s">
        <v>10</v>
      </c>
      <c r="M3" s="1473" t="s">
        <v>470</v>
      </c>
      <c r="N3" s="1475"/>
    </row>
    <row r="4" spans="1:14" ht="24" thickBot="1">
      <c r="A4" s="88" t="s">
        <v>435</v>
      </c>
      <c r="B4" s="1476"/>
      <c r="C4" s="1477"/>
      <c r="D4" s="1478"/>
      <c r="E4" s="1479"/>
      <c r="F4" s="1480"/>
      <c r="G4" s="1481"/>
      <c r="H4" s="1388"/>
      <c r="I4" s="213"/>
      <c r="J4" s="213"/>
      <c r="K4" s="213"/>
      <c r="L4" s="214"/>
      <c r="M4" s="1482"/>
      <c r="N4" s="1483"/>
    </row>
    <row r="5" spans="1:14" s="1161" customFormat="1" ht="17" thickBot="1">
      <c r="A5" s="110" t="s">
        <v>189</v>
      </c>
      <c r="B5" s="1456"/>
      <c r="C5" s="1457"/>
      <c r="D5" s="1457"/>
      <c r="E5" s="1457"/>
      <c r="F5" s="1484"/>
      <c r="G5" s="1484"/>
      <c r="H5" s="1389"/>
      <c r="I5" s="1383"/>
      <c r="J5" s="1383"/>
      <c r="K5" s="1383"/>
      <c r="L5" s="1383"/>
      <c r="M5" s="1485"/>
      <c r="N5" s="1486"/>
    </row>
    <row r="6" spans="1:14" s="121" customFormat="1">
      <c r="A6" s="69" t="s">
        <v>29</v>
      </c>
      <c r="B6" s="1465">
        <f>CVWD!N428</f>
        <v>67</v>
      </c>
      <c r="C6" s="1466"/>
      <c r="D6" s="1432">
        <f>F6*325900</f>
        <v>537148.38</v>
      </c>
      <c r="E6" s="1433"/>
      <c r="F6" s="1467">
        <f>0.0246*B6</f>
        <v>1.6482000000000001</v>
      </c>
      <c r="G6" s="1433"/>
      <c r="H6" s="1379">
        <f>F6*20</f>
        <v>32.963999999999999</v>
      </c>
      <c r="I6" s="173">
        <v>0</v>
      </c>
      <c r="J6" s="173">
        <f>B6*60</f>
        <v>4020</v>
      </c>
      <c r="K6" s="173">
        <f>B6*40</f>
        <v>2680</v>
      </c>
      <c r="L6" s="174">
        <f>K6+J6+I6</f>
        <v>6700</v>
      </c>
      <c r="M6" s="1427">
        <f>J6/(F6*830)</f>
        <v>2.9385836027034968</v>
      </c>
      <c r="N6" s="1428"/>
    </row>
    <row r="7" spans="1:14" s="121" customFormat="1">
      <c r="A7" s="69" t="s">
        <v>33</v>
      </c>
      <c r="B7" s="1435">
        <f>CVWD!N429</f>
        <v>133</v>
      </c>
      <c r="C7" s="1433"/>
      <c r="D7" s="1432">
        <f t="shared" ref="D7" si="0">F7*325900</f>
        <v>1495392.1500000001</v>
      </c>
      <c r="E7" s="1433"/>
      <c r="F7" s="1467">
        <f>0.0345*B7</f>
        <v>4.5885000000000007</v>
      </c>
      <c r="G7" s="1433"/>
      <c r="H7" s="1379">
        <f>F7*14</f>
        <v>64.239000000000004</v>
      </c>
      <c r="I7" s="173">
        <f>0*B7</f>
        <v>0</v>
      </c>
      <c r="J7" s="173">
        <f>B7*75</f>
        <v>9975</v>
      </c>
      <c r="K7" s="173">
        <f>B7*85</f>
        <v>11305</v>
      </c>
      <c r="L7" s="174">
        <f t="shared" ref="L7" si="1">K7+J7+I7</f>
        <v>21280</v>
      </c>
      <c r="M7" s="1427">
        <f t="shared" ref="M7:M11" si="2">J7/(F7*830)</f>
        <v>2.6191723415400729</v>
      </c>
      <c r="N7" s="1428"/>
    </row>
    <row r="8" spans="1:14" s="121" customFormat="1">
      <c r="A8" s="254" t="s">
        <v>465</v>
      </c>
      <c r="B8" s="1435">
        <f>CVWD!N430</f>
        <v>2</v>
      </c>
      <c r="C8" s="1433"/>
      <c r="D8" s="1432">
        <f>F8*325900</f>
        <v>242339.24000000002</v>
      </c>
      <c r="E8" s="1433"/>
      <c r="F8" s="1460">
        <f>0.0044*169</f>
        <v>0.74360000000000004</v>
      </c>
      <c r="G8" s="1461"/>
      <c r="H8" s="1379">
        <f>F8*5</f>
        <v>3.718</v>
      </c>
      <c r="I8" s="173">
        <f>0*0</f>
        <v>0</v>
      </c>
      <c r="J8" s="173">
        <f>3*169</f>
        <v>507</v>
      </c>
      <c r="K8" s="173">
        <f>2*169</f>
        <v>338</v>
      </c>
      <c r="L8" s="174">
        <f>K8+J8+I8</f>
        <v>845</v>
      </c>
      <c r="M8" s="1427">
        <f t="shared" si="2"/>
        <v>0.8214676889375685</v>
      </c>
      <c r="N8" s="1428"/>
    </row>
    <row r="9" spans="1:14" s="121" customFormat="1">
      <c r="A9" s="69" t="s">
        <v>52</v>
      </c>
      <c r="B9" s="1435">
        <f>CVWD!N431</f>
        <v>181</v>
      </c>
      <c r="C9" s="1433"/>
      <c r="D9" s="1432">
        <f>F9*325900</f>
        <v>2442099.06</v>
      </c>
      <c r="E9" s="1433"/>
      <c r="F9" s="1467">
        <f>0.0414*B9</f>
        <v>7.4934000000000003</v>
      </c>
      <c r="G9" s="1433"/>
      <c r="H9" s="1379">
        <f>F9*10</f>
        <v>74.933999999999997</v>
      </c>
      <c r="I9" s="173">
        <v>0</v>
      </c>
      <c r="J9" s="173">
        <f>B9*80</f>
        <v>14480</v>
      </c>
      <c r="K9" s="173">
        <f>B9*80</f>
        <v>14480</v>
      </c>
      <c r="L9" s="174">
        <f>K9+J9+I9</f>
        <v>28960</v>
      </c>
      <c r="M9" s="1427">
        <f t="shared" si="2"/>
        <v>2.3281531924800651</v>
      </c>
      <c r="N9" s="1428"/>
    </row>
    <row r="10" spans="1:14" s="121" customFormat="1">
      <c r="A10" s="254" t="s">
        <v>456</v>
      </c>
      <c r="B10" s="1435">
        <f>CVWD!N432</f>
        <v>40</v>
      </c>
      <c r="C10" s="1433"/>
      <c r="D10" s="1451">
        <f>F10*325900</f>
        <v>3046549.9999999995</v>
      </c>
      <c r="E10" s="1448"/>
      <c r="F10" s="1447">
        <f>70850*43/325900</f>
        <v>9.3481129180730278</v>
      </c>
      <c r="G10" s="1448"/>
      <c r="H10" s="1381">
        <f>F10*10</f>
        <v>93.481129180730278</v>
      </c>
      <c r="I10" s="173">
        <v>0</v>
      </c>
      <c r="J10" s="173">
        <v>53981</v>
      </c>
      <c r="K10" s="173">
        <v>133772</v>
      </c>
      <c r="L10" s="174">
        <f t="shared" ref="L10:L13" si="3">K10+J10+I10</f>
        <v>187753</v>
      </c>
      <c r="M10" s="1427">
        <f t="shared" si="2"/>
        <v>6.9572704103575198</v>
      </c>
      <c r="N10" s="1428"/>
    </row>
    <row r="11" spans="1:14" s="121" customFormat="1">
      <c r="A11" s="254" t="s">
        <v>214</v>
      </c>
      <c r="B11" s="1435">
        <f>CVWD!N433</f>
        <v>4</v>
      </c>
      <c r="C11" s="1433"/>
      <c r="D11" s="1432">
        <f t="shared" ref="D11" si="4">F11*325900</f>
        <v>2476.84</v>
      </c>
      <c r="E11" s="1433"/>
      <c r="F11" s="1460">
        <f>0.0019*B11</f>
        <v>7.6E-3</v>
      </c>
      <c r="G11" s="1461"/>
      <c r="H11" s="1379">
        <f>F11*5</f>
        <v>3.7999999999999999E-2</v>
      </c>
      <c r="I11" s="173">
        <v>0</v>
      </c>
      <c r="J11" s="173">
        <f>B11*0</f>
        <v>0</v>
      </c>
      <c r="K11" s="173">
        <f>B11*35</f>
        <v>140</v>
      </c>
      <c r="L11" s="174">
        <f t="shared" si="3"/>
        <v>140</v>
      </c>
      <c r="M11" s="1427">
        <f t="shared" si="2"/>
        <v>0</v>
      </c>
      <c r="N11" s="1428"/>
    </row>
    <row r="12" spans="1:14" s="121" customFormat="1">
      <c r="A12" s="254" t="s">
        <v>331</v>
      </c>
      <c r="B12" s="1435">
        <f>CVWD!N434</f>
        <v>0</v>
      </c>
      <c r="C12" s="1433"/>
      <c r="D12" s="1432">
        <f>F12*325900</f>
        <v>0</v>
      </c>
      <c r="E12" s="1433"/>
      <c r="F12" s="1460">
        <v>0</v>
      </c>
      <c r="G12" s="1461"/>
      <c r="H12" s="1379">
        <v>0</v>
      </c>
      <c r="I12" s="173">
        <v>0</v>
      </c>
      <c r="J12" s="173">
        <f>B12*0</f>
        <v>0</v>
      </c>
      <c r="K12" s="173">
        <f>B12*300</f>
        <v>0</v>
      </c>
      <c r="L12" s="174">
        <f t="shared" si="3"/>
        <v>0</v>
      </c>
      <c r="M12" s="1427">
        <v>0</v>
      </c>
      <c r="N12" s="1428"/>
    </row>
    <row r="13" spans="1:14" s="121" customFormat="1" ht="14" thickBot="1">
      <c r="A13" s="254" t="s">
        <v>269</v>
      </c>
      <c r="B13" s="1462">
        <f>CVWD!N435</f>
        <v>0</v>
      </c>
      <c r="C13" s="1437"/>
      <c r="D13" s="1432">
        <f t="shared" ref="D13" si="5">F13*325900</f>
        <v>0</v>
      </c>
      <c r="E13" s="1433"/>
      <c r="F13" s="1460">
        <f>0.0414*B13</f>
        <v>0</v>
      </c>
      <c r="G13" s="1461"/>
      <c r="H13" s="1379">
        <f>F13*10</f>
        <v>0</v>
      </c>
      <c r="I13" s="173">
        <v>0</v>
      </c>
      <c r="J13" s="173">
        <f t="shared" ref="J13" si="6">B13*65</f>
        <v>0</v>
      </c>
      <c r="K13" s="173">
        <f t="shared" ref="K13" si="7">B13*40</f>
        <v>0</v>
      </c>
      <c r="L13" s="174">
        <f t="shared" si="3"/>
        <v>0</v>
      </c>
      <c r="M13" s="1427">
        <v>0</v>
      </c>
      <c r="N13" s="1428"/>
    </row>
    <row r="14" spans="1:14" s="1161" customFormat="1" ht="17" thickBot="1">
      <c r="A14" s="110" t="s">
        <v>190</v>
      </c>
      <c r="B14" s="1456"/>
      <c r="C14" s="1457"/>
      <c r="D14" s="1989"/>
      <c r="E14" s="1989"/>
      <c r="F14" s="1989"/>
      <c r="G14" s="1989"/>
      <c r="H14" s="1383"/>
      <c r="I14" s="195"/>
      <c r="J14" s="195"/>
      <c r="K14" s="195"/>
      <c r="L14" s="195"/>
      <c r="M14" s="195"/>
      <c r="N14" s="1190"/>
    </row>
    <row r="15" spans="1:14" s="121" customFormat="1">
      <c r="A15" s="76" t="s">
        <v>393</v>
      </c>
      <c r="B15" s="1435">
        <f>CVWD!N437</f>
        <v>74</v>
      </c>
      <c r="C15" s="1432"/>
      <c r="D15" s="1463">
        <f>F15*325900</f>
        <v>5595051.2000000002</v>
      </c>
      <c r="E15" s="1464"/>
      <c r="F15" s="1463">
        <f>B15*0.232</f>
        <v>17.167999999999999</v>
      </c>
      <c r="G15" s="1464"/>
      <c r="H15" s="1379">
        <f>F15*2</f>
        <v>34.335999999999999</v>
      </c>
      <c r="I15" s="173">
        <v>0</v>
      </c>
      <c r="J15" s="173">
        <f>L15-K15</f>
        <v>16851.952650657</v>
      </c>
      <c r="K15" s="173">
        <v>10782</v>
      </c>
      <c r="L15" s="174">
        <v>27633.952650657</v>
      </c>
      <c r="M15" s="1427">
        <f t="shared" ref="M15:M18" si="8">J15/(F15*830)</f>
        <v>1.1826396441303659</v>
      </c>
      <c r="N15" s="1428"/>
    </row>
    <row r="16" spans="1:14" s="120" customFormat="1">
      <c r="A16" s="254" t="s">
        <v>464</v>
      </c>
      <c r="B16" s="1435">
        <f>CVWD!N438</f>
        <v>60</v>
      </c>
      <c r="C16" s="1432"/>
      <c r="D16" s="1447">
        <f>F16*325900</f>
        <v>1242004.8999999999</v>
      </c>
      <c r="E16" s="1448"/>
      <c r="F16" s="1447">
        <f>(0.0414*81)+(0.0044*104)</f>
        <v>3.8109999999999999</v>
      </c>
      <c r="G16" s="1448"/>
      <c r="H16" s="1381">
        <f>((0.0414*81)*10)+((0.0044*104)*5)</f>
        <v>35.822000000000003</v>
      </c>
      <c r="I16" s="173">
        <v>1079.78</v>
      </c>
      <c r="J16" s="173">
        <f>L16-K16-I16</f>
        <v>23528.607774668373</v>
      </c>
      <c r="K16" s="173">
        <v>24539</v>
      </c>
      <c r="L16" s="174">
        <v>49147.387774668372</v>
      </c>
      <c r="M16" s="1427">
        <f t="shared" si="8"/>
        <v>7.4383941774977229</v>
      </c>
      <c r="N16" s="1428"/>
    </row>
    <row r="17" spans="1:21" s="121" customFormat="1">
      <c r="A17" s="254" t="s">
        <v>425</v>
      </c>
      <c r="B17" s="1435">
        <f>CVWD!N439</f>
        <v>58</v>
      </c>
      <c r="C17" s="1432"/>
      <c r="D17" s="1447">
        <f>F17*325900</f>
        <v>850012.38</v>
      </c>
      <c r="E17" s="1448"/>
      <c r="F17" s="1447">
        <f>0.0414*63</f>
        <v>2.6082000000000001</v>
      </c>
      <c r="G17" s="1448"/>
      <c r="H17" s="1381">
        <f>F17*10</f>
        <v>26.082000000000001</v>
      </c>
      <c r="I17" s="173">
        <v>0</v>
      </c>
      <c r="J17" s="173">
        <f>L17-K17</f>
        <v>26622.325636547801</v>
      </c>
      <c r="K17" s="173">
        <v>10634</v>
      </c>
      <c r="L17" s="174">
        <v>37256.325636547801</v>
      </c>
      <c r="M17" s="1427">
        <f t="shared" si="8"/>
        <v>12.297788178962826</v>
      </c>
      <c r="N17" s="1428"/>
    </row>
    <row r="18" spans="1:21" s="121" customFormat="1">
      <c r="A18" s="254" t="s">
        <v>266</v>
      </c>
      <c r="B18" s="1435">
        <f>CVWD!N440</f>
        <v>118</v>
      </c>
      <c r="C18" s="1432"/>
      <c r="D18" s="1447">
        <f>F18*325900</f>
        <v>530695.56000000006</v>
      </c>
      <c r="E18" s="1448"/>
      <c r="F18" s="1447">
        <f>B18*0.0138</f>
        <v>1.6284000000000001</v>
      </c>
      <c r="G18" s="1448"/>
      <c r="H18" s="1381">
        <f>F18*10</f>
        <v>16.283999999999999</v>
      </c>
      <c r="I18" s="173">
        <v>0</v>
      </c>
      <c r="J18" s="286">
        <f>L18-K18</f>
        <v>33872.129999999997</v>
      </c>
      <c r="K18" s="286">
        <v>29572.639999999999</v>
      </c>
      <c r="L18" s="174">
        <v>63444.77</v>
      </c>
      <c r="M18" s="1427">
        <f t="shared" si="8"/>
        <v>25.06128419351688</v>
      </c>
      <c r="N18" s="1428"/>
    </row>
    <row r="19" spans="1:21" s="121" customFormat="1" ht="14" thickBot="1">
      <c r="A19" s="76" t="s">
        <v>467</v>
      </c>
      <c r="B19" s="1435">
        <f>CVWD!N441</f>
        <v>0</v>
      </c>
      <c r="C19" s="1432"/>
      <c r="D19" s="2184">
        <f>F19*325900</f>
        <v>0</v>
      </c>
      <c r="E19" s="2185"/>
      <c r="F19" s="1458">
        <f>B19*0.075</f>
        <v>0</v>
      </c>
      <c r="G19" s="1459"/>
      <c r="H19" s="1410">
        <f>F19*10</f>
        <v>0</v>
      </c>
      <c r="I19" s="286">
        <v>0</v>
      </c>
      <c r="J19" s="286">
        <v>0</v>
      </c>
      <c r="K19" s="286">
        <v>0</v>
      </c>
      <c r="L19" s="174">
        <f>SUM(I19:K19)</f>
        <v>0</v>
      </c>
      <c r="M19" s="1427">
        <v>0</v>
      </c>
      <c r="N19" s="1428"/>
    </row>
    <row r="20" spans="1:21" ht="14" thickBot="1">
      <c r="A20" s="53" t="s">
        <v>60</v>
      </c>
      <c r="B20" s="1452">
        <f>SUM(B6:C19)</f>
        <v>737</v>
      </c>
      <c r="C20" s="1453"/>
      <c r="D20" s="1452">
        <f t="shared" ref="D20" si="9">SUM(D6:E19)</f>
        <v>15983769.710000003</v>
      </c>
      <c r="E20" s="1453"/>
      <c r="F20" s="1452">
        <f t="shared" ref="F20" si="10">SUM(F6:G19)</f>
        <v>49.045012918073027</v>
      </c>
      <c r="G20" s="1453"/>
      <c r="H20" s="1382">
        <f>SUM(H6:H19)</f>
        <v>381.89812918073028</v>
      </c>
      <c r="I20" s="1408">
        <f>SUM(I6:I19)</f>
        <v>1079.78</v>
      </c>
      <c r="J20" s="1408">
        <f t="shared" ref="J20:K20" si="11">SUM(J6:J19)</f>
        <v>183838.01606187318</v>
      </c>
      <c r="K20" s="1408">
        <f t="shared" si="11"/>
        <v>238242.64</v>
      </c>
      <c r="L20" s="1408">
        <f>SUM(L6:L19)</f>
        <v>423160.43606187316</v>
      </c>
      <c r="M20" s="1454"/>
      <c r="N20" s="1455"/>
    </row>
    <row r="21" spans="1:21" s="1161" customFormat="1" ht="17" thickBot="1">
      <c r="A21" s="110" t="s">
        <v>194</v>
      </c>
      <c r="B21" s="1456"/>
      <c r="C21" s="1457"/>
      <c r="D21" s="1457"/>
      <c r="E21" s="1457"/>
      <c r="F21" s="1457"/>
      <c r="G21" s="1457"/>
      <c r="H21" s="1383"/>
      <c r="I21" s="1395"/>
      <c r="J21" s="1395"/>
      <c r="K21" s="1395"/>
      <c r="L21" s="1395"/>
      <c r="M21" s="1395"/>
      <c r="N21" s="1396"/>
    </row>
    <row r="22" spans="1:21">
      <c r="A22" s="68" t="s">
        <v>29</v>
      </c>
      <c r="B22" s="1421">
        <f>CVWD!N444</f>
        <v>110</v>
      </c>
      <c r="C22" s="1422"/>
      <c r="D22" s="1431">
        <f>F22*325900</f>
        <v>881885.4</v>
      </c>
      <c r="E22" s="1422"/>
      <c r="F22" s="1444">
        <f>0.0246*B22</f>
        <v>2.706</v>
      </c>
      <c r="G22" s="1422"/>
      <c r="H22" s="1377">
        <f>F22*20</f>
        <v>54.12</v>
      </c>
      <c r="I22" s="151">
        <v>0</v>
      </c>
      <c r="J22" s="150">
        <f>B22*60</f>
        <v>6600</v>
      </c>
      <c r="K22" s="150">
        <f>B22*40</f>
        <v>4400</v>
      </c>
      <c r="L22" s="174">
        <f t="shared" ref="L22:L25" si="12">K22+J22+I22</f>
        <v>11000</v>
      </c>
      <c r="M22" s="1427">
        <f>J22/(F22*830)</f>
        <v>2.9385836027034968</v>
      </c>
      <c r="N22" s="1428"/>
      <c r="U22" s="3"/>
    </row>
    <row r="23" spans="1:21">
      <c r="A23" s="68" t="s">
        <v>51</v>
      </c>
      <c r="B23" s="1421">
        <f>CVWD!N445</f>
        <v>0</v>
      </c>
      <c r="C23" s="1422"/>
      <c r="D23" s="1431">
        <f>F23*325900</f>
        <v>0</v>
      </c>
      <c r="E23" s="1422"/>
      <c r="F23" s="1444">
        <f>0.1227*B23</f>
        <v>0</v>
      </c>
      <c r="G23" s="1422"/>
      <c r="H23" s="1377">
        <f>F23*20</f>
        <v>0</v>
      </c>
      <c r="I23" s="151">
        <v>0</v>
      </c>
      <c r="J23" s="150">
        <f>B23*200</f>
        <v>0</v>
      </c>
      <c r="K23" s="150">
        <f>B23*200</f>
        <v>0</v>
      </c>
      <c r="L23" s="174">
        <f t="shared" si="12"/>
        <v>0</v>
      </c>
      <c r="M23" s="1427">
        <v>0</v>
      </c>
      <c r="N23" s="1428"/>
    </row>
    <row r="24" spans="1:21">
      <c r="A24" s="2" t="s">
        <v>204</v>
      </c>
      <c r="B24" s="1421">
        <f>CVWD!N446</f>
        <v>0</v>
      </c>
      <c r="C24" s="1422"/>
      <c r="D24" s="1431">
        <f>F24*325900</f>
        <v>0</v>
      </c>
      <c r="E24" s="1422"/>
      <c r="F24" s="1444">
        <f>0.644*B24</f>
        <v>0</v>
      </c>
      <c r="G24" s="1422"/>
      <c r="H24" s="1377">
        <f>F24*5</f>
        <v>0</v>
      </c>
      <c r="I24" s="151">
        <v>0</v>
      </c>
      <c r="J24" s="150">
        <f>B24*375</f>
        <v>0</v>
      </c>
      <c r="K24" s="150">
        <f>B24*625</f>
        <v>0</v>
      </c>
      <c r="L24" s="174">
        <f t="shared" si="12"/>
        <v>0</v>
      </c>
      <c r="M24" s="1427">
        <v>0</v>
      </c>
      <c r="N24" s="1428"/>
    </row>
    <row r="25" spans="1:21">
      <c r="A25" s="254" t="s">
        <v>30</v>
      </c>
      <c r="B25" s="1421">
        <f>CVWD!N447</f>
        <v>0</v>
      </c>
      <c r="C25" s="1422"/>
      <c r="D25" s="1431">
        <f t="shared" ref="D25:D33" si="13">F25*325900</f>
        <v>0</v>
      </c>
      <c r="E25" s="1422"/>
      <c r="F25" s="1449">
        <f>0.0129*B25</f>
        <v>0</v>
      </c>
      <c r="G25" s="1450"/>
      <c r="H25" s="1377">
        <f>F25*10</f>
        <v>0</v>
      </c>
      <c r="I25" s="151">
        <v>0</v>
      </c>
      <c r="J25" s="150">
        <f>B25*15</f>
        <v>0</v>
      </c>
      <c r="K25" s="150">
        <f>B25*35</f>
        <v>0</v>
      </c>
      <c r="L25" s="174">
        <f t="shared" si="12"/>
        <v>0</v>
      </c>
      <c r="M25" s="1427">
        <v>0</v>
      </c>
      <c r="N25" s="1428"/>
    </row>
    <row r="26" spans="1:21">
      <c r="A26" s="254" t="s">
        <v>436</v>
      </c>
      <c r="B26" s="1421">
        <f>CVWD!N448</f>
        <v>0</v>
      </c>
      <c r="C26" s="1422"/>
      <c r="D26" s="1431">
        <f t="shared" si="13"/>
        <v>0</v>
      </c>
      <c r="E26" s="1422"/>
      <c r="F26" s="1425">
        <f>0.0044*0</f>
        <v>0</v>
      </c>
      <c r="G26" s="1426"/>
      <c r="H26" s="1377">
        <f>F26*5</f>
        <v>0</v>
      </c>
      <c r="I26" s="151">
        <v>0</v>
      </c>
      <c r="J26" s="150">
        <v>0</v>
      </c>
      <c r="K26" s="150">
        <v>0</v>
      </c>
      <c r="L26" s="174">
        <f>K26+J26+I26</f>
        <v>0</v>
      </c>
      <c r="M26" s="1427">
        <v>0</v>
      </c>
      <c r="N26" s="1428"/>
    </row>
    <row r="27" spans="1:21">
      <c r="A27" s="254" t="s">
        <v>122</v>
      </c>
      <c r="B27" s="1421">
        <f>CVWD!N449</f>
        <v>0</v>
      </c>
      <c r="C27" s="1422"/>
      <c r="D27" s="1431">
        <f t="shared" si="13"/>
        <v>0</v>
      </c>
      <c r="E27" s="1422"/>
      <c r="F27" s="1444">
        <f>0.018*B27</f>
        <v>0</v>
      </c>
      <c r="G27" s="1422"/>
      <c r="H27" s="1377">
        <f>F27*10</f>
        <v>0</v>
      </c>
      <c r="I27" s="151">
        <v>0</v>
      </c>
      <c r="J27" s="150">
        <f>B27*5</f>
        <v>0</v>
      </c>
      <c r="K27" s="150">
        <f>B27*13</f>
        <v>0</v>
      </c>
      <c r="L27" s="174">
        <f t="shared" ref="L27:L33" si="14">K27+J27+I27</f>
        <v>0</v>
      </c>
      <c r="M27" s="1427">
        <v>0</v>
      </c>
      <c r="N27" s="1428"/>
    </row>
    <row r="28" spans="1:21">
      <c r="A28" s="257" t="s">
        <v>184</v>
      </c>
      <c r="B28" s="1421">
        <f>CVWD!N450</f>
        <v>0</v>
      </c>
      <c r="C28" s="1422"/>
      <c r="D28" s="1431">
        <f t="shared" si="13"/>
        <v>0</v>
      </c>
      <c r="E28" s="1422"/>
      <c r="F28" s="1444">
        <f>0.0129*B28</f>
        <v>0</v>
      </c>
      <c r="G28" s="1422"/>
      <c r="H28" s="1377">
        <f>F28*10</f>
        <v>0</v>
      </c>
      <c r="I28" s="151">
        <v>0</v>
      </c>
      <c r="J28" s="150">
        <f>B28*15</f>
        <v>0</v>
      </c>
      <c r="K28" s="150">
        <f>B28*35</f>
        <v>0</v>
      </c>
      <c r="L28" s="174">
        <f t="shared" si="14"/>
        <v>0</v>
      </c>
      <c r="M28" s="1427">
        <v>0</v>
      </c>
      <c r="N28" s="1428"/>
    </row>
    <row r="29" spans="1:21" s="57" customFormat="1">
      <c r="A29" s="258" t="s">
        <v>187</v>
      </c>
      <c r="B29" s="1421">
        <f>CVWD!N451</f>
        <v>0</v>
      </c>
      <c r="C29" s="1422"/>
      <c r="D29" s="1431">
        <f t="shared" si="13"/>
        <v>0</v>
      </c>
      <c r="E29" s="1422"/>
      <c r="F29" s="1444">
        <f>0.023*B29</f>
        <v>0</v>
      </c>
      <c r="G29" s="1422"/>
      <c r="H29" s="1377">
        <f>F29*5</f>
        <v>0</v>
      </c>
      <c r="I29" s="151">
        <v>0</v>
      </c>
      <c r="J29" s="150">
        <f>B29*10</f>
        <v>0</v>
      </c>
      <c r="K29" s="150">
        <f>B29*10</f>
        <v>0</v>
      </c>
      <c r="L29" s="174">
        <f t="shared" si="14"/>
        <v>0</v>
      </c>
      <c r="M29" s="1427">
        <v>0</v>
      </c>
      <c r="N29" s="1428"/>
    </row>
    <row r="30" spans="1:21" s="57" customFormat="1">
      <c r="A30" s="258" t="s">
        <v>188</v>
      </c>
      <c r="B30" s="1421">
        <f>CVWD!N452</f>
        <v>0</v>
      </c>
      <c r="C30" s="1422"/>
      <c r="D30" s="1431">
        <f t="shared" si="13"/>
        <v>0</v>
      </c>
      <c r="E30" s="1422"/>
      <c r="F30" s="1445">
        <f>B30*0.154</f>
        <v>0</v>
      </c>
      <c r="G30" s="1446"/>
      <c r="H30" s="1394">
        <f>F30*10</f>
        <v>0</v>
      </c>
      <c r="I30" s="151">
        <v>0</v>
      </c>
      <c r="J30" s="150">
        <f>B30*1000</f>
        <v>0</v>
      </c>
      <c r="K30" s="150">
        <f>B30*1000</f>
        <v>0</v>
      </c>
      <c r="L30" s="174">
        <f t="shared" si="14"/>
        <v>0</v>
      </c>
      <c r="M30" s="1427">
        <v>0</v>
      </c>
      <c r="N30" s="1428"/>
    </row>
    <row r="31" spans="1:21" s="57" customFormat="1">
      <c r="A31" s="258" t="s">
        <v>444</v>
      </c>
      <c r="B31" s="1421">
        <f>CVWD!N453</f>
        <v>5</v>
      </c>
      <c r="C31" s="1422"/>
      <c r="D31" s="1423">
        <f t="shared" si="13"/>
        <v>3835384.9999999995</v>
      </c>
      <c r="E31" s="1424"/>
      <c r="F31" s="1447">
        <f>89195*43/325900</f>
        <v>11.768594660938938</v>
      </c>
      <c r="G31" s="1448"/>
      <c r="H31" s="1381">
        <f>F31*10</f>
        <v>117.68594660938938</v>
      </c>
      <c r="I31" s="151">
        <v>48968.18</v>
      </c>
      <c r="J31" s="150">
        <v>40226.82</v>
      </c>
      <c r="K31" s="150">
        <v>178390</v>
      </c>
      <c r="L31" s="174">
        <f t="shared" si="14"/>
        <v>267585</v>
      </c>
      <c r="M31" s="1427">
        <f t="shared" ref="M31" si="15">J31/(F31*830)</f>
        <v>4.1182528236471949</v>
      </c>
      <c r="N31" s="1428"/>
    </row>
    <row r="32" spans="1:21" s="57" customFormat="1">
      <c r="A32" s="258" t="s">
        <v>269</v>
      </c>
      <c r="B32" s="1421">
        <f>CVWD!N454</f>
        <v>0</v>
      </c>
      <c r="C32" s="1422"/>
      <c r="D32" s="1423">
        <f t="shared" si="13"/>
        <v>0</v>
      </c>
      <c r="E32" s="1424"/>
      <c r="F32" s="1425">
        <f t="shared" ref="F32:F35" si="16">0.0129*B32</f>
        <v>0</v>
      </c>
      <c r="G32" s="1426"/>
      <c r="H32" s="1390">
        <f>F32*10</f>
        <v>0</v>
      </c>
      <c r="I32" s="151">
        <v>0</v>
      </c>
      <c r="J32" s="150">
        <f>B32*15</f>
        <v>0</v>
      </c>
      <c r="K32" s="150">
        <f>B32*35</f>
        <v>0</v>
      </c>
      <c r="L32" s="174">
        <f t="shared" si="14"/>
        <v>0</v>
      </c>
      <c r="M32" s="1427">
        <v>0</v>
      </c>
      <c r="N32" s="1428"/>
    </row>
    <row r="33" spans="1:14" s="57" customFormat="1" ht="14" thickBot="1">
      <c r="A33" s="258" t="s">
        <v>268</v>
      </c>
      <c r="B33" s="1421">
        <f>CVWD!N455</f>
        <v>0</v>
      </c>
      <c r="C33" s="1422"/>
      <c r="D33" s="1431">
        <f t="shared" si="13"/>
        <v>0</v>
      </c>
      <c r="E33" s="1422"/>
      <c r="F33" s="1432">
        <f>(B33*0.0084)/2</f>
        <v>0</v>
      </c>
      <c r="G33" s="1433"/>
      <c r="H33" s="1379">
        <f>F33*10</f>
        <v>0</v>
      </c>
      <c r="I33" s="151">
        <v>0</v>
      </c>
      <c r="J33" s="150">
        <f>B33*5</f>
        <v>0</v>
      </c>
      <c r="K33" s="150">
        <f>B33*5</f>
        <v>0</v>
      </c>
      <c r="L33" s="174">
        <f t="shared" si="14"/>
        <v>0</v>
      </c>
      <c r="M33" s="1427">
        <v>0</v>
      </c>
      <c r="N33" s="1428"/>
    </row>
    <row r="34" spans="1:14" s="91" customFormat="1" ht="16.5" hidden="1" customHeight="1" thickBot="1">
      <c r="A34" s="1046" t="s">
        <v>192</v>
      </c>
      <c r="B34" s="1434"/>
      <c r="C34" s="1434"/>
      <c r="D34" s="1434"/>
      <c r="E34" s="1434"/>
      <c r="F34" s="1425">
        <f t="shared" si="16"/>
        <v>0</v>
      </c>
      <c r="G34" s="1426"/>
      <c r="H34" s="1378"/>
      <c r="I34" s="1133"/>
      <c r="J34" s="1133"/>
      <c r="K34" s="1133"/>
      <c r="L34" s="1133"/>
      <c r="M34" s="1133"/>
      <c r="N34" s="1134"/>
    </row>
    <row r="35" spans="1:14" s="121" customFormat="1" ht="13.5" hidden="1" customHeight="1" thickBot="1">
      <c r="A35" s="76" t="s">
        <v>193</v>
      </c>
      <c r="B35" s="1435"/>
      <c r="C35" s="1433"/>
      <c r="D35" s="1436"/>
      <c r="E35" s="1437"/>
      <c r="F35" s="1425">
        <f t="shared" si="16"/>
        <v>0</v>
      </c>
      <c r="G35" s="1426"/>
      <c r="H35" s="1379">
        <f>F35*5</f>
        <v>0</v>
      </c>
      <c r="I35" s="216">
        <v>0</v>
      </c>
      <c r="J35" s="216">
        <f>L35-K35</f>
        <v>0</v>
      </c>
      <c r="K35" s="216">
        <f>B35*2</f>
        <v>0</v>
      </c>
      <c r="L35" s="174">
        <v>0</v>
      </c>
      <c r="M35" s="1427">
        <f>IF(ISERROR(L35/(F35*771)),0,L35/(F35*771))</f>
        <v>0</v>
      </c>
      <c r="N35" s="1428"/>
    </row>
    <row r="36" spans="1:14" ht="14" thickBot="1">
      <c r="A36" s="53" t="s">
        <v>60</v>
      </c>
      <c r="B36" s="1438">
        <f>SUM(B22:C35)</f>
        <v>115</v>
      </c>
      <c r="C36" s="1439"/>
      <c r="D36" s="1440">
        <f>SUM(D22:E35)</f>
        <v>4717270.3999999994</v>
      </c>
      <c r="E36" s="1439"/>
      <c r="F36" s="1441">
        <f>SUM(F22:G35)</f>
        <v>14.474594660938937</v>
      </c>
      <c r="G36" s="1439"/>
      <c r="H36" s="1380">
        <f>SUM(H22:H35)</f>
        <v>171.80594660938937</v>
      </c>
      <c r="I36" s="1397">
        <f>SUM(I22:I35)</f>
        <v>48968.18</v>
      </c>
      <c r="J36" s="1397">
        <f>SUM(J22:J35)</f>
        <v>46826.82</v>
      </c>
      <c r="K36" s="1397">
        <f>SUM(K22:K35)</f>
        <v>182790</v>
      </c>
      <c r="L36" s="1397">
        <f>SUM(L22:L35)</f>
        <v>278585</v>
      </c>
      <c r="M36" s="1442"/>
      <c r="N36" s="1443"/>
    </row>
    <row r="37" spans="1:14" s="1161" customFormat="1" ht="17" thickBot="1">
      <c r="A37" s="1163" t="s">
        <v>17</v>
      </c>
      <c r="B37" s="1414">
        <f>SUM(,B20,B36)</f>
        <v>852</v>
      </c>
      <c r="C37" s="1415"/>
      <c r="D37" s="1416">
        <f>SUM(,D20,D36)</f>
        <v>20701040.110000003</v>
      </c>
      <c r="E37" s="1415"/>
      <c r="F37" s="1416">
        <f>SUM(,F20,F36)</f>
        <v>63.519607579011961</v>
      </c>
      <c r="G37" s="1415"/>
      <c r="H37" s="1376">
        <f>SUM(H20,H36)</f>
        <v>553.70407579011965</v>
      </c>
      <c r="I37" s="1165">
        <f>SUM(,I20,I36)</f>
        <v>50047.96</v>
      </c>
      <c r="J37" s="1165">
        <f>SUM(,J20,J36)</f>
        <v>230664.83606187318</v>
      </c>
      <c r="K37" s="1165">
        <f>SUM(,K20,K36)</f>
        <v>421032.64</v>
      </c>
      <c r="L37" s="1165">
        <f>SUM(,L20,L36)</f>
        <v>701745.4360618731</v>
      </c>
      <c r="M37" s="1417"/>
      <c r="N37" s="1418"/>
    </row>
    <row r="38" spans="1:14">
      <c r="A38" s="50"/>
      <c r="B38" s="1392"/>
      <c r="C38" s="1392"/>
      <c r="D38" s="1392"/>
      <c r="E38" s="1392"/>
      <c r="F38" s="1393"/>
      <c r="G38" s="1393"/>
      <c r="H38" s="1393"/>
      <c r="I38" s="21"/>
      <c r="J38" s="21"/>
      <c r="K38" s="21"/>
      <c r="L38" s="21"/>
      <c r="M38" s="1391"/>
      <c r="N38" s="1391"/>
    </row>
    <row r="39" spans="1:14" ht="15">
      <c r="A39" s="9" t="s">
        <v>18</v>
      </c>
      <c r="B39" s="1419" t="s">
        <v>59</v>
      </c>
      <c r="C39" s="1419"/>
      <c r="D39" s="1419"/>
      <c r="E39" s="1419"/>
      <c r="F39" s="1393"/>
      <c r="G39" s="1393"/>
      <c r="H39" s="1393"/>
      <c r="I39" s="21"/>
      <c r="J39" s="21"/>
      <c r="K39" s="21"/>
      <c r="L39" s="21"/>
      <c r="M39" s="1391"/>
      <c r="N39" s="1391"/>
    </row>
    <row r="40" spans="1:14" ht="14" thickBot="1">
      <c r="B40" s="1420" t="s">
        <v>19</v>
      </c>
      <c r="C40" s="1420"/>
      <c r="D40" s="1420"/>
      <c r="E40" s="1420"/>
      <c r="F40" s="1393"/>
      <c r="G40" s="1393"/>
      <c r="H40" s="1393"/>
      <c r="I40" s="21"/>
      <c r="J40" s="21"/>
      <c r="K40" s="21"/>
      <c r="L40" s="21"/>
      <c r="N40" s="1391"/>
    </row>
    <row r="41" spans="1:14" s="363" customFormat="1" ht="16">
      <c r="A41" s="98"/>
      <c r="B41" s="99"/>
      <c r="C41" s="99"/>
      <c r="D41" s="99"/>
      <c r="E41" s="99"/>
      <c r="F41" s="421"/>
      <c r="G41" s="421"/>
      <c r="H41" s="421"/>
      <c r="I41" s="1468" t="s">
        <v>0</v>
      </c>
      <c r="J41" s="1468"/>
      <c r="K41" s="1468"/>
      <c r="L41" s="1468"/>
      <c r="M41" s="99"/>
      <c r="N41" s="101"/>
    </row>
    <row r="42" spans="1:14" ht="16">
      <c r="A42" s="97"/>
      <c r="B42" s="1469" t="s">
        <v>1</v>
      </c>
      <c r="C42" s="1469"/>
      <c r="D42" s="1469" t="s">
        <v>2</v>
      </c>
      <c r="E42" s="1469"/>
      <c r="F42" s="1470" t="s">
        <v>3</v>
      </c>
      <c r="G42" s="1470"/>
      <c r="H42" s="1116" t="s">
        <v>3</v>
      </c>
      <c r="I42" s="127" t="s">
        <v>195</v>
      </c>
      <c r="J42" s="102"/>
      <c r="K42" s="102"/>
      <c r="L42" s="128"/>
      <c r="M42" s="1525" t="s">
        <v>4</v>
      </c>
      <c r="N42" s="1526"/>
    </row>
    <row r="43" spans="1:14" ht="19" thickBot="1">
      <c r="A43" s="103" t="s">
        <v>5</v>
      </c>
      <c r="B43" s="1473" t="s">
        <v>6</v>
      </c>
      <c r="C43" s="1473"/>
      <c r="D43" s="1473" t="s">
        <v>7</v>
      </c>
      <c r="E43" s="1473"/>
      <c r="F43" s="1474" t="s">
        <v>7</v>
      </c>
      <c r="G43" s="1474"/>
      <c r="H43" s="1118" t="s">
        <v>58</v>
      </c>
      <c r="I43" s="1121" t="s">
        <v>196</v>
      </c>
      <c r="J43" s="1117" t="s">
        <v>8</v>
      </c>
      <c r="K43" s="1117" t="s">
        <v>9</v>
      </c>
      <c r="L43" s="401" t="s">
        <v>10</v>
      </c>
      <c r="M43" s="1527" t="s">
        <v>145</v>
      </c>
      <c r="N43" s="1475"/>
    </row>
    <row r="44" spans="1:14" ht="24" thickBot="1">
      <c r="A44" s="88" t="s">
        <v>391</v>
      </c>
      <c r="B44" s="1476"/>
      <c r="C44" s="1477"/>
      <c r="D44" s="1478"/>
      <c r="E44" s="1479"/>
      <c r="F44" s="1480"/>
      <c r="G44" s="1481"/>
      <c r="H44" s="1126"/>
      <c r="I44" s="213"/>
      <c r="J44" s="213"/>
      <c r="K44" s="213"/>
      <c r="L44" s="214"/>
      <c r="M44" s="1482"/>
      <c r="N44" s="1483"/>
    </row>
    <row r="45" spans="1:14" s="1161" customFormat="1" ht="17" thickBot="1">
      <c r="A45" s="110" t="s">
        <v>189</v>
      </c>
      <c r="B45" s="1456"/>
      <c r="C45" s="1457"/>
      <c r="D45" s="1457"/>
      <c r="E45" s="1457"/>
      <c r="F45" s="1484"/>
      <c r="G45" s="1484"/>
      <c r="H45" s="1158"/>
      <c r="I45" s="1141"/>
      <c r="J45" s="1141"/>
      <c r="K45" s="1141"/>
      <c r="L45" s="1141"/>
      <c r="M45" s="1485"/>
      <c r="N45" s="1486"/>
    </row>
    <row r="46" spans="1:14" s="121" customFormat="1">
      <c r="A46" s="69" t="s">
        <v>29</v>
      </c>
      <c r="B46" s="1435">
        <f>CVWD!N394</f>
        <v>13</v>
      </c>
      <c r="C46" s="1433"/>
      <c r="D46" s="1432">
        <f>F46*325900</f>
        <v>104222.82</v>
      </c>
      <c r="E46" s="1433"/>
      <c r="F46" s="1467">
        <f>0.0246*B46</f>
        <v>0.31980000000000003</v>
      </c>
      <c r="G46" s="1433"/>
      <c r="H46" s="1124">
        <f>F46*20</f>
        <v>6.3960000000000008</v>
      </c>
      <c r="I46" s="173">
        <v>0</v>
      </c>
      <c r="J46" s="173">
        <f>B46*60</f>
        <v>780</v>
      </c>
      <c r="K46" s="173">
        <f>B46*40</f>
        <v>520</v>
      </c>
      <c r="L46" s="174">
        <f>K46+J46+I46</f>
        <v>1300</v>
      </c>
      <c r="M46" s="1427">
        <f>IF(ISERROR(L46/(F46*771)),0,L46/(F46*799))</f>
        <v>5.087660388493747</v>
      </c>
      <c r="N46" s="1428"/>
    </row>
    <row r="47" spans="1:14" s="121" customFormat="1">
      <c r="A47" s="69" t="s">
        <v>33</v>
      </c>
      <c r="B47" s="1435">
        <f>CVWD!N395</f>
        <v>148</v>
      </c>
      <c r="C47" s="1433"/>
      <c r="D47" s="1432">
        <f t="shared" ref="D47" si="17">F47*325900</f>
        <v>1664045.4000000001</v>
      </c>
      <c r="E47" s="1433"/>
      <c r="F47" s="1467">
        <f>0.0345*B47</f>
        <v>5.1060000000000008</v>
      </c>
      <c r="G47" s="1433"/>
      <c r="H47" s="1124">
        <f>F47*14</f>
        <v>71.484000000000009</v>
      </c>
      <c r="I47" s="173">
        <f>0*B47</f>
        <v>0</v>
      </c>
      <c r="J47" s="173">
        <f>B47*75</f>
        <v>11100</v>
      </c>
      <c r="K47" s="173">
        <f>B47*85</f>
        <v>12580</v>
      </c>
      <c r="L47" s="174">
        <f t="shared" ref="L47:L53" si="18">K47+J47+I47</f>
        <v>23680</v>
      </c>
      <c r="M47" s="1427">
        <f t="shared" ref="M47:M53" si="19">IF(ISERROR(L47/(F47*771)),0,L47/(F47*799))</f>
        <v>5.804356895394605</v>
      </c>
      <c r="N47" s="1428"/>
    </row>
    <row r="48" spans="1:14" s="121" customFormat="1">
      <c r="A48" s="254" t="s">
        <v>429</v>
      </c>
      <c r="B48" s="1435">
        <f>CVWD!N396</f>
        <v>1</v>
      </c>
      <c r="C48" s="1433"/>
      <c r="D48" s="1432">
        <f>F48*325900</f>
        <v>114716.80000000002</v>
      </c>
      <c r="E48" s="1433"/>
      <c r="F48" s="1460">
        <f>0.0044*80</f>
        <v>0.35200000000000004</v>
      </c>
      <c r="G48" s="1461"/>
      <c r="H48" s="1289">
        <f>F48*5</f>
        <v>1.7600000000000002</v>
      </c>
      <c r="I48" s="173">
        <f>0*80</f>
        <v>0</v>
      </c>
      <c r="J48" s="173">
        <f>80*3</f>
        <v>240</v>
      </c>
      <c r="K48" s="173">
        <f>80*2</f>
        <v>160</v>
      </c>
      <c r="L48" s="174">
        <f>K48+J48+I48</f>
        <v>400</v>
      </c>
      <c r="M48" s="1427">
        <f>IF(ISERROR(L48/(F48*771)),0,L48/(F48*799))</f>
        <v>1.4222323358743882</v>
      </c>
      <c r="N48" s="1428"/>
    </row>
    <row r="49" spans="1:21" s="121" customFormat="1">
      <c r="A49" s="69" t="s">
        <v>52</v>
      </c>
      <c r="B49" s="1435">
        <f>CVWD!N397</f>
        <v>190</v>
      </c>
      <c r="C49" s="1433"/>
      <c r="D49" s="1432">
        <f t="shared" ref="D49" si="20">F49*325900</f>
        <v>2563529.4</v>
      </c>
      <c r="E49" s="1433"/>
      <c r="F49" s="1467">
        <f>0.0414*B49</f>
        <v>7.8659999999999997</v>
      </c>
      <c r="G49" s="1433"/>
      <c r="H49" s="1124">
        <f>F49*10</f>
        <v>78.66</v>
      </c>
      <c r="I49" s="173">
        <v>0</v>
      </c>
      <c r="J49" s="173">
        <f>B49*80</f>
        <v>15200</v>
      </c>
      <c r="K49" s="173">
        <f>B49*80</f>
        <v>15200</v>
      </c>
      <c r="L49" s="174">
        <f t="shared" si="18"/>
        <v>30400</v>
      </c>
      <c r="M49" s="1427">
        <f t="shared" si="19"/>
        <v>4.8369640794955053</v>
      </c>
      <c r="N49" s="1428"/>
    </row>
    <row r="50" spans="1:21" s="121" customFormat="1">
      <c r="A50" s="254" t="s">
        <v>431</v>
      </c>
      <c r="B50" s="1435">
        <f>CVWD!N398</f>
        <v>31</v>
      </c>
      <c r="C50" s="1433"/>
      <c r="D50" s="1451">
        <f>F50*325900</f>
        <v>1549677.0001360001</v>
      </c>
      <c r="E50" s="1448"/>
      <c r="F50" s="1447">
        <v>4.7550690400000004</v>
      </c>
      <c r="G50" s="1448"/>
      <c r="H50" s="1115">
        <f>F50*10</f>
        <v>47.550690400000008</v>
      </c>
      <c r="I50" s="173">
        <v>0</v>
      </c>
      <c r="J50" s="173">
        <v>31880</v>
      </c>
      <c r="K50" s="173">
        <v>60342</v>
      </c>
      <c r="L50" s="174">
        <f>K50+J50+I50</f>
        <v>92222</v>
      </c>
      <c r="M50" s="1427">
        <f t="shared" si="19"/>
        <v>24.273417746533266</v>
      </c>
      <c r="N50" s="1428"/>
    </row>
    <row r="51" spans="1:21" s="121" customFormat="1">
      <c r="A51" s="254" t="s">
        <v>214</v>
      </c>
      <c r="B51" s="1435">
        <f>CVWD!N399</f>
        <v>3</v>
      </c>
      <c r="C51" s="1433"/>
      <c r="D51" s="1432">
        <f t="shared" ref="D51:D53" si="21">F51*325900</f>
        <v>1857.63</v>
      </c>
      <c r="E51" s="1433"/>
      <c r="F51" s="1467">
        <f>0.0019*B51</f>
        <v>5.7000000000000002E-3</v>
      </c>
      <c r="G51" s="1433"/>
      <c r="H51" s="1124">
        <f>F51*5</f>
        <v>2.8500000000000001E-2</v>
      </c>
      <c r="I51" s="173">
        <v>0</v>
      </c>
      <c r="J51" s="173">
        <f>B51*0</f>
        <v>0</v>
      </c>
      <c r="K51" s="173">
        <f>B51*35</f>
        <v>105</v>
      </c>
      <c r="L51" s="174">
        <f t="shared" si="18"/>
        <v>105</v>
      </c>
      <c r="M51" s="1427">
        <f t="shared" si="19"/>
        <v>23.055134707858507</v>
      </c>
      <c r="N51" s="1428"/>
    </row>
    <row r="52" spans="1:21" s="121" customFormat="1">
      <c r="A52" s="254" t="s">
        <v>331</v>
      </c>
      <c r="B52" s="1435">
        <f>CVWD!N400</f>
        <v>0</v>
      </c>
      <c r="C52" s="1433"/>
      <c r="D52" s="1432">
        <f>F52*325900</f>
        <v>0</v>
      </c>
      <c r="E52" s="1433"/>
      <c r="F52" s="1467">
        <v>0</v>
      </c>
      <c r="G52" s="1433"/>
      <c r="H52" s="1289">
        <v>0</v>
      </c>
      <c r="I52" s="173">
        <v>0</v>
      </c>
      <c r="J52" s="173">
        <f>B52*0</f>
        <v>0</v>
      </c>
      <c r="K52" s="173">
        <f>B52*300</f>
        <v>0</v>
      </c>
      <c r="L52" s="174">
        <f t="shared" si="18"/>
        <v>0</v>
      </c>
      <c r="M52" s="1427">
        <f t="shared" si="19"/>
        <v>0</v>
      </c>
      <c r="N52" s="1428"/>
    </row>
    <row r="53" spans="1:21" s="121" customFormat="1" ht="14" thickBot="1">
      <c r="A53" s="254" t="s">
        <v>269</v>
      </c>
      <c r="B53" s="1435">
        <f>CVWD!N401</f>
        <v>1</v>
      </c>
      <c r="C53" s="1433"/>
      <c r="D53" s="1432">
        <f t="shared" si="21"/>
        <v>13492.26</v>
      </c>
      <c r="E53" s="1433"/>
      <c r="F53" s="1460">
        <f>0.0414*B53</f>
        <v>4.1399999999999999E-2</v>
      </c>
      <c r="G53" s="1461"/>
      <c r="H53" s="1124">
        <f>F53*10</f>
        <v>0.41399999999999998</v>
      </c>
      <c r="I53" s="173">
        <v>0</v>
      </c>
      <c r="J53" s="173">
        <v>0</v>
      </c>
      <c r="K53" s="173">
        <f>B53*80</f>
        <v>80</v>
      </c>
      <c r="L53" s="174">
        <f t="shared" si="18"/>
        <v>80</v>
      </c>
      <c r="M53" s="1427">
        <f t="shared" si="19"/>
        <v>2.4184820397477522</v>
      </c>
      <c r="N53" s="1428"/>
    </row>
    <row r="54" spans="1:21" s="1161" customFormat="1" ht="17" thickBot="1">
      <c r="A54" s="110" t="s">
        <v>190</v>
      </c>
      <c r="B54" s="1456"/>
      <c r="C54" s="1457"/>
      <c r="D54" s="1457"/>
      <c r="E54" s="1457"/>
      <c r="F54" s="1457"/>
      <c r="G54" s="1457"/>
      <c r="H54" s="1141"/>
      <c r="I54" s="195"/>
      <c r="J54" s="195"/>
      <c r="K54" s="195"/>
      <c r="L54" s="195"/>
      <c r="M54" s="195"/>
      <c r="N54" s="1190"/>
    </row>
    <row r="55" spans="1:21" s="121" customFormat="1">
      <c r="A55" s="76" t="s">
        <v>417</v>
      </c>
      <c r="B55" s="1435">
        <f>CVWD!N403</f>
        <v>38</v>
      </c>
      <c r="C55" s="1433"/>
      <c r="D55" s="1432" t="s">
        <v>22</v>
      </c>
      <c r="E55" s="1433"/>
      <c r="F55" s="1467" t="s">
        <v>22</v>
      </c>
      <c r="G55" s="1433"/>
      <c r="H55" s="1292" t="s">
        <v>22</v>
      </c>
      <c r="I55" s="173">
        <f>B55*541.27</f>
        <v>20568.259999999998</v>
      </c>
      <c r="J55" s="173">
        <v>0</v>
      </c>
      <c r="K55" s="173">
        <v>0</v>
      </c>
      <c r="L55" s="174">
        <f>I55+J55+K55</f>
        <v>20568.259999999998</v>
      </c>
      <c r="M55" s="1427">
        <f>IF(ISERROR(L55/(F55*771)),0,L55/(F55*799))</f>
        <v>0</v>
      </c>
      <c r="N55" s="1428"/>
    </row>
    <row r="56" spans="1:21" s="121" customFormat="1">
      <c r="A56" s="254" t="s">
        <v>398</v>
      </c>
      <c r="B56" s="1435">
        <f>CVWD!N404</f>
        <v>44</v>
      </c>
      <c r="C56" s="1433"/>
      <c r="D56" s="1451">
        <f>F56*325900</f>
        <v>2448291.16</v>
      </c>
      <c r="E56" s="1448"/>
      <c r="F56" s="1447">
        <v>7.5124000000000004</v>
      </c>
      <c r="G56" s="1448"/>
      <c r="H56" s="1115">
        <v>50.396000000000001</v>
      </c>
      <c r="I56" s="173">
        <f>(B56*922.51)*0.49</f>
        <v>19889.315600000002</v>
      </c>
      <c r="J56" s="173">
        <f>(B56*922.5)*0</f>
        <v>0</v>
      </c>
      <c r="K56" s="173">
        <f>(B56*922.51)*0.51</f>
        <v>20701.124400000001</v>
      </c>
      <c r="L56" s="174">
        <f t="shared" ref="L56:L58" si="22">K56+J56+I56</f>
        <v>40590.44</v>
      </c>
      <c r="M56" s="1427">
        <f>IF(ISERROR(L56/(F56*771)),0,L56/(F56*799))</f>
        <v>6.7623598237480573</v>
      </c>
      <c r="N56" s="1428"/>
    </row>
    <row r="57" spans="1:21" s="121" customFormat="1">
      <c r="A57" s="254" t="s">
        <v>410</v>
      </c>
      <c r="B57" s="1435">
        <f>CVWD!N405</f>
        <v>55</v>
      </c>
      <c r="C57" s="1433"/>
      <c r="D57" s="1451">
        <f>F57*325900</f>
        <v>782551.08</v>
      </c>
      <c r="E57" s="1448"/>
      <c r="F57" s="1447">
        <f>0.0414*58</f>
        <v>2.4011999999999998</v>
      </c>
      <c r="G57" s="1448"/>
      <c r="H57" s="1115">
        <f>F57*10</f>
        <v>24.011999999999997</v>
      </c>
      <c r="I57" s="173">
        <v>0</v>
      </c>
      <c r="J57" s="173">
        <f>(B57*674.7)*0.62</f>
        <v>23007.27</v>
      </c>
      <c r="K57" s="173">
        <f>(B57*674.7)*0.38</f>
        <v>14101.23</v>
      </c>
      <c r="L57" s="174">
        <f>K57+J57+I57</f>
        <v>37108.5</v>
      </c>
      <c r="M57" s="1427">
        <f t="shared" ref="M57:M58" si="23">IF(ISERROR(L57/(F57*771)),0,L57/(F57*799))</f>
        <v>19.341862235340404</v>
      </c>
      <c r="N57" s="1428"/>
    </row>
    <row r="58" spans="1:21" s="121" customFormat="1" ht="14" thickBot="1">
      <c r="A58" s="254" t="s">
        <v>266</v>
      </c>
      <c r="B58" s="1435">
        <f>CVWD!N406</f>
        <v>132</v>
      </c>
      <c r="C58" s="1433"/>
      <c r="D58" s="1458">
        <f>F58*325900</f>
        <v>5076218.3999999994</v>
      </c>
      <c r="E58" s="1459"/>
      <c r="F58" s="1693">
        <f>B58*0.118</f>
        <v>15.575999999999999</v>
      </c>
      <c r="G58" s="1459"/>
      <c r="H58" s="1115">
        <f>F58*10</f>
        <v>155.76</v>
      </c>
      <c r="I58" s="173">
        <v>0</v>
      </c>
      <c r="J58" s="286">
        <f>(B58*520.03)*0.51</f>
        <v>35008.419599999994</v>
      </c>
      <c r="K58" s="286">
        <f>(B58*520.03)*0.49</f>
        <v>33635.540399999998</v>
      </c>
      <c r="L58" s="174">
        <f t="shared" si="22"/>
        <v>68643.959999999992</v>
      </c>
      <c r="M58" s="1427">
        <f t="shared" si="23"/>
        <v>5.5156869816083667</v>
      </c>
      <c r="N58" s="1428"/>
    </row>
    <row r="59" spans="1:21" ht="14" thickBot="1">
      <c r="A59" s="53" t="s">
        <v>60</v>
      </c>
      <c r="B59" s="1452">
        <f>SUM(B46:C58)</f>
        <v>656</v>
      </c>
      <c r="C59" s="1453"/>
      <c r="D59" s="1694">
        <f>SUM(D46:E58)</f>
        <v>14318601.950135998</v>
      </c>
      <c r="E59" s="1453"/>
      <c r="F59" s="1452">
        <f>SUM(F46:G58)</f>
        <v>43.935569039999997</v>
      </c>
      <c r="G59" s="1453"/>
      <c r="H59" s="1122">
        <f>SUM(H46:H58)</f>
        <v>436.46119040000002</v>
      </c>
      <c r="I59" s="1132">
        <f>SUM(I46:I58)</f>
        <v>40457.575599999996</v>
      </c>
      <c r="J59" s="1132">
        <f>SUM(J46:J58)</f>
        <v>117215.6896</v>
      </c>
      <c r="K59" s="1132">
        <f t="shared" ref="K59:L59" si="24">SUM(K46:K58)</f>
        <v>157424.89480000001</v>
      </c>
      <c r="L59" s="1132">
        <f t="shared" si="24"/>
        <v>315098.16000000003</v>
      </c>
      <c r="M59" s="1454">
        <f t="shared" ref="M59" si="25">IF(ISERROR(L59/(F59*744)),0,L59/(F59*744))</f>
        <v>9.6395481272242698</v>
      </c>
      <c r="N59" s="1455"/>
    </row>
    <row r="60" spans="1:21" s="1161" customFormat="1" ht="17" thickBot="1">
      <c r="A60" s="110" t="s">
        <v>194</v>
      </c>
      <c r="B60" s="1456"/>
      <c r="C60" s="1457"/>
      <c r="D60" s="1457"/>
      <c r="E60" s="1457"/>
      <c r="F60" s="1457"/>
      <c r="G60" s="1457"/>
      <c r="H60" s="1141"/>
      <c r="I60" s="997"/>
      <c r="J60" s="997"/>
      <c r="K60" s="997"/>
      <c r="L60" s="997"/>
      <c r="M60" s="997"/>
      <c r="N60" s="998"/>
    </row>
    <row r="61" spans="1:21">
      <c r="A61" s="68" t="s">
        <v>29</v>
      </c>
      <c r="B61" s="1421">
        <f>CVWD!N409</f>
        <v>0</v>
      </c>
      <c r="C61" s="1422"/>
      <c r="D61" s="1431">
        <f>F61*325900</f>
        <v>0</v>
      </c>
      <c r="E61" s="1422"/>
      <c r="F61" s="1444">
        <f>0.0246*B61</f>
        <v>0</v>
      </c>
      <c r="G61" s="1422"/>
      <c r="H61" s="1123">
        <f>F61*20</f>
        <v>0</v>
      </c>
      <c r="I61" s="151">
        <v>0</v>
      </c>
      <c r="J61" s="150">
        <f>B61*60</f>
        <v>0</v>
      </c>
      <c r="K61" s="150">
        <f>B61*40</f>
        <v>0</v>
      </c>
      <c r="L61" s="174">
        <f t="shared" ref="L61:L70" si="26">K61+J61+I61</f>
        <v>0</v>
      </c>
      <c r="M61" s="1427">
        <f>IF(ISERROR(L61/(F61*771)),0,L61/(F61*799))</f>
        <v>0</v>
      </c>
      <c r="N61" s="1428"/>
      <c r="U61" s="3"/>
    </row>
    <row r="62" spans="1:21">
      <c r="A62" s="68" t="s">
        <v>51</v>
      </c>
      <c r="B62" s="1421">
        <f>CVWD!N410</f>
        <v>0</v>
      </c>
      <c r="C62" s="1422"/>
      <c r="D62" s="1431">
        <f>F62*325900</f>
        <v>0</v>
      </c>
      <c r="E62" s="1422"/>
      <c r="F62" s="1444">
        <f>0.1227*B62</f>
        <v>0</v>
      </c>
      <c r="G62" s="1422"/>
      <c r="H62" s="1123">
        <f>F62*20</f>
        <v>0</v>
      </c>
      <c r="I62" s="151">
        <v>0</v>
      </c>
      <c r="J62" s="150">
        <f>B62*200</f>
        <v>0</v>
      </c>
      <c r="K62" s="150">
        <f>B62*200</f>
        <v>0</v>
      </c>
      <c r="L62" s="174">
        <f t="shared" si="26"/>
        <v>0</v>
      </c>
      <c r="M62" s="1427">
        <f t="shared" ref="M62:M72" si="27">IF(ISERROR(L62/(F62*771)),0,L62/(F62*799))</f>
        <v>0</v>
      </c>
      <c r="N62" s="1428"/>
    </row>
    <row r="63" spans="1:21">
      <c r="A63" s="2" t="s">
        <v>204</v>
      </c>
      <c r="B63" s="1421">
        <f>CVWD!N411</f>
        <v>1</v>
      </c>
      <c r="C63" s="1422"/>
      <c r="D63" s="1431">
        <f>F63*325900</f>
        <v>209879.6</v>
      </c>
      <c r="E63" s="1422"/>
      <c r="F63" s="1444">
        <f>0.644*B63</f>
        <v>0.64400000000000002</v>
      </c>
      <c r="G63" s="1422"/>
      <c r="H63" s="1123">
        <f>F63*5</f>
        <v>3.22</v>
      </c>
      <c r="I63" s="151">
        <v>0</v>
      </c>
      <c r="J63" s="150">
        <f>B63*375</f>
        <v>375</v>
      </c>
      <c r="K63" s="150">
        <f>B63*625</f>
        <v>625</v>
      </c>
      <c r="L63" s="174">
        <f t="shared" si="26"/>
        <v>1000</v>
      </c>
      <c r="M63" s="1427">
        <f t="shared" si="27"/>
        <v>1.9434230676544437</v>
      </c>
      <c r="N63" s="1428"/>
    </row>
    <row r="64" spans="1:21">
      <c r="A64" s="254" t="s">
        <v>30</v>
      </c>
      <c r="B64" s="1421">
        <f>CVWD!N412</f>
        <v>0</v>
      </c>
      <c r="C64" s="1422"/>
      <c r="D64" s="1431">
        <f t="shared" ref="D64:D72" si="28">F64*325900</f>
        <v>0</v>
      </c>
      <c r="E64" s="1422"/>
      <c r="F64" s="1449">
        <f>0.0129*B64</f>
        <v>0</v>
      </c>
      <c r="G64" s="1450"/>
      <c r="H64" s="1123">
        <f>F64*10</f>
        <v>0</v>
      </c>
      <c r="I64" s="151">
        <v>0</v>
      </c>
      <c r="J64" s="150">
        <f>B64*15</f>
        <v>0</v>
      </c>
      <c r="K64" s="150">
        <f>B64*35</f>
        <v>0</v>
      </c>
      <c r="L64" s="174">
        <f t="shared" si="26"/>
        <v>0</v>
      </c>
      <c r="M64" s="1427">
        <f t="shared" si="27"/>
        <v>0</v>
      </c>
      <c r="N64" s="1428"/>
    </row>
    <row r="65" spans="1:14">
      <c r="A65" s="254" t="s">
        <v>363</v>
      </c>
      <c r="B65" s="1435">
        <f>CVWD!N413</f>
        <v>0</v>
      </c>
      <c r="C65" s="1433"/>
      <c r="D65" s="1431">
        <f t="shared" si="28"/>
        <v>0</v>
      </c>
      <c r="E65" s="1422"/>
      <c r="F65" s="1425">
        <f>0.0044*0</f>
        <v>0</v>
      </c>
      <c r="G65" s="1426"/>
      <c r="H65" s="1288">
        <f>F65*5</f>
        <v>0</v>
      </c>
      <c r="I65" s="151">
        <v>0</v>
      </c>
      <c r="J65" s="150">
        <f>0*3</f>
        <v>0</v>
      </c>
      <c r="K65" s="150">
        <f>0*2</f>
        <v>0</v>
      </c>
      <c r="L65" s="174">
        <f t="shared" si="26"/>
        <v>0</v>
      </c>
      <c r="M65" s="1427">
        <f t="shared" si="27"/>
        <v>0</v>
      </c>
      <c r="N65" s="1428"/>
    </row>
    <row r="66" spans="1:14">
      <c r="A66" s="254" t="s">
        <v>122</v>
      </c>
      <c r="B66" s="1421">
        <f>CVWD!N414</f>
        <v>0</v>
      </c>
      <c r="C66" s="1422"/>
      <c r="D66" s="1431">
        <f t="shared" si="28"/>
        <v>0</v>
      </c>
      <c r="E66" s="1422"/>
      <c r="F66" s="1444">
        <f>0.018*B66</f>
        <v>0</v>
      </c>
      <c r="G66" s="1422"/>
      <c r="H66" s="1123">
        <f>F66*10</f>
        <v>0</v>
      </c>
      <c r="I66" s="151">
        <v>0</v>
      </c>
      <c r="J66" s="150">
        <f>B66*5</f>
        <v>0</v>
      </c>
      <c r="K66" s="150">
        <f>B66*13</f>
        <v>0</v>
      </c>
      <c r="L66" s="174">
        <f t="shared" si="26"/>
        <v>0</v>
      </c>
      <c r="M66" s="1427">
        <f t="shared" si="27"/>
        <v>0</v>
      </c>
      <c r="N66" s="1428"/>
    </row>
    <row r="67" spans="1:14">
      <c r="A67" s="257" t="s">
        <v>184</v>
      </c>
      <c r="B67" s="1421">
        <f>CVWD!N415</f>
        <v>0</v>
      </c>
      <c r="C67" s="1422"/>
      <c r="D67" s="1431">
        <f t="shared" si="28"/>
        <v>0</v>
      </c>
      <c r="E67" s="1422"/>
      <c r="F67" s="1444">
        <f>0.0129*B67</f>
        <v>0</v>
      </c>
      <c r="G67" s="1422"/>
      <c r="H67" s="1123">
        <f>F67*10</f>
        <v>0</v>
      </c>
      <c r="I67" s="151">
        <v>0</v>
      </c>
      <c r="J67" s="150">
        <f>B67*15</f>
        <v>0</v>
      </c>
      <c r="K67" s="150">
        <f>B67*35</f>
        <v>0</v>
      </c>
      <c r="L67" s="174">
        <f t="shared" si="26"/>
        <v>0</v>
      </c>
      <c r="M67" s="1427">
        <f t="shared" si="27"/>
        <v>0</v>
      </c>
      <c r="N67" s="1428"/>
    </row>
    <row r="68" spans="1:14" s="57" customFormat="1">
      <c r="A68" s="258" t="s">
        <v>187</v>
      </c>
      <c r="B68" s="1421">
        <f>CVWD!N416</f>
        <v>0</v>
      </c>
      <c r="C68" s="1422"/>
      <c r="D68" s="1431">
        <f t="shared" si="28"/>
        <v>0</v>
      </c>
      <c r="E68" s="1422"/>
      <c r="F68" s="1444">
        <f>0.023*B68</f>
        <v>0</v>
      </c>
      <c r="G68" s="1422"/>
      <c r="H68" s="1123">
        <f>F68*5</f>
        <v>0</v>
      </c>
      <c r="I68" s="151">
        <v>0</v>
      </c>
      <c r="J68" s="150">
        <f>B68*10</f>
        <v>0</v>
      </c>
      <c r="K68" s="150">
        <f>B68*10</f>
        <v>0</v>
      </c>
      <c r="L68" s="174">
        <f t="shared" si="26"/>
        <v>0</v>
      </c>
      <c r="M68" s="1427">
        <f t="shared" si="27"/>
        <v>0</v>
      </c>
      <c r="N68" s="1428"/>
    </row>
    <row r="69" spans="1:14" s="57" customFormat="1">
      <c r="A69" s="258" t="s">
        <v>188</v>
      </c>
      <c r="B69" s="1421">
        <f>CVWD!N417</f>
        <v>0</v>
      </c>
      <c r="C69" s="1422"/>
      <c r="D69" s="1431">
        <f t="shared" si="28"/>
        <v>0</v>
      </c>
      <c r="E69" s="1422"/>
      <c r="F69" s="1445">
        <f>B69*0.154</f>
        <v>0</v>
      </c>
      <c r="G69" s="1446"/>
      <c r="H69" s="1130">
        <f>F69*10</f>
        <v>0</v>
      </c>
      <c r="I69" s="151">
        <v>0</v>
      </c>
      <c r="J69" s="150">
        <f>B69*1000</f>
        <v>0</v>
      </c>
      <c r="K69" s="150">
        <f>B69*1000</f>
        <v>0</v>
      </c>
      <c r="L69" s="174">
        <f t="shared" si="26"/>
        <v>0</v>
      </c>
      <c r="M69" s="1427">
        <f t="shared" si="27"/>
        <v>0</v>
      </c>
      <c r="N69" s="1428"/>
    </row>
    <row r="70" spans="1:14" s="57" customFormat="1">
      <c r="A70" s="258" t="s">
        <v>408</v>
      </c>
      <c r="B70" s="1421">
        <f>CVWD!N418</f>
        <v>3</v>
      </c>
      <c r="C70" s="1422"/>
      <c r="D70" s="1423">
        <f>F70*325900</f>
        <v>244161.02100000001</v>
      </c>
      <c r="E70" s="1424"/>
      <c r="F70" s="1451">
        <v>0.74919000000000002</v>
      </c>
      <c r="G70" s="1448"/>
      <c r="H70" s="1115">
        <f>F70*10</f>
        <v>7.4919000000000002</v>
      </c>
      <c r="I70" s="151">
        <v>0</v>
      </c>
      <c r="J70" s="150">
        <v>5763</v>
      </c>
      <c r="K70" s="150">
        <v>11526</v>
      </c>
      <c r="L70" s="174">
        <f t="shared" si="26"/>
        <v>17289</v>
      </c>
      <c r="M70" s="1427">
        <f t="shared" si="27"/>
        <v>28.882256666987583</v>
      </c>
      <c r="N70" s="1428"/>
    </row>
    <row r="71" spans="1:14" s="57" customFormat="1">
      <c r="A71" s="258" t="s">
        <v>269</v>
      </c>
      <c r="B71" s="1421">
        <f>CVWD!N419</f>
        <v>0</v>
      </c>
      <c r="C71" s="1422"/>
      <c r="D71" s="1423">
        <f t="shared" si="28"/>
        <v>0</v>
      </c>
      <c r="E71" s="1424"/>
      <c r="F71" s="1578">
        <f>B71*0.0129</f>
        <v>0</v>
      </c>
      <c r="G71" s="1579"/>
      <c r="H71" s="1113">
        <f>F71*10</f>
        <v>0</v>
      </c>
      <c r="I71" s="151">
        <v>0</v>
      </c>
      <c r="J71" s="150">
        <f>B71*15</f>
        <v>0</v>
      </c>
      <c r="K71" s="150">
        <f>B71*35</f>
        <v>0</v>
      </c>
      <c r="L71" s="174">
        <f t="shared" ref="L71:L72" si="29">K71+J71+I71</f>
        <v>0</v>
      </c>
      <c r="M71" s="1427">
        <f t="shared" si="27"/>
        <v>0</v>
      </c>
      <c r="N71" s="1428"/>
    </row>
    <row r="72" spans="1:14" s="57" customFormat="1" ht="14" thickBot="1">
      <c r="A72" s="258" t="s">
        <v>268</v>
      </c>
      <c r="B72" s="1421">
        <f>CVWD!N420</f>
        <v>0</v>
      </c>
      <c r="C72" s="1422"/>
      <c r="D72" s="1431">
        <f t="shared" si="28"/>
        <v>0</v>
      </c>
      <c r="E72" s="1422"/>
      <c r="F72" s="1432">
        <f>(B72*0.0084)/2</f>
        <v>0</v>
      </c>
      <c r="G72" s="1433"/>
      <c r="H72" s="1124">
        <f>F72*10</f>
        <v>0</v>
      </c>
      <c r="I72" s="151">
        <v>0</v>
      </c>
      <c r="J72" s="150">
        <f>B72*5</f>
        <v>0</v>
      </c>
      <c r="K72" s="150">
        <f>B72*5</f>
        <v>0</v>
      </c>
      <c r="L72" s="174">
        <f t="shared" si="29"/>
        <v>0</v>
      </c>
      <c r="M72" s="1427">
        <f t="shared" si="27"/>
        <v>0</v>
      </c>
      <c r="N72" s="1428"/>
    </row>
    <row r="73" spans="1:14" s="91" customFormat="1" ht="17" hidden="1" thickBot="1">
      <c r="A73" s="1046" t="s">
        <v>192</v>
      </c>
      <c r="B73" s="1434"/>
      <c r="C73" s="1434"/>
      <c r="D73" s="1434"/>
      <c r="E73" s="1434"/>
      <c r="F73" s="1434"/>
      <c r="G73" s="1434"/>
      <c r="H73" s="1114"/>
      <c r="I73" s="1133"/>
      <c r="J73" s="1133"/>
      <c r="K73" s="1133"/>
      <c r="L73" s="1133"/>
      <c r="M73" s="1133"/>
      <c r="N73" s="1134"/>
    </row>
    <row r="74" spans="1:14" s="121" customFormat="1" ht="14" hidden="1" thickBot="1">
      <c r="A74" s="76" t="s">
        <v>193</v>
      </c>
      <c r="B74" s="1435">
        <f>CVWD!N422</f>
        <v>0</v>
      </c>
      <c r="C74" s="1433"/>
      <c r="D74" s="1436">
        <f>F74*325900</f>
        <v>0</v>
      </c>
      <c r="E74" s="1437"/>
      <c r="F74" s="1744">
        <f>0.004*B74</f>
        <v>0</v>
      </c>
      <c r="G74" s="1437"/>
      <c r="H74" s="1124">
        <f>F74*5</f>
        <v>0</v>
      </c>
      <c r="I74" s="216">
        <v>0</v>
      </c>
      <c r="J74" s="216">
        <f>L74-K74</f>
        <v>3607.5</v>
      </c>
      <c r="K74" s="216">
        <f>B74*2</f>
        <v>0</v>
      </c>
      <c r="L74" s="174">
        <v>3607.5</v>
      </c>
      <c r="M74" s="1427">
        <f>IF(ISERROR(L74/(F74*771)),0,L74/(F74*771))</f>
        <v>0</v>
      </c>
      <c r="N74" s="1428"/>
    </row>
    <row r="75" spans="1:14" ht="14" thickBot="1">
      <c r="A75" s="53" t="s">
        <v>60</v>
      </c>
      <c r="B75" s="1438">
        <f>SUM(B61:B74)</f>
        <v>4</v>
      </c>
      <c r="C75" s="1439"/>
      <c r="D75" s="1440">
        <f>SUM(D61:E74)</f>
        <v>454040.62100000004</v>
      </c>
      <c r="E75" s="1439"/>
      <c r="F75" s="1441">
        <f>SUM(F61:G74)</f>
        <v>1.3931900000000002</v>
      </c>
      <c r="G75" s="1439"/>
      <c r="H75" s="1119">
        <f>SUM(H61:H74)</f>
        <v>10.7119</v>
      </c>
      <c r="I75" s="146">
        <f>SUM(I61:I74)</f>
        <v>0</v>
      </c>
      <c r="J75" s="146">
        <f>SUM(J61:J74)</f>
        <v>9745.5</v>
      </c>
      <c r="K75" s="146">
        <f>SUM(K61:K74)</f>
        <v>12151</v>
      </c>
      <c r="L75" s="146">
        <f>SUM(L61:L74)</f>
        <v>21896.5</v>
      </c>
      <c r="M75" s="1442"/>
      <c r="N75" s="1443"/>
    </row>
    <row r="76" spans="1:14" s="1161" customFormat="1" ht="17" thickBot="1">
      <c r="A76" s="1163" t="s">
        <v>17</v>
      </c>
      <c r="B76" s="1414">
        <f>SUM(,B59,B75)</f>
        <v>660</v>
      </c>
      <c r="C76" s="1415"/>
      <c r="D76" s="1416">
        <f>SUM(,D59,D75)</f>
        <v>14772642.571135998</v>
      </c>
      <c r="E76" s="1415"/>
      <c r="F76" s="1416">
        <f>SUM(,F59,F75)</f>
        <v>45.328759039999994</v>
      </c>
      <c r="G76" s="1415"/>
      <c r="H76" s="1164">
        <f>SUM(H59,H75)</f>
        <v>447.17309040000004</v>
      </c>
      <c r="I76" s="1165">
        <f>SUM(,I59,I75)</f>
        <v>40457.575599999996</v>
      </c>
      <c r="J76" s="1165">
        <f>SUM(,J59,J75)</f>
        <v>126961.1896</v>
      </c>
      <c r="K76" s="1165">
        <f>SUM(,K59,K75)</f>
        <v>169575.89480000001</v>
      </c>
      <c r="L76" s="1165">
        <f>SUM(,L59,L75)</f>
        <v>336994.66000000003</v>
      </c>
      <c r="M76" s="1417"/>
      <c r="N76" s="1418"/>
    </row>
    <row r="77" spans="1:14">
      <c r="A77" s="50"/>
      <c r="B77" s="1127"/>
      <c r="C77" s="1127"/>
      <c r="D77" s="1127"/>
      <c r="E77" s="1127"/>
      <c r="F77" s="1128"/>
      <c r="G77" s="1128"/>
      <c r="H77" s="1128"/>
      <c r="I77" s="21"/>
      <c r="J77" s="21"/>
      <c r="K77" s="21"/>
      <c r="L77" s="21"/>
      <c r="M77" s="1125"/>
      <c r="N77" s="1125"/>
    </row>
    <row r="78" spans="1:14" ht="15">
      <c r="A78" s="9" t="s">
        <v>18</v>
      </c>
      <c r="B78" s="1419" t="s">
        <v>59</v>
      </c>
      <c r="C78" s="1419"/>
      <c r="D78" s="1419"/>
      <c r="E78" s="1419"/>
      <c r="F78" s="1128"/>
      <c r="G78" s="1128"/>
      <c r="H78" s="1128"/>
      <c r="I78" s="21"/>
      <c r="J78" s="21"/>
      <c r="K78" s="21"/>
      <c r="L78" s="21"/>
      <c r="M78" s="1125"/>
      <c r="N78" s="1125"/>
    </row>
    <row r="79" spans="1:14">
      <c r="B79" s="1420" t="s">
        <v>19</v>
      </c>
      <c r="C79" s="1420"/>
      <c r="D79" s="1420"/>
      <c r="E79" s="1420"/>
      <c r="F79" s="1128"/>
      <c r="G79" s="1128"/>
      <c r="H79" s="1128"/>
      <c r="I79" s="21"/>
      <c r="J79" s="21"/>
      <c r="K79" s="21"/>
      <c r="L79" s="21"/>
      <c r="N79" s="1125"/>
    </row>
    <row r="80" spans="1:14" ht="14" thickBot="1">
      <c r="B80" s="1125"/>
      <c r="C80" s="1125"/>
      <c r="D80" s="1125"/>
      <c r="E80" s="1125"/>
      <c r="F80" s="1128"/>
      <c r="G80" s="1128"/>
      <c r="H80" s="1128"/>
      <c r="I80" s="21"/>
      <c r="J80" s="21"/>
      <c r="K80" s="21"/>
      <c r="L80" s="21"/>
      <c r="N80" s="1125"/>
    </row>
    <row r="81" spans="1:14" s="363" customFormat="1" ht="16">
      <c r="A81" s="98"/>
      <c r="B81" s="99"/>
      <c r="C81" s="99"/>
      <c r="D81" s="99"/>
      <c r="E81" s="99"/>
      <c r="F81" s="421"/>
      <c r="G81" s="421"/>
      <c r="H81" s="421"/>
      <c r="I81" s="1468" t="s">
        <v>0</v>
      </c>
      <c r="J81" s="1468"/>
      <c r="K81" s="1468"/>
      <c r="L81" s="1468"/>
      <c r="M81" s="99"/>
      <c r="N81" s="101"/>
    </row>
    <row r="82" spans="1:14" ht="16">
      <c r="A82" s="97"/>
      <c r="B82" s="1469" t="s">
        <v>1</v>
      </c>
      <c r="C82" s="1469"/>
      <c r="D82" s="1469" t="s">
        <v>2</v>
      </c>
      <c r="E82" s="1469"/>
      <c r="F82" s="1470" t="s">
        <v>3</v>
      </c>
      <c r="G82" s="1470"/>
      <c r="H82" s="1003" t="s">
        <v>3</v>
      </c>
      <c r="I82" s="127" t="s">
        <v>195</v>
      </c>
      <c r="J82" s="102"/>
      <c r="K82" s="102"/>
      <c r="L82" s="128"/>
      <c r="M82" s="1525" t="s">
        <v>4</v>
      </c>
      <c r="N82" s="1526"/>
    </row>
    <row r="83" spans="1:14" ht="19" thickBot="1">
      <c r="A83" s="103" t="s">
        <v>5</v>
      </c>
      <c r="B83" s="1473" t="s">
        <v>6</v>
      </c>
      <c r="C83" s="1473"/>
      <c r="D83" s="1473" t="s">
        <v>7</v>
      </c>
      <c r="E83" s="1473"/>
      <c r="F83" s="1474" t="s">
        <v>7</v>
      </c>
      <c r="G83" s="1474"/>
      <c r="H83" s="1006" t="s">
        <v>58</v>
      </c>
      <c r="I83" s="1007" t="s">
        <v>196</v>
      </c>
      <c r="J83" s="1005" t="s">
        <v>8</v>
      </c>
      <c r="K83" s="1005" t="s">
        <v>9</v>
      </c>
      <c r="L83" s="401" t="s">
        <v>10</v>
      </c>
      <c r="M83" s="1527" t="s">
        <v>145</v>
      </c>
      <c r="N83" s="1475"/>
    </row>
    <row r="84" spans="1:14" ht="24" thickBot="1">
      <c r="A84" s="88" t="s">
        <v>351</v>
      </c>
      <c r="B84" s="1476"/>
      <c r="C84" s="1477"/>
      <c r="D84" s="1478"/>
      <c r="E84" s="1479"/>
      <c r="F84" s="1480"/>
      <c r="G84" s="1481"/>
      <c r="H84" s="1020"/>
      <c r="I84" s="213"/>
      <c r="J84" s="213"/>
      <c r="K84" s="213"/>
      <c r="L84" s="214"/>
      <c r="M84" s="1482"/>
      <c r="N84" s="1483"/>
    </row>
    <row r="85" spans="1:14" s="1161" customFormat="1" ht="17" thickBot="1">
      <c r="A85" s="110" t="s">
        <v>189</v>
      </c>
      <c r="B85" s="1456"/>
      <c r="C85" s="1457"/>
      <c r="D85" s="1457"/>
      <c r="E85" s="1457"/>
      <c r="F85" s="1484"/>
      <c r="G85" s="1484"/>
      <c r="H85" s="1158"/>
      <c r="I85" s="1141"/>
      <c r="J85" s="1141"/>
      <c r="K85" s="1141"/>
      <c r="L85" s="1141"/>
      <c r="M85" s="1485"/>
      <c r="N85" s="1486"/>
    </row>
    <row r="86" spans="1:14" s="121" customFormat="1">
      <c r="A86" s="69" t="s">
        <v>29</v>
      </c>
      <c r="B86" s="1435">
        <f>CVWD!N360</f>
        <v>37</v>
      </c>
      <c r="C86" s="1433"/>
      <c r="D86" s="1432">
        <f t="shared" ref="D86:D87" si="30">F86*325900</f>
        <v>296634.18</v>
      </c>
      <c r="E86" s="1433"/>
      <c r="F86" s="1467">
        <f>0.0246*B86</f>
        <v>0.91020000000000001</v>
      </c>
      <c r="G86" s="1433"/>
      <c r="H86" s="1078">
        <f>F86*20</f>
        <v>18.204000000000001</v>
      </c>
      <c r="I86" s="173">
        <v>0</v>
      </c>
      <c r="J86" s="173">
        <f>B86*60</f>
        <v>2220</v>
      </c>
      <c r="K86" s="173">
        <f>B86*40</f>
        <v>1480</v>
      </c>
      <c r="L86" s="174">
        <f>K86+J86+I86</f>
        <v>3700</v>
      </c>
      <c r="M86" s="1427">
        <f>IF(ISERROR(L86/(F86*771)),0,L86/(F86*771))</f>
        <v>5.2724262651186828</v>
      </c>
      <c r="N86" s="1428"/>
    </row>
    <row r="87" spans="1:14" s="121" customFormat="1">
      <c r="A87" s="69" t="s">
        <v>33</v>
      </c>
      <c r="B87" s="1435">
        <f>CVWD!N361</f>
        <v>156</v>
      </c>
      <c r="C87" s="1433"/>
      <c r="D87" s="1432">
        <f t="shared" si="30"/>
        <v>1753993.8000000003</v>
      </c>
      <c r="E87" s="1433"/>
      <c r="F87" s="1467">
        <f>0.0345*B87</f>
        <v>5.3820000000000006</v>
      </c>
      <c r="G87" s="1433"/>
      <c r="H87" s="1078">
        <f>F87*14</f>
        <v>75.348000000000013</v>
      </c>
      <c r="I87" s="173">
        <f>0*B87</f>
        <v>0</v>
      </c>
      <c r="J87" s="173">
        <f>B87*65</f>
        <v>10140</v>
      </c>
      <c r="K87" s="173">
        <f>B87*85</f>
        <v>13260</v>
      </c>
      <c r="L87" s="174">
        <f t="shared" ref="L87:L93" si="31">K87+J87+I87</f>
        <v>23400</v>
      </c>
      <c r="M87" s="1427">
        <f t="shared" ref="M87:M93" si="32">IF(ISERROR(L87/(F87*771)),0,L87/(F87*771))</f>
        <v>5.6392037444312848</v>
      </c>
      <c r="N87" s="1428"/>
    </row>
    <row r="88" spans="1:14" s="121" customFormat="1">
      <c r="A88" s="254" t="s">
        <v>360</v>
      </c>
      <c r="B88" s="1435">
        <f>CVWD!N362</f>
        <v>231</v>
      </c>
      <c r="C88" s="1433"/>
      <c r="D88" s="1432">
        <f>F88*325900</f>
        <v>331244.76</v>
      </c>
      <c r="E88" s="1433"/>
      <c r="F88" s="1467">
        <f>0.0044*B88</f>
        <v>1.0164</v>
      </c>
      <c r="G88" s="1433"/>
      <c r="H88" s="1078">
        <f>F88*5</f>
        <v>5.0819999999999999</v>
      </c>
      <c r="I88" s="173">
        <f>0*B88</f>
        <v>0</v>
      </c>
      <c r="J88" s="173">
        <f>B88*3</f>
        <v>693</v>
      </c>
      <c r="K88" s="173">
        <f>B88*2</f>
        <v>462</v>
      </c>
      <c r="L88" s="174">
        <f t="shared" si="31"/>
        <v>1155</v>
      </c>
      <c r="M88" s="1427">
        <f t="shared" si="32"/>
        <v>1.4738827968399952</v>
      </c>
      <c r="N88" s="1428"/>
    </row>
    <row r="89" spans="1:14" s="121" customFormat="1">
      <c r="A89" s="69" t="s">
        <v>52</v>
      </c>
      <c r="B89" s="1435">
        <f>CVWD!N363</f>
        <v>72</v>
      </c>
      <c r="C89" s="1433"/>
      <c r="D89" s="1432">
        <f t="shared" ref="D89" si="33">F89*325900</f>
        <v>971442.72</v>
      </c>
      <c r="E89" s="1433"/>
      <c r="F89" s="1467">
        <f>0.0414*B89</f>
        <v>2.9807999999999999</v>
      </c>
      <c r="G89" s="1433"/>
      <c r="H89" s="1078">
        <f>F89*10</f>
        <v>29.808</v>
      </c>
      <c r="I89" s="173">
        <v>0</v>
      </c>
      <c r="J89" s="173">
        <f>B89*70</f>
        <v>5040</v>
      </c>
      <c r="K89" s="173">
        <f>B89*80</f>
        <v>5760</v>
      </c>
      <c r="L89" s="174">
        <f t="shared" si="31"/>
        <v>10800</v>
      </c>
      <c r="M89" s="1427">
        <f t="shared" si="32"/>
        <v>4.6993364536927391</v>
      </c>
      <c r="N89" s="1428"/>
    </row>
    <row r="90" spans="1:14" s="121" customFormat="1">
      <c r="A90" s="254" t="s">
        <v>323</v>
      </c>
      <c r="B90" s="1435">
        <f>CVWD!N364</f>
        <v>0</v>
      </c>
      <c r="C90" s="1433"/>
      <c r="D90" s="1451">
        <f>F90*325900</f>
        <v>0</v>
      </c>
      <c r="E90" s="1448"/>
      <c r="F90" s="1447">
        <v>0</v>
      </c>
      <c r="G90" s="1448"/>
      <c r="H90" s="1069">
        <f>F90*10</f>
        <v>0</v>
      </c>
      <c r="I90" s="173">
        <v>0</v>
      </c>
      <c r="J90" s="173">
        <f t="shared" ref="J90:J93" si="34">B90*65</f>
        <v>0</v>
      </c>
      <c r="K90" s="173">
        <f t="shared" ref="K90:K93" si="35">B90*40</f>
        <v>0</v>
      </c>
      <c r="L90" s="174">
        <f t="shared" si="31"/>
        <v>0</v>
      </c>
      <c r="M90" s="1427">
        <f t="shared" si="32"/>
        <v>0</v>
      </c>
      <c r="N90" s="1428"/>
    </row>
    <row r="91" spans="1:14" s="121" customFormat="1">
      <c r="A91" s="254" t="s">
        <v>214</v>
      </c>
      <c r="B91" s="1435">
        <f>CVWD!N365</f>
        <v>9</v>
      </c>
      <c r="C91" s="1433"/>
      <c r="D91" s="1432">
        <f t="shared" ref="D91:D93" si="36">F91*325900</f>
        <v>5572.89</v>
      </c>
      <c r="E91" s="1433"/>
      <c r="F91" s="1467">
        <f>0.0019*B91</f>
        <v>1.7100000000000001E-2</v>
      </c>
      <c r="G91" s="1433"/>
      <c r="H91" s="1078">
        <f>F91*5</f>
        <v>8.5500000000000007E-2</v>
      </c>
      <c r="I91" s="173">
        <v>0</v>
      </c>
      <c r="J91" s="173">
        <f>B91*0</f>
        <v>0</v>
      </c>
      <c r="K91" s="173">
        <f>B91*35</f>
        <v>315</v>
      </c>
      <c r="L91" s="174">
        <f t="shared" si="31"/>
        <v>315</v>
      </c>
      <c r="M91" s="1427">
        <f t="shared" si="32"/>
        <v>23.892415864564132</v>
      </c>
      <c r="N91" s="1428"/>
    </row>
    <row r="92" spans="1:14" s="121" customFormat="1">
      <c r="A92" s="254" t="s">
        <v>331</v>
      </c>
      <c r="B92" s="1435">
        <f>CVWD!N366</f>
        <v>2</v>
      </c>
      <c r="C92" s="1433"/>
      <c r="D92" s="1432">
        <f t="shared" si="36"/>
        <v>0</v>
      </c>
      <c r="E92" s="1433"/>
      <c r="F92" s="1467">
        <v>0</v>
      </c>
      <c r="G92" s="1433"/>
      <c r="H92" s="1078">
        <v>0</v>
      </c>
      <c r="I92" s="173">
        <v>0</v>
      </c>
      <c r="J92" s="173">
        <f>B92*0</f>
        <v>0</v>
      </c>
      <c r="K92" s="173">
        <f>B92*300</f>
        <v>600</v>
      </c>
      <c r="L92" s="174">
        <f t="shared" si="31"/>
        <v>600</v>
      </c>
      <c r="M92" s="1427">
        <f t="shared" si="32"/>
        <v>0</v>
      </c>
      <c r="N92" s="1428"/>
    </row>
    <row r="93" spans="1:14" s="121" customFormat="1" ht="14" thickBot="1">
      <c r="A93" s="254" t="s">
        <v>269</v>
      </c>
      <c r="B93" s="1435">
        <f>CVWD!N367</f>
        <v>0</v>
      </c>
      <c r="C93" s="1433"/>
      <c r="D93" s="1432">
        <f t="shared" si="36"/>
        <v>0</v>
      </c>
      <c r="E93" s="1433"/>
      <c r="F93" s="1467">
        <v>0</v>
      </c>
      <c r="G93" s="1433"/>
      <c r="H93" s="1078">
        <f>F93*10</f>
        <v>0</v>
      </c>
      <c r="I93" s="173">
        <v>0</v>
      </c>
      <c r="J93" s="173">
        <f t="shared" si="34"/>
        <v>0</v>
      </c>
      <c r="K93" s="173">
        <f t="shared" si="35"/>
        <v>0</v>
      </c>
      <c r="L93" s="174">
        <f t="shared" si="31"/>
        <v>0</v>
      </c>
      <c r="M93" s="1427">
        <f t="shared" si="32"/>
        <v>0</v>
      </c>
      <c r="N93" s="1428"/>
    </row>
    <row r="94" spans="1:14" s="1161" customFormat="1" ht="17" thickBot="1">
      <c r="A94" s="110" t="s">
        <v>190</v>
      </c>
      <c r="B94" s="1456"/>
      <c r="C94" s="1457"/>
      <c r="D94" s="1457"/>
      <c r="E94" s="1457"/>
      <c r="F94" s="1457"/>
      <c r="G94" s="1457"/>
      <c r="H94" s="1141"/>
      <c r="I94" s="195"/>
      <c r="J94" s="195"/>
      <c r="K94" s="195"/>
      <c r="L94" s="195"/>
      <c r="M94" s="195"/>
      <c r="N94" s="1190"/>
    </row>
    <row r="95" spans="1:14" s="121" customFormat="1">
      <c r="A95" s="254" t="s">
        <v>389</v>
      </c>
      <c r="B95" s="1435">
        <f>CVWD!N369</f>
        <v>992</v>
      </c>
      <c r="C95" s="1433"/>
      <c r="D95" s="1432">
        <f>F95*325900</f>
        <v>1422488.3200000003</v>
      </c>
      <c r="E95" s="1433"/>
      <c r="F95" s="1467">
        <f>B95*0.0044</f>
        <v>4.3648000000000007</v>
      </c>
      <c r="G95" s="1433"/>
      <c r="H95" s="1078">
        <f>F95*5</f>
        <v>21.824000000000005</v>
      </c>
      <c r="I95" s="173">
        <v>0</v>
      </c>
      <c r="J95" s="173">
        <f>L95-K95</f>
        <v>1488</v>
      </c>
      <c r="K95" s="173">
        <f>B95*2</f>
        <v>1984</v>
      </c>
      <c r="L95" s="174">
        <v>3472</v>
      </c>
      <c r="M95" s="1427">
        <f t="shared" ref="M95:M98" si="37">IF(ISERROR(L95/(F95*771)),0,L95/(F95*771))</f>
        <v>1.0317179577879965</v>
      </c>
      <c r="N95" s="1428"/>
    </row>
    <row r="96" spans="1:14" s="121" customFormat="1">
      <c r="A96" s="254" t="s">
        <v>358</v>
      </c>
      <c r="B96" s="1435">
        <f>CVWD!N370</f>
        <v>29</v>
      </c>
      <c r="C96" s="1433"/>
      <c r="D96" s="1451">
        <f>F96*325900</f>
        <v>1912120.4800000002</v>
      </c>
      <c r="E96" s="1448"/>
      <c r="F96" s="1447">
        <v>5.8672000000000004</v>
      </c>
      <c r="G96" s="1448"/>
      <c r="H96" s="1069">
        <f>F96*7.5</f>
        <v>44.004000000000005</v>
      </c>
      <c r="I96" s="173">
        <f>(B96*958)*0.5</f>
        <v>13891</v>
      </c>
      <c r="J96" s="173">
        <f>(B96*958)*0.02</f>
        <v>555.64</v>
      </c>
      <c r="K96" s="173">
        <f>(B96*958)*0.48</f>
        <v>13335.359999999999</v>
      </c>
      <c r="L96" s="174">
        <f t="shared" ref="L96:L98" si="38">K96+J96+I96</f>
        <v>27782</v>
      </c>
      <c r="M96" s="1427">
        <f t="shared" si="37"/>
        <v>6.1415534562298362</v>
      </c>
      <c r="N96" s="1428"/>
    </row>
    <row r="97" spans="1:21" s="121" customFormat="1">
      <c r="A97" s="254" t="s">
        <v>377</v>
      </c>
      <c r="B97" s="1435">
        <f>CVWD!N371</f>
        <v>51</v>
      </c>
      <c r="C97" s="1433"/>
      <c r="D97" s="1451">
        <f>F97*325900</f>
        <v>796043.34000000008</v>
      </c>
      <c r="E97" s="1448"/>
      <c r="F97" s="1447">
        <f>0.0414*59</f>
        <v>2.4426000000000001</v>
      </c>
      <c r="G97" s="1448"/>
      <c r="H97" s="1069">
        <f>F97*10</f>
        <v>24.426000000000002</v>
      </c>
      <c r="I97" s="173">
        <v>0</v>
      </c>
      <c r="J97" s="173">
        <f>(B97*705)*0.84</f>
        <v>30202.199999999997</v>
      </c>
      <c r="K97" s="173">
        <f>(B97*705)*0.16</f>
        <v>5752.8</v>
      </c>
      <c r="L97" s="174">
        <f t="shared" si="38"/>
        <v>35955</v>
      </c>
      <c r="M97" s="1427">
        <f t="shared" si="37"/>
        <v>19.09204996525677</v>
      </c>
      <c r="N97" s="1428"/>
    </row>
    <row r="98" spans="1:21" s="121" customFormat="1" ht="14" thickBot="1">
      <c r="A98" s="254" t="s">
        <v>266</v>
      </c>
      <c r="B98" s="1435">
        <f>CVWD!N372</f>
        <v>115</v>
      </c>
      <c r="C98" s="1433"/>
      <c r="D98" s="1458">
        <f>F98*325900</f>
        <v>4422462.9999999991</v>
      </c>
      <c r="E98" s="1459"/>
      <c r="F98" s="1693">
        <f>B98*0.118</f>
        <v>13.569999999999999</v>
      </c>
      <c r="G98" s="1459"/>
      <c r="H98" s="1069">
        <f>F98*10</f>
        <v>135.69999999999999</v>
      </c>
      <c r="I98" s="173">
        <v>0</v>
      </c>
      <c r="J98" s="286">
        <f>(B98*461)*0.53</f>
        <v>28097.95</v>
      </c>
      <c r="K98" s="286">
        <f>(B98*461)*0.47</f>
        <v>24917.05</v>
      </c>
      <c r="L98" s="174">
        <f t="shared" si="38"/>
        <v>53015</v>
      </c>
      <c r="M98" s="1427">
        <f t="shared" si="37"/>
        <v>5.0671590934071977</v>
      </c>
      <c r="N98" s="1428"/>
    </row>
    <row r="99" spans="1:21" ht="14" thickBot="1">
      <c r="A99" s="53" t="s">
        <v>60</v>
      </c>
      <c r="B99" s="1452">
        <f>SUM(B86:C98)</f>
        <v>1694</v>
      </c>
      <c r="C99" s="1453"/>
      <c r="D99" s="1694">
        <f>SUM(D86:E98)</f>
        <v>11912003.489999998</v>
      </c>
      <c r="E99" s="1453"/>
      <c r="F99" s="1452">
        <f>SUM(F86:G98)</f>
        <v>36.551099999999998</v>
      </c>
      <c r="G99" s="1453"/>
      <c r="H99" s="1010">
        <f>SUM(H86:H98)</f>
        <v>354.48149999999998</v>
      </c>
      <c r="I99" s="1040">
        <f>SUM(I86:I98)</f>
        <v>13891</v>
      </c>
      <c r="J99" s="1040">
        <f>SUM(J86:J98)</f>
        <v>78436.789999999994</v>
      </c>
      <c r="K99" s="1040">
        <f t="shared" ref="K99:L99" si="39">SUM(K86:K98)</f>
        <v>67866.210000000006</v>
      </c>
      <c r="L99" s="1040">
        <f t="shared" si="39"/>
        <v>160194</v>
      </c>
      <c r="M99" s="1454">
        <f t="shared" ref="M99" si="40">IF(ISERROR(L99/(F99*744)),0,L99/(F99*744))</f>
        <v>5.8907807461070192</v>
      </c>
      <c r="N99" s="1455"/>
    </row>
    <row r="100" spans="1:21" s="1161" customFormat="1" ht="17" thickBot="1">
      <c r="A100" s="110" t="s">
        <v>194</v>
      </c>
      <c r="B100" s="1456"/>
      <c r="C100" s="1457"/>
      <c r="D100" s="1457"/>
      <c r="E100" s="1457"/>
      <c r="F100" s="1457"/>
      <c r="G100" s="1457"/>
      <c r="H100" s="1141"/>
      <c r="I100" s="997"/>
      <c r="J100" s="997"/>
      <c r="K100" s="997"/>
      <c r="L100" s="997"/>
      <c r="M100" s="997"/>
      <c r="N100" s="998"/>
    </row>
    <row r="101" spans="1:21">
      <c r="A101" s="68" t="s">
        <v>29</v>
      </c>
      <c r="B101" s="1421">
        <f>CVWD!N375</f>
        <v>0</v>
      </c>
      <c r="C101" s="1422"/>
      <c r="D101" s="1431">
        <f>F101*325900</f>
        <v>0</v>
      </c>
      <c r="E101" s="1422"/>
      <c r="F101" s="1444">
        <f>0.0246*B101</f>
        <v>0</v>
      </c>
      <c r="G101" s="1422"/>
      <c r="H101" s="1014">
        <f>F101*20</f>
        <v>0</v>
      </c>
      <c r="I101" s="151">
        <v>0</v>
      </c>
      <c r="J101" s="150">
        <f>B101*60</f>
        <v>0</v>
      </c>
      <c r="K101" s="150">
        <f>B101*40</f>
        <v>0</v>
      </c>
      <c r="L101" s="174">
        <f t="shared" ref="L101:L109" si="41">K101+J101+I101</f>
        <v>0</v>
      </c>
      <c r="M101" s="1539">
        <f t="shared" ref="M101:M112" si="42">IF(ISERROR(L101/(F101*771)),0,L101/(F101*771))</f>
        <v>0</v>
      </c>
      <c r="N101" s="1540"/>
      <c r="U101" s="3"/>
    </row>
    <row r="102" spans="1:21">
      <c r="A102" s="68" t="s">
        <v>51</v>
      </c>
      <c r="B102" s="1421">
        <f>CVWD!N376</f>
        <v>0</v>
      </c>
      <c r="C102" s="1422"/>
      <c r="D102" s="1431">
        <f>F102*325900</f>
        <v>0</v>
      </c>
      <c r="E102" s="1422"/>
      <c r="F102" s="1444">
        <f>0.1227*B102</f>
        <v>0</v>
      </c>
      <c r="G102" s="1422"/>
      <c r="H102" s="1014">
        <f>F102*20</f>
        <v>0</v>
      </c>
      <c r="I102" s="151">
        <v>0</v>
      </c>
      <c r="J102" s="150">
        <f>B102*200</f>
        <v>0</v>
      </c>
      <c r="K102" s="150">
        <f>B102*200</f>
        <v>0</v>
      </c>
      <c r="L102" s="174">
        <f t="shared" si="41"/>
        <v>0</v>
      </c>
      <c r="M102" s="1539">
        <f t="shared" si="42"/>
        <v>0</v>
      </c>
      <c r="N102" s="1540"/>
    </row>
    <row r="103" spans="1:21">
      <c r="A103" s="2" t="s">
        <v>204</v>
      </c>
      <c r="B103" s="1421">
        <f>CVWD!N377</f>
        <v>0</v>
      </c>
      <c r="C103" s="1422"/>
      <c r="D103" s="1431">
        <f>F103*325851</f>
        <v>0</v>
      </c>
      <c r="E103" s="1422"/>
      <c r="F103" s="1444">
        <f>0.644*B103</f>
        <v>0</v>
      </c>
      <c r="G103" s="1422"/>
      <c r="H103" s="1014">
        <f>F103*5</f>
        <v>0</v>
      </c>
      <c r="I103" s="151">
        <v>0</v>
      </c>
      <c r="J103" s="150">
        <f>B103*0</f>
        <v>0</v>
      </c>
      <c r="K103" s="150">
        <f>B103*0</f>
        <v>0</v>
      </c>
      <c r="L103" s="174">
        <f t="shared" si="41"/>
        <v>0</v>
      </c>
      <c r="M103" s="1539">
        <f t="shared" si="42"/>
        <v>0</v>
      </c>
      <c r="N103" s="1540"/>
    </row>
    <row r="104" spans="1:21">
      <c r="A104" s="254" t="s">
        <v>30</v>
      </c>
      <c r="B104" s="1421">
        <f>CVWD!N378</f>
        <v>0</v>
      </c>
      <c r="C104" s="1422"/>
      <c r="D104" s="1431">
        <f t="shared" ref="D104:D112" si="43">F104*325900</f>
        <v>0</v>
      </c>
      <c r="E104" s="1422"/>
      <c r="F104" s="1449">
        <f>0.0129*B104</f>
        <v>0</v>
      </c>
      <c r="G104" s="1450"/>
      <c r="H104" s="1014">
        <f>F104*10</f>
        <v>0</v>
      </c>
      <c r="I104" s="151">
        <v>0</v>
      </c>
      <c r="J104" s="150">
        <f>B104*0</f>
        <v>0</v>
      </c>
      <c r="K104" s="150">
        <f>B104*0</f>
        <v>0</v>
      </c>
      <c r="L104" s="174">
        <f t="shared" si="41"/>
        <v>0</v>
      </c>
      <c r="M104" s="1539">
        <f t="shared" si="42"/>
        <v>0</v>
      </c>
      <c r="N104" s="1540"/>
    </row>
    <row r="105" spans="1:21">
      <c r="A105" s="254" t="s">
        <v>363</v>
      </c>
      <c r="B105" s="1421">
        <f>CVWD!N379</f>
        <v>0</v>
      </c>
      <c r="C105" s="1422"/>
      <c r="D105" s="1431">
        <f t="shared" si="43"/>
        <v>0</v>
      </c>
      <c r="E105" s="1422"/>
      <c r="F105" s="1444">
        <f>0.0044*B105</f>
        <v>0</v>
      </c>
      <c r="G105" s="1422"/>
      <c r="H105" s="1014">
        <f>F105*5</f>
        <v>0</v>
      </c>
      <c r="I105" s="151">
        <v>0</v>
      </c>
      <c r="J105" s="150">
        <f>B105*2</f>
        <v>0</v>
      </c>
      <c r="K105" s="150">
        <f>B105*2</f>
        <v>0</v>
      </c>
      <c r="L105" s="174">
        <f t="shared" si="41"/>
        <v>0</v>
      </c>
      <c r="M105" s="1539">
        <f t="shared" si="42"/>
        <v>0</v>
      </c>
      <c r="N105" s="1540"/>
    </row>
    <row r="106" spans="1:21">
      <c r="A106" s="254" t="s">
        <v>122</v>
      </c>
      <c r="B106" s="1421">
        <f>CVWD!N380</f>
        <v>0</v>
      </c>
      <c r="C106" s="1422"/>
      <c r="D106" s="1431">
        <f t="shared" si="43"/>
        <v>0</v>
      </c>
      <c r="E106" s="1422"/>
      <c r="F106" s="1444">
        <f>0.018*B106</f>
        <v>0</v>
      </c>
      <c r="G106" s="1422"/>
      <c r="H106" s="1014">
        <f>F106*10</f>
        <v>0</v>
      </c>
      <c r="I106" s="151">
        <v>0</v>
      </c>
      <c r="J106" s="150">
        <f>B106*2</f>
        <v>0</v>
      </c>
      <c r="K106" s="150">
        <f>B106*13</f>
        <v>0</v>
      </c>
      <c r="L106" s="174">
        <f t="shared" si="41"/>
        <v>0</v>
      </c>
      <c r="M106" s="1539">
        <f t="shared" si="42"/>
        <v>0</v>
      </c>
      <c r="N106" s="1540"/>
    </row>
    <row r="107" spans="1:21">
      <c r="A107" s="257" t="s">
        <v>184</v>
      </c>
      <c r="B107" s="1421">
        <f>CVWD!N381</f>
        <v>0</v>
      </c>
      <c r="C107" s="1422"/>
      <c r="D107" s="1431">
        <f t="shared" si="43"/>
        <v>0</v>
      </c>
      <c r="E107" s="1422"/>
      <c r="F107" s="1444">
        <f>0.0129*B107</f>
        <v>0</v>
      </c>
      <c r="G107" s="1422"/>
      <c r="H107" s="1014">
        <f>F107*10</f>
        <v>0</v>
      </c>
      <c r="I107" s="151">
        <v>0</v>
      </c>
      <c r="J107" s="150">
        <f>B107*0</f>
        <v>0</v>
      </c>
      <c r="K107" s="150">
        <f>B107*0</f>
        <v>0</v>
      </c>
      <c r="L107" s="174">
        <f t="shared" si="41"/>
        <v>0</v>
      </c>
      <c r="M107" s="1539">
        <f t="shared" si="42"/>
        <v>0</v>
      </c>
      <c r="N107" s="1540"/>
    </row>
    <row r="108" spans="1:21" s="57" customFormat="1">
      <c r="A108" s="258" t="s">
        <v>187</v>
      </c>
      <c r="B108" s="1421">
        <f>CVWD!N382</f>
        <v>0</v>
      </c>
      <c r="C108" s="1422"/>
      <c r="D108" s="1431">
        <f t="shared" si="43"/>
        <v>0</v>
      </c>
      <c r="E108" s="1422"/>
      <c r="F108" s="1444">
        <f>0.023*B108</f>
        <v>0</v>
      </c>
      <c r="G108" s="1422"/>
      <c r="H108" s="1014">
        <f>F108*5</f>
        <v>0</v>
      </c>
      <c r="I108" s="151">
        <v>0</v>
      </c>
      <c r="J108" s="150">
        <f>B108*10</f>
        <v>0</v>
      </c>
      <c r="K108" s="150">
        <f>B108*10</f>
        <v>0</v>
      </c>
      <c r="L108" s="174">
        <f t="shared" si="41"/>
        <v>0</v>
      </c>
      <c r="M108" s="1539">
        <f t="shared" si="42"/>
        <v>0</v>
      </c>
      <c r="N108" s="1540"/>
    </row>
    <row r="109" spans="1:21" s="57" customFormat="1">
      <c r="A109" s="258" t="s">
        <v>188</v>
      </c>
      <c r="B109" s="1421">
        <f>CVWD!N383</f>
        <v>0</v>
      </c>
      <c r="C109" s="1422"/>
      <c r="D109" s="1431">
        <f t="shared" si="43"/>
        <v>0</v>
      </c>
      <c r="E109" s="1422"/>
      <c r="F109" s="1445">
        <f>B109*0.154</f>
        <v>0</v>
      </c>
      <c r="G109" s="1446"/>
      <c r="H109" s="1016">
        <f>F109*10</f>
        <v>0</v>
      </c>
      <c r="I109" s="151">
        <v>0</v>
      </c>
      <c r="J109" s="150">
        <f>B109*1000</f>
        <v>0</v>
      </c>
      <c r="K109" s="150">
        <f>B109*1000</f>
        <v>0</v>
      </c>
      <c r="L109" s="174">
        <f t="shared" si="41"/>
        <v>0</v>
      </c>
      <c r="M109" s="1539">
        <f t="shared" si="42"/>
        <v>0</v>
      </c>
      <c r="N109" s="1540"/>
    </row>
    <row r="110" spans="1:21" s="57" customFormat="1">
      <c r="A110" s="258" t="s">
        <v>323</v>
      </c>
      <c r="B110" s="1421">
        <f>CVWD!N384</f>
        <v>0</v>
      </c>
      <c r="C110" s="1422"/>
      <c r="D110" s="1423">
        <f t="shared" si="43"/>
        <v>0</v>
      </c>
      <c r="E110" s="1424"/>
      <c r="F110" s="1451">
        <v>0</v>
      </c>
      <c r="G110" s="1448"/>
      <c r="H110" s="1000">
        <f>F110*10</f>
        <v>0</v>
      </c>
      <c r="I110" s="151">
        <v>0</v>
      </c>
      <c r="J110" s="150">
        <f>B110*0</f>
        <v>0</v>
      </c>
      <c r="K110" s="150">
        <f>B110*0</f>
        <v>0</v>
      </c>
      <c r="L110" s="174">
        <f>K110+J110+I110</f>
        <v>0</v>
      </c>
      <c r="M110" s="1539">
        <f t="shared" si="42"/>
        <v>0</v>
      </c>
      <c r="N110" s="1540"/>
    </row>
    <row r="111" spans="1:21" s="57" customFormat="1">
      <c r="A111" s="258" t="s">
        <v>269</v>
      </c>
      <c r="B111" s="1421">
        <f>CVWD!N385</f>
        <v>0</v>
      </c>
      <c r="C111" s="1422"/>
      <c r="D111" s="1423">
        <f t="shared" si="43"/>
        <v>0</v>
      </c>
      <c r="E111" s="1424"/>
      <c r="F111" s="1578">
        <f>B111*0.0129</f>
        <v>0</v>
      </c>
      <c r="G111" s="1579"/>
      <c r="H111" s="1011">
        <f>F111*10</f>
        <v>0</v>
      </c>
      <c r="I111" s="151">
        <v>0</v>
      </c>
      <c r="J111" s="150">
        <f>B111*0</f>
        <v>0</v>
      </c>
      <c r="K111" s="150">
        <f>B111*0</f>
        <v>0</v>
      </c>
      <c r="L111" s="174">
        <f t="shared" ref="L111:L112" si="44">K111+J111+I111</f>
        <v>0</v>
      </c>
      <c r="M111" s="1539">
        <f t="shared" si="42"/>
        <v>0</v>
      </c>
      <c r="N111" s="1540"/>
    </row>
    <row r="112" spans="1:21" s="57" customFormat="1" ht="14" thickBot="1">
      <c r="A112" s="258" t="s">
        <v>268</v>
      </c>
      <c r="B112" s="1421">
        <f>CVWD!N386</f>
        <v>0</v>
      </c>
      <c r="C112" s="1422"/>
      <c r="D112" s="1431">
        <f t="shared" si="43"/>
        <v>0</v>
      </c>
      <c r="E112" s="1422"/>
      <c r="F112" s="1432">
        <f>(B112*0.0084)/2</f>
        <v>0</v>
      </c>
      <c r="G112" s="1433"/>
      <c r="H112" s="1013">
        <f>F112*10</f>
        <v>0</v>
      </c>
      <c r="I112" s="151">
        <v>0</v>
      </c>
      <c r="J112" s="150">
        <f>B112*10</f>
        <v>0</v>
      </c>
      <c r="K112" s="150">
        <f>B112*5</f>
        <v>0</v>
      </c>
      <c r="L112" s="174">
        <f t="shared" si="44"/>
        <v>0</v>
      </c>
      <c r="M112" s="1539">
        <f t="shared" si="42"/>
        <v>0</v>
      </c>
      <c r="N112" s="1540"/>
    </row>
    <row r="113" spans="1:17" s="1161" customFormat="1" ht="17" thickBot="1">
      <c r="A113" s="110" t="s">
        <v>192</v>
      </c>
      <c r="B113" s="1457"/>
      <c r="C113" s="1457"/>
      <c r="D113" s="1457"/>
      <c r="E113" s="1457"/>
      <c r="F113" s="1457"/>
      <c r="G113" s="1457"/>
      <c r="H113" s="1141"/>
      <c r="I113" s="997"/>
      <c r="J113" s="997"/>
      <c r="K113" s="997"/>
      <c r="L113" s="997"/>
      <c r="M113" s="997"/>
      <c r="N113" s="998"/>
    </row>
    <row r="114" spans="1:17" s="121" customFormat="1" ht="14" thickBot="1">
      <c r="A114" s="76" t="s">
        <v>390</v>
      </c>
      <c r="B114" s="1435">
        <f>CVWD!N388</f>
        <v>650</v>
      </c>
      <c r="C114" s="1433"/>
      <c r="D114" s="1436">
        <f>F114*325900</f>
        <v>847340</v>
      </c>
      <c r="E114" s="1437"/>
      <c r="F114" s="1744">
        <f>0.004*B114</f>
        <v>2.6</v>
      </c>
      <c r="G114" s="1437"/>
      <c r="H114" s="1078">
        <f>F114*5</f>
        <v>13</v>
      </c>
      <c r="I114" s="216">
        <v>0</v>
      </c>
      <c r="J114" s="216">
        <f>L114-K114</f>
        <v>2307.5</v>
      </c>
      <c r="K114" s="216">
        <f>B114*2</f>
        <v>1300</v>
      </c>
      <c r="L114" s="174">
        <v>3607.5</v>
      </c>
      <c r="M114" s="1427">
        <f>IF(ISERROR(L114/(F114*771)),0,L114/(F114*771))</f>
        <v>1.7996108949416341</v>
      </c>
      <c r="N114" s="1428"/>
    </row>
    <row r="115" spans="1:17" ht="14" thickBot="1">
      <c r="A115" s="53" t="s">
        <v>60</v>
      </c>
      <c r="B115" s="1438">
        <f>SUM(B101:B114)</f>
        <v>650</v>
      </c>
      <c r="C115" s="1439"/>
      <c r="D115" s="1440">
        <f>SUM(D101:E114)</f>
        <v>847340</v>
      </c>
      <c r="E115" s="1439"/>
      <c r="F115" s="1441">
        <f>SUM(F101:G114)</f>
        <v>2.6</v>
      </c>
      <c r="G115" s="1439"/>
      <c r="H115" s="1001">
        <f>SUM(H101:H114)</f>
        <v>13</v>
      </c>
      <c r="I115" s="146">
        <f>SUM(I101:I114)</f>
        <v>0</v>
      </c>
      <c r="J115" s="146">
        <f>SUM(J101:J114)</f>
        <v>2307.5</v>
      </c>
      <c r="K115" s="146">
        <f>SUM(K101:K114)</f>
        <v>1300</v>
      </c>
      <c r="L115" s="146">
        <f>SUM(L101:L114)</f>
        <v>3607.5</v>
      </c>
      <c r="M115" s="1442"/>
      <c r="N115" s="1443"/>
    </row>
    <row r="116" spans="1:17" s="1161" customFormat="1" ht="17" thickBot="1">
      <c r="A116" s="1163" t="s">
        <v>17</v>
      </c>
      <c r="B116" s="1414">
        <f>SUM(,B99,B115)</f>
        <v>2344</v>
      </c>
      <c r="C116" s="1415"/>
      <c r="D116" s="1416">
        <f>SUM(,D99,D115)</f>
        <v>12759343.489999998</v>
      </c>
      <c r="E116" s="1415"/>
      <c r="F116" s="1416">
        <f>SUM(,F99,F115)</f>
        <v>39.1511</v>
      </c>
      <c r="G116" s="1415"/>
      <c r="H116" s="1164">
        <f>SUM(H99,H115)</f>
        <v>367.48149999999998</v>
      </c>
      <c r="I116" s="1165">
        <f>SUM(,I99,I115)</f>
        <v>13891</v>
      </c>
      <c r="J116" s="1165">
        <f>SUM(,J99,J115)</f>
        <v>80744.289999999994</v>
      </c>
      <c r="K116" s="1165">
        <f>SUM(,K99,K115)</f>
        <v>69166.210000000006</v>
      </c>
      <c r="L116" s="1165">
        <f>SUM(,L99,L115)</f>
        <v>163801.5</v>
      </c>
      <c r="M116" s="1417"/>
      <c r="N116" s="1418"/>
    </row>
    <row r="117" spans="1:17">
      <c r="A117" s="50"/>
      <c r="B117" s="1027"/>
      <c r="C117" s="1027"/>
      <c r="D117" s="1027"/>
      <c r="E117" s="1027"/>
      <c r="F117" s="1026"/>
      <c r="G117" s="1026"/>
      <c r="H117" s="1026"/>
      <c r="I117" s="21"/>
      <c r="J117" s="21"/>
      <c r="K117" s="21"/>
      <c r="L117" s="21"/>
      <c r="M117" s="1012"/>
      <c r="N117" s="1012"/>
    </row>
    <row r="118" spans="1:17" ht="15">
      <c r="A118" s="9" t="s">
        <v>18</v>
      </c>
      <c r="B118" s="1419" t="s">
        <v>59</v>
      </c>
      <c r="C118" s="1419"/>
      <c r="D118" s="1419"/>
      <c r="E118" s="1419"/>
      <c r="F118" s="1026"/>
      <c r="G118" s="1026"/>
      <c r="H118" s="1026"/>
      <c r="I118" s="21"/>
      <c r="J118" s="21"/>
      <c r="K118" s="21"/>
      <c r="L118" s="21"/>
      <c r="M118" s="1012"/>
      <c r="N118" s="1012"/>
    </row>
    <row r="119" spans="1:17">
      <c r="B119" s="1420" t="s">
        <v>19</v>
      </c>
      <c r="C119" s="1420"/>
      <c r="D119" s="1420"/>
      <c r="E119" s="1420"/>
      <c r="F119" s="1026"/>
      <c r="G119" s="1026"/>
      <c r="H119" s="1026"/>
      <c r="I119" s="21"/>
      <c r="J119" s="21"/>
      <c r="K119" s="21"/>
      <c r="L119" s="21"/>
      <c r="N119" s="1012"/>
    </row>
    <row r="120" spans="1:17" ht="14" thickBot="1">
      <c r="B120" s="1012"/>
      <c r="C120" s="1012"/>
      <c r="D120" s="1012"/>
      <c r="E120" s="1012"/>
      <c r="F120" s="1026"/>
      <c r="G120" s="1026"/>
      <c r="H120" s="1026"/>
      <c r="I120" s="21"/>
      <c r="J120" s="21"/>
      <c r="K120" s="21"/>
      <c r="L120" s="21"/>
      <c r="N120" s="1012"/>
    </row>
    <row r="121" spans="1:17" ht="16">
      <c r="A121" s="98"/>
      <c r="B121" s="99"/>
      <c r="C121" s="99"/>
      <c r="D121" s="99"/>
      <c r="E121" s="99"/>
      <c r="F121" s="421"/>
      <c r="G121" s="421"/>
      <c r="H121" s="421"/>
      <c r="I121" s="1468" t="s">
        <v>0</v>
      </c>
      <c r="J121" s="1468"/>
      <c r="K121" s="1468"/>
      <c r="L121" s="1468"/>
      <c r="M121" s="99"/>
      <c r="N121" s="101"/>
    </row>
    <row r="122" spans="1:17" s="363" customFormat="1" ht="16">
      <c r="A122" s="97"/>
      <c r="B122" s="1469" t="s">
        <v>1</v>
      </c>
      <c r="C122" s="1469"/>
      <c r="D122" s="1469" t="s">
        <v>2</v>
      </c>
      <c r="E122" s="1469"/>
      <c r="F122" s="1470" t="s">
        <v>3</v>
      </c>
      <c r="G122" s="1470"/>
      <c r="H122" s="1003" t="s">
        <v>3</v>
      </c>
      <c r="I122" s="127" t="s">
        <v>195</v>
      </c>
      <c r="J122" s="102"/>
      <c r="K122" s="102"/>
      <c r="L122" s="128"/>
      <c r="M122" s="1525" t="s">
        <v>4</v>
      </c>
      <c r="N122" s="1526"/>
    </row>
    <row r="123" spans="1:17" ht="19" thickBot="1">
      <c r="A123" s="103" t="s">
        <v>5</v>
      </c>
      <c r="B123" s="1473" t="s">
        <v>6</v>
      </c>
      <c r="C123" s="1473"/>
      <c r="D123" s="1473" t="s">
        <v>7</v>
      </c>
      <c r="E123" s="1473"/>
      <c r="F123" s="1474" t="s">
        <v>7</v>
      </c>
      <c r="G123" s="1474"/>
      <c r="H123" s="1006" t="s">
        <v>58</v>
      </c>
      <c r="I123" s="1007" t="s">
        <v>196</v>
      </c>
      <c r="J123" s="1005" t="s">
        <v>8</v>
      </c>
      <c r="K123" s="1005" t="s">
        <v>9</v>
      </c>
      <c r="L123" s="401" t="s">
        <v>10</v>
      </c>
      <c r="M123" s="1527" t="s">
        <v>145</v>
      </c>
      <c r="N123" s="1475"/>
    </row>
    <row r="124" spans="1:17" ht="24" thickBot="1">
      <c r="A124" s="88" t="s">
        <v>318</v>
      </c>
      <c r="B124" s="1476"/>
      <c r="C124" s="1477"/>
      <c r="D124" s="1478"/>
      <c r="E124" s="1479"/>
      <c r="F124" s="1480"/>
      <c r="G124" s="1481"/>
      <c r="H124" s="1020"/>
      <c r="I124" s="213"/>
      <c r="J124" s="213"/>
      <c r="K124" s="213"/>
      <c r="L124" s="214"/>
      <c r="M124" s="1482"/>
      <c r="N124" s="1483"/>
    </row>
    <row r="125" spans="1:17" s="1168" customFormat="1" ht="17" thickBot="1">
      <c r="A125" s="110" t="s">
        <v>189</v>
      </c>
      <c r="B125" s="1456"/>
      <c r="C125" s="1457"/>
      <c r="D125" s="1457"/>
      <c r="E125" s="1457"/>
      <c r="F125" s="1484"/>
      <c r="G125" s="1484"/>
      <c r="H125" s="1158"/>
      <c r="I125" s="1141"/>
      <c r="J125" s="1141"/>
      <c r="K125" s="1141"/>
      <c r="L125" s="1141"/>
      <c r="M125" s="1485"/>
      <c r="N125" s="1486"/>
    </row>
    <row r="126" spans="1:17" s="91" customFormat="1" ht="16">
      <c r="A126" s="68" t="s">
        <v>29</v>
      </c>
      <c r="B126" s="1421">
        <f>CVWD!N325</f>
        <v>57</v>
      </c>
      <c r="C126" s="1422"/>
      <c r="D126" s="1444">
        <f t="shared" ref="D126:D133" si="45">F126*325900</f>
        <v>456976.98000000004</v>
      </c>
      <c r="E126" s="1422"/>
      <c r="F126" s="1431">
        <f>0.0246*B126</f>
        <v>1.4022000000000001</v>
      </c>
      <c r="G126" s="1422"/>
      <c r="H126" s="993">
        <f>F126*20</f>
        <v>28.044000000000004</v>
      </c>
      <c r="I126" s="151">
        <v>0</v>
      </c>
      <c r="J126" s="173">
        <v>3022</v>
      </c>
      <c r="K126" s="150">
        <v>2340</v>
      </c>
      <c r="L126" s="174">
        <f>K126+J126+I126</f>
        <v>5362</v>
      </c>
      <c r="M126" s="1539">
        <f>IF(ISERROR(L126/(F126*744)),0,L126/(F126*744))</f>
        <v>5.1397726767307281</v>
      </c>
      <c r="N126" s="1540"/>
      <c r="Q126" s="105"/>
    </row>
    <row r="127" spans="1:17">
      <c r="A127" s="68" t="s">
        <v>33</v>
      </c>
      <c r="B127" s="1421">
        <f>CVWD!N326</f>
        <v>224</v>
      </c>
      <c r="C127" s="1422"/>
      <c r="D127" s="1444">
        <f t="shared" si="45"/>
        <v>2518555.2000000002</v>
      </c>
      <c r="E127" s="1422"/>
      <c r="F127" s="1431">
        <f>0.0345*B127</f>
        <v>7.7280000000000006</v>
      </c>
      <c r="G127" s="1422"/>
      <c r="H127" s="993">
        <f>F127*14</f>
        <v>108.19200000000001</v>
      </c>
      <c r="I127" s="150">
        <f>0*B127</f>
        <v>0</v>
      </c>
      <c r="J127" s="173">
        <v>5330</v>
      </c>
      <c r="K127" s="150">
        <v>19040</v>
      </c>
      <c r="L127" s="174">
        <f t="shared" ref="L127:L154" si="46">K127+J127+I127</f>
        <v>24370</v>
      </c>
      <c r="M127" s="1539">
        <f t="shared" ref="M127:M154" si="47">IF(ISERROR(L127/(F127*744)),0,L127/(F127*744))</f>
        <v>4.238532135621897</v>
      </c>
      <c r="N127" s="1540"/>
      <c r="Q127" s="105"/>
    </row>
    <row r="128" spans="1:17">
      <c r="A128" s="68" t="s">
        <v>56</v>
      </c>
      <c r="B128" s="1421">
        <f>CVWD!N327</f>
        <v>221</v>
      </c>
      <c r="C128" s="1422"/>
      <c r="D128" s="1444">
        <f>F128*325851</f>
        <v>316857.51240000001</v>
      </c>
      <c r="E128" s="1422"/>
      <c r="F128" s="1431">
        <f>0.0044*B128</f>
        <v>0.97240000000000004</v>
      </c>
      <c r="G128" s="1422"/>
      <c r="H128" s="993">
        <f>F128*5</f>
        <v>4.8620000000000001</v>
      </c>
      <c r="I128" s="150">
        <f>0*B128</f>
        <v>0</v>
      </c>
      <c r="J128" s="173">
        <v>194</v>
      </c>
      <c r="K128" s="150">
        <v>442</v>
      </c>
      <c r="L128" s="174">
        <f t="shared" si="46"/>
        <v>636</v>
      </c>
      <c r="M128" s="1539">
        <f t="shared" si="47"/>
        <v>0.8791019227451865</v>
      </c>
      <c r="N128" s="1540"/>
      <c r="Q128" s="105"/>
    </row>
    <row r="129" spans="1:17">
      <c r="A129" s="68" t="s">
        <v>52</v>
      </c>
      <c r="B129" s="1421">
        <f>CVWD!N328</f>
        <v>123</v>
      </c>
      <c r="C129" s="1422"/>
      <c r="D129" s="1444">
        <f t="shared" si="45"/>
        <v>1659547.98</v>
      </c>
      <c r="E129" s="1422"/>
      <c r="F129" s="1467">
        <f>0.0414*B129</f>
        <v>5.0922000000000001</v>
      </c>
      <c r="G129" s="1433"/>
      <c r="H129" s="994">
        <f>F129*10</f>
        <v>50.921999999999997</v>
      </c>
      <c r="I129" s="151">
        <v>0</v>
      </c>
      <c r="J129" s="173">
        <v>2840.45</v>
      </c>
      <c r="K129" s="173">
        <v>9877.9599999999991</v>
      </c>
      <c r="L129" s="174">
        <f t="shared" si="46"/>
        <v>12718.41</v>
      </c>
      <c r="M129" s="1539">
        <f t="shared" si="47"/>
        <v>3.3570238986634839</v>
      </c>
      <c r="N129" s="1540"/>
      <c r="Q129" s="105"/>
    </row>
    <row r="130" spans="1:17">
      <c r="A130" s="254" t="s">
        <v>328</v>
      </c>
      <c r="B130" s="1563">
        <f>CVWD!N329</f>
        <v>75</v>
      </c>
      <c r="C130" s="1424"/>
      <c r="D130" s="1536">
        <f>F130*325900</f>
        <v>5483221.8740000008</v>
      </c>
      <c r="E130" s="1424"/>
      <c r="F130" s="1447">
        <v>16.824860000000001</v>
      </c>
      <c r="G130" s="1448"/>
      <c r="H130" s="990">
        <f>F130*10</f>
        <v>168.24860000000001</v>
      </c>
      <c r="I130" s="151">
        <v>0</v>
      </c>
      <c r="J130" s="173">
        <v>0</v>
      </c>
      <c r="K130" s="173">
        <v>229262</v>
      </c>
      <c r="L130" s="174">
        <f t="shared" si="46"/>
        <v>229262</v>
      </c>
      <c r="M130" s="1539">
        <f t="shared" si="47"/>
        <v>18.31503200991661</v>
      </c>
      <c r="N130" s="1540"/>
      <c r="Q130" s="105"/>
    </row>
    <row r="131" spans="1:17">
      <c r="A131" s="254" t="s">
        <v>214</v>
      </c>
      <c r="B131" s="1421">
        <f>CVWD!N330</f>
        <v>34</v>
      </c>
      <c r="C131" s="1422"/>
      <c r="D131" s="1444">
        <f t="shared" si="45"/>
        <v>21053.140000000003</v>
      </c>
      <c r="E131" s="1422"/>
      <c r="F131" s="1467">
        <f>0.0019*B131</f>
        <v>6.4600000000000005E-2</v>
      </c>
      <c r="G131" s="1433"/>
      <c r="H131" s="994">
        <f>F131*5</f>
        <v>0.32300000000000001</v>
      </c>
      <c r="I131" s="151">
        <v>0</v>
      </c>
      <c r="J131" s="173">
        <v>0</v>
      </c>
      <c r="K131" s="173">
        <v>2150</v>
      </c>
      <c r="L131" s="174">
        <f t="shared" si="46"/>
        <v>2150</v>
      </c>
      <c r="M131" s="1539">
        <f t="shared" si="47"/>
        <v>44.733513099637136</v>
      </c>
      <c r="N131" s="1540"/>
      <c r="Q131" s="105"/>
    </row>
    <row r="132" spans="1:17">
      <c r="A132" s="254" t="s">
        <v>331</v>
      </c>
      <c r="B132" s="1421">
        <f>CVWD!N331</f>
        <v>1</v>
      </c>
      <c r="C132" s="1422"/>
      <c r="D132" s="1444">
        <f t="shared" ref="D132" si="48">F132*325900</f>
        <v>0</v>
      </c>
      <c r="E132" s="1422"/>
      <c r="F132" s="1467">
        <v>0</v>
      </c>
      <c r="G132" s="1433"/>
      <c r="H132" s="994">
        <v>0</v>
      </c>
      <c r="I132" s="151">
        <v>0</v>
      </c>
      <c r="J132" s="173">
        <v>0</v>
      </c>
      <c r="K132" s="173">
        <v>300</v>
      </c>
      <c r="L132" s="174">
        <f t="shared" si="46"/>
        <v>300</v>
      </c>
      <c r="M132" s="1539">
        <f t="shared" si="47"/>
        <v>0</v>
      </c>
      <c r="N132" s="1540"/>
      <c r="Q132" s="105"/>
    </row>
    <row r="133" spans="1:17" s="91" customFormat="1" ht="17" thickBot="1">
      <c r="A133" s="258" t="s">
        <v>269</v>
      </c>
      <c r="B133" s="1421">
        <f>CVWD!N332</f>
        <v>0</v>
      </c>
      <c r="C133" s="1422"/>
      <c r="D133" s="1444">
        <f t="shared" si="45"/>
        <v>0</v>
      </c>
      <c r="E133" s="1422"/>
      <c r="F133" s="1467">
        <v>0</v>
      </c>
      <c r="G133" s="1433"/>
      <c r="H133" s="994">
        <f>F133*10</f>
        <v>0</v>
      </c>
      <c r="I133" s="151">
        <v>0</v>
      </c>
      <c r="J133" s="173">
        <v>0</v>
      </c>
      <c r="K133" s="173">
        <v>0</v>
      </c>
      <c r="L133" s="174">
        <f t="shared" si="46"/>
        <v>0</v>
      </c>
      <c r="M133" s="1539">
        <f t="shared" si="47"/>
        <v>0</v>
      </c>
      <c r="N133" s="1540"/>
      <c r="Q133" s="105"/>
    </row>
    <row r="134" spans="1:17" s="1168" customFormat="1" ht="17" thickBot="1">
      <c r="A134" s="110" t="s">
        <v>190</v>
      </c>
      <c r="B134" s="1456"/>
      <c r="C134" s="1457"/>
      <c r="D134" s="1457"/>
      <c r="E134" s="1457"/>
      <c r="F134" s="1457"/>
      <c r="G134" s="1457"/>
      <c r="H134" s="1141"/>
      <c r="I134" s="195"/>
      <c r="J134" s="195"/>
      <c r="K134" s="195"/>
      <c r="L134" s="195"/>
      <c r="M134" s="195"/>
      <c r="N134" s="1190"/>
      <c r="Q134" s="1195"/>
    </row>
    <row r="135" spans="1:17">
      <c r="A135" s="254" t="s">
        <v>205</v>
      </c>
      <c r="B135" s="1421">
        <f>CVWD!N334</f>
        <v>959</v>
      </c>
      <c r="C135" s="1422"/>
      <c r="D135" s="1444">
        <f>F135*325900</f>
        <v>1375167.6400000001</v>
      </c>
      <c r="E135" s="1422"/>
      <c r="F135" s="1467">
        <f>B135*0.0044</f>
        <v>4.2196000000000007</v>
      </c>
      <c r="G135" s="1433"/>
      <c r="H135" s="994">
        <f>F135*5</f>
        <v>21.098000000000003</v>
      </c>
      <c r="I135" s="151">
        <v>0</v>
      </c>
      <c r="J135" s="173">
        <v>1534.4</v>
      </c>
      <c r="K135" s="173">
        <v>1918</v>
      </c>
      <c r="L135" s="174">
        <f t="shared" si="46"/>
        <v>3452.4</v>
      </c>
      <c r="M135" s="1539">
        <f t="shared" si="47"/>
        <v>1.0997067448680351</v>
      </c>
      <c r="N135" s="1540"/>
      <c r="Q135" s="105"/>
    </row>
    <row r="136" spans="1:17">
      <c r="A136" s="254" t="s">
        <v>346</v>
      </c>
      <c r="B136" s="1563">
        <f>CVWD!N335</f>
        <v>76</v>
      </c>
      <c r="C136" s="1424"/>
      <c r="D136" s="1451">
        <f>F136*325900</f>
        <v>2398949.9</v>
      </c>
      <c r="E136" s="1448"/>
      <c r="F136" s="1447">
        <v>7.3609999999999998</v>
      </c>
      <c r="G136" s="1448"/>
      <c r="H136" s="990">
        <v>58.54</v>
      </c>
      <c r="I136" s="173">
        <v>33910.71</v>
      </c>
      <c r="J136" s="173">
        <v>823.27</v>
      </c>
      <c r="K136" s="173">
        <v>33087.67</v>
      </c>
      <c r="L136" s="174">
        <f t="shared" si="46"/>
        <v>67821.649999999994</v>
      </c>
      <c r="M136" s="1539">
        <f t="shared" si="47"/>
        <v>12.383933123275384</v>
      </c>
      <c r="N136" s="1540"/>
      <c r="Q136" s="105"/>
    </row>
    <row r="137" spans="1:17">
      <c r="A137" s="254" t="s">
        <v>349</v>
      </c>
      <c r="B137" s="1563">
        <f>CVWD!N336</f>
        <v>73</v>
      </c>
      <c r="C137" s="1424"/>
      <c r="D137" s="1451">
        <f>F137*325900</f>
        <v>984934.9800000001</v>
      </c>
      <c r="E137" s="1448"/>
      <c r="F137" s="1447">
        <v>3.0222000000000002</v>
      </c>
      <c r="G137" s="1448"/>
      <c r="H137" s="990">
        <v>30.222000000000001</v>
      </c>
      <c r="I137" s="173">
        <v>0</v>
      </c>
      <c r="J137" s="173">
        <v>29455.5</v>
      </c>
      <c r="K137" s="173">
        <v>15194.5</v>
      </c>
      <c r="L137" s="174">
        <f t="shared" si="46"/>
        <v>44650</v>
      </c>
      <c r="M137" s="1539">
        <f t="shared" si="47"/>
        <v>19.857534531207413</v>
      </c>
      <c r="N137" s="1540"/>
      <c r="Q137" s="105"/>
    </row>
    <row r="138" spans="1:17" s="91" customFormat="1" ht="17" thickBot="1">
      <c r="A138" s="254" t="s">
        <v>266</v>
      </c>
      <c r="B138" s="1563">
        <f>CVWD!N337</f>
        <v>42</v>
      </c>
      <c r="C138" s="1424"/>
      <c r="D138" s="1543">
        <v>0</v>
      </c>
      <c r="E138" s="1544"/>
      <c r="F138" s="1582">
        <v>4.234</v>
      </c>
      <c r="G138" s="1583"/>
      <c r="H138" s="989">
        <f>F138*10</f>
        <v>42.34</v>
      </c>
      <c r="I138" s="151">
        <v>0</v>
      </c>
      <c r="J138" s="286">
        <v>3488.91</v>
      </c>
      <c r="K138" s="220">
        <v>8871.09</v>
      </c>
      <c r="L138" s="174">
        <f t="shared" si="46"/>
        <v>12360</v>
      </c>
      <c r="M138" s="1539">
        <f t="shared" si="47"/>
        <v>3.9236899446873998</v>
      </c>
      <c r="N138" s="1540"/>
      <c r="Q138" s="105"/>
    </row>
    <row r="139" spans="1:17" ht="14" thickBot="1">
      <c r="A139" s="53" t="s">
        <v>60</v>
      </c>
      <c r="B139" s="1452">
        <f>SUM(B126:C138)</f>
        <v>1885</v>
      </c>
      <c r="C139" s="1453"/>
      <c r="D139" s="1694">
        <f>SUM(D126:E138)</f>
        <v>15215265.206400001</v>
      </c>
      <c r="E139" s="1453"/>
      <c r="F139" s="1452">
        <f>SUM(F126:G138)</f>
        <v>50.921059999999997</v>
      </c>
      <c r="G139" s="1453"/>
      <c r="H139" s="992">
        <f>SUM(H126:H138)</f>
        <v>512.79160000000002</v>
      </c>
      <c r="I139" s="996">
        <f>SUM(I126:I138)</f>
        <v>33910.71</v>
      </c>
      <c r="J139" s="996">
        <f t="shared" ref="J139:K139" si="49">SUM(J126:J138)</f>
        <v>46688.53</v>
      </c>
      <c r="K139" s="996">
        <f t="shared" si="49"/>
        <v>322483.21999999997</v>
      </c>
      <c r="L139" s="996">
        <f t="shared" ref="L139" si="50">SUM(L126:L138)</f>
        <v>403082.46000000008</v>
      </c>
      <c r="M139" s="1454">
        <f t="shared" si="47"/>
        <v>10.639556599960805</v>
      </c>
      <c r="N139" s="1455"/>
      <c r="Q139" s="105"/>
    </row>
    <row r="140" spans="1:17" s="1168" customFormat="1" ht="17" thickBot="1">
      <c r="A140" s="110" t="s">
        <v>194</v>
      </c>
      <c r="B140" s="1456"/>
      <c r="C140" s="1457"/>
      <c r="D140" s="1457"/>
      <c r="E140" s="1457"/>
      <c r="F140" s="1457"/>
      <c r="G140" s="1457"/>
      <c r="H140" s="1141"/>
      <c r="I140" s="997"/>
      <c r="J140" s="997"/>
      <c r="K140" s="997"/>
      <c r="L140" s="997"/>
      <c r="M140" s="997"/>
      <c r="N140" s="998"/>
      <c r="Q140" s="1195"/>
    </row>
    <row r="141" spans="1:17">
      <c r="A141" s="68" t="s">
        <v>29</v>
      </c>
      <c r="B141" s="1421">
        <f>CVWD!N341</f>
        <v>95</v>
      </c>
      <c r="C141" s="1422"/>
      <c r="D141" s="1431">
        <f>F141*325900</f>
        <v>761628.3</v>
      </c>
      <c r="E141" s="1422"/>
      <c r="F141" s="1444">
        <f>0.0246*B141</f>
        <v>2.3370000000000002</v>
      </c>
      <c r="G141" s="1422"/>
      <c r="H141" s="993">
        <f>F141*20</f>
        <v>46.74</v>
      </c>
      <c r="I141" s="151">
        <v>0</v>
      </c>
      <c r="J141" s="150">
        <v>3840</v>
      </c>
      <c r="K141" s="150">
        <v>7055</v>
      </c>
      <c r="L141" s="174">
        <f t="shared" si="46"/>
        <v>10895</v>
      </c>
      <c r="M141" s="1539">
        <f t="shared" si="47"/>
        <v>6.2660749697479998</v>
      </c>
      <c r="N141" s="1540"/>
    </row>
    <row r="142" spans="1:17" s="91" customFormat="1" ht="16">
      <c r="A142" s="68" t="s">
        <v>51</v>
      </c>
      <c r="B142" s="1421">
        <f>CVWD!N342</f>
        <v>0</v>
      </c>
      <c r="C142" s="1422"/>
      <c r="D142" s="1431">
        <f>F142*325900</f>
        <v>0</v>
      </c>
      <c r="E142" s="1422"/>
      <c r="F142" s="1444">
        <f>0.1227*B142</f>
        <v>0</v>
      </c>
      <c r="G142" s="1422"/>
      <c r="H142" s="993">
        <f>F142*20</f>
        <v>0</v>
      </c>
      <c r="I142" s="151">
        <v>0</v>
      </c>
      <c r="J142" s="150">
        <v>0</v>
      </c>
      <c r="K142" s="150">
        <v>0</v>
      </c>
      <c r="L142" s="174">
        <f t="shared" si="46"/>
        <v>0</v>
      </c>
      <c r="M142" s="1539">
        <f t="shared" si="47"/>
        <v>0</v>
      </c>
      <c r="N142" s="1540"/>
    </row>
    <row r="143" spans="1:17">
      <c r="A143" s="2" t="s">
        <v>204</v>
      </c>
      <c r="B143" s="1421">
        <f>CVWD!N343</f>
        <v>0</v>
      </c>
      <c r="C143" s="1422"/>
      <c r="D143" s="1431">
        <f>F143*325851</f>
        <v>0</v>
      </c>
      <c r="E143" s="1422"/>
      <c r="F143" s="1444">
        <f>0.644*B143</f>
        <v>0</v>
      </c>
      <c r="G143" s="1422"/>
      <c r="H143" s="993">
        <f>F143*5</f>
        <v>0</v>
      </c>
      <c r="I143" s="151">
        <v>0</v>
      </c>
      <c r="J143" s="150">
        <v>0</v>
      </c>
      <c r="K143" s="150">
        <v>0</v>
      </c>
      <c r="L143" s="174">
        <f t="shared" si="46"/>
        <v>0</v>
      </c>
      <c r="M143" s="1539">
        <f t="shared" si="47"/>
        <v>0</v>
      </c>
      <c r="N143" s="1540"/>
    </row>
    <row r="144" spans="1:17">
      <c r="A144" s="254" t="s">
        <v>30</v>
      </c>
      <c r="B144" s="1421">
        <f>CVWD!N344</f>
        <v>34</v>
      </c>
      <c r="C144" s="1422"/>
      <c r="D144" s="1431">
        <f t="shared" ref="D144:D152" si="51">F144*325900</f>
        <v>142939.74</v>
      </c>
      <c r="E144" s="1422"/>
      <c r="F144" s="1449">
        <f>0.0129*B144</f>
        <v>0.43859999999999999</v>
      </c>
      <c r="G144" s="1450"/>
      <c r="H144" s="993">
        <f>F144*10</f>
        <v>4.3860000000000001</v>
      </c>
      <c r="I144" s="151">
        <v>0</v>
      </c>
      <c r="J144" s="151">
        <v>3512</v>
      </c>
      <c r="K144" s="151">
        <v>29790.69</v>
      </c>
      <c r="L144" s="174">
        <f t="shared" si="46"/>
        <v>33302.69</v>
      </c>
      <c r="M144" s="1539">
        <f t="shared" si="47"/>
        <v>102.05581419864771</v>
      </c>
      <c r="N144" s="1540"/>
    </row>
    <row r="145" spans="1:14">
      <c r="A145" s="69" t="s">
        <v>56</v>
      </c>
      <c r="B145" s="1421">
        <f>CVWD!N345</f>
        <v>0</v>
      </c>
      <c r="C145" s="1422"/>
      <c r="D145" s="1431">
        <f t="shared" si="51"/>
        <v>0</v>
      </c>
      <c r="E145" s="1422"/>
      <c r="F145" s="1444">
        <f>0.0044*B145</f>
        <v>0</v>
      </c>
      <c r="G145" s="1422"/>
      <c r="H145" s="993">
        <f>F145*5</f>
        <v>0</v>
      </c>
      <c r="I145" s="151">
        <v>0</v>
      </c>
      <c r="J145" s="150">
        <v>0</v>
      </c>
      <c r="K145" s="150">
        <v>0</v>
      </c>
      <c r="L145" s="174">
        <f t="shared" si="46"/>
        <v>0</v>
      </c>
      <c r="M145" s="1539">
        <f t="shared" si="47"/>
        <v>0</v>
      </c>
      <c r="N145" s="1540"/>
    </row>
    <row r="146" spans="1:14" hidden="1">
      <c r="A146" s="254" t="s">
        <v>122</v>
      </c>
      <c r="B146" s="1421">
        <f>CVWD!N346</f>
        <v>0</v>
      </c>
      <c r="C146" s="1422"/>
      <c r="D146" s="1431">
        <f t="shared" si="51"/>
        <v>0</v>
      </c>
      <c r="E146" s="1422"/>
      <c r="F146" s="1444">
        <f>0.018*B146</f>
        <v>0</v>
      </c>
      <c r="G146" s="1422"/>
      <c r="H146" s="993">
        <f>F146*10</f>
        <v>0</v>
      </c>
      <c r="I146" s="151">
        <v>0</v>
      </c>
      <c r="J146" s="150">
        <v>0</v>
      </c>
      <c r="K146" s="150">
        <v>0</v>
      </c>
      <c r="L146" s="174">
        <f t="shared" si="46"/>
        <v>0</v>
      </c>
      <c r="M146" s="1539">
        <f t="shared" si="47"/>
        <v>0</v>
      </c>
      <c r="N146" s="1540"/>
    </row>
    <row r="147" spans="1:14" hidden="1">
      <c r="A147" s="257" t="s">
        <v>184</v>
      </c>
      <c r="B147" s="1421">
        <f>CVWD!N347</f>
        <v>0</v>
      </c>
      <c r="C147" s="1422"/>
      <c r="D147" s="1431">
        <f t="shared" si="51"/>
        <v>0</v>
      </c>
      <c r="E147" s="1422"/>
      <c r="F147" s="1444">
        <f>0.0129*B147</f>
        <v>0</v>
      </c>
      <c r="G147" s="1422"/>
      <c r="H147" s="993">
        <f>F147*10</f>
        <v>0</v>
      </c>
      <c r="I147" s="151">
        <v>0</v>
      </c>
      <c r="J147" s="150">
        <v>0</v>
      </c>
      <c r="K147" s="150">
        <v>0</v>
      </c>
      <c r="L147" s="174">
        <f t="shared" si="46"/>
        <v>0</v>
      </c>
      <c r="M147" s="1539">
        <f t="shared" si="47"/>
        <v>0</v>
      </c>
      <c r="N147" s="1540"/>
    </row>
    <row r="148" spans="1:14">
      <c r="A148" s="258" t="s">
        <v>187</v>
      </c>
      <c r="B148" s="1421">
        <f>CVWD!N348</f>
        <v>0</v>
      </c>
      <c r="C148" s="1422"/>
      <c r="D148" s="1431">
        <f t="shared" si="51"/>
        <v>0</v>
      </c>
      <c r="E148" s="1422"/>
      <c r="F148" s="1444">
        <f>0.023*B148</f>
        <v>0</v>
      </c>
      <c r="G148" s="1422"/>
      <c r="H148" s="993">
        <f>F148*5</f>
        <v>0</v>
      </c>
      <c r="I148" s="151">
        <v>0</v>
      </c>
      <c r="J148" s="173">
        <v>0</v>
      </c>
      <c r="K148" s="173">
        <v>0</v>
      </c>
      <c r="L148" s="174">
        <f t="shared" si="46"/>
        <v>0</v>
      </c>
      <c r="M148" s="1539">
        <f t="shared" si="47"/>
        <v>0</v>
      </c>
      <c r="N148" s="1540"/>
    </row>
    <row r="149" spans="1:14" hidden="1">
      <c r="A149" s="258" t="s">
        <v>188</v>
      </c>
      <c r="B149" s="1421">
        <f>CVWD!N349</f>
        <v>0</v>
      </c>
      <c r="C149" s="1422"/>
      <c r="D149" s="1431">
        <f t="shared" si="51"/>
        <v>0</v>
      </c>
      <c r="E149" s="1422"/>
      <c r="F149" s="1445">
        <f>B149*0.154</f>
        <v>0</v>
      </c>
      <c r="G149" s="1446"/>
      <c r="H149" s="995">
        <f>F149*10</f>
        <v>0</v>
      </c>
      <c r="I149" s="151">
        <v>0</v>
      </c>
      <c r="J149" s="151">
        <v>0</v>
      </c>
      <c r="K149" s="151">
        <v>0</v>
      </c>
      <c r="L149" s="174">
        <f t="shared" si="46"/>
        <v>0</v>
      </c>
      <c r="M149" s="1539">
        <f t="shared" si="47"/>
        <v>0</v>
      </c>
      <c r="N149" s="1540"/>
    </row>
    <row r="150" spans="1:14">
      <c r="A150" s="258" t="s">
        <v>327</v>
      </c>
      <c r="B150" s="1563">
        <f>CVWD!N350</f>
        <v>3</v>
      </c>
      <c r="C150" s="1424"/>
      <c r="D150" s="1423">
        <f t="shared" si="51"/>
        <v>2568795.9440000001</v>
      </c>
      <c r="E150" s="1424"/>
      <c r="F150" s="1451">
        <v>7.8821599999999998</v>
      </c>
      <c r="G150" s="1448"/>
      <c r="H150" s="990">
        <f>F150*10</f>
        <v>78.821600000000004</v>
      </c>
      <c r="I150" s="151">
        <v>0</v>
      </c>
      <c r="J150" s="151">
        <v>31321</v>
      </c>
      <c r="K150" s="151">
        <v>56321</v>
      </c>
      <c r="L150" s="174">
        <f>K150+J150+I150</f>
        <v>87642</v>
      </c>
      <c r="M150" s="1539">
        <f t="shared" si="47"/>
        <v>14.944937313727987</v>
      </c>
      <c r="N150" s="1540"/>
    </row>
    <row r="151" spans="1:14" ht="14" thickBot="1">
      <c r="A151" s="258" t="s">
        <v>269</v>
      </c>
      <c r="B151" s="1563">
        <f>CVWD!N351</f>
        <v>0</v>
      </c>
      <c r="C151" s="1424"/>
      <c r="D151" s="1423">
        <f t="shared" si="51"/>
        <v>0</v>
      </c>
      <c r="E151" s="1424"/>
      <c r="F151" s="1578">
        <f>B151*0.0129</f>
        <v>0</v>
      </c>
      <c r="G151" s="1579"/>
      <c r="H151" s="989">
        <f>F151*10</f>
        <v>0</v>
      </c>
      <c r="I151" s="151">
        <v>0</v>
      </c>
      <c r="J151" s="151">
        <v>0</v>
      </c>
      <c r="K151" s="151">
        <v>0</v>
      </c>
      <c r="L151" s="174">
        <f t="shared" si="46"/>
        <v>0</v>
      </c>
      <c r="M151" s="1539">
        <f t="shared" si="47"/>
        <v>0</v>
      </c>
      <c r="N151" s="1540"/>
    </row>
    <row r="152" spans="1:14" ht="14" hidden="1" thickBot="1">
      <c r="A152" s="258" t="s">
        <v>268</v>
      </c>
      <c r="B152" s="1421">
        <f>CVWD!N352</f>
        <v>550</v>
      </c>
      <c r="C152" s="1422"/>
      <c r="D152" s="1431">
        <f t="shared" si="51"/>
        <v>752829</v>
      </c>
      <c r="E152" s="1422"/>
      <c r="F152" s="1432">
        <f>(B152*0.0084)/2</f>
        <v>2.31</v>
      </c>
      <c r="G152" s="1433"/>
      <c r="H152" s="994">
        <f>F152*10</f>
        <v>23.1</v>
      </c>
      <c r="I152" s="151">
        <v>0</v>
      </c>
      <c r="J152" s="151">
        <v>2750</v>
      </c>
      <c r="K152" s="151">
        <v>2750</v>
      </c>
      <c r="L152" s="174">
        <f t="shared" si="46"/>
        <v>5500</v>
      </c>
      <c r="M152" s="1539">
        <f t="shared" si="47"/>
        <v>3.2002048131080389</v>
      </c>
      <c r="N152" s="1540"/>
    </row>
    <row r="153" spans="1:14" s="1168" customFormat="1" ht="17" thickBot="1">
      <c r="A153" s="110" t="s">
        <v>192</v>
      </c>
      <c r="B153" s="1457"/>
      <c r="C153" s="1457"/>
      <c r="D153" s="1457"/>
      <c r="E153" s="1457"/>
      <c r="F153" s="1457"/>
      <c r="G153" s="1457"/>
      <c r="H153" s="1141"/>
      <c r="I153" s="997"/>
      <c r="J153" s="997"/>
      <c r="K153" s="997"/>
      <c r="L153" s="997"/>
      <c r="M153" s="997"/>
      <c r="N153" s="998"/>
    </row>
    <row r="154" spans="1:14" s="57" customFormat="1" ht="14" thickBot="1">
      <c r="A154" s="76" t="s">
        <v>165</v>
      </c>
      <c r="B154" s="1421">
        <f>CVWD!N354</f>
        <v>4090</v>
      </c>
      <c r="C154" s="1422"/>
      <c r="D154" s="1768">
        <f>F154*325900</f>
        <v>5331724</v>
      </c>
      <c r="E154" s="1430"/>
      <c r="F154" s="1734">
        <f>0.004*B154</f>
        <v>16.36</v>
      </c>
      <c r="G154" s="1430"/>
      <c r="H154" s="993">
        <f>F154*5</f>
        <v>81.8</v>
      </c>
      <c r="I154" s="215">
        <v>0</v>
      </c>
      <c r="J154" s="140">
        <v>12270</v>
      </c>
      <c r="K154" s="140">
        <v>8180</v>
      </c>
      <c r="L154" s="174">
        <f t="shared" si="46"/>
        <v>20450</v>
      </c>
      <c r="M154" s="1539">
        <f t="shared" si="47"/>
        <v>1.6801075268817205</v>
      </c>
      <c r="N154" s="1540"/>
    </row>
    <row r="155" spans="1:14" s="57" customFormat="1" ht="14" thickBot="1">
      <c r="A155" s="53" t="s">
        <v>60</v>
      </c>
      <c r="B155" s="1438">
        <f>SUM(B141:B154)</f>
        <v>4772</v>
      </c>
      <c r="C155" s="1439"/>
      <c r="D155" s="1440">
        <f>SUM(D141:E154)</f>
        <v>9557916.9840000011</v>
      </c>
      <c r="E155" s="1439"/>
      <c r="F155" s="1441">
        <f>SUM(F141:G154)</f>
        <v>29.327759999999998</v>
      </c>
      <c r="G155" s="1439"/>
      <c r="H155" s="991">
        <f>SUM(H141:H154)</f>
        <v>234.8476</v>
      </c>
      <c r="I155" s="146">
        <f>SUM(I141:I154)</f>
        <v>0</v>
      </c>
      <c r="J155" s="146">
        <f>SUM(J141:J154)</f>
        <v>53693</v>
      </c>
      <c r="K155" s="146">
        <f>SUM(K141:K154)</f>
        <v>104096.69</v>
      </c>
      <c r="L155" s="146">
        <f>SUM(L141:L154)</f>
        <v>157789.69</v>
      </c>
      <c r="M155" s="1442"/>
      <c r="N155" s="1443"/>
    </row>
    <row r="156" spans="1:14" s="1168" customFormat="1" ht="17" thickBot="1">
      <c r="A156" s="1163" t="s">
        <v>17</v>
      </c>
      <c r="B156" s="1414">
        <f>SUM(,B139,B155)</f>
        <v>6657</v>
      </c>
      <c r="C156" s="1415"/>
      <c r="D156" s="1416">
        <f>SUM(,D139,D155)</f>
        <v>24773182.190400004</v>
      </c>
      <c r="E156" s="1415"/>
      <c r="F156" s="1416">
        <f>SUM(,F139,F155)</f>
        <v>80.248819999999995</v>
      </c>
      <c r="G156" s="1415"/>
      <c r="H156" s="1164">
        <f>SUM(H139,H155)</f>
        <v>747.63920000000007</v>
      </c>
      <c r="I156" s="1165">
        <f>SUM(,I139,I155)</f>
        <v>33910.71</v>
      </c>
      <c r="J156" s="1165">
        <f>SUM(,J139,J155)</f>
        <v>100381.53</v>
      </c>
      <c r="K156" s="1165">
        <f>SUM(,K139,K155)</f>
        <v>426579.91</v>
      </c>
      <c r="L156" s="1165">
        <f>SUM(,L139,L155)</f>
        <v>560872.15000000014</v>
      </c>
      <c r="M156" s="1417"/>
      <c r="N156" s="1418"/>
    </row>
    <row r="157" spans="1:14" s="57" customFormat="1" hidden="1">
      <c r="A157" s="50"/>
      <c r="B157" s="770"/>
      <c r="C157" s="770"/>
      <c r="D157" s="770"/>
      <c r="E157" s="770"/>
      <c r="F157" s="769"/>
      <c r="G157" s="769"/>
      <c r="H157" s="769"/>
      <c r="I157" s="21"/>
      <c r="J157" s="21"/>
      <c r="K157" s="21"/>
      <c r="L157" s="21"/>
      <c r="M157" s="767"/>
      <c r="N157" s="767"/>
    </row>
    <row r="158" spans="1:14" s="91" customFormat="1" ht="16">
      <c r="A158" s="9" t="s">
        <v>18</v>
      </c>
      <c r="B158" s="1419" t="s">
        <v>59</v>
      </c>
      <c r="C158" s="1419"/>
      <c r="D158" s="1419"/>
      <c r="E158" s="1419"/>
      <c r="F158" s="769"/>
      <c r="G158" s="769"/>
      <c r="H158" s="769"/>
      <c r="I158" s="21"/>
      <c r="J158" s="21"/>
      <c r="K158" s="21"/>
      <c r="L158" s="21"/>
      <c r="M158" s="767"/>
      <c r="N158" s="767"/>
    </row>
    <row r="159" spans="1:14">
      <c r="B159" s="1420" t="s">
        <v>19</v>
      </c>
      <c r="C159" s="1420"/>
      <c r="D159" s="1420"/>
      <c r="E159" s="1420"/>
      <c r="F159" s="769"/>
      <c r="G159" s="769"/>
      <c r="H159" s="769"/>
      <c r="I159" s="21"/>
      <c r="J159" s="21"/>
      <c r="K159" s="21"/>
      <c r="L159" s="21"/>
      <c r="N159" s="767"/>
    </row>
    <row r="160" spans="1:14" ht="14" thickBot="1">
      <c r="B160" s="767"/>
      <c r="C160" s="767"/>
      <c r="D160" s="767"/>
      <c r="E160" s="767"/>
      <c r="F160" s="769"/>
      <c r="G160" s="769"/>
      <c r="H160" s="769"/>
      <c r="I160" s="21"/>
      <c r="J160" s="21"/>
      <c r="K160" s="21"/>
      <c r="L160" s="21"/>
      <c r="M160" s="767"/>
      <c r="N160" s="767"/>
    </row>
    <row r="161" spans="1:17" ht="16">
      <c r="A161" s="98"/>
      <c r="B161" s="99"/>
      <c r="C161" s="99"/>
      <c r="D161" s="99"/>
      <c r="E161" s="99"/>
      <c r="F161" s="421"/>
      <c r="G161" s="421"/>
      <c r="H161" s="421"/>
      <c r="I161" s="1468" t="s">
        <v>0</v>
      </c>
      <c r="J161" s="1468"/>
      <c r="K161" s="1468"/>
      <c r="L161" s="1468"/>
      <c r="M161" s="99"/>
      <c r="N161" s="101"/>
    </row>
    <row r="162" spans="1:17" ht="16">
      <c r="A162" s="97"/>
      <c r="B162" s="1469" t="s">
        <v>1</v>
      </c>
      <c r="C162" s="1469"/>
      <c r="D162" s="1469" t="s">
        <v>2</v>
      </c>
      <c r="E162" s="1469"/>
      <c r="F162" s="1470" t="s">
        <v>3</v>
      </c>
      <c r="G162" s="1470"/>
      <c r="H162" s="931" t="s">
        <v>3</v>
      </c>
      <c r="I162" s="127" t="s">
        <v>195</v>
      </c>
      <c r="J162" s="102"/>
      <c r="K162" s="102"/>
      <c r="L162" s="128"/>
      <c r="M162" s="1525" t="s">
        <v>4</v>
      </c>
      <c r="N162" s="1526"/>
    </row>
    <row r="163" spans="1:17" ht="19" thickBot="1">
      <c r="A163" s="103" t="s">
        <v>5</v>
      </c>
      <c r="B163" s="1473" t="s">
        <v>6</v>
      </c>
      <c r="C163" s="1473"/>
      <c r="D163" s="1473" t="s">
        <v>7</v>
      </c>
      <c r="E163" s="1473"/>
      <c r="F163" s="1474" t="s">
        <v>7</v>
      </c>
      <c r="G163" s="1474"/>
      <c r="H163" s="933" t="s">
        <v>58</v>
      </c>
      <c r="I163" s="937" t="s">
        <v>196</v>
      </c>
      <c r="J163" s="932" t="s">
        <v>8</v>
      </c>
      <c r="K163" s="932" t="s">
        <v>9</v>
      </c>
      <c r="L163" s="401" t="s">
        <v>10</v>
      </c>
      <c r="M163" s="1527" t="s">
        <v>145</v>
      </c>
      <c r="N163" s="1475"/>
    </row>
    <row r="164" spans="1:17" ht="24" thickBot="1">
      <c r="A164" s="88" t="s">
        <v>265</v>
      </c>
      <c r="B164" s="1476"/>
      <c r="C164" s="1477"/>
      <c r="D164" s="1478"/>
      <c r="E164" s="1479"/>
      <c r="F164" s="1480"/>
      <c r="G164" s="1481"/>
      <c r="H164" s="945"/>
      <c r="I164" s="213"/>
      <c r="J164" s="213"/>
      <c r="K164" s="213"/>
      <c r="L164" s="214"/>
      <c r="M164" s="1482"/>
      <c r="N164" s="1483"/>
    </row>
    <row r="165" spans="1:17" s="1168" customFormat="1" ht="17" thickBot="1">
      <c r="A165" s="108" t="s">
        <v>189</v>
      </c>
      <c r="B165" s="1456"/>
      <c r="C165" s="1586"/>
      <c r="D165" s="1567"/>
      <c r="E165" s="1586"/>
      <c r="F165" s="1587"/>
      <c r="G165" s="1588"/>
      <c r="H165" s="1145"/>
      <c r="I165" s="109"/>
      <c r="J165" s="109"/>
      <c r="K165" s="109"/>
      <c r="L165" s="1141"/>
      <c r="M165" s="1617"/>
      <c r="N165" s="1486"/>
    </row>
    <row r="166" spans="1:17" s="363" customFormat="1">
      <c r="A166" s="68" t="s">
        <v>29</v>
      </c>
      <c r="B166" s="1731">
        <f>CVWD!N292</f>
        <v>640</v>
      </c>
      <c r="C166" s="1732"/>
      <c r="D166" s="1767">
        <f t="shared" ref="D166:D172" si="52">F166*325900</f>
        <v>8864480</v>
      </c>
      <c r="E166" s="1732"/>
      <c r="F166" s="1855">
        <f>0.0425*B166</f>
        <v>27.200000000000003</v>
      </c>
      <c r="G166" s="1732"/>
      <c r="H166" s="939">
        <f>F166*20</f>
        <v>544</v>
      </c>
      <c r="I166" s="151">
        <v>0</v>
      </c>
      <c r="J166" s="173">
        <v>7812.64</v>
      </c>
      <c r="K166" s="150">
        <v>61414.44</v>
      </c>
      <c r="L166" s="172">
        <f t="shared" ref="L166:L172" si="53">I166+J166+K166</f>
        <v>69227.08</v>
      </c>
      <c r="M166" s="1599">
        <f t="shared" ref="M166:M172" si="54">IF(ISERROR(L166/(F166*721)),0,L166/(F166*721))</f>
        <v>3.5299767479807458</v>
      </c>
      <c r="N166" s="1600"/>
    </row>
    <row r="167" spans="1:17">
      <c r="A167" s="68" t="s">
        <v>33</v>
      </c>
      <c r="B167" s="1421">
        <f>CVWD!N293</f>
        <v>272</v>
      </c>
      <c r="C167" s="1422"/>
      <c r="D167" s="1444">
        <f t="shared" si="52"/>
        <v>3058245.6</v>
      </c>
      <c r="E167" s="1422"/>
      <c r="F167" s="1431">
        <f>0.0345*B167</f>
        <v>9.3840000000000003</v>
      </c>
      <c r="G167" s="1422"/>
      <c r="H167" s="939">
        <f>F167*14</f>
        <v>131.376</v>
      </c>
      <c r="I167" s="150">
        <f>0*B167</f>
        <v>0</v>
      </c>
      <c r="J167" s="173">
        <v>5265</v>
      </c>
      <c r="K167" s="150">
        <v>22525</v>
      </c>
      <c r="L167" s="172">
        <f t="shared" si="53"/>
        <v>27790</v>
      </c>
      <c r="M167" s="1539">
        <f t="shared" si="54"/>
        <v>4.1073837724199009</v>
      </c>
      <c r="N167" s="1540"/>
    </row>
    <row r="168" spans="1:17">
      <c r="A168" s="68" t="s">
        <v>56</v>
      </c>
      <c r="B168" s="1421">
        <f>CVWD!N294</f>
        <v>635</v>
      </c>
      <c r="C168" s="1422"/>
      <c r="D168" s="1444">
        <f t="shared" si="52"/>
        <v>910564.6</v>
      </c>
      <c r="E168" s="1422"/>
      <c r="F168" s="1431">
        <f>0.0044*B168</f>
        <v>2.794</v>
      </c>
      <c r="G168" s="1422"/>
      <c r="H168" s="939">
        <f>F168*5</f>
        <v>13.97</v>
      </c>
      <c r="I168" s="150">
        <f>0*B168</f>
        <v>0</v>
      </c>
      <c r="J168" s="173">
        <v>0</v>
      </c>
      <c r="K168" s="150">
        <v>2015.32</v>
      </c>
      <c r="L168" s="172">
        <f t="shared" si="53"/>
        <v>2015.32</v>
      </c>
      <c r="M168" s="1539">
        <f t="shared" si="54"/>
        <v>1.0004199607440949</v>
      </c>
      <c r="N168" s="1540"/>
    </row>
    <row r="169" spans="1:17">
      <c r="A169" s="68" t="s">
        <v>52</v>
      </c>
      <c r="B169" s="1421">
        <f>CVWD!N295</f>
        <v>92</v>
      </c>
      <c r="C169" s="1422"/>
      <c r="D169" s="1444">
        <f t="shared" si="52"/>
        <v>9744410</v>
      </c>
      <c r="E169" s="1422"/>
      <c r="F169" s="1467">
        <f>0.325*B169</f>
        <v>29.900000000000002</v>
      </c>
      <c r="G169" s="1433"/>
      <c r="H169" s="942">
        <f>F169*10</f>
        <v>299</v>
      </c>
      <c r="I169" s="151">
        <v>0</v>
      </c>
      <c r="J169" s="173">
        <v>1839.96</v>
      </c>
      <c r="K169" s="173">
        <v>12433.87</v>
      </c>
      <c r="L169" s="174">
        <f t="shared" si="53"/>
        <v>14273.830000000002</v>
      </c>
      <c r="M169" s="1539">
        <f t="shared" si="54"/>
        <v>0.66211597604590433</v>
      </c>
      <c r="N169" s="1540"/>
    </row>
    <row r="170" spans="1:17" s="91" customFormat="1" ht="16">
      <c r="A170" s="254" t="s">
        <v>302</v>
      </c>
      <c r="B170" s="1421">
        <f>CVWD!N296</f>
        <v>436</v>
      </c>
      <c r="C170" s="1422"/>
      <c r="D170" s="1444">
        <f>F170*325900</f>
        <v>35027510.387999997</v>
      </c>
      <c r="E170" s="1422"/>
      <c r="F170" s="1467">
        <f>(826764*0.00013)</f>
        <v>107.47931999999999</v>
      </c>
      <c r="G170" s="1433"/>
      <c r="H170" s="942">
        <f>F170*10</f>
        <v>1074.7931999999998</v>
      </c>
      <c r="I170" s="151">
        <v>0</v>
      </c>
      <c r="J170" s="173">
        <v>0</v>
      </c>
      <c r="K170" s="173">
        <v>1604094</v>
      </c>
      <c r="L170" s="174">
        <f t="shared" si="53"/>
        <v>1604094</v>
      </c>
      <c r="M170" s="1539">
        <f t="shared" si="54"/>
        <v>20.699966355441092</v>
      </c>
      <c r="N170" s="1540"/>
      <c r="Q170" s="105"/>
    </row>
    <row r="171" spans="1:17">
      <c r="A171" s="254" t="s">
        <v>214</v>
      </c>
      <c r="B171" s="1421">
        <f>CVWD!N297</f>
        <v>410</v>
      </c>
      <c r="C171" s="1422"/>
      <c r="D171" s="1444">
        <f t="shared" si="52"/>
        <v>253876.1</v>
      </c>
      <c r="E171" s="1422"/>
      <c r="F171" s="1467">
        <f>0.0019*B171</f>
        <v>0.77900000000000003</v>
      </c>
      <c r="G171" s="1433"/>
      <c r="H171" s="942">
        <f>F171*5</f>
        <v>3.895</v>
      </c>
      <c r="I171" s="151">
        <v>0</v>
      </c>
      <c r="J171" s="173">
        <v>0</v>
      </c>
      <c r="K171" s="173">
        <v>12757.3</v>
      </c>
      <c r="L171" s="174">
        <f t="shared" si="53"/>
        <v>12757.3</v>
      </c>
      <c r="M171" s="1539">
        <f t="shared" si="54"/>
        <v>22.713603805867972</v>
      </c>
      <c r="N171" s="1540"/>
      <c r="Q171" s="105"/>
    </row>
    <row r="172" spans="1:17" ht="14" thickBot="1">
      <c r="A172" s="258" t="s">
        <v>269</v>
      </c>
      <c r="B172" s="1421">
        <f>CVWD!N298</f>
        <v>1</v>
      </c>
      <c r="C172" s="1422"/>
      <c r="D172" s="1444">
        <f t="shared" si="52"/>
        <v>13492.26</v>
      </c>
      <c r="E172" s="1422"/>
      <c r="F172" s="1876">
        <f>0.0414*B172</f>
        <v>4.1399999999999999E-2</v>
      </c>
      <c r="G172" s="1877"/>
      <c r="H172" s="956">
        <f>F172*10</f>
        <v>0.41399999999999998</v>
      </c>
      <c r="I172" s="151">
        <v>0</v>
      </c>
      <c r="J172" s="173">
        <v>42</v>
      </c>
      <c r="K172" s="173">
        <v>80</v>
      </c>
      <c r="L172" s="174">
        <f t="shared" si="53"/>
        <v>122</v>
      </c>
      <c r="M172" s="1539">
        <f t="shared" si="54"/>
        <v>4.0871843320133738</v>
      </c>
      <c r="N172" s="1540"/>
      <c r="Q172" s="105"/>
    </row>
    <row r="173" spans="1:17" s="1168" customFormat="1" ht="17" thickBot="1">
      <c r="A173" s="110" t="s">
        <v>190</v>
      </c>
      <c r="B173" s="1456"/>
      <c r="C173" s="1586"/>
      <c r="D173" s="1457"/>
      <c r="E173" s="1586"/>
      <c r="F173" s="1567"/>
      <c r="G173" s="1586"/>
      <c r="H173" s="1142"/>
      <c r="I173" s="194"/>
      <c r="J173" s="194"/>
      <c r="K173" s="194"/>
      <c r="L173" s="195"/>
      <c r="M173" s="1593"/>
      <c r="N173" s="1542"/>
      <c r="Q173" s="1195"/>
    </row>
    <row r="174" spans="1:17">
      <c r="A174" s="254" t="s">
        <v>205</v>
      </c>
      <c r="B174" s="1731">
        <f>CVWD!N300</f>
        <v>6169</v>
      </c>
      <c r="C174" s="1732"/>
      <c r="D174" s="1767">
        <f>F174*325900</f>
        <v>8846099.2400000002</v>
      </c>
      <c r="E174" s="1732"/>
      <c r="F174" s="1795">
        <f>B174*0.0044</f>
        <v>27.143600000000003</v>
      </c>
      <c r="G174" s="1466"/>
      <c r="H174" s="465">
        <f>F174*5</f>
        <v>135.71800000000002</v>
      </c>
      <c r="I174" s="151">
        <v>0</v>
      </c>
      <c r="J174" s="173">
        <f>(B174*1.6)</f>
        <v>9870.4000000000015</v>
      </c>
      <c r="K174" s="173">
        <f>(B174*2)</f>
        <v>12338</v>
      </c>
      <c r="L174" s="174">
        <f>I174+J174+K174</f>
        <v>22208.400000000001</v>
      </c>
      <c r="M174" s="1539">
        <f>IF(ISERROR(L174/(F174*721)),0,L174/(F174*721))</f>
        <v>1.1347875425545328</v>
      </c>
      <c r="N174" s="1540"/>
      <c r="Q174" s="105"/>
    </row>
    <row r="175" spans="1:17">
      <c r="A175" s="254" t="s">
        <v>306</v>
      </c>
      <c r="B175" s="1421">
        <f>CVWD!N301</f>
        <v>171</v>
      </c>
      <c r="C175" s="1422"/>
      <c r="D175" s="1432">
        <f>F175*325900</f>
        <v>66437974.000000007</v>
      </c>
      <c r="E175" s="1433"/>
      <c r="F175" s="1447">
        <v>203.86</v>
      </c>
      <c r="G175" s="1448"/>
      <c r="H175" s="472">
        <v>1955.2919999999999</v>
      </c>
      <c r="I175" s="173">
        <v>89122.625</v>
      </c>
      <c r="J175" s="173">
        <v>0</v>
      </c>
      <c r="K175" s="173">
        <v>89122.625</v>
      </c>
      <c r="L175" s="174">
        <f>I175+J175+K175</f>
        <v>178245.25</v>
      </c>
      <c r="M175" s="1539">
        <f>IF(ISERROR(L175/(F175*721)),0,L175/(F175*721))</f>
        <v>1.2126924694587253</v>
      </c>
      <c r="N175" s="1540"/>
      <c r="Q175" s="105"/>
    </row>
    <row r="176" spans="1:17">
      <c r="A176" s="254" t="s">
        <v>303</v>
      </c>
      <c r="B176" s="1421">
        <f>CVWD!N302</f>
        <v>10</v>
      </c>
      <c r="C176" s="1422"/>
      <c r="D176" s="1432">
        <f>F176*325900</f>
        <v>377066.29999999993</v>
      </c>
      <c r="E176" s="1433"/>
      <c r="F176" s="1467">
        <f>(8900*0.00013)</f>
        <v>1.1569999999999998</v>
      </c>
      <c r="G176" s="1433"/>
      <c r="H176" s="465">
        <f>F176*10</f>
        <v>11.569999999999999</v>
      </c>
      <c r="I176" s="173">
        <v>2670</v>
      </c>
      <c r="J176" s="173">
        <v>26985</v>
      </c>
      <c r="K176" s="173">
        <v>0</v>
      </c>
      <c r="L176" s="174">
        <f>I176+J176+K176</f>
        <v>29655</v>
      </c>
      <c r="M176" s="1539">
        <f>IF(ISERROR(L176/(F176*721)),0,L176/(F176*721))</f>
        <v>35.549156853836685</v>
      </c>
      <c r="N176" s="1540"/>
      <c r="Q176" s="105"/>
    </row>
    <row r="177" spans="1:17" s="91" customFormat="1" ht="17" thickBot="1">
      <c r="A177" s="254" t="s">
        <v>266</v>
      </c>
      <c r="B177" s="1421">
        <f>CVWD!N303</f>
        <v>0</v>
      </c>
      <c r="C177" s="1422"/>
      <c r="D177" s="1734">
        <v>0</v>
      </c>
      <c r="E177" s="1430"/>
      <c r="F177" s="1725">
        <v>0</v>
      </c>
      <c r="G177" s="1726"/>
      <c r="H177" s="463">
        <f>F177*10</f>
        <v>0</v>
      </c>
      <c r="I177" s="151">
        <v>0</v>
      </c>
      <c r="J177" s="286">
        <v>0</v>
      </c>
      <c r="K177" s="220">
        <v>0</v>
      </c>
      <c r="L177" s="151">
        <f>J177+K177</f>
        <v>0</v>
      </c>
      <c r="M177" s="1539">
        <f>IF(ISERROR(L177/(F177*721)),0,L177/(F177*721))</f>
        <v>0</v>
      </c>
      <c r="N177" s="1540"/>
      <c r="Q177" s="105"/>
    </row>
    <row r="178" spans="1:17" ht="14" thickBot="1">
      <c r="A178" s="256" t="s">
        <v>60</v>
      </c>
      <c r="B178" s="1438">
        <f>SUM(B166:B177)</f>
        <v>8836</v>
      </c>
      <c r="C178" s="1439"/>
      <c r="D178" s="1441">
        <f>SUM(D166:E177)</f>
        <v>133533718.48800001</v>
      </c>
      <c r="E178" s="1439"/>
      <c r="F178" s="1440">
        <f>SUM(F166:G177)</f>
        <v>409.73831999999999</v>
      </c>
      <c r="G178" s="1439"/>
      <c r="H178" s="482">
        <f>SUM(H166:H177)</f>
        <v>4170.0281999999988</v>
      </c>
      <c r="I178" s="146">
        <f>SUM(I166:I177)</f>
        <v>91792.625</v>
      </c>
      <c r="J178" s="146">
        <f>SUM(J166:J177)</f>
        <v>51815</v>
      </c>
      <c r="K178" s="146">
        <f>SUM(K166:K177)</f>
        <v>1816780.5549999999</v>
      </c>
      <c r="L178" s="160">
        <f>SUM(L166:L177)</f>
        <v>1960388.18</v>
      </c>
      <c r="M178" s="1440"/>
      <c r="N178" s="1730"/>
      <c r="Q178" s="105"/>
    </row>
    <row r="179" spans="1:17" s="1168" customFormat="1" ht="17" thickBot="1">
      <c r="A179" s="108" t="s">
        <v>194</v>
      </c>
      <c r="B179" s="1456"/>
      <c r="C179" s="1586"/>
      <c r="D179" s="1567"/>
      <c r="E179" s="1586"/>
      <c r="F179" s="1457"/>
      <c r="G179" s="1586"/>
      <c r="H179" s="1142"/>
      <c r="I179" s="184"/>
      <c r="J179" s="184"/>
      <c r="K179" s="184"/>
      <c r="L179" s="184"/>
      <c r="M179" s="1541"/>
      <c r="N179" s="1542"/>
      <c r="Q179" s="1195"/>
    </row>
    <row r="180" spans="1:17">
      <c r="A180" s="68" t="s">
        <v>29</v>
      </c>
      <c r="B180" s="1731">
        <f>CVWD!N306</f>
        <v>3344</v>
      </c>
      <c r="C180" s="1732"/>
      <c r="D180" s="1855">
        <f>F180*325900</f>
        <v>46316908</v>
      </c>
      <c r="E180" s="1732"/>
      <c r="F180" s="1767">
        <f>0.0425*B180</f>
        <v>142.12</v>
      </c>
      <c r="G180" s="1732"/>
      <c r="H180" s="462">
        <f>F180*20</f>
        <v>2842.4</v>
      </c>
      <c r="I180" s="151">
        <v>0</v>
      </c>
      <c r="J180" s="150">
        <v>88040</v>
      </c>
      <c r="K180" s="150">
        <v>427490</v>
      </c>
      <c r="L180" s="150">
        <f t="shared" ref="L180:L191" si="55">SUM(I180:K180)</f>
        <v>515530</v>
      </c>
      <c r="M180" s="1634">
        <f>IF(ISERROR(L180/(F180*721)),0,L180/(F180*721))</f>
        <v>5.0311061387438798</v>
      </c>
      <c r="N180" s="1540"/>
      <c r="Q180" s="105"/>
    </row>
    <row r="181" spans="1:17">
      <c r="A181" s="68" t="s">
        <v>51</v>
      </c>
      <c r="B181" s="1421">
        <f>CVWD!N307</f>
        <v>0</v>
      </c>
      <c r="C181" s="1422"/>
      <c r="D181" s="1431">
        <f>F181*325900</f>
        <v>0</v>
      </c>
      <c r="E181" s="1422"/>
      <c r="F181" s="1444">
        <f>0.1227*B181</f>
        <v>0</v>
      </c>
      <c r="G181" s="1422"/>
      <c r="H181" s="462">
        <f>F181*20</f>
        <v>0</v>
      </c>
      <c r="I181" s="151">
        <v>0</v>
      </c>
      <c r="J181" s="150">
        <v>0</v>
      </c>
      <c r="K181" s="150">
        <v>0</v>
      </c>
      <c r="L181" s="150">
        <f t="shared" si="55"/>
        <v>0</v>
      </c>
      <c r="M181" s="1634">
        <f t="shared" ref="M181:M191" si="56">IF(ISERROR(L181/(F181*721)),0,L181/(F181*721))</f>
        <v>0</v>
      </c>
      <c r="N181" s="1540"/>
      <c r="Q181" s="105"/>
    </row>
    <row r="182" spans="1:17" s="91" customFormat="1" ht="16">
      <c r="A182" s="2" t="s">
        <v>204</v>
      </c>
      <c r="B182" s="1421">
        <f>CVWD!N308</f>
        <v>0</v>
      </c>
      <c r="C182" s="1422"/>
      <c r="D182" s="1431">
        <f t="shared" ref="D182:D191" si="57">F182*325900</f>
        <v>0</v>
      </c>
      <c r="E182" s="1422"/>
      <c r="F182" s="1444">
        <f>0.644*B182</f>
        <v>0</v>
      </c>
      <c r="G182" s="1422"/>
      <c r="H182" s="462">
        <f>F182*5</f>
        <v>0</v>
      </c>
      <c r="I182" s="151">
        <v>0</v>
      </c>
      <c r="J182" s="150">
        <v>0</v>
      </c>
      <c r="K182" s="150">
        <v>0</v>
      </c>
      <c r="L182" s="150">
        <f t="shared" si="55"/>
        <v>0</v>
      </c>
      <c r="M182" s="1634">
        <f t="shared" si="56"/>
        <v>0</v>
      </c>
      <c r="N182" s="1540"/>
      <c r="Q182" s="105"/>
    </row>
    <row r="183" spans="1:17">
      <c r="A183" s="254" t="s">
        <v>30</v>
      </c>
      <c r="B183" s="1421">
        <f>CVWD!N309</f>
        <v>59</v>
      </c>
      <c r="C183" s="1422"/>
      <c r="D183" s="1431">
        <f t="shared" si="57"/>
        <v>6249132.5</v>
      </c>
      <c r="E183" s="1422"/>
      <c r="F183" s="1444">
        <f>0.325*B183</f>
        <v>19.175000000000001</v>
      </c>
      <c r="G183" s="1422"/>
      <c r="H183" s="462">
        <f>F183*10</f>
        <v>191.75</v>
      </c>
      <c r="I183" s="151">
        <v>0</v>
      </c>
      <c r="J183" s="151">
        <v>11970</v>
      </c>
      <c r="K183" s="151">
        <v>42525</v>
      </c>
      <c r="L183" s="150">
        <f t="shared" si="55"/>
        <v>54495</v>
      </c>
      <c r="M183" s="1634">
        <f t="shared" si="56"/>
        <v>3.9417222566802947</v>
      </c>
      <c r="N183" s="1540"/>
      <c r="Q183" s="105"/>
    </row>
    <row r="184" spans="1:17">
      <c r="A184" s="69" t="s">
        <v>56</v>
      </c>
      <c r="B184" s="1421">
        <f>CVWD!N310</f>
        <v>9860</v>
      </c>
      <c r="C184" s="1422"/>
      <c r="D184" s="1431">
        <f t="shared" si="57"/>
        <v>14138845.6</v>
      </c>
      <c r="E184" s="1422"/>
      <c r="F184" s="1444">
        <f>0.0044*B184</f>
        <v>43.384</v>
      </c>
      <c r="G184" s="1422"/>
      <c r="H184" s="462">
        <f>F184*5</f>
        <v>216.92000000000002</v>
      </c>
      <c r="I184" s="151">
        <v>0</v>
      </c>
      <c r="J184" s="150">
        <v>7300</v>
      </c>
      <c r="K184" s="150">
        <v>29390</v>
      </c>
      <c r="L184" s="150">
        <f t="shared" si="55"/>
        <v>36690</v>
      </c>
      <c r="M184" s="1634">
        <f t="shared" si="56"/>
        <v>1.1729590640163907</v>
      </c>
      <c r="N184" s="1540"/>
      <c r="Q184" s="105"/>
    </row>
    <row r="185" spans="1:17">
      <c r="A185" s="254" t="s">
        <v>122</v>
      </c>
      <c r="B185" s="1421">
        <f>CVWD!N311</f>
        <v>0</v>
      </c>
      <c r="C185" s="1422"/>
      <c r="D185" s="1431">
        <f t="shared" si="57"/>
        <v>0</v>
      </c>
      <c r="E185" s="1422"/>
      <c r="F185" s="1444">
        <f>0.018*B185</f>
        <v>0</v>
      </c>
      <c r="G185" s="1422"/>
      <c r="H185" s="462">
        <f>F185*10</f>
        <v>0</v>
      </c>
      <c r="I185" s="151">
        <v>0</v>
      </c>
      <c r="J185" s="150">
        <v>0</v>
      </c>
      <c r="K185" s="150">
        <v>0</v>
      </c>
      <c r="L185" s="150">
        <f t="shared" si="55"/>
        <v>0</v>
      </c>
      <c r="M185" s="1634">
        <f t="shared" si="56"/>
        <v>0</v>
      </c>
      <c r="N185" s="1540"/>
    </row>
    <row r="186" spans="1:17" s="91" customFormat="1" ht="16">
      <c r="A186" s="257" t="s">
        <v>184</v>
      </c>
      <c r="B186" s="1421">
        <f>CVWD!N312</f>
        <v>0</v>
      </c>
      <c r="C186" s="1422"/>
      <c r="D186" s="1431">
        <f t="shared" si="57"/>
        <v>0</v>
      </c>
      <c r="E186" s="1422"/>
      <c r="F186" s="1444">
        <f>0.0129*B186</f>
        <v>0</v>
      </c>
      <c r="G186" s="1422"/>
      <c r="H186" s="462">
        <f>F186*5</f>
        <v>0</v>
      </c>
      <c r="I186" s="151">
        <v>0</v>
      </c>
      <c r="J186" s="150">
        <v>0</v>
      </c>
      <c r="K186" s="150">
        <v>0</v>
      </c>
      <c r="L186" s="150">
        <f t="shared" si="55"/>
        <v>0</v>
      </c>
      <c r="M186" s="1634">
        <f t="shared" si="56"/>
        <v>0</v>
      </c>
      <c r="N186" s="1540"/>
    </row>
    <row r="187" spans="1:17">
      <c r="A187" s="258" t="s">
        <v>187</v>
      </c>
      <c r="B187" s="1421">
        <f>CVWD!N313</f>
        <v>0</v>
      </c>
      <c r="C187" s="1422"/>
      <c r="D187" s="1431">
        <f t="shared" si="57"/>
        <v>0</v>
      </c>
      <c r="E187" s="1422"/>
      <c r="F187" s="1444">
        <f>0.023*B187</f>
        <v>0</v>
      </c>
      <c r="G187" s="1422"/>
      <c r="H187" s="462">
        <f>F187*10</f>
        <v>0</v>
      </c>
      <c r="I187" s="151">
        <v>0</v>
      </c>
      <c r="J187" s="173">
        <v>0</v>
      </c>
      <c r="K187" s="173">
        <v>0</v>
      </c>
      <c r="L187" s="151">
        <f>SUM(I187:K187)</f>
        <v>0</v>
      </c>
      <c r="M187" s="1634">
        <f t="shared" si="56"/>
        <v>0</v>
      </c>
      <c r="N187" s="1540"/>
    </row>
    <row r="188" spans="1:17">
      <c r="A188" s="258" t="s">
        <v>188</v>
      </c>
      <c r="B188" s="1421">
        <f>CVWD!N314</f>
        <v>4</v>
      </c>
      <c r="C188" s="1422"/>
      <c r="D188" s="1431">
        <f t="shared" si="57"/>
        <v>200754.4</v>
      </c>
      <c r="E188" s="1422"/>
      <c r="F188" s="1445">
        <f>B188*0.154</f>
        <v>0.61599999999999999</v>
      </c>
      <c r="G188" s="1446"/>
      <c r="H188" s="463">
        <f>F188*10</f>
        <v>6.16</v>
      </c>
      <c r="I188" s="151">
        <v>0</v>
      </c>
      <c r="J188" s="151">
        <v>0</v>
      </c>
      <c r="K188" s="151">
        <v>2000</v>
      </c>
      <c r="L188" s="151">
        <f t="shared" si="55"/>
        <v>2000</v>
      </c>
      <c r="M188" s="1634">
        <f t="shared" si="56"/>
        <v>4.5031251688671938</v>
      </c>
      <c r="N188" s="1540"/>
    </row>
    <row r="189" spans="1:17">
      <c r="A189" s="258" t="s">
        <v>280</v>
      </c>
      <c r="B189" s="1421">
        <f>CVWD!N315</f>
        <v>36</v>
      </c>
      <c r="C189" s="1422"/>
      <c r="D189" s="1431">
        <f t="shared" si="57"/>
        <v>66391249.716999993</v>
      </c>
      <c r="E189" s="1422"/>
      <c r="F189" s="1432">
        <f>(1567051*0.00013)</f>
        <v>203.71662999999998</v>
      </c>
      <c r="G189" s="1433"/>
      <c r="H189" s="465">
        <f>F189*10</f>
        <v>2037.1662999999999</v>
      </c>
      <c r="I189" s="151">
        <v>0</v>
      </c>
      <c r="J189" s="151">
        <v>185434</v>
      </c>
      <c r="K189" s="151">
        <v>2734957</v>
      </c>
      <c r="L189" s="151">
        <f t="shared" si="55"/>
        <v>2920391</v>
      </c>
      <c r="M189" s="1634">
        <f t="shared" si="56"/>
        <v>19.882878261977122</v>
      </c>
      <c r="N189" s="1540"/>
    </row>
    <row r="190" spans="1:17">
      <c r="A190" s="258" t="s">
        <v>269</v>
      </c>
      <c r="B190" s="1421">
        <f>CVWD!N316</f>
        <v>0</v>
      </c>
      <c r="C190" s="1422"/>
      <c r="D190" s="1431">
        <f t="shared" si="57"/>
        <v>0</v>
      </c>
      <c r="E190" s="1422"/>
      <c r="F190" s="1445">
        <f>B190*0.0129</f>
        <v>0</v>
      </c>
      <c r="G190" s="1446"/>
      <c r="H190" s="463">
        <f>F190*10</f>
        <v>0</v>
      </c>
      <c r="I190" s="151">
        <v>0</v>
      </c>
      <c r="J190" s="151">
        <v>0</v>
      </c>
      <c r="K190" s="151">
        <v>0</v>
      </c>
      <c r="L190" s="151">
        <f t="shared" si="55"/>
        <v>0</v>
      </c>
      <c r="M190" s="1634">
        <f t="shared" si="56"/>
        <v>0</v>
      </c>
      <c r="N190" s="1540"/>
    </row>
    <row r="191" spans="1:17" ht="14" thickBot="1">
      <c r="A191" s="258" t="s">
        <v>268</v>
      </c>
      <c r="B191" s="1421">
        <f>CVWD!N317</f>
        <v>2178</v>
      </c>
      <c r="C191" s="1422"/>
      <c r="D191" s="1431">
        <f t="shared" si="57"/>
        <v>2981202.84</v>
      </c>
      <c r="E191" s="1422"/>
      <c r="F191" s="1436">
        <f>(B191*0.0084)/2</f>
        <v>9.1475999999999988</v>
      </c>
      <c r="G191" s="1437"/>
      <c r="H191" s="465">
        <f>F191*10</f>
        <v>91.475999999999985</v>
      </c>
      <c r="I191" s="151">
        <v>0</v>
      </c>
      <c r="J191" s="151">
        <v>2250</v>
      </c>
      <c r="K191" s="151">
        <v>2250</v>
      </c>
      <c r="L191" s="151">
        <f t="shared" si="55"/>
        <v>4500</v>
      </c>
      <c r="M191" s="1634">
        <f t="shared" si="56"/>
        <v>0.68229169225260522</v>
      </c>
      <c r="N191" s="1540"/>
    </row>
    <row r="192" spans="1:17" s="1168" customFormat="1" ht="17" thickBot="1">
      <c r="A192" s="108" t="s">
        <v>192</v>
      </c>
      <c r="B192" s="1456"/>
      <c r="C192" s="1586"/>
      <c r="D192" s="1567"/>
      <c r="E192" s="1586"/>
      <c r="F192" s="1567"/>
      <c r="G192" s="1586"/>
      <c r="H192" s="1142"/>
      <c r="I192" s="184"/>
      <c r="J192" s="184"/>
      <c r="K192" s="184"/>
      <c r="L192" s="184"/>
      <c r="M192" s="1541"/>
      <c r="N192" s="1542"/>
    </row>
    <row r="193" spans="1:14" ht="14" thickBot="1">
      <c r="A193" s="76" t="s">
        <v>165</v>
      </c>
      <c r="B193" s="1429">
        <f>CVWD!N319</f>
        <v>6340</v>
      </c>
      <c r="C193" s="1430"/>
      <c r="D193" s="1768">
        <f>F193*325900</f>
        <v>8264824</v>
      </c>
      <c r="E193" s="1430"/>
      <c r="F193" s="1734">
        <f>0.004*B193</f>
        <v>25.36</v>
      </c>
      <c r="G193" s="1430"/>
      <c r="H193" s="462">
        <f>F193*5</f>
        <v>126.8</v>
      </c>
      <c r="I193" s="215">
        <v>0</v>
      </c>
      <c r="J193" s="140">
        <v>11100.75</v>
      </c>
      <c r="K193" s="140">
        <f>(B193*2)</f>
        <v>12680</v>
      </c>
      <c r="L193" s="217">
        <f>SUM(I193:K193)</f>
        <v>23780.75</v>
      </c>
      <c r="M193" s="1561">
        <f>IF(ISERROR(L193/(F193*721)),0,L193/(F193*721))</f>
        <v>1.3005918654865087</v>
      </c>
      <c r="N193" s="1562"/>
    </row>
    <row r="194" spans="1:14" ht="14" thickBot="1">
      <c r="A194" s="53" t="s">
        <v>60</v>
      </c>
      <c r="B194" s="1438">
        <f>SUM(B180:B193)</f>
        <v>21821</v>
      </c>
      <c r="C194" s="1439"/>
      <c r="D194" s="1440">
        <f>SUM(D180:E193)</f>
        <v>144542917.05699998</v>
      </c>
      <c r="E194" s="1439"/>
      <c r="F194" s="1441">
        <f>SUM(F180:G193)</f>
        <v>443.51923000000005</v>
      </c>
      <c r="G194" s="1439"/>
      <c r="H194" s="482">
        <f>SUM(H180:H193)</f>
        <v>5512.6723000000002</v>
      </c>
      <c r="I194" s="146">
        <f>SUM(I180:I193)</f>
        <v>0</v>
      </c>
      <c r="J194" s="146">
        <f>SUM(J180:J193)</f>
        <v>306094.75</v>
      </c>
      <c r="K194" s="146">
        <f>SUM(K180:K193)</f>
        <v>3251292</v>
      </c>
      <c r="L194" s="146">
        <f>SUM(L180:L193)</f>
        <v>3557386.75</v>
      </c>
      <c r="M194" s="1442"/>
      <c r="N194" s="1443"/>
    </row>
    <row r="195" spans="1:14" s="1168" customFormat="1" ht="17" thickBot="1">
      <c r="A195" s="1163" t="s">
        <v>17</v>
      </c>
      <c r="B195" s="1414">
        <f>SUM(,B178,B194)</f>
        <v>30657</v>
      </c>
      <c r="C195" s="1415"/>
      <c r="D195" s="1416">
        <f>SUM(,D178,D194)</f>
        <v>278076635.54499996</v>
      </c>
      <c r="E195" s="1415"/>
      <c r="F195" s="1416">
        <f>SUM(,F178,F194)</f>
        <v>853.25755000000004</v>
      </c>
      <c r="G195" s="1415"/>
      <c r="H195" s="1164">
        <f>SUM(H178,H194)</f>
        <v>9682.700499999999</v>
      </c>
      <c r="I195" s="1165">
        <f>SUM(,I178,I194)</f>
        <v>91792.625</v>
      </c>
      <c r="J195" s="1165">
        <f>SUM(,J178,J194)</f>
        <v>357909.75</v>
      </c>
      <c r="K195" s="1165">
        <f>SUM(,K178,K194)</f>
        <v>5068072.5549999997</v>
      </c>
      <c r="L195" s="1165">
        <f>SUM(,L178,L194)</f>
        <v>5517774.9299999997</v>
      </c>
      <c r="M195" s="1417"/>
      <c r="N195" s="1418"/>
    </row>
    <row r="196" spans="1:14">
      <c r="A196" s="50"/>
      <c r="B196" s="20"/>
      <c r="C196" s="20"/>
      <c r="D196" s="20"/>
      <c r="E196" s="20"/>
      <c r="F196" s="422"/>
      <c r="G196" s="422"/>
      <c r="H196" s="422"/>
      <c r="I196" s="21"/>
      <c r="J196" s="21"/>
      <c r="K196" s="21"/>
      <c r="L196" s="21"/>
      <c r="M196" s="270"/>
      <c r="N196" s="270"/>
    </row>
    <row r="197" spans="1:14" ht="15">
      <c r="A197" s="9" t="s">
        <v>18</v>
      </c>
      <c r="B197" s="1419" t="s">
        <v>59</v>
      </c>
      <c r="C197" s="1419"/>
      <c r="D197" s="1419"/>
      <c r="E197" s="1419"/>
      <c r="F197" s="422"/>
      <c r="G197" s="422"/>
      <c r="H197" s="422"/>
      <c r="I197" s="21"/>
      <c r="J197" s="21"/>
      <c r="K197" s="21"/>
      <c r="L197" s="21"/>
      <c r="M197" s="270"/>
      <c r="N197" s="270"/>
    </row>
    <row r="198" spans="1:14" s="57" customFormat="1">
      <c r="A198"/>
      <c r="B198" s="1420" t="s">
        <v>19</v>
      </c>
      <c r="C198" s="1420"/>
      <c r="D198" s="1420"/>
      <c r="E198" s="1420"/>
      <c r="F198" s="422"/>
      <c r="G198" s="422"/>
      <c r="H198" s="422"/>
      <c r="I198" s="21"/>
      <c r="J198" s="21"/>
      <c r="K198" s="21"/>
      <c r="L198" s="21"/>
      <c r="M198"/>
      <c r="N198" s="270"/>
    </row>
    <row r="199" spans="1:14" s="57" customFormat="1" ht="14" thickBot="1">
      <c r="A199"/>
      <c r="B199" s="506"/>
      <c r="C199" s="506"/>
      <c r="D199" s="506"/>
      <c r="E199" s="506"/>
      <c r="F199" s="422"/>
      <c r="G199" s="422"/>
      <c r="H199" s="422"/>
      <c r="I199" s="21"/>
      <c r="J199" s="21"/>
      <c r="K199" s="21"/>
      <c r="L199" s="21"/>
      <c r="M199" s="346"/>
      <c r="N199" s="346"/>
    </row>
    <row r="200" spans="1:14" s="57" customFormat="1" ht="16">
      <c r="A200" s="98"/>
      <c r="B200" s="99"/>
      <c r="C200" s="99"/>
      <c r="D200" s="99"/>
      <c r="E200" s="99"/>
      <c r="F200" s="421"/>
      <c r="G200" s="421"/>
      <c r="H200" s="421"/>
      <c r="I200" s="1468" t="s">
        <v>0</v>
      </c>
      <c r="J200" s="1468"/>
      <c r="K200" s="1468"/>
      <c r="L200" s="1468"/>
      <c r="M200" s="99"/>
      <c r="N200" s="101"/>
    </row>
    <row r="201" spans="1:14" s="91" customFormat="1" ht="17" thickBot="1">
      <c r="A201" s="97"/>
      <c r="B201" s="1469" t="s">
        <v>1</v>
      </c>
      <c r="C201" s="1469"/>
      <c r="D201" s="1469" t="s">
        <v>2</v>
      </c>
      <c r="E201" s="1469"/>
      <c r="F201" s="1470" t="s">
        <v>3</v>
      </c>
      <c r="G201" s="1470"/>
      <c r="H201" s="931" t="s">
        <v>3</v>
      </c>
      <c r="I201" s="127" t="s">
        <v>197</v>
      </c>
      <c r="J201" s="102"/>
      <c r="K201" s="102"/>
      <c r="L201" s="128"/>
      <c r="M201" s="1469" t="s">
        <v>4</v>
      </c>
      <c r="N201" s="1526"/>
    </row>
    <row r="202" spans="1:14" ht="19" hidden="1" thickBot="1">
      <c r="A202" s="103" t="s">
        <v>5</v>
      </c>
      <c r="B202" s="1473" t="s">
        <v>6</v>
      </c>
      <c r="C202" s="1473"/>
      <c r="D202" s="1473" t="s">
        <v>7</v>
      </c>
      <c r="E202" s="1473"/>
      <c r="F202" s="1474" t="s">
        <v>7</v>
      </c>
      <c r="G202" s="1474"/>
      <c r="H202" s="933" t="s">
        <v>58</v>
      </c>
      <c r="I202" s="937" t="s">
        <v>198</v>
      </c>
      <c r="J202" s="932" t="s">
        <v>8</v>
      </c>
      <c r="K202" s="932" t="s">
        <v>9</v>
      </c>
      <c r="L202" s="401" t="s">
        <v>10</v>
      </c>
      <c r="M202" s="1473" t="s">
        <v>145</v>
      </c>
      <c r="N202" s="1475"/>
    </row>
    <row r="203" spans="1:14" ht="24" thickBot="1">
      <c r="A203" s="88" t="s">
        <v>232</v>
      </c>
      <c r="B203" s="1764"/>
      <c r="C203" s="1477"/>
      <c r="D203" s="1478"/>
      <c r="E203" s="1479"/>
      <c r="F203" s="1480"/>
      <c r="G203" s="1481"/>
      <c r="H203" s="945"/>
      <c r="I203" s="213"/>
      <c r="J203" s="177"/>
      <c r="K203" s="177"/>
      <c r="L203" s="178"/>
      <c r="M203" s="1891"/>
      <c r="N203" s="1892"/>
    </row>
    <row r="204" spans="1:14" s="1168" customFormat="1" ht="17" thickBot="1">
      <c r="A204" s="108" t="str">
        <f>'Ontario Total'!A204</f>
        <v>SoCal Water$mart Residential Rebates</v>
      </c>
      <c r="B204" s="1567"/>
      <c r="C204" s="1586"/>
      <c r="D204" s="1567"/>
      <c r="E204" s="1586"/>
      <c r="F204" s="1587"/>
      <c r="G204" s="1588"/>
      <c r="H204" s="1145"/>
      <c r="I204" s="109"/>
      <c r="J204" s="179"/>
      <c r="K204" s="179"/>
      <c r="L204" s="180"/>
      <c r="M204" s="1593"/>
      <c r="N204" s="1542"/>
    </row>
    <row r="205" spans="1:14">
      <c r="A205" s="32" t="str">
        <f>'Ontario Total'!A205</f>
        <v>High Efficiency Toilets (HET)</v>
      </c>
      <c r="B205" s="1431">
        <f>CVWD!N253</f>
        <v>445</v>
      </c>
      <c r="C205" s="1422"/>
      <c r="D205" s="1431">
        <f t="shared" ref="D205:D209" si="58">F205*325900</f>
        <v>6163583.75</v>
      </c>
      <c r="E205" s="1422"/>
      <c r="F205" s="1431">
        <f>0.0425*B205</f>
        <v>18.912500000000001</v>
      </c>
      <c r="G205" s="1422"/>
      <c r="H205" s="939">
        <f>F205*20</f>
        <v>378.25</v>
      </c>
      <c r="I205" s="150">
        <f t="shared" ref="I205:I210" si="59">0*B205</f>
        <v>0</v>
      </c>
      <c r="J205" s="150">
        <f>50*B205</f>
        <v>22250</v>
      </c>
      <c r="K205" s="150">
        <f>B205*50</f>
        <v>22250</v>
      </c>
      <c r="L205" s="172">
        <f>I205+J205+K205</f>
        <v>44500</v>
      </c>
      <c r="M205" s="1539">
        <f t="shared" ref="M205:M210" si="60">IF(ISERROR(L205/(F205*752)),0,L205/(F205*752))</f>
        <v>3.1289111389236544</v>
      </c>
      <c r="N205" s="1540"/>
    </row>
    <row r="206" spans="1:14">
      <c r="A206" s="32" t="str">
        <f>'Ontario Total'!A206</f>
        <v>High Efficiency Clothes Washers (HECW)</v>
      </c>
      <c r="B206" s="1431">
        <f>CVWD!N254</f>
        <v>306</v>
      </c>
      <c r="C206" s="1422"/>
      <c r="D206" s="1431">
        <f t="shared" si="58"/>
        <v>4238329.5</v>
      </c>
      <c r="E206" s="1422"/>
      <c r="F206" s="1431">
        <f>0.0425*B206</f>
        <v>13.005000000000001</v>
      </c>
      <c r="G206" s="1422"/>
      <c r="H206" s="939">
        <f>F206*20</f>
        <v>260.10000000000002</v>
      </c>
      <c r="I206" s="150">
        <f t="shared" si="59"/>
        <v>0</v>
      </c>
      <c r="J206" s="150">
        <f>B206*65</f>
        <v>19890</v>
      </c>
      <c r="K206" s="150">
        <f>B206*85</f>
        <v>26010</v>
      </c>
      <c r="L206" s="172">
        <f>I206+J206+K206</f>
        <v>45900</v>
      </c>
      <c r="M206" s="1539">
        <f t="shared" si="60"/>
        <v>4.693366708385482</v>
      </c>
      <c r="N206" s="1540"/>
    </row>
    <row r="207" spans="1:14">
      <c r="A207" s="32" t="str">
        <f>'Ontario Total'!A207</f>
        <v>Rotating Nozzles for Pop-up Spray Heads</v>
      </c>
      <c r="B207" s="1431">
        <f>CVWD!N255</f>
        <v>373</v>
      </c>
      <c r="C207" s="1422"/>
      <c r="D207" s="1431">
        <f t="shared" si="58"/>
        <v>5166329.75</v>
      </c>
      <c r="E207" s="1422"/>
      <c r="F207" s="1431">
        <f>0.0425*B207</f>
        <v>15.852500000000001</v>
      </c>
      <c r="G207" s="1422"/>
      <c r="H207" s="939">
        <f>F207*20</f>
        <v>317.05</v>
      </c>
      <c r="I207" s="150">
        <f t="shared" si="59"/>
        <v>0</v>
      </c>
      <c r="J207" s="150">
        <f>1*B207</f>
        <v>373</v>
      </c>
      <c r="K207" s="150">
        <f>B207*4</f>
        <v>1492</v>
      </c>
      <c r="L207" s="172">
        <f>I207+J207+K207</f>
        <v>1865</v>
      </c>
      <c r="M207" s="1539">
        <f t="shared" si="60"/>
        <v>0.15644555694618273</v>
      </c>
      <c r="N207" s="1540"/>
    </row>
    <row r="208" spans="1:14">
      <c r="A208" s="32" t="str">
        <f>'Ontario Total'!A208</f>
        <v>Weather based Irrigation Controllers (WBIC)</v>
      </c>
      <c r="B208" s="1431">
        <f>CVWD!N256</f>
        <v>34</v>
      </c>
      <c r="C208" s="1422"/>
      <c r="D208" s="1431">
        <f t="shared" si="58"/>
        <v>470925.5</v>
      </c>
      <c r="E208" s="1422"/>
      <c r="F208" s="1431">
        <f>0.0425*B208</f>
        <v>1.4450000000000001</v>
      </c>
      <c r="G208" s="1422"/>
      <c r="H208" s="939">
        <f>F208*20</f>
        <v>28.900000000000002</v>
      </c>
      <c r="I208" s="150">
        <f t="shared" si="59"/>
        <v>0</v>
      </c>
      <c r="J208" s="150">
        <f>B208*70</f>
        <v>2380</v>
      </c>
      <c r="K208" s="150">
        <f>B208*80</f>
        <v>2720</v>
      </c>
      <c r="L208" s="172">
        <f>SUM(J208:K208)</f>
        <v>5100</v>
      </c>
      <c r="M208" s="1539">
        <f t="shared" si="60"/>
        <v>4.6933667083854811</v>
      </c>
      <c r="N208" s="1540"/>
    </row>
    <row r="209" spans="1:17">
      <c r="A209" s="76" t="s">
        <v>275</v>
      </c>
      <c r="B209" s="1431">
        <v>50</v>
      </c>
      <c r="C209" s="1422"/>
      <c r="D209" s="1431">
        <f t="shared" si="58"/>
        <v>3373065</v>
      </c>
      <c r="E209" s="1422"/>
      <c r="F209" s="1431">
        <v>10.35</v>
      </c>
      <c r="G209" s="1422"/>
      <c r="H209" s="939">
        <f>F209*20</f>
        <v>207</v>
      </c>
      <c r="I209" s="150">
        <f t="shared" si="59"/>
        <v>0</v>
      </c>
      <c r="J209" s="150">
        <v>0</v>
      </c>
      <c r="K209" s="150">
        <v>157556</v>
      </c>
      <c r="L209" s="172">
        <f>SUM(J209:K209)</f>
        <v>157556</v>
      </c>
      <c r="M209" s="1539">
        <f t="shared" si="60"/>
        <v>20.243087676020146</v>
      </c>
      <c r="N209" s="1540"/>
    </row>
    <row r="210" spans="1:17" s="363" customFormat="1" ht="14" thickBot="1">
      <c r="A210" s="104" t="s">
        <v>214</v>
      </c>
      <c r="B210" s="1734">
        <f>CVWD!N258</f>
        <v>70</v>
      </c>
      <c r="C210" s="1430"/>
      <c r="D210" s="1734">
        <v>969553</v>
      </c>
      <c r="E210" s="1430"/>
      <c r="F210" s="1734">
        <v>2.98</v>
      </c>
      <c r="G210" s="1430"/>
      <c r="H210" s="947">
        <v>59.5</v>
      </c>
      <c r="I210" s="364">
        <f t="shared" si="59"/>
        <v>0</v>
      </c>
      <c r="J210" s="364">
        <f>B210*0</f>
        <v>0</v>
      </c>
      <c r="K210" s="364">
        <f>B210*75</f>
        <v>5250</v>
      </c>
      <c r="L210" s="977">
        <f>SUM(J210:K210)</f>
        <v>5250</v>
      </c>
      <c r="M210" s="1561">
        <f t="shared" si="60"/>
        <v>2.3427459660145651</v>
      </c>
      <c r="N210" s="1562"/>
    </row>
    <row r="211" spans="1:17" s="1168" customFormat="1" ht="17" thickBot="1">
      <c r="A211" s="108" t="str">
        <f>'Ontario Total'!A211</f>
        <v>IEUA Locally Implemented Residential Programs</v>
      </c>
      <c r="B211" s="1567"/>
      <c r="C211" s="1586"/>
      <c r="D211" s="1567"/>
      <c r="E211" s="1586"/>
      <c r="F211" s="1567"/>
      <c r="G211" s="1586"/>
      <c r="H211" s="1142"/>
      <c r="I211" s="179"/>
      <c r="J211" s="179"/>
      <c r="K211" s="179"/>
      <c r="L211" s="180"/>
      <c r="M211" s="1593"/>
      <c r="N211" s="1542"/>
    </row>
    <row r="212" spans="1:17">
      <c r="A212" s="78" t="s">
        <v>205</v>
      </c>
      <c r="B212" s="1431">
        <f>CVWD!N260</f>
        <v>11090</v>
      </c>
      <c r="C212" s="1422"/>
      <c r="D212" s="1855">
        <f>F212*325851</f>
        <v>153581722.57500002</v>
      </c>
      <c r="E212" s="1732"/>
      <c r="F212" s="1444">
        <f>0.0425*B212</f>
        <v>471.32500000000005</v>
      </c>
      <c r="G212" s="1422"/>
      <c r="H212" s="709">
        <f>F212*20</f>
        <v>9426.5</v>
      </c>
      <c r="I212" s="150">
        <f>0*B212</f>
        <v>0</v>
      </c>
      <c r="J212" s="151">
        <v>0</v>
      </c>
      <c r="K212" s="151">
        <v>25650</v>
      </c>
      <c r="L212" s="174">
        <f>SUM(I212:K212)</f>
        <v>25650</v>
      </c>
      <c r="M212" s="1539">
        <f>IF(ISERROR(L212/(F212*752)),0,L212/(F212*752))</f>
        <v>7.236841362794566E-2</v>
      </c>
      <c r="N212" s="1540"/>
    </row>
    <row r="213" spans="1:17">
      <c r="A213" s="78" t="s">
        <v>250</v>
      </c>
      <c r="B213" s="1431">
        <f>CVWD!N261</f>
        <v>52</v>
      </c>
      <c r="C213" s="1422"/>
      <c r="D213" s="1431">
        <f>F213*325900</f>
        <v>10102900</v>
      </c>
      <c r="E213" s="1422"/>
      <c r="F213" s="1423">
        <v>31</v>
      </c>
      <c r="G213" s="1424"/>
      <c r="H213" s="701">
        <v>286</v>
      </c>
      <c r="I213" s="150">
        <v>55569.07</v>
      </c>
      <c r="J213" s="151">
        <v>0</v>
      </c>
      <c r="K213" s="151">
        <v>55569.07</v>
      </c>
      <c r="L213" s="174">
        <f>SUM(I213:K213)</f>
        <v>111138.14</v>
      </c>
      <c r="M213" s="1539">
        <f>IF(ISERROR(L213/(F213*752)),0,L213/(F213*752))</f>
        <v>4.7674219286204531</v>
      </c>
      <c r="N213" s="1540"/>
    </row>
    <row r="214" spans="1:17" s="91" customFormat="1" ht="17" thickBot="1">
      <c r="A214" s="78" t="s">
        <v>242</v>
      </c>
      <c r="B214" s="1421">
        <f>CVWD!N262</f>
        <v>27</v>
      </c>
      <c r="C214" s="1422"/>
      <c r="D214" s="1734">
        <v>556097</v>
      </c>
      <c r="E214" s="1430"/>
      <c r="F214" s="1768">
        <v>1.71</v>
      </c>
      <c r="G214" s="1430"/>
      <c r="H214" s="709">
        <v>17.07</v>
      </c>
      <c r="I214" s="150">
        <v>0</v>
      </c>
      <c r="J214" s="151">
        <f>86274.1-K214</f>
        <v>34134.100000000006</v>
      </c>
      <c r="K214" s="151">
        <f>26070*2</f>
        <v>52140</v>
      </c>
      <c r="L214" s="174">
        <f>SUM(I214:K214)</f>
        <v>86274.1</v>
      </c>
      <c r="M214" s="1539">
        <f>IF(ISERROR(L214/(F214*752)),0,L214/(F214*752))</f>
        <v>67.091343162871723</v>
      </c>
      <c r="N214" s="1540"/>
      <c r="Q214" s="105"/>
    </row>
    <row r="215" spans="1:17" ht="14" hidden="1" thickBot="1">
      <c r="A215" s="53" t="s">
        <v>60</v>
      </c>
      <c r="B215" s="1438">
        <f>SUM(B205:B214)</f>
        <v>12447</v>
      </c>
      <c r="C215" s="1609"/>
      <c r="D215" s="1441">
        <f>SUM(D205:E214)</f>
        <v>184622506.07500002</v>
      </c>
      <c r="E215" s="1609"/>
      <c r="F215" s="1440">
        <f>SUM(F205:G214)</f>
        <v>566.58000000000004</v>
      </c>
      <c r="G215" s="1439"/>
      <c r="H215" s="707">
        <f>SUM(H205:H214)</f>
        <v>10980.369999999999</v>
      </c>
      <c r="I215" s="136">
        <f>SUM(I205:I214)</f>
        <v>55569.07</v>
      </c>
      <c r="J215" s="136">
        <f>SUM(J205:J214)</f>
        <v>79027.100000000006</v>
      </c>
      <c r="K215" s="136">
        <f>SUM(K205:K214)</f>
        <v>348637.07</v>
      </c>
      <c r="L215" s="143">
        <f>SUM(L205:L214)</f>
        <v>483233.24</v>
      </c>
      <c r="M215" s="1440"/>
      <c r="N215" s="1622"/>
      <c r="Q215" s="105"/>
    </row>
    <row r="216" spans="1:17" s="1168" customFormat="1" ht="17" thickBot="1">
      <c r="A216" s="108" t="str">
        <f>'Ontario Total'!A216</f>
        <v xml:space="preserve">IEUA High Efficiency Toilet (HET) Installation Prog. </v>
      </c>
      <c r="B216" s="1456"/>
      <c r="C216" s="1586"/>
      <c r="D216" s="1567"/>
      <c r="E216" s="1586"/>
      <c r="F216" s="1567"/>
      <c r="G216" s="1586"/>
      <c r="H216" s="1280"/>
      <c r="I216" s="179"/>
      <c r="J216" s="179"/>
      <c r="K216" s="179"/>
      <c r="L216" s="180"/>
      <c r="M216" s="1593"/>
      <c r="N216" s="1542"/>
      <c r="Q216" s="1195"/>
    </row>
    <row r="217" spans="1:17">
      <c r="A217" s="32" t="str">
        <f>'Ontario Total'!A217</f>
        <v>IEUA Multi-Family Direct Install Prog. (HET)</v>
      </c>
      <c r="B217" s="1731"/>
      <c r="C217" s="1732"/>
      <c r="D217" s="1855">
        <f>F217*325851</f>
        <v>0</v>
      </c>
      <c r="E217" s="1732"/>
      <c r="F217" s="1855">
        <f>0.0425*B217</f>
        <v>0</v>
      </c>
      <c r="G217" s="1732"/>
      <c r="H217" s="709">
        <f>F217*20</f>
        <v>0</v>
      </c>
      <c r="I217" s="150">
        <f>73.34*B217</f>
        <v>0</v>
      </c>
      <c r="J217" s="150">
        <f>35.66*B217</f>
        <v>0</v>
      </c>
      <c r="K217" s="150">
        <f>B217*50</f>
        <v>0</v>
      </c>
      <c r="L217" s="172">
        <f>I217+J217+K217</f>
        <v>0</v>
      </c>
      <c r="M217" s="1599">
        <f>IF(ISERROR(L217/(F217*727)),0,L217/(F217*727))</f>
        <v>0</v>
      </c>
      <c r="N217" s="1600"/>
      <c r="Q217" s="105"/>
    </row>
    <row r="218" spans="1:17" ht="14" thickBot="1">
      <c r="A218" s="32" t="str">
        <f>'Ontario Total'!A218</f>
        <v>IEUA Single-Family Direct Install Prog. (HET)</v>
      </c>
      <c r="B218" s="1429"/>
      <c r="C218" s="1430"/>
      <c r="D218" s="1734">
        <f>F218*325851</f>
        <v>0</v>
      </c>
      <c r="E218" s="1430"/>
      <c r="F218" s="1734">
        <f>0.0425*B218</f>
        <v>0</v>
      </c>
      <c r="G218" s="1430"/>
      <c r="H218" s="709">
        <f>F218*20</f>
        <v>0</v>
      </c>
      <c r="I218" s="150">
        <f>73.34*B218</f>
        <v>0</v>
      </c>
      <c r="J218" s="150">
        <f>35.66*B218</f>
        <v>0</v>
      </c>
      <c r="K218" s="150">
        <f>B218*50</f>
        <v>0</v>
      </c>
      <c r="L218" s="172">
        <f>I218+J218+K218</f>
        <v>0</v>
      </c>
      <c r="M218" s="1561">
        <f>IF(ISERROR(L218/(F218*727)),0,L218/(F218*727))</f>
        <v>0</v>
      </c>
      <c r="N218" s="1562"/>
      <c r="Q218" s="105"/>
    </row>
    <row r="219" spans="1:17" ht="14" thickBot="1">
      <c r="A219" s="53" t="s">
        <v>60</v>
      </c>
      <c r="B219" s="1438"/>
      <c r="C219" s="1439"/>
      <c r="D219" s="1441">
        <f>SUM(D217:D218)</f>
        <v>0</v>
      </c>
      <c r="E219" s="1439"/>
      <c r="F219" s="1441">
        <f>SUM(F217:F218)</f>
        <v>0</v>
      </c>
      <c r="G219" s="1439"/>
      <c r="H219" s="707">
        <f>SUM(H217:H218)</f>
        <v>0</v>
      </c>
      <c r="I219" s="136">
        <f>SUM(I217:I218)</f>
        <v>0</v>
      </c>
      <c r="J219" s="143">
        <f>SUM(J217:J218)</f>
        <v>0</v>
      </c>
      <c r="K219" s="143">
        <f>SUM(K217:K218)</f>
        <v>0</v>
      </c>
      <c r="L219" s="136">
        <f>SUM(L217:L218)</f>
        <v>0</v>
      </c>
      <c r="M219" s="1442"/>
      <c r="N219" s="1443"/>
      <c r="Q219" s="105"/>
    </row>
    <row r="220" spans="1:17" s="1161" customFormat="1" ht="17" thickBot="1">
      <c r="A220" s="108" t="str">
        <f>'Ontario Total'!A220</f>
        <v>SoCal Water$mart Commercial Rebates</v>
      </c>
      <c r="B220" s="1456"/>
      <c r="C220" s="1586"/>
      <c r="D220" s="1567"/>
      <c r="E220" s="1586"/>
      <c r="F220" s="1457"/>
      <c r="G220" s="1586"/>
      <c r="H220" s="1142"/>
      <c r="I220" s="179"/>
      <c r="J220" s="179"/>
      <c r="K220" s="179"/>
      <c r="L220" s="180"/>
      <c r="M220" s="1593"/>
      <c r="N220" s="1542"/>
      <c r="Q220" s="1195"/>
    </row>
    <row r="221" spans="1:17">
      <c r="A221" s="122" t="str">
        <f>'Ontario Total'!A221</f>
        <v>High Efficiency Toilets (HET)</v>
      </c>
      <c r="B221" s="1444">
        <f>CVWD!N270</f>
        <v>107</v>
      </c>
      <c r="C221" s="1422"/>
      <c r="D221" s="1431">
        <f>F221*325900</f>
        <v>1482030.25</v>
      </c>
      <c r="E221" s="1422"/>
      <c r="F221" s="1767">
        <f>0.0425*B221</f>
        <v>4.5475000000000003</v>
      </c>
      <c r="G221" s="1732"/>
      <c r="H221" s="709">
        <f>F221*20</f>
        <v>90.95</v>
      </c>
      <c r="I221" s="151">
        <v>0</v>
      </c>
      <c r="J221" s="150">
        <f>135*B221</f>
        <v>14445</v>
      </c>
      <c r="K221" s="150">
        <f>165*B221</f>
        <v>17655</v>
      </c>
      <c r="L221" s="172">
        <f t="shared" ref="L221:L234" si="61">SUM(I221:K221)</f>
        <v>32100</v>
      </c>
      <c r="M221" s="1539">
        <f>IF(ISERROR(L221/(F221*752)),0,L221/(F221*752))</f>
        <v>9.3867334167709622</v>
      </c>
      <c r="N221" s="1540"/>
      <c r="Q221" s="105"/>
    </row>
    <row r="222" spans="1:17" hidden="1">
      <c r="A222" s="32" t="str">
        <f>'Ontario Total'!A222</f>
        <v>Waterless Urinals</v>
      </c>
      <c r="B222" s="1444">
        <f>CVWD!N271</f>
        <v>0</v>
      </c>
      <c r="C222" s="1422"/>
      <c r="D222" s="1431">
        <f>F222*325900</f>
        <v>0</v>
      </c>
      <c r="E222" s="1422"/>
      <c r="F222" s="1444">
        <f>0.1227*B222</f>
        <v>0</v>
      </c>
      <c r="G222" s="1422"/>
      <c r="H222" s="709">
        <f>F222*20</f>
        <v>0</v>
      </c>
      <c r="I222" s="151">
        <v>0</v>
      </c>
      <c r="J222" s="150">
        <f>50*B222</f>
        <v>0</v>
      </c>
      <c r="K222" s="150">
        <f>200*B222</f>
        <v>0</v>
      </c>
      <c r="L222" s="172">
        <f t="shared" si="61"/>
        <v>0</v>
      </c>
      <c r="M222" s="1539">
        <f t="shared" ref="M222:M234" si="62">IF(ISERROR(L222/(F222*752)),0,L222/(F222*752))</f>
        <v>0</v>
      </c>
      <c r="N222" s="1540"/>
      <c r="Q222" s="105"/>
    </row>
    <row r="223" spans="1:17" hidden="1">
      <c r="A223" s="32" t="s">
        <v>204</v>
      </c>
      <c r="B223" s="1444">
        <f>CVWD!N272</f>
        <v>0</v>
      </c>
      <c r="C223" s="1422"/>
      <c r="D223" s="1431">
        <f t="shared" ref="D223:D234" si="63">F223*325900</f>
        <v>0</v>
      </c>
      <c r="E223" s="1422"/>
      <c r="F223" s="1444">
        <f>0.644*B223</f>
        <v>0</v>
      </c>
      <c r="G223" s="1422"/>
      <c r="H223" s="709">
        <f>F223*5</f>
        <v>0</v>
      </c>
      <c r="I223" s="151">
        <v>0</v>
      </c>
      <c r="J223" s="150">
        <f>500*B223</f>
        <v>0</v>
      </c>
      <c r="K223" s="150">
        <f>1750*B223</f>
        <v>0</v>
      </c>
      <c r="L223" s="172">
        <f t="shared" si="61"/>
        <v>0</v>
      </c>
      <c r="M223" s="1539">
        <f t="shared" si="62"/>
        <v>0</v>
      </c>
      <c r="N223" s="1540"/>
      <c r="Q223" s="105"/>
    </row>
    <row r="224" spans="1:17" hidden="1">
      <c r="A224" s="32" t="str">
        <f>'Ontario Total'!A224</f>
        <v>High Efficiency Clothes Washers</v>
      </c>
      <c r="B224" s="1444">
        <f>CVWD!N273</f>
        <v>0</v>
      </c>
      <c r="C224" s="1422"/>
      <c r="D224" s="1431">
        <f t="shared" si="63"/>
        <v>0</v>
      </c>
      <c r="E224" s="1422"/>
      <c r="F224" s="1444">
        <f>0.0276*B224</f>
        <v>0</v>
      </c>
      <c r="G224" s="1422"/>
      <c r="H224" s="709">
        <f>F224*10</f>
        <v>0</v>
      </c>
      <c r="I224" s="151">
        <v>0</v>
      </c>
      <c r="J224" s="150">
        <f>100*B224</f>
        <v>0</v>
      </c>
      <c r="K224" s="150">
        <f>80*B224</f>
        <v>0</v>
      </c>
      <c r="L224" s="172">
        <f t="shared" si="61"/>
        <v>0</v>
      </c>
      <c r="M224" s="1539">
        <f t="shared" si="62"/>
        <v>0</v>
      </c>
      <c r="N224" s="1540"/>
      <c r="Q224" s="105"/>
    </row>
    <row r="225" spans="1:17" s="91" customFormat="1" ht="16" hidden="1">
      <c r="A225" s="35" t="s">
        <v>47</v>
      </c>
      <c r="B225" s="1444">
        <f>CVWD!N274</f>
        <v>0</v>
      </c>
      <c r="C225" s="1422"/>
      <c r="D225" s="1431">
        <f t="shared" si="63"/>
        <v>0</v>
      </c>
      <c r="E225" s="1422"/>
      <c r="F225" s="1444">
        <f>0.1534*B225</f>
        <v>0</v>
      </c>
      <c r="G225" s="1422"/>
      <c r="H225" s="709">
        <f>F225*5</f>
        <v>0</v>
      </c>
      <c r="I225" s="151">
        <v>0</v>
      </c>
      <c r="J225" s="150">
        <f>0*B225</f>
        <v>0</v>
      </c>
      <c r="K225" s="150">
        <f>150*B225</f>
        <v>0</v>
      </c>
      <c r="L225" s="172">
        <f t="shared" si="61"/>
        <v>0</v>
      </c>
      <c r="M225" s="1539">
        <f t="shared" si="62"/>
        <v>0</v>
      </c>
      <c r="N225" s="1540"/>
      <c r="Q225" s="105"/>
    </row>
    <row r="226" spans="1:17">
      <c r="A226" s="32" t="str">
        <f>'Ontario Total'!A226</f>
        <v>Weather Based Irrigation Controllers (WBIC)</v>
      </c>
      <c r="B226" s="1444">
        <f>CVWD!N275</f>
        <v>41</v>
      </c>
      <c r="C226" s="1422"/>
      <c r="D226" s="1431">
        <f t="shared" si="63"/>
        <v>4342617.5</v>
      </c>
      <c r="E226" s="1422"/>
      <c r="F226" s="1444">
        <f>0.325*B226</f>
        <v>13.325000000000001</v>
      </c>
      <c r="G226" s="1422"/>
      <c r="H226" s="709">
        <f>F226*10</f>
        <v>133.25</v>
      </c>
      <c r="I226" s="151">
        <v>0</v>
      </c>
      <c r="J226" s="151">
        <v>14750</v>
      </c>
      <c r="K226" s="151">
        <v>14850</v>
      </c>
      <c r="L226" s="172">
        <f t="shared" si="61"/>
        <v>29600</v>
      </c>
      <c r="M226" s="1539">
        <f t="shared" si="62"/>
        <v>2.9539738932577539</v>
      </c>
      <c r="N226" s="1540"/>
      <c r="Q226" s="105"/>
    </row>
    <row r="227" spans="1:17">
      <c r="A227" s="33" t="s">
        <v>53</v>
      </c>
      <c r="B227" s="1444">
        <f>CVWD!N276</f>
        <v>0</v>
      </c>
      <c r="C227" s="1422"/>
      <c r="D227" s="1431">
        <f t="shared" si="63"/>
        <v>0</v>
      </c>
      <c r="E227" s="1422"/>
      <c r="F227" s="1444">
        <f>0.00014*B227</f>
        <v>0</v>
      </c>
      <c r="G227" s="1422"/>
      <c r="H227" s="709">
        <f>F227*10</f>
        <v>0</v>
      </c>
      <c r="I227" s="151">
        <v>0</v>
      </c>
      <c r="J227" s="150">
        <f>0.45*B227</f>
        <v>0</v>
      </c>
      <c r="K227" s="150">
        <f>0.3*B227</f>
        <v>0</v>
      </c>
      <c r="L227" s="172">
        <f t="shared" si="61"/>
        <v>0</v>
      </c>
      <c r="M227" s="1539">
        <f t="shared" si="62"/>
        <v>0</v>
      </c>
      <c r="N227" s="1540"/>
      <c r="Q227" s="105"/>
    </row>
    <row r="228" spans="1:17">
      <c r="A228" s="32" t="str">
        <f>'Ontario Total'!A228</f>
        <v>Rotating Nozzles for Pop-up Spray Heads</v>
      </c>
      <c r="B228" s="1444">
        <f>CVWD!N277</f>
        <v>22234</v>
      </c>
      <c r="C228" s="1422"/>
      <c r="D228" s="1431">
        <f t="shared" si="63"/>
        <v>28984242.400000002</v>
      </c>
      <c r="E228" s="1422"/>
      <c r="F228" s="1444">
        <f>0.004*B228</f>
        <v>88.936000000000007</v>
      </c>
      <c r="G228" s="1422"/>
      <c r="H228" s="709">
        <f>F228*5</f>
        <v>444.68000000000006</v>
      </c>
      <c r="I228" s="151">
        <v>0</v>
      </c>
      <c r="J228" s="150">
        <v>552</v>
      </c>
      <c r="K228" s="150">
        <v>3086</v>
      </c>
      <c r="L228" s="172">
        <f t="shared" si="61"/>
        <v>3638</v>
      </c>
      <c r="M228" s="1539">
        <f t="shared" si="62"/>
        <v>5.4396037121602146E-2</v>
      </c>
      <c r="N228" s="1540"/>
    </row>
    <row r="229" spans="1:17" s="91" customFormat="1" ht="16">
      <c r="A229" s="32" t="str">
        <f>'Ontario Total'!A229</f>
        <v>Large Rotary Nozzles</v>
      </c>
      <c r="B229" s="1444">
        <f>CVWD!N278</f>
        <v>0</v>
      </c>
      <c r="C229" s="1422"/>
      <c r="D229" s="1431">
        <f t="shared" si="63"/>
        <v>0</v>
      </c>
      <c r="E229" s="1422"/>
      <c r="F229" s="1431">
        <f>0.018*B229</f>
        <v>0</v>
      </c>
      <c r="G229" s="1422"/>
      <c r="H229" s="709">
        <f t="shared" ref="H229:H234" si="64">F229*10</f>
        <v>0</v>
      </c>
      <c r="I229" s="151">
        <v>0</v>
      </c>
      <c r="J229" s="150">
        <f>0*B229</f>
        <v>0</v>
      </c>
      <c r="K229" s="150">
        <f>13*B229</f>
        <v>0</v>
      </c>
      <c r="L229" s="172">
        <f t="shared" si="61"/>
        <v>0</v>
      </c>
      <c r="M229" s="1539">
        <f t="shared" si="62"/>
        <v>0</v>
      </c>
      <c r="N229" s="1540"/>
    </row>
    <row r="230" spans="1:17" hidden="1">
      <c r="A230" s="33" t="s">
        <v>102</v>
      </c>
      <c r="B230" s="1444">
        <f>CVWD!N279</f>
        <v>0</v>
      </c>
      <c r="C230" s="1422"/>
      <c r="D230" s="1431">
        <f t="shared" si="63"/>
        <v>0</v>
      </c>
      <c r="E230" s="1422"/>
      <c r="F230" s="1431">
        <f>0.018*B230</f>
        <v>0</v>
      </c>
      <c r="G230" s="1422"/>
      <c r="H230" s="709">
        <f t="shared" si="64"/>
        <v>0</v>
      </c>
      <c r="I230" s="151">
        <v>0</v>
      </c>
      <c r="J230" s="150">
        <f>0*B230</f>
        <v>0</v>
      </c>
      <c r="K230" s="150">
        <f>13*B230</f>
        <v>0</v>
      </c>
      <c r="L230" s="172">
        <f t="shared" si="61"/>
        <v>0</v>
      </c>
      <c r="M230" s="1539">
        <f t="shared" si="62"/>
        <v>0</v>
      </c>
      <c r="N230" s="1540"/>
    </row>
    <row r="231" spans="1:17" hidden="1">
      <c r="A231" s="32" t="str">
        <f>'Ontario Total'!A231</f>
        <v xml:space="preserve">Central Computerized Irrigation Controller </v>
      </c>
      <c r="B231" s="1444">
        <f>CVWD!N280</f>
        <v>0</v>
      </c>
      <c r="C231" s="1422"/>
      <c r="D231" s="1431">
        <f t="shared" si="63"/>
        <v>0</v>
      </c>
      <c r="E231" s="1422"/>
      <c r="F231" s="1431">
        <f>4.874*B231</f>
        <v>0</v>
      </c>
      <c r="G231" s="1422"/>
      <c r="H231" s="709">
        <f t="shared" si="64"/>
        <v>0</v>
      </c>
      <c r="I231" s="151">
        <v>0</v>
      </c>
      <c r="J231" s="151">
        <f>0*B231</f>
        <v>0</v>
      </c>
      <c r="K231" s="151">
        <f>13*B231</f>
        <v>0</v>
      </c>
      <c r="L231" s="172">
        <f t="shared" si="61"/>
        <v>0</v>
      </c>
      <c r="M231" s="1539">
        <f t="shared" si="62"/>
        <v>0</v>
      </c>
      <c r="N231" s="1540"/>
    </row>
    <row r="232" spans="1:17">
      <c r="A232" s="144" t="str">
        <f>'Ontario Total'!A232</f>
        <v>Laminar Flow Restrictor</v>
      </c>
      <c r="B232" s="1444">
        <f>CVWD!N281</f>
        <v>0</v>
      </c>
      <c r="C232" s="1422"/>
      <c r="D232" s="1431">
        <f t="shared" si="63"/>
        <v>0</v>
      </c>
      <c r="E232" s="1422"/>
      <c r="F232" s="1736">
        <f>4.874*B232</f>
        <v>0</v>
      </c>
      <c r="G232" s="1446"/>
      <c r="H232" s="710">
        <f t="shared" si="64"/>
        <v>0</v>
      </c>
      <c r="I232" s="151">
        <v>0</v>
      </c>
      <c r="J232" s="151">
        <f>0*B232</f>
        <v>0</v>
      </c>
      <c r="K232" s="151">
        <f>13*B232</f>
        <v>0</v>
      </c>
      <c r="L232" s="170">
        <f t="shared" si="61"/>
        <v>0</v>
      </c>
      <c r="M232" s="1539">
        <f t="shared" si="62"/>
        <v>0</v>
      </c>
      <c r="N232" s="1540"/>
    </row>
    <row r="233" spans="1:17" hidden="1">
      <c r="A233" s="144" t="str">
        <f>'Ontario Total'!A233</f>
        <v>Air-Cooled Ice Machine</v>
      </c>
      <c r="B233" s="1444">
        <f>CVWD!N282</f>
        <v>0</v>
      </c>
      <c r="C233" s="1422"/>
      <c r="D233" s="1431">
        <f t="shared" si="63"/>
        <v>0</v>
      </c>
      <c r="E233" s="1422"/>
      <c r="F233" s="1736">
        <f>4.874*B233</f>
        <v>0</v>
      </c>
      <c r="G233" s="1446"/>
      <c r="H233" s="710">
        <f t="shared" si="64"/>
        <v>0</v>
      </c>
      <c r="I233" s="151">
        <v>0</v>
      </c>
      <c r="J233" s="151">
        <v>1000</v>
      </c>
      <c r="K233" s="151">
        <v>1000</v>
      </c>
      <c r="L233" s="170">
        <f t="shared" si="61"/>
        <v>2000</v>
      </c>
      <c r="M233" s="1539">
        <f t="shared" si="62"/>
        <v>0</v>
      </c>
      <c r="N233" s="1540"/>
    </row>
    <row r="234" spans="1:17" ht="14" thickBot="1">
      <c r="A234" s="493" t="s">
        <v>253</v>
      </c>
      <c r="B234" s="1444">
        <f>CVWD!N283</f>
        <v>36</v>
      </c>
      <c r="C234" s="1422"/>
      <c r="D234" s="1431">
        <f t="shared" si="63"/>
        <v>11993120</v>
      </c>
      <c r="E234" s="1422"/>
      <c r="F234" s="1737">
        <v>36.799999999999997</v>
      </c>
      <c r="G234" s="1726"/>
      <c r="H234" s="710">
        <f t="shared" si="64"/>
        <v>368</v>
      </c>
      <c r="I234" s="151">
        <v>0</v>
      </c>
      <c r="J234" s="151">
        <v>283719</v>
      </c>
      <c r="K234" s="151">
        <v>567438</v>
      </c>
      <c r="L234" s="170">
        <f t="shared" si="61"/>
        <v>851157</v>
      </c>
      <c r="M234" s="1539">
        <f t="shared" si="62"/>
        <v>30.757003064292324</v>
      </c>
      <c r="N234" s="1540"/>
    </row>
    <row r="235" spans="1:17" ht="14" thickBot="1">
      <c r="A235" s="53" t="s">
        <v>60</v>
      </c>
      <c r="B235" s="1438"/>
      <c r="C235" s="1439"/>
      <c r="D235" s="1441"/>
      <c r="E235" s="1439"/>
      <c r="F235" s="1441"/>
      <c r="G235" s="1439"/>
      <c r="H235" s="567"/>
      <c r="I235" s="207"/>
      <c r="J235" s="207"/>
      <c r="K235" s="207"/>
      <c r="L235" s="207"/>
      <c r="M235" s="2165"/>
      <c r="N235" s="2166"/>
    </row>
    <row r="236" spans="1:17" s="1168" customFormat="1" ht="17" hidden="1" thickBot="1">
      <c r="A236" s="108" t="str">
        <f>'Ontario Total'!A236</f>
        <v>IEUA Locally Implemented Commercial Programs</v>
      </c>
      <c r="B236" s="1567"/>
      <c r="C236" s="1586"/>
      <c r="D236" s="1567"/>
      <c r="E236" s="1586"/>
      <c r="F236" s="1567"/>
      <c r="G236" s="1586"/>
      <c r="H236" s="1142"/>
      <c r="I236" s="109"/>
      <c r="J236" s="179"/>
      <c r="K236" s="179"/>
      <c r="L236" s="180"/>
      <c r="M236" s="1617"/>
      <c r="N236" s="1486"/>
    </row>
    <row r="237" spans="1:17">
      <c r="A237" s="32" t="str">
        <f>'Ontario Total'!A237</f>
        <v>Fontana Unified School Retrofit Program</v>
      </c>
      <c r="B237" s="1431"/>
      <c r="C237" s="1422"/>
      <c r="D237" s="1431">
        <f>F237*325851</f>
        <v>0</v>
      </c>
      <c r="E237" s="1422"/>
      <c r="F237" s="1431">
        <v>0</v>
      </c>
      <c r="G237" s="1422"/>
      <c r="H237" s="462">
        <f>F237*10</f>
        <v>0</v>
      </c>
      <c r="I237" s="151">
        <v>0</v>
      </c>
      <c r="J237" s="151">
        <f>0*B237</f>
        <v>0</v>
      </c>
      <c r="K237" s="151">
        <f>13*B237</f>
        <v>0</v>
      </c>
      <c r="L237" s="172">
        <f>SUM(I237:K237)</f>
        <v>0</v>
      </c>
      <c r="M237" s="1539">
        <f>IF(ISERROR(L237/(F237*727)),0,L237/(F237*727))</f>
        <v>0</v>
      </c>
      <c r="N237" s="1540"/>
    </row>
    <row r="238" spans="1:17" ht="14" thickBot="1">
      <c r="A238" s="32" t="s">
        <v>165</v>
      </c>
      <c r="B238" s="1431">
        <f>CVWD!N286</f>
        <v>26025</v>
      </c>
      <c r="C238" s="1422"/>
      <c r="D238" s="1431">
        <f>F238*325851</f>
        <v>33921089.100000001</v>
      </c>
      <c r="E238" s="1422"/>
      <c r="F238" s="1431">
        <f>0.004*B238</f>
        <v>104.10000000000001</v>
      </c>
      <c r="G238" s="1422"/>
      <c r="H238" s="462">
        <f>F238*5</f>
        <v>520.5</v>
      </c>
      <c r="I238" s="151">
        <v>0</v>
      </c>
      <c r="J238" s="150">
        <f>0*B238</f>
        <v>0</v>
      </c>
      <c r="K238" s="150">
        <f>3.25*B238</f>
        <v>84581.25</v>
      </c>
      <c r="L238" s="172">
        <f>SUM(I238:K238)</f>
        <v>84581.25</v>
      </c>
      <c r="M238" s="1539">
        <f>IF(ISERROR(L238/(F238*752)),0,L238/(F238*752))</f>
        <v>1.0804521276595742</v>
      </c>
      <c r="N238" s="1540"/>
    </row>
    <row r="239" spans="1:17" ht="14" thickBot="1">
      <c r="A239" s="53" t="s">
        <v>60</v>
      </c>
      <c r="B239" s="1438">
        <f>SUM(B221:C238)</f>
        <v>48443</v>
      </c>
      <c r="C239" s="1621"/>
      <c r="D239" s="1441">
        <f>SUM(D221:E238)</f>
        <v>80723099.25</v>
      </c>
      <c r="E239" s="1609"/>
      <c r="F239" s="1440">
        <f>SUM(F221:G238)</f>
        <v>247.70850000000002</v>
      </c>
      <c r="G239" s="1439"/>
      <c r="H239" s="482">
        <f>SUM(H221:H238)</f>
        <v>1557.38</v>
      </c>
      <c r="I239" s="136">
        <f>SUM(I221:I238)</f>
        <v>0</v>
      </c>
      <c r="J239" s="136">
        <f>SUM(J221:J238)</f>
        <v>314466</v>
      </c>
      <c r="K239" s="136">
        <f>SUM(K221:K238)</f>
        <v>688610.25</v>
      </c>
      <c r="L239" s="136">
        <f>SUM(L221:L238)</f>
        <v>1003076.25</v>
      </c>
      <c r="M239" s="1442"/>
      <c r="N239" s="1735"/>
    </row>
    <row r="240" spans="1:17" s="1168" customFormat="1" ht="17" thickBot="1">
      <c r="A240" s="1182" t="s">
        <v>17</v>
      </c>
      <c r="B240" s="1416">
        <f>B239+B215</f>
        <v>60890</v>
      </c>
      <c r="C240" s="1415"/>
      <c r="D240" s="1416">
        <f>D239+D215</f>
        <v>265345605.32500002</v>
      </c>
      <c r="E240" s="1415"/>
      <c r="F240" s="1416">
        <f>F239+F215</f>
        <v>814.28850000000011</v>
      </c>
      <c r="G240" s="1415"/>
      <c r="H240" s="1164">
        <f>H239+H215</f>
        <v>12537.75</v>
      </c>
      <c r="I240" s="1169">
        <f>I239+I215</f>
        <v>55569.07</v>
      </c>
      <c r="J240" s="1169">
        <f>J239+J215</f>
        <v>393493.1</v>
      </c>
      <c r="K240" s="1169">
        <f>K239+K215</f>
        <v>1037247.3200000001</v>
      </c>
      <c r="L240" s="1169">
        <f>L239+L215</f>
        <v>1486309.49</v>
      </c>
      <c r="M240" s="1417"/>
      <c r="N240" s="1614"/>
    </row>
    <row r="241" spans="1:17" s="57" customFormat="1" ht="16">
      <c r="A241" s="60"/>
      <c r="B241" s="61"/>
      <c r="C241" s="61"/>
      <c r="D241" s="61"/>
      <c r="E241" s="61"/>
      <c r="F241" s="441"/>
      <c r="G241" s="441"/>
      <c r="H241" s="441"/>
      <c r="I241" s="62"/>
      <c r="J241" s="62"/>
      <c r="K241" s="62"/>
      <c r="L241" s="62"/>
      <c r="M241" s="64"/>
      <c r="N241" s="65"/>
    </row>
    <row r="242" spans="1:17" s="57" customFormat="1" ht="16">
      <c r="A242" s="9" t="s">
        <v>18</v>
      </c>
      <c r="B242" s="1695" t="s">
        <v>59</v>
      </c>
      <c r="C242" s="1695"/>
      <c r="D242" s="1695"/>
      <c r="E242" s="1695"/>
      <c r="F242" s="441"/>
      <c r="G242" s="441"/>
      <c r="H242" s="441"/>
      <c r="I242" s="62"/>
      <c r="J242" s="62"/>
      <c r="K242" s="62"/>
      <c r="L242" s="62"/>
      <c r="M242" s="64"/>
      <c r="N242" s="65"/>
    </row>
    <row r="243" spans="1:17" s="91" customFormat="1" ht="16">
      <c r="A243" s="57"/>
      <c r="B243" s="1696" t="s">
        <v>19</v>
      </c>
      <c r="C243" s="1696"/>
      <c r="D243" s="1696"/>
      <c r="E243" s="1696"/>
      <c r="F243" s="441"/>
      <c r="G243" s="441"/>
      <c r="H243" s="441"/>
      <c r="I243" s="62"/>
      <c r="J243" s="62"/>
      <c r="K243" s="62"/>
      <c r="L243" s="62"/>
      <c r="M243" s="64"/>
      <c r="N243" s="65"/>
    </row>
    <row r="244" spans="1:17" ht="17" thickBot="1">
      <c r="A244" s="57"/>
      <c r="B244" s="943"/>
      <c r="C244" s="943"/>
      <c r="D244" s="943"/>
      <c r="E244" s="943"/>
      <c r="F244" s="441"/>
      <c r="G244" s="441"/>
      <c r="H244" s="441"/>
      <c r="I244" s="62"/>
      <c r="J244" s="62"/>
      <c r="K244" s="62"/>
      <c r="L244" s="62"/>
      <c r="M244" s="64"/>
      <c r="N244" s="65"/>
    </row>
    <row r="245" spans="1:17" ht="16">
      <c r="A245" s="98"/>
      <c r="B245" s="99"/>
      <c r="C245" s="99"/>
      <c r="D245" s="99"/>
      <c r="E245" s="99"/>
      <c r="F245" s="421"/>
      <c r="G245" s="421"/>
      <c r="H245" s="421"/>
      <c r="I245" s="1468" t="s">
        <v>0</v>
      </c>
      <c r="J245" s="1468"/>
      <c r="K245" s="1468"/>
      <c r="L245" s="1468"/>
      <c r="M245" s="99"/>
      <c r="N245" s="101"/>
    </row>
    <row r="246" spans="1:17" ht="16">
      <c r="A246" s="97"/>
      <c r="B246" s="1469" t="s">
        <v>1</v>
      </c>
      <c r="C246" s="1469"/>
      <c r="D246" s="1469" t="s">
        <v>2</v>
      </c>
      <c r="E246" s="1469"/>
      <c r="F246" s="1470" t="s">
        <v>3</v>
      </c>
      <c r="G246" s="1470"/>
      <c r="H246" s="931" t="s">
        <v>3</v>
      </c>
      <c r="I246" s="127" t="s">
        <v>197</v>
      </c>
      <c r="J246" s="102"/>
      <c r="K246" s="102"/>
      <c r="L246" s="128"/>
      <c r="M246" s="1469" t="s">
        <v>4</v>
      </c>
      <c r="N246" s="1526"/>
    </row>
    <row r="247" spans="1:17" ht="19" thickBot="1">
      <c r="A247" s="103" t="s">
        <v>5</v>
      </c>
      <c r="B247" s="1473" t="s">
        <v>6</v>
      </c>
      <c r="C247" s="1473"/>
      <c r="D247" s="1473" t="s">
        <v>7</v>
      </c>
      <c r="E247" s="1473"/>
      <c r="F247" s="1474" t="s">
        <v>7</v>
      </c>
      <c r="G247" s="1474"/>
      <c r="H247" s="933" t="s">
        <v>58</v>
      </c>
      <c r="I247" s="937" t="s">
        <v>198</v>
      </c>
      <c r="J247" s="932" t="s">
        <v>8</v>
      </c>
      <c r="K247" s="932" t="s">
        <v>9</v>
      </c>
      <c r="L247" s="401" t="s">
        <v>10</v>
      </c>
      <c r="M247" s="1473" t="s">
        <v>145</v>
      </c>
      <c r="N247" s="1475"/>
    </row>
    <row r="248" spans="1:17" ht="24" thickBot="1">
      <c r="A248" s="88" t="s">
        <v>211</v>
      </c>
      <c r="B248" s="1764"/>
      <c r="C248" s="1477"/>
      <c r="D248" s="1478"/>
      <c r="E248" s="1479"/>
      <c r="F248" s="1480"/>
      <c r="G248" s="1481"/>
      <c r="H248" s="945"/>
      <c r="I248" s="213"/>
      <c r="J248" s="177"/>
      <c r="K248" s="177"/>
      <c r="L248" s="178"/>
      <c r="M248" s="1891"/>
      <c r="N248" s="1892"/>
    </row>
    <row r="249" spans="1:17" s="1168" customFormat="1" ht="17" thickBot="1">
      <c r="A249" s="108" t="str">
        <f>'Ontario Total'!A249</f>
        <v>SoCal Water$mart Residential Rebates</v>
      </c>
      <c r="B249" s="1567"/>
      <c r="C249" s="1586"/>
      <c r="D249" s="1567"/>
      <c r="E249" s="1586"/>
      <c r="F249" s="1587"/>
      <c r="G249" s="1588"/>
      <c r="H249" s="1145"/>
      <c r="I249" s="109"/>
      <c r="J249" s="179"/>
      <c r="K249" s="179"/>
      <c r="L249" s="180"/>
      <c r="M249" s="1593"/>
      <c r="N249" s="1542"/>
    </row>
    <row r="250" spans="1:17">
      <c r="A250" s="32" t="str">
        <f>'Ontario Total'!A250</f>
        <v>High Efficiency Toilets (HET)</v>
      </c>
      <c r="B250" s="1431">
        <f>CVWD!N215</f>
        <v>170</v>
      </c>
      <c r="C250" s="1422"/>
      <c r="D250" s="1431">
        <f t="shared" ref="D250:D255" si="65">F250*325851</f>
        <v>2354273.4750000001</v>
      </c>
      <c r="E250" s="1422"/>
      <c r="F250" s="1431">
        <f t="shared" ref="F250:F255" si="66">0.0425*B250</f>
        <v>7.2250000000000005</v>
      </c>
      <c r="G250" s="1422"/>
      <c r="H250" s="709">
        <f>F250*20</f>
        <v>144.5</v>
      </c>
      <c r="I250" s="150">
        <f t="shared" ref="I250:I255" si="67">0*B250</f>
        <v>0</v>
      </c>
      <c r="J250" s="150">
        <f>50*B250</f>
        <v>8500</v>
      </c>
      <c r="K250" s="150">
        <f>B250*50</f>
        <v>8500</v>
      </c>
      <c r="L250" s="172">
        <f>I250+J250+K250</f>
        <v>17000</v>
      </c>
      <c r="M250" s="1539">
        <f t="shared" ref="M250:M255" si="68">IF(ISERROR(L250/(F250*752)),0,L250/(F250*752))</f>
        <v>3.1289111389236544</v>
      </c>
      <c r="N250" s="1540"/>
    </row>
    <row r="251" spans="1:17">
      <c r="A251" s="32" t="str">
        <f>'Ontario Total'!A251</f>
        <v>High Efficiency Clothes Washers (HECW)</v>
      </c>
      <c r="B251" s="1431">
        <f>CVWD!N216</f>
        <v>383</v>
      </c>
      <c r="C251" s="1422"/>
      <c r="D251" s="1431">
        <f t="shared" si="65"/>
        <v>5304039.6524999999</v>
      </c>
      <c r="E251" s="1422"/>
      <c r="F251" s="1431">
        <f t="shared" si="66"/>
        <v>16.2775</v>
      </c>
      <c r="G251" s="1422"/>
      <c r="H251" s="709">
        <f>F251*20</f>
        <v>325.55</v>
      </c>
      <c r="I251" s="150">
        <f t="shared" si="67"/>
        <v>0</v>
      </c>
      <c r="J251" s="150">
        <f>B251*65</f>
        <v>24895</v>
      </c>
      <c r="K251" s="150">
        <f>B251*85</f>
        <v>32555</v>
      </c>
      <c r="L251" s="172">
        <f>I251+J251+K251</f>
        <v>57450</v>
      </c>
      <c r="M251" s="1539">
        <f t="shared" si="68"/>
        <v>4.693366708385482</v>
      </c>
      <c r="N251" s="1540"/>
    </row>
    <row r="252" spans="1:17" s="363" customFormat="1">
      <c r="A252" s="32" t="str">
        <f>'Ontario Total'!A252</f>
        <v>Rotating Nozzles for Pop-up Spray Heads</v>
      </c>
      <c r="B252" s="1431">
        <f>CVWD!N217</f>
        <v>15</v>
      </c>
      <c r="C252" s="1422"/>
      <c r="D252" s="1431">
        <f t="shared" si="65"/>
        <v>207730.01250000001</v>
      </c>
      <c r="E252" s="1422"/>
      <c r="F252" s="1431">
        <f t="shared" si="66"/>
        <v>0.63750000000000007</v>
      </c>
      <c r="G252" s="1422"/>
      <c r="H252" s="709">
        <f>F252*20</f>
        <v>12.750000000000002</v>
      </c>
      <c r="I252" s="150">
        <f t="shared" si="67"/>
        <v>0</v>
      </c>
      <c r="J252" s="150">
        <f>1*B252</f>
        <v>15</v>
      </c>
      <c r="K252" s="150">
        <f>B252*4</f>
        <v>60</v>
      </c>
      <c r="L252" s="172">
        <f>I252+J252+K252</f>
        <v>75</v>
      </c>
      <c r="M252" s="1539">
        <f t="shared" si="68"/>
        <v>0.15644555694618273</v>
      </c>
      <c r="N252" s="1540"/>
    </row>
    <row r="253" spans="1:17">
      <c r="A253" s="32" t="str">
        <f>'Ontario Total'!A253</f>
        <v>Weather based Irrigation Controllers (WBIC)</v>
      </c>
      <c r="B253" s="1421">
        <f>CVWD!N218</f>
        <v>34</v>
      </c>
      <c r="C253" s="1422"/>
      <c r="D253" s="1431">
        <f t="shared" si="65"/>
        <v>470854.69500000001</v>
      </c>
      <c r="E253" s="1422"/>
      <c r="F253" s="1431">
        <f t="shared" si="66"/>
        <v>1.4450000000000001</v>
      </c>
      <c r="G253" s="1422"/>
      <c r="H253" s="709">
        <f>F253*20</f>
        <v>28.900000000000002</v>
      </c>
      <c r="I253" s="150">
        <f t="shared" si="67"/>
        <v>0</v>
      </c>
      <c r="J253" s="150">
        <f>B253*70</f>
        <v>2380</v>
      </c>
      <c r="K253" s="150">
        <f>B253*80</f>
        <v>2720</v>
      </c>
      <c r="L253" s="172">
        <f>SUM(J253:K253)</f>
        <v>5100</v>
      </c>
      <c r="M253" s="1539">
        <f t="shared" si="68"/>
        <v>4.6933667083854811</v>
      </c>
      <c r="N253" s="1540"/>
    </row>
    <row r="254" spans="1:17">
      <c r="A254" s="76" t="s">
        <v>183</v>
      </c>
      <c r="B254" s="1421">
        <f>CVWD!N219</f>
        <v>0</v>
      </c>
      <c r="C254" s="1422"/>
      <c r="D254" s="1431">
        <f t="shared" si="65"/>
        <v>0</v>
      </c>
      <c r="E254" s="1422"/>
      <c r="F254" s="1431">
        <f t="shared" si="66"/>
        <v>0</v>
      </c>
      <c r="G254" s="1422"/>
      <c r="H254" s="709">
        <f>F254*20</f>
        <v>0</v>
      </c>
      <c r="I254" s="150">
        <f t="shared" si="67"/>
        <v>0</v>
      </c>
      <c r="J254" s="150">
        <f>B254*70</f>
        <v>0</v>
      </c>
      <c r="K254" s="150">
        <f>B254*80</f>
        <v>0</v>
      </c>
      <c r="L254" s="172">
        <f>SUM(J254:K254)</f>
        <v>0</v>
      </c>
      <c r="M254" s="1539">
        <f t="shared" si="68"/>
        <v>0</v>
      </c>
      <c r="N254" s="1540"/>
    </row>
    <row r="255" spans="1:17" ht="14" thickBot="1">
      <c r="A255" s="76" t="s">
        <v>214</v>
      </c>
      <c r="B255" s="1421">
        <f>CVWD!N220</f>
        <v>26</v>
      </c>
      <c r="C255" s="1422"/>
      <c r="D255" s="1431">
        <f t="shared" si="65"/>
        <v>360065.35499999998</v>
      </c>
      <c r="E255" s="1422"/>
      <c r="F255" s="1431">
        <f t="shared" si="66"/>
        <v>1.105</v>
      </c>
      <c r="G255" s="1422"/>
      <c r="H255" s="709">
        <f>F255*5</f>
        <v>5.5250000000000004</v>
      </c>
      <c r="I255" s="150">
        <f t="shared" si="67"/>
        <v>0</v>
      </c>
      <c r="J255" s="150">
        <f>B255*0</f>
        <v>0</v>
      </c>
      <c r="K255" s="150">
        <f>B255*75</f>
        <v>1950</v>
      </c>
      <c r="L255" s="172">
        <f>SUM(J255:K255)</f>
        <v>1950</v>
      </c>
      <c r="M255" s="1539">
        <f t="shared" si="68"/>
        <v>2.346683354192741</v>
      </c>
      <c r="N255" s="1540"/>
    </row>
    <row r="256" spans="1:17" s="1161" customFormat="1" ht="17" thickBot="1">
      <c r="A256" s="108" t="str">
        <f>'Ontario Total'!A256</f>
        <v>IEUA Locally Implemented Residential Programs</v>
      </c>
      <c r="B256" s="1567"/>
      <c r="C256" s="1586"/>
      <c r="D256" s="1567"/>
      <c r="E256" s="1586"/>
      <c r="F256" s="1567"/>
      <c r="G256" s="1586"/>
      <c r="H256" s="1142"/>
      <c r="I256" s="179"/>
      <c r="J256" s="179"/>
      <c r="K256" s="179"/>
      <c r="L256" s="180"/>
      <c r="M256" s="1593"/>
      <c r="N256" s="1542"/>
      <c r="Q256" s="1195"/>
    </row>
    <row r="257" spans="1:17" hidden="1">
      <c r="A257" s="78" t="s">
        <v>205</v>
      </c>
      <c r="B257" s="1431">
        <f>CVWD!N222</f>
        <v>6153</v>
      </c>
      <c r="C257" s="1422"/>
      <c r="D257" s="1431">
        <f>F257*325851</f>
        <v>85210851.127499998</v>
      </c>
      <c r="E257" s="1422"/>
      <c r="F257" s="1431">
        <f>0.0425*B257</f>
        <v>261.5025</v>
      </c>
      <c r="G257" s="1422"/>
      <c r="H257" s="709">
        <f>F257*20</f>
        <v>5230.05</v>
      </c>
      <c r="I257" s="150">
        <f>0*B257</f>
        <v>0</v>
      </c>
      <c r="J257" s="151">
        <v>0</v>
      </c>
      <c r="K257" s="151">
        <f>7125*3.25</f>
        <v>23156.25</v>
      </c>
      <c r="L257" s="174">
        <f>SUM(I257:K257)</f>
        <v>23156.25</v>
      </c>
      <c r="M257" s="1539">
        <f>IF(ISERROR(L257/(F257*752)),0,L257/(F257*752))</f>
        <v>0.1177536950442075</v>
      </c>
      <c r="N257" s="1540"/>
      <c r="Q257" s="105"/>
    </row>
    <row r="258" spans="1:17">
      <c r="A258" s="78" t="s">
        <v>225</v>
      </c>
      <c r="B258" s="1431">
        <f>CVWD!N223</f>
        <v>41</v>
      </c>
      <c r="C258" s="1422"/>
      <c r="D258" s="1431">
        <f>F258*325851</f>
        <v>8736065.3099999987</v>
      </c>
      <c r="E258" s="1422"/>
      <c r="F258" s="1423">
        <v>26.81</v>
      </c>
      <c r="G258" s="1424"/>
      <c r="H258" s="701">
        <v>238</v>
      </c>
      <c r="I258" s="150">
        <v>22825</v>
      </c>
      <c r="J258" s="151">
        <v>0</v>
      </c>
      <c r="K258" s="151">
        <v>22825</v>
      </c>
      <c r="L258" s="174">
        <f>SUM(I258:K258)</f>
        <v>45650</v>
      </c>
      <c r="M258" s="1539">
        <f>IF(ISERROR(L258/(F258*752)),0,L258/(F258*752))</f>
        <v>2.2642591284611173</v>
      </c>
      <c r="N258" s="1540"/>
      <c r="Q258" s="105"/>
    </row>
    <row r="259" spans="1:17" ht="14" thickBot="1">
      <c r="A259" s="78" t="s">
        <v>218</v>
      </c>
      <c r="B259" s="1421">
        <f>CVWD!N224</f>
        <v>13</v>
      </c>
      <c r="C259" s="1422"/>
      <c r="D259" s="1734">
        <f>F259*325851</f>
        <v>556097.31660000002</v>
      </c>
      <c r="E259" s="1430"/>
      <c r="F259" s="1768">
        <f>12190*0.00014</f>
        <v>1.7065999999999999</v>
      </c>
      <c r="G259" s="1430"/>
      <c r="H259" s="709">
        <f>F259*10</f>
        <v>17.065999999999999</v>
      </c>
      <c r="I259" s="150">
        <v>0</v>
      </c>
      <c r="J259" s="151">
        <v>19026</v>
      </c>
      <c r="K259" s="151">
        <v>17890</v>
      </c>
      <c r="L259" s="174">
        <f>SUM(I259:K259)</f>
        <v>36916</v>
      </c>
      <c r="M259" s="1539">
        <f>IF(ISERROR(L259/(F259*752)),0,L259/(F259*752))</f>
        <v>28.765044844670626</v>
      </c>
      <c r="N259" s="1540"/>
      <c r="Q259" s="105"/>
    </row>
    <row r="260" spans="1:17" ht="14" thickBot="1">
      <c r="A260" s="53" t="s">
        <v>60</v>
      </c>
      <c r="B260" s="1438">
        <f>SUM(B250:C259)</f>
        <v>6835</v>
      </c>
      <c r="C260" s="1609"/>
      <c r="D260" s="1441">
        <f>SUM(D250:E259)</f>
        <v>103199976.94409999</v>
      </c>
      <c r="E260" s="1609"/>
      <c r="F260" s="1440">
        <f>SUM(F250:G259)</f>
        <v>316.70909999999998</v>
      </c>
      <c r="G260" s="1439"/>
      <c r="H260" s="707">
        <f>SUM(H250:H259)</f>
        <v>6002.3410000000003</v>
      </c>
      <c r="I260" s="136">
        <f>SUM(I250:I259)</f>
        <v>22825</v>
      </c>
      <c r="J260" s="136">
        <f>SUM(J250:J259)</f>
        <v>54816</v>
      </c>
      <c r="K260" s="136">
        <f>SUM(K250:K259)</f>
        <v>109656.25</v>
      </c>
      <c r="L260" s="143">
        <f>SUM(L250:L259)</f>
        <v>187297.25</v>
      </c>
      <c r="M260" s="1440"/>
      <c r="N260" s="1622"/>
      <c r="Q260" s="105"/>
    </row>
    <row r="261" spans="1:17" ht="17" hidden="1" thickBot="1">
      <c r="A261" s="108" t="str">
        <f>'Ontario Total'!A261</f>
        <v xml:space="preserve">IEUA High Efficiency Toilet (HET) Installation Prog. </v>
      </c>
      <c r="B261" s="1456"/>
      <c r="C261" s="1586"/>
      <c r="D261" s="1567"/>
      <c r="E261" s="1586"/>
      <c r="F261" s="1457"/>
      <c r="G261" s="1586"/>
      <c r="H261" s="708"/>
      <c r="I261" s="179"/>
      <c r="J261" s="179"/>
      <c r="K261" s="179"/>
      <c r="L261" s="179"/>
      <c r="M261" s="1541"/>
      <c r="N261" s="1542"/>
      <c r="Q261" s="105"/>
    </row>
    <row r="262" spans="1:17">
      <c r="A262" s="32" t="str">
        <f>'Ontario Total'!A262</f>
        <v>IEUA Multi-Family Direct Install Prog. (HET)</v>
      </c>
      <c r="B262" s="1421">
        <f>CVWD!N227</f>
        <v>0</v>
      </c>
      <c r="C262" s="1422"/>
      <c r="D262" s="1431">
        <f>F262*325851</f>
        <v>0</v>
      </c>
      <c r="E262" s="1422"/>
      <c r="F262" s="1444">
        <f>0.0425*B262</f>
        <v>0</v>
      </c>
      <c r="G262" s="1422"/>
      <c r="H262" s="709">
        <f>F262*20</f>
        <v>0</v>
      </c>
      <c r="I262" s="150">
        <f>73.34*B262</f>
        <v>0</v>
      </c>
      <c r="J262" s="150">
        <f>35.66*B262</f>
        <v>0</v>
      </c>
      <c r="K262" s="150">
        <f>B262*50</f>
        <v>0</v>
      </c>
      <c r="L262" s="150">
        <f>I262+J262+K262</f>
        <v>0</v>
      </c>
      <c r="M262" s="1634">
        <f>IF(ISERROR(L262/(F262*727)),0,L262/(F262*727))</f>
        <v>0</v>
      </c>
      <c r="N262" s="1540"/>
      <c r="Q262" s="105"/>
    </row>
    <row r="263" spans="1:17" ht="14" thickBot="1">
      <c r="A263" s="32" t="str">
        <f>'Ontario Total'!A263</f>
        <v>IEUA Single-Family Direct Install Prog. (HET)</v>
      </c>
      <c r="B263" s="1421">
        <f>CVWD!N228</f>
        <v>0</v>
      </c>
      <c r="C263" s="1422"/>
      <c r="D263" s="1431">
        <f>F263*325851</f>
        <v>0</v>
      </c>
      <c r="E263" s="1422"/>
      <c r="F263" s="1444">
        <f>0.0425*B263</f>
        <v>0</v>
      </c>
      <c r="G263" s="1422"/>
      <c r="H263" s="709">
        <f>F263*20</f>
        <v>0</v>
      </c>
      <c r="I263" s="150">
        <f>73.34*B263</f>
        <v>0</v>
      </c>
      <c r="J263" s="150">
        <f>35.66*B263</f>
        <v>0</v>
      </c>
      <c r="K263" s="150">
        <f>B263*50</f>
        <v>0</v>
      </c>
      <c r="L263" s="150">
        <f>I263+J263+K263</f>
        <v>0</v>
      </c>
      <c r="M263" s="1634">
        <f>IF(ISERROR(L263/(F263*727)),0,L263/(F263*727))</f>
        <v>0</v>
      </c>
      <c r="N263" s="1540"/>
      <c r="Q263" s="105"/>
    </row>
    <row r="264" spans="1:17" ht="14" thickBot="1">
      <c r="A264" s="53" t="s">
        <v>60</v>
      </c>
      <c r="B264" s="1438">
        <f>SUM(B262:B263)</f>
        <v>0</v>
      </c>
      <c r="C264" s="1609"/>
      <c r="D264" s="1441">
        <f>SUM(D262:D263)</f>
        <v>0</v>
      </c>
      <c r="E264" s="1609"/>
      <c r="F264" s="1440">
        <f>SUM(F262:F263)</f>
        <v>0</v>
      </c>
      <c r="G264" s="1439"/>
      <c r="H264" s="707">
        <f>SUM(H262:H263)</f>
        <v>0</v>
      </c>
      <c r="I264" s="136">
        <f>SUM(I262:I263)</f>
        <v>0</v>
      </c>
      <c r="J264" s="143">
        <f>SUM(J262:J263)</f>
        <v>0</v>
      </c>
      <c r="K264" s="143">
        <f>SUM(K262:K263)</f>
        <v>0</v>
      </c>
      <c r="L264" s="143">
        <f>SUM(L262:L263)</f>
        <v>0</v>
      </c>
      <c r="M264" s="1637"/>
      <c r="N264" s="1611"/>
      <c r="Q264" s="105"/>
    </row>
    <row r="265" spans="1:17" s="1161" customFormat="1" ht="17" thickBot="1">
      <c r="A265" s="108" t="str">
        <f>'Ontario Total'!A265</f>
        <v>SoCal Water$mart Commercial Rebates</v>
      </c>
      <c r="B265" s="1456"/>
      <c r="C265" s="1586"/>
      <c r="D265" s="1567"/>
      <c r="E265" s="1586"/>
      <c r="F265" s="1457"/>
      <c r="G265" s="1586"/>
      <c r="H265" s="1142"/>
      <c r="I265" s="179"/>
      <c r="J265" s="179"/>
      <c r="K265" s="179"/>
      <c r="L265" s="179"/>
      <c r="M265" s="1541"/>
      <c r="N265" s="1542"/>
      <c r="Q265" s="1195"/>
    </row>
    <row r="266" spans="1:17">
      <c r="A266" s="122" t="str">
        <f>'Ontario Total'!A266</f>
        <v>High Efficiency Toilets (HET)</v>
      </c>
      <c r="B266" s="1444">
        <f>CVWD!N231</f>
        <v>0</v>
      </c>
      <c r="C266" s="1422"/>
      <c r="D266" s="1431">
        <f t="shared" ref="D266:D278" si="69">F266*325851</f>
        <v>0</v>
      </c>
      <c r="E266" s="1422"/>
      <c r="F266" s="1767">
        <f>0.0425*B266</f>
        <v>0</v>
      </c>
      <c r="G266" s="1732"/>
      <c r="H266" s="709">
        <f>F266*20</f>
        <v>0</v>
      </c>
      <c r="I266" s="151">
        <v>0</v>
      </c>
      <c r="J266" s="150">
        <f>135*B266</f>
        <v>0</v>
      </c>
      <c r="K266" s="150">
        <f>165*B266</f>
        <v>0</v>
      </c>
      <c r="L266" s="150">
        <f t="shared" ref="L266:L278" si="70">SUM(I266:K266)</f>
        <v>0</v>
      </c>
      <c r="M266" s="1634">
        <f>IF(ISERROR(L266/(F266*752)),0,L266/(F266*752))</f>
        <v>0</v>
      </c>
      <c r="N266" s="1540"/>
      <c r="Q266" s="105"/>
    </row>
    <row r="267" spans="1:17">
      <c r="A267" s="32" t="str">
        <f>'Ontario Total'!A267</f>
        <v>Waterless Urinals</v>
      </c>
      <c r="B267" s="1444">
        <f>CVWD!N232</f>
        <v>0</v>
      </c>
      <c r="C267" s="1422"/>
      <c r="D267" s="1431">
        <f t="shared" si="69"/>
        <v>0</v>
      </c>
      <c r="E267" s="1422"/>
      <c r="F267" s="1444">
        <f>0.1227*B267</f>
        <v>0</v>
      </c>
      <c r="G267" s="1422"/>
      <c r="H267" s="709">
        <f>F267*20</f>
        <v>0</v>
      </c>
      <c r="I267" s="151">
        <v>0</v>
      </c>
      <c r="J267" s="150">
        <f>50*B267</f>
        <v>0</v>
      </c>
      <c r="K267" s="150">
        <f>200*B267</f>
        <v>0</v>
      </c>
      <c r="L267" s="172">
        <f t="shared" si="70"/>
        <v>0</v>
      </c>
      <c r="M267" s="1539">
        <f t="shared" ref="M267:M279" si="71">IF(ISERROR(L267/(F267*752)),0,L267/(F267*752))</f>
        <v>0</v>
      </c>
      <c r="N267" s="1540"/>
      <c r="Q267" s="105"/>
    </row>
    <row r="268" spans="1:17">
      <c r="A268" s="32" t="s">
        <v>204</v>
      </c>
      <c r="B268" s="1444">
        <f>CVWD!N233</f>
        <v>0</v>
      </c>
      <c r="C268" s="1422"/>
      <c r="D268" s="1444">
        <f t="shared" si="69"/>
        <v>0</v>
      </c>
      <c r="E268" s="1422"/>
      <c r="F268" s="1431">
        <f>0.644*B268</f>
        <v>0</v>
      </c>
      <c r="G268" s="1422"/>
      <c r="H268" s="709">
        <f>F268*5</f>
        <v>0</v>
      </c>
      <c r="I268" s="151">
        <v>0</v>
      </c>
      <c r="J268" s="150">
        <f>500*B268</f>
        <v>0</v>
      </c>
      <c r="K268" s="150">
        <f>1750*B268</f>
        <v>0</v>
      </c>
      <c r="L268" s="172">
        <f t="shared" si="70"/>
        <v>0</v>
      </c>
      <c r="M268" s="1539">
        <f t="shared" si="71"/>
        <v>0</v>
      </c>
      <c r="N268" s="1540"/>
    </row>
    <row r="269" spans="1:17" s="91" customFormat="1" ht="16">
      <c r="A269" s="32" t="str">
        <f>'Ontario Total'!A269</f>
        <v>High Efficiency Clothes Washers</v>
      </c>
      <c r="B269" s="1444">
        <f>CVWD!N234</f>
        <v>0</v>
      </c>
      <c r="C269" s="1422"/>
      <c r="D269" s="1444">
        <f t="shared" si="69"/>
        <v>0</v>
      </c>
      <c r="E269" s="1422"/>
      <c r="F269" s="1431">
        <f>0.0276*B269</f>
        <v>0</v>
      </c>
      <c r="G269" s="1422"/>
      <c r="H269" s="709">
        <f>F269*10</f>
        <v>0</v>
      </c>
      <c r="I269" s="151">
        <v>0</v>
      </c>
      <c r="J269" s="150">
        <f>100*B269</f>
        <v>0</v>
      </c>
      <c r="K269" s="150">
        <f>80*B269</f>
        <v>0</v>
      </c>
      <c r="L269" s="172">
        <f t="shared" si="70"/>
        <v>0</v>
      </c>
      <c r="M269" s="1539">
        <f t="shared" si="71"/>
        <v>0</v>
      </c>
      <c r="N269" s="1540"/>
    </row>
    <row r="270" spans="1:17">
      <c r="A270" s="35" t="s">
        <v>47</v>
      </c>
      <c r="B270" s="1444">
        <f>CVWD!N235</f>
        <v>0</v>
      </c>
      <c r="C270" s="1422"/>
      <c r="D270" s="1444">
        <f t="shared" si="69"/>
        <v>0</v>
      </c>
      <c r="E270" s="1422"/>
      <c r="F270" s="1431">
        <f>0.1534*B270</f>
        <v>0</v>
      </c>
      <c r="G270" s="1422"/>
      <c r="H270" s="709">
        <f>F270*5</f>
        <v>0</v>
      </c>
      <c r="I270" s="151">
        <v>0</v>
      </c>
      <c r="J270" s="150">
        <f>0*B270</f>
        <v>0</v>
      </c>
      <c r="K270" s="150">
        <f>150*B270</f>
        <v>0</v>
      </c>
      <c r="L270" s="172">
        <f t="shared" si="70"/>
        <v>0</v>
      </c>
      <c r="M270" s="1539">
        <f t="shared" si="71"/>
        <v>0</v>
      </c>
      <c r="N270" s="1540"/>
    </row>
    <row r="271" spans="1:17">
      <c r="A271" s="32" t="str">
        <f>'Ontario Total'!A271</f>
        <v>Weather Based Irrigation Controllers (WBIC)</v>
      </c>
      <c r="B271" s="1444">
        <f>CVWD!N236</f>
        <v>20</v>
      </c>
      <c r="C271" s="1422"/>
      <c r="D271" s="1444">
        <f t="shared" si="69"/>
        <v>2118031.5</v>
      </c>
      <c r="E271" s="1422"/>
      <c r="F271" s="1431">
        <f>0.325*B271</f>
        <v>6.5</v>
      </c>
      <c r="G271" s="1422"/>
      <c r="H271" s="709">
        <f>F271*10</f>
        <v>65</v>
      </c>
      <c r="I271" s="151">
        <v>0</v>
      </c>
      <c r="J271" s="151">
        <v>14750</v>
      </c>
      <c r="K271" s="151">
        <v>14850</v>
      </c>
      <c r="L271" s="172">
        <f t="shared" si="70"/>
        <v>29600</v>
      </c>
      <c r="M271" s="1539">
        <f t="shared" si="71"/>
        <v>6.0556464811783961</v>
      </c>
      <c r="N271" s="1540"/>
    </row>
    <row r="272" spans="1:17">
      <c r="A272" s="33" t="s">
        <v>53</v>
      </c>
      <c r="B272" s="1444">
        <f>CVWD!N237</f>
        <v>0</v>
      </c>
      <c r="C272" s="1422"/>
      <c r="D272" s="1444">
        <f t="shared" si="69"/>
        <v>0</v>
      </c>
      <c r="E272" s="1422"/>
      <c r="F272" s="1431">
        <f>0.00014*B272</f>
        <v>0</v>
      </c>
      <c r="G272" s="1422"/>
      <c r="H272" s="709">
        <f>F272*10</f>
        <v>0</v>
      </c>
      <c r="I272" s="151">
        <v>0</v>
      </c>
      <c r="J272" s="150">
        <f>0.45*B272</f>
        <v>0</v>
      </c>
      <c r="K272" s="150">
        <f>0.3*B272</f>
        <v>0</v>
      </c>
      <c r="L272" s="172">
        <f t="shared" si="70"/>
        <v>0</v>
      </c>
      <c r="M272" s="1539">
        <f t="shared" si="71"/>
        <v>0</v>
      </c>
      <c r="N272" s="1540"/>
    </row>
    <row r="273" spans="1:14">
      <c r="A273" s="32" t="str">
        <f>'Ontario Total'!A273</f>
        <v>Rotating Nozzles for Pop-up Spray Heads</v>
      </c>
      <c r="B273" s="1444">
        <f>CVWD!N238</f>
        <v>792</v>
      </c>
      <c r="C273" s="1422"/>
      <c r="D273" s="1444">
        <f t="shared" si="69"/>
        <v>1032295.968</v>
      </c>
      <c r="E273" s="1422"/>
      <c r="F273" s="1431">
        <f>0.004*B273</f>
        <v>3.1680000000000001</v>
      </c>
      <c r="G273" s="1422"/>
      <c r="H273" s="709">
        <f>F273*5</f>
        <v>15.84</v>
      </c>
      <c r="I273" s="151">
        <v>0</v>
      </c>
      <c r="J273" s="150">
        <v>552</v>
      </c>
      <c r="K273" s="150">
        <v>3086</v>
      </c>
      <c r="L273" s="172">
        <f t="shared" si="70"/>
        <v>3638</v>
      </c>
      <c r="M273" s="1539">
        <f t="shared" si="71"/>
        <v>1.5270725875779065</v>
      </c>
      <c r="N273" s="1540"/>
    </row>
    <row r="274" spans="1:14" hidden="1">
      <c r="A274" s="32" t="str">
        <f>'Ontario Total'!A274</f>
        <v>Large Rotary Nozzles</v>
      </c>
      <c r="B274" s="1444">
        <f>CVWD!N239</f>
        <v>0</v>
      </c>
      <c r="C274" s="1422"/>
      <c r="D274" s="1444">
        <f t="shared" si="69"/>
        <v>0</v>
      </c>
      <c r="E274" s="1422"/>
      <c r="F274" s="1431">
        <f>0.018*B274</f>
        <v>0</v>
      </c>
      <c r="G274" s="1422"/>
      <c r="H274" s="709">
        <f t="shared" ref="H274:H279" si="72">F274*10</f>
        <v>0</v>
      </c>
      <c r="I274" s="151">
        <v>0</v>
      </c>
      <c r="J274" s="150">
        <f>0*B274</f>
        <v>0</v>
      </c>
      <c r="K274" s="150">
        <f>13*B274</f>
        <v>0</v>
      </c>
      <c r="L274" s="172">
        <f t="shared" si="70"/>
        <v>0</v>
      </c>
      <c r="M274" s="1539">
        <f t="shared" si="71"/>
        <v>0</v>
      </c>
      <c r="N274" s="1540"/>
    </row>
    <row r="275" spans="1:14">
      <c r="A275" s="33" t="s">
        <v>102</v>
      </c>
      <c r="B275" s="1444">
        <f>CVWD!N240</f>
        <v>0</v>
      </c>
      <c r="C275" s="1422"/>
      <c r="D275" s="1431">
        <f t="shared" si="69"/>
        <v>0</v>
      </c>
      <c r="E275" s="1422"/>
      <c r="F275" s="1431">
        <f>0.018*B275</f>
        <v>0</v>
      </c>
      <c r="G275" s="1422"/>
      <c r="H275" s="709">
        <f t="shared" si="72"/>
        <v>0</v>
      </c>
      <c r="I275" s="151">
        <v>1</v>
      </c>
      <c r="J275" s="150">
        <f>0*B275</f>
        <v>0</v>
      </c>
      <c r="K275" s="150">
        <f>13*B275</f>
        <v>0</v>
      </c>
      <c r="L275" s="172">
        <f t="shared" si="70"/>
        <v>1</v>
      </c>
      <c r="M275" s="1539">
        <f t="shared" si="71"/>
        <v>0</v>
      </c>
      <c r="N275" s="1540"/>
    </row>
    <row r="276" spans="1:14" hidden="1">
      <c r="A276" s="32" t="str">
        <f>'Ontario Total'!A276</f>
        <v xml:space="preserve">Central Computerized Irrigation Controller </v>
      </c>
      <c r="B276" s="1444">
        <f>CVWD!N241</f>
        <v>0</v>
      </c>
      <c r="C276" s="1422"/>
      <c r="D276" s="1431">
        <f t="shared" si="69"/>
        <v>0</v>
      </c>
      <c r="E276" s="1422"/>
      <c r="F276" s="1431">
        <f>4.874*B276</f>
        <v>0</v>
      </c>
      <c r="G276" s="1422"/>
      <c r="H276" s="709">
        <f t="shared" si="72"/>
        <v>0</v>
      </c>
      <c r="I276" s="151">
        <v>0</v>
      </c>
      <c r="J276" s="151">
        <f>0*B276</f>
        <v>0</v>
      </c>
      <c r="K276" s="151">
        <f>13*B276</f>
        <v>0</v>
      </c>
      <c r="L276" s="172">
        <f t="shared" si="70"/>
        <v>0</v>
      </c>
      <c r="M276" s="1539">
        <f t="shared" si="71"/>
        <v>0</v>
      </c>
      <c r="N276" s="1540"/>
    </row>
    <row r="277" spans="1:14">
      <c r="A277" s="144" t="str">
        <f>'Ontario Total'!A277</f>
        <v>Laminar Flow Restrictor</v>
      </c>
      <c r="B277" s="1444">
        <f>CVWD!N242</f>
        <v>0</v>
      </c>
      <c r="C277" s="1422"/>
      <c r="D277" s="1736">
        <f t="shared" si="69"/>
        <v>0</v>
      </c>
      <c r="E277" s="1446"/>
      <c r="F277" s="1736">
        <f>4.874*B277</f>
        <v>0</v>
      </c>
      <c r="G277" s="1446"/>
      <c r="H277" s="710">
        <f t="shared" si="72"/>
        <v>0</v>
      </c>
      <c r="I277" s="151">
        <v>0</v>
      </c>
      <c r="J277" s="151">
        <f>0*B277</f>
        <v>0</v>
      </c>
      <c r="K277" s="151">
        <f>13*B277</f>
        <v>0</v>
      </c>
      <c r="L277" s="170">
        <f t="shared" si="70"/>
        <v>0</v>
      </c>
      <c r="M277" s="1539">
        <f t="shared" si="71"/>
        <v>0</v>
      </c>
      <c r="N277" s="1540"/>
    </row>
    <row r="278" spans="1:14">
      <c r="A278" s="144" t="str">
        <f>'Ontario Total'!A278</f>
        <v>Air-Cooled Ice Machine</v>
      </c>
      <c r="B278" s="1444">
        <f>CVWD!N243</f>
        <v>1</v>
      </c>
      <c r="C278" s="1422"/>
      <c r="D278" s="1736">
        <f t="shared" si="69"/>
        <v>1588197.774</v>
      </c>
      <c r="E278" s="1446"/>
      <c r="F278" s="1736">
        <f>4.874*B278</f>
        <v>4.8739999999999997</v>
      </c>
      <c r="G278" s="1446"/>
      <c r="H278" s="710">
        <f t="shared" si="72"/>
        <v>48.739999999999995</v>
      </c>
      <c r="I278" s="151">
        <v>0</v>
      </c>
      <c r="J278" s="151">
        <v>1000</v>
      </c>
      <c r="K278" s="151">
        <v>1000</v>
      </c>
      <c r="L278" s="170">
        <f t="shared" si="70"/>
        <v>2000</v>
      </c>
      <c r="M278" s="1539">
        <f t="shared" si="71"/>
        <v>0.5456656684622706</v>
      </c>
      <c r="N278" s="1540"/>
    </row>
    <row r="279" spans="1:14" ht="14" hidden="1" thickBot="1">
      <c r="A279" s="494" t="s">
        <v>213</v>
      </c>
      <c r="B279" s="1768">
        <f>CVWD!N244</f>
        <v>0</v>
      </c>
      <c r="C279" s="1430"/>
      <c r="D279" s="1737">
        <f>F279*325851</f>
        <v>0</v>
      </c>
      <c r="E279" s="1726"/>
      <c r="F279" s="1737">
        <f>4.874*B279</f>
        <v>0</v>
      </c>
      <c r="G279" s="1726"/>
      <c r="H279" s="463">
        <f t="shared" si="72"/>
        <v>0</v>
      </c>
      <c r="I279" s="151">
        <v>0</v>
      </c>
      <c r="J279" s="151">
        <f>0*B279</f>
        <v>0</v>
      </c>
      <c r="K279" s="151">
        <f>13*B279</f>
        <v>0</v>
      </c>
      <c r="L279" s="170">
        <f>SUM(I279:K279)</f>
        <v>0</v>
      </c>
      <c r="M279" s="1539">
        <f t="shared" si="71"/>
        <v>0</v>
      </c>
      <c r="N279" s="1540"/>
    </row>
    <row r="280" spans="1:14" s="1168" customFormat="1" ht="17" hidden="1" thickBot="1">
      <c r="A280" s="108" t="str">
        <f>'Ontario Total'!A280</f>
        <v>IEUA Locally Implemented Commercial Programs</v>
      </c>
      <c r="B280" s="1567"/>
      <c r="C280" s="1586"/>
      <c r="D280" s="1567"/>
      <c r="E280" s="1586"/>
      <c r="F280" s="1567"/>
      <c r="G280" s="1586"/>
      <c r="H280" s="1142"/>
      <c r="I280" s="109"/>
      <c r="J280" s="179"/>
      <c r="K280" s="179"/>
      <c r="L280" s="180"/>
      <c r="M280" s="1617"/>
      <c r="N280" s="1486"/>
    </row>
    <row r="281" spans="1:14">
      <c r="A281" s="32" t="str">
        <f>'Ontario Total'!A281</f>
        <v>Fontana Unified School Retrofit Program</v>
      </c>
      <c r="B281" s="1431">
        <f>CVWD!N246</f>
        <v>0</v>
      </c>
      <c r="C281" s="1422"/>
      <c r="D281" s="1431">
        <f>F281*325851</f>
        <v>0</v>
      </c>
      <c r="E281" s="1422"/>
      <c r="F281" s="1431">
        <v>0</v>
      </c>
      <c r="G281" s="1422"/>
      <c r="H281" s="462">
        <f>F281*10</f>
        <v>0</v>
      </c>
      <c r="I281" s="151">
        <v>0</v>
      </c>
      <c r="J281" s="151">
        <f>0*B281</f>
        <v>0</v>
      </c>
      <c r="K281" s="151">
        <f>13*B281</f>
        <v>0</v>
      </c>
      <c r="L281" s="172">
        <f>SUM(I281:K281)</f>
        <v>0</v>
      </c>
      <c r="M281" s="1539">
        <f>IF(ISERROR(L281/(F281*727)),0,L281/(F281*727))</f>
        <v>0</v>
      </c>
      <c r="N281" s="1540"/>
    </row>
    <row r="282" spans="1:14" ht="14" thickBot="1">
      <c r="A282" s="32" t="s">
        <v>165</v>
      </c>
      <c r="B282" s="1431">
        <f>CVWD!N247</f>
        <v>12700</v>
      </c>
      <c r="C282" s="1422"/>
      <c r="D282" s="1431">
        <f>F282*325851</f>
        <v>16553230.800000001</v>
      </c>
      <c r="E282" s="1422"/>
      <c r="F282" s="1431">
        <f>0.004*B282</f>
        <v>50.800000000000004</v>
      </c>
      <c r="G282" s="1422"/>
      <c r="H282" s="462">
        <f>F282*5</f>
        <v>254.00000000000003</v>
      </c>
      <c r="I282" s="151">
        <v>0</v>
      </c>
      <c r="J282" s="150">
        <f>0*B282</f>
        <v>0</v>
      </c>
      <c r="K282" s="150">
        <f>3.25*B282</f>
        <v>41275</v>
      </c>
      <c r="L282" s="172">
        <f>SUM(I282:K282)</f>
        <v>41275</v>
      </c>
      <c r="M282" s="1539">
        <f>IF(ISERROR(L282/(F282*752)),0,L282/(F282*752))</f>
        <v>1.0804521276595742</v>
      </c>
      <c r="N282" s="1540"/>
    </row>
    <row r="283" spans="1:14" ht="14" thickBot="1">
      <c r="A283" s="53" t="s">
        <v>60</v>
      </c>
      <c r="B283" s="1438">
        <f>SUM(B266:C282)</f>
        <v>13513</v>
      </c>
      <c r="C283" s="1609"/>
      <c r="D283" s="1440">
        <f>SUM(D266:E282)</f>
        <v>21291756.041999999</v>
      </c>
      <c r="E283" s="1621"/>
      <c r="F283" s="1441">
        <f>SUM(F266:G282)</f>
        <v>65.341999999999999</v>
      </c>
      <c r="G283" s="1439"/>
      <c r="H283" s="482">
        <f>SUM(H266:H282)</f>
        <v>383.58000000000004</v>
      </c>
      <c r="I283" s="136">
        <v>0</v>
      </c>
      <c r="J283" s="136">
        <f>SUM(J266:J282)</f>
        <v>16302</v>
      </c>
      <c r="K283" s="136">
        <f>SUM(K266:K282)</f>
        <v>60211</v>
      </c>
      <c r="L283" s="136">
        <f>SUM(L266:L282)</f>
        <v>76514</v>
      </c>
      <c r="M283" s="1442"/>
      <c r="N283" s="1735"/>
    </row>
    <row r="284" spans="1:14" s="1168" customFormat="1" ht="17" thickBot="1">
      <c r="A284" s="1182" t="s">
        <v>17</v>
      </c>
      <c r="B284" s="1416">
        <f>SUM(B260+B264+B283)</f>
        <v>20348</v>
      </c>
      <c r="C284" s="1415"/>
      <c r="D284" s="1416">
        <f>SUM(D260+D264+D283)</f>
        <v>124491732.98609999</v>
      </c>
      <c r="E284" s="1415"/>
      <c r="F284" s="1416">
        <f>SUM(F260+F264+F283)</f>
        <v>382.05109999999996</v>
      </c>
      <c r="G284" s="1415"/>
      <c r="H284" s="1164">
        <f>SUM(H260+H283)</f>
        <v>6385.9210000000003</v>
      </c>
      <c r="I284" s="1169">
        <f>SUM(I260+I264+I283)</f>
        <v>22825</v>
      </c>
      <c r="J284" s="1169">
        <f>SUM(J260+J264+J283)</f>
        <v>71118</v>
      </c>
      <c r="K284" s="1169">
        <f>SUM(K260+K264+K283)</f>
        <v>169867.25</v>
      </c>
      <c r="L284" s="1169">
        <f>SUM(L260+L264+L283)</f>
        <v>263811.25</v>
      </c>
      <c r="M284" s="1417"/>
      <c r="N284" s="1614"/>
    </row>
    <row r="285" spans="1:14" ht="16">
      <c r="A285" s="60"/>
      <c r="B285" s="61"/>
      <c r="C285" s="61"/>
      <c r="D285" s="61"/>
      <c r="E285" s="61"/>
      <c r="F285" s="441"/>
      <c r="G285" s="441"/>
      <c r="H285" s="441"/>
      <c r="I285" s="62"/>
      <c r="J285" s="62"/>
      <c r="K285" s="62"/>
      <c r="L285" s="62"/>
      <c r="M285" s="64"/>
      <c r="N285" s="65"/>
    </row>
    <row r="286" spans="1:14" ht="16">
      <c r="A286" s="9" t="s">
        <v>18</v>
      </c>
      <c r="B286" s="1419" t="s">
        <v>59</v>
      </c>
      <c r="C286" s="1419"/>
      <c r="D286" s="1419"/>
      <c r="E286" s="1419"/>
      <c r="F286" s="441"/>
      <c r="G286" s="441"/>
      <c r="H286" s="441"/>
      <c r="I286" s="62"/>
      <c r="J286" s="62"/>
      <c r="K286" s="62"/>
      <c r="L286" s="62"/>
      <c r="M286" s="64"/>
      <c r="N286" s="65"/>
    </row>
    <row r="287" spans="1:14" ht="16">
      <c r="A287" s="57"/>
      <c r="B287" s="1420" t="s">
        <v>19</v>
      </c>
      <c r="C287" s="1420"/>
      <c r="D287" s="1420"/>
      <c r="E287" s="1420"/>
      <c r="F287" s="441"/>
      <c r="G287" s="441"/>
      <c r="H287" s="441"/>
      <c r="I287" s="62"/>
      <c r="J287" s="62"/>
      <c r="K287" s="62"/>
      <c r="L287" s="62"/>
      <c r="M287" s="64"/>
      <c r="N287" s="65"/>
    </row>
    <row r="288" spans="1:14" s="363" customFormat="1" ht="17" thickBot="1">
      <c r="A288" s="57"/>
      <c r="B288" s="943"/>
      <c r="C288" s="943"/>
      <c r="D288" s="943"/>
      <c r="E288" s="943"/>
      <c r="F288" s="441"/>
      <c r="G288" s="441"/>
      <c r="H288" s="441"/>
      <c r="I288" s="62"/>
      <c r="J288" s="62"/>
      <c r="K288" s="62"/>
      <c r="L288" s="62"/>
      <c r="M288" s="64"/>
      <c r="N288" s="65"/>
    </row>
    <row r="289" spans="1:17" ht="16">
      <c r="A289" s="98"/>
      <c r="B289" s="99"/>
      <c r="C289" s="99"/>
      <c r="D289" s="99"/>
      <c r="E289" s="99"/>
      <c r="F289" s="421"/>
      <c r="G289" s="421"/>
      <c r="H289" s="421"/>
      <c r="I289" s="1468" t="s">
        <v>0</v>
      </c>
      <c r="J289" s="1468"/>
      <c r="K289" s="1468"/>
      <c r="L289" s="1468"/>
      <c r="M289" s="99"/>
      <c r="N289" s="101"/>
    </row>
    <row r="290" spans="1:17" ht="16">
      <c r="A290" s="97"/>
      <c r="B290" s="1469" t="s">
        <v>1</v>
      </c>
      <c r="C290" s="1469"/>
      <c r="D290" s="1469" t="s">
        <v>2</v>
      </c>
      <c r="E290" s="1469"/>
      <c r="F290" s="1470" t="s">
        <v>3</v>
      </c>
      <c r="G290" s="1470"/>
      <c r="H290" s="931" t="s">
        <v>3</v>
      </c>
      <c r="I290" s="127" t="s">
        <v>197</v>
      </c>
      <c r="J290" s="102"/>
      <c r="K290" s="102"/>
      <c r="L290" s="128"/>
      <c r="M290" s="1469" t="s">
        <v>4</v>
      </c>
      <c r="N290" s="1526"/>
    </row>
    <row r="291" spans="1:17" ht="19" thickBot="1">
      <c r="A291" s="103" t="s">
        <v>5</v>
      </c>
      <c r="B291" s="1473" t="s">
        <v>6</v>
      </c>
      <c r="C291" s="1473"/>
      <c r="D291" s="1473" t="s">
        <v>7</v>
      </c>
      <c r="E291" s="1473"/>
      <c r="F291" s="1474" t="s">
        <v>7</v>
      </c>
      <c r="G291" s="1474"/>
      <c r="H291" s="933" t="s">
        <v>58</v>
      </c>
      <c r="I291" s="937" t="s">
        <v>198</v>
      </c>
      <c r="J291" s="932" t="s">
        <v>8</v>
      </c>
      <c r="K291" s="932" t="s">
        <v>9</v>
      </c>
      <c r="L291" s="401" t="s">
        <v>10</v>
      </c>
      <c r="M291" s="1473" t="s">
        <v>145</v>
      </c>
      <c r="N291" s="1475"/>
    </row>
    <row r="292" spans="1:17" ht="24" thickBot="1">
      <c r="A292" s="88" t="s">
        <v>185</v>
      </c>
      <c r="B292" s="1764"/>
      <c r="C292" s="1477"/>
      <c r="D292" s="1478"/>
      <c r="E292" s="1479"/>
      <c r="F292" s="1480"/>
      <c r="G292" s="1481"/>
      <c r="H292" s="945"/>
      <c r="I292" s="7"/>
      <c r="J292" s="7"/>
      <c r="K292" s="7"/>
      <c r="L292" s="8"/>
      <c r="M292" s="1764"/>
      <c r="N292" s="1765"/>
    </row>
    <row r="293" spans="1:17" s="1161" customFormat="1" ht="17" thickBot="1">
      <c r="A293" s="108" t="str">
        <f>'Ontario Total'!A293</f>
        <v>SoCal Water$mart Residential Rebates</v>
      </c>
      <c r="B293" s="1567"/>
      <c r="C293" s="1586"/>
      <c r="D293" s="1567"/>
      <c r="E293" s="1586"/>
      <c r="F293" s="1587"/>
      <c r="G293" s="1588"/>
      <c r="H293" s="1145"/>
      <c r="I293" s="109"/>
      <c r="J293" s="109"/>
      <c r="K293" s="109"/>
      <c r="L293" s="1141"/>
      <c r="M293" s="1617"/>
      <c r="N293" s="1486"/>
      <c r="Q293" s="1195"/>
    </row>
    <row r="294" spans="1:17">
      <c r="A294" s="32" t="str">
        <f>'Ontario Total'!A294</f>
        <v>High Efficiency Toilets (HET)</v>
      </c>
      <c r="B294" s="1431">
        <f>CVWD!N178</f>
        <v>3</v>
      </c>
      <c r="C294" s="1422"/>
      <c r="D294" s="1431">
        <f>F294*325851</f>
        <v>41546.002500000002</v>
      </c>
      <c r="E294" s="1422"/>
      <c r="F294" s="1871">
        <f>0.0425*B294</f>
        <v>0.1275</v>
      </c>
      <c r="G294" s="1450"/>
      <c r="H294" s="957">
        <f>F294*20</f>
        <v>2.5499999999999998</v>
      </c>
      <c r="I294" s="131">
        <f>0*B294</f>
        <v>0</v>
      </c>
      <c r="J294" s="131">
        <f>50*B294</f>
        <v>150</v>
      </c>
      <c r="K294" s="131">
        <f>B294*50</f>
        <v>150</v>
      </c>
      <c r="L294" s="132">
        <f>I294+J294+K294</f>
        <v>300</v>
      </c>
      <c r="M294" s="1758">
        <f>IF(ISERROR(L294/(F294*727)),0,L294/(F294*727))</f>
        <v>3.2365078080750873</v>
      </c>
      <c r="N294" s="1759"/>
      <c r="Q294" s="105"/>
    </row>
    <row r="295" spans="1:17">
      <c r="A295" s="32" t="str">
        <f>'Ontario Total'!A295</f>
        <v>High Efficiency Clothes Washers (HECW)</v>
      </c>
      <c r="B295" s="1431">
        <f>CVWD!N179</f>
        <v>295</v>
      </c>
      <c r="C295" s="1422"/>
      <c r="D295" s="1431">
        <f t="shared" ref="D295:D301" si="73">F295*325851</f>
        <v>4085356.9125000006</v>
      </c>
      <c r="E295" s="1422"/>
      <c r="F295" s="1871">
        <f t="shared" ref="F295:F300" si="74">0.0425*B295</f>
        <v>12.537500000000001</v>
      </c>
      <c r="G295" s="1450"/>
      <c r="H295" s="957">
        <f t="shared" ref="H295:H300" si="75">F295*20</f>
        <v>250.75000000000003</v>
      </c>
      <c r="I295" s="131">
        <f>0*B295</f>
        <v>0</v>
      </c>
      <c r="J295" s="150">
        <f>B295*65</f>
        <v>19175</v>
      </c>
      <c r="K295" s="131">
        <f>B295*85</f>
        <v>25075</v>
      </c>
      <c r="L295" s="132">
        <f>I295+J295+K295</f>
        <v>44250</v>
      </c>
      <c r="M295" s="1758">
        <f t="shared" ref="M295:M301" si="76">IF(ISERROR(L295/(F295*727)),0,L295/(F295*727))</f>
        <v>4.8547617121126301</v>
      </c>
      <c r="N295" s="1759"/>
      <c r="Q295" s="105"/>
    </row>
    <row r="296" spans="1:17">
      <c r="A296" s="32" t="str">
        <f>'Ontario Total'!A296</f>
        <v>Rotating Nozzles for Pop-up Spray Heads</v>
      </c>
      <c r="B296" s="1431">
        <f>CVWD!N180</f>
        <v>16</v>
      </c>
      <c r="C296" s="1422"/>
      <c r="D296" s="1431">
        <f t="shared" si="73"/>
        <v>221578.68000000002</v>
      </c>
      <c r="E296" s="1422"/>
      <c r="F296" s="1871">
        <f t="shared" si="74"/>
        <v>0.68</v>
      </c>
      <c r="G296" s="1450"/>
      <c r="H296" s="957">
        <f t="shared" si="75"/>
        <v>13.600000000000001</v>
      </c>
      <c r="I296" s="131">
        <f>0*B296</f>
        <v>0</v>
      </c>
      <c r="J296" s="131">
        <f>1*B296</f>
        <v>16</v>
      </c>
      <c r="K296" s="131">
        <f>B296*4</f>
        <v>64</v>
      </c>
      <c r="L296" s="132">
        <f>I296+J296+K296</f>
        <v>80</v>
      </c>
      <c r="M296" s="1758">
        <f t="shared" si="76"/>
        <v>0.16182539040375435</v>
      </c>
      <c r="N296" s="1759"/>
      <c r="Q296" s="105"/>
    </row>
    <row r="297" spans="1:17">
      <c r="A297" s="32" t="str">
        <f>'Ontario Total'!A297</f>
        <v>Weather based Irrigation Controllers (WBIC)</v>
      </c>
      <c r="B297" s="1431">
        <f>CVWD!N181</f>
        <v>22</v>
      </c>
      <c r="C297" s="1422"/>
      <c r="D297" s="1431">
        <f t="shared" si="73"/>
        <v>304670.685</v>
      </c>
      <c r="E297" s="1422"/>
      <c r="F297" s="1871">
        <f t="shared" si="74"/>
        <v>0.93500000000000005</v>
      </c>
      <c r="G297" s="1450"/>
      <c r="H297" s="957">
        <f t="shared" si="75"/>
        <v>18.700000000000003</v>
      </c>
      <c r="I297" s="131">
        <f>0*B297</f>
        <v>0</v>
      </c>
      <c r="J297" s="131">
        <f>B297*70</f>
        <v>1540</v>
      </c>
      <c r="K297" s="131">
        <f>B297*80</f>
        <v>1760</v>
      </c>
      <c r="L297" s="132">
        <f>SUM(J297:K297)</f>
        <v>3300</v>
      </c>
      <c r="M297" s="1758">
        <f t="shared" si="76"/>
        <v>4.8547617121126301</v>
      </c>
      <c r="N297" s="1759"/>
      <c r="Q297" s="105"/>
    </row>
    <row r="298" spans="1:17" ht="14" thickBot="1">
      <c r="A298" s="76" t="s">
        <v>183</v>
      </c>
      <c r="B298" s="1431">
        <f>CVWD!N182</f>
        <v>0</v>
      </c>
      <c r="C298" s="1422"/>
      <c r="D298" s="1431">
        <f t="shared" si="73"/>
        <v>0</v>
      </c>
      <c r="E298" s="1422"/>
      <c r="F298" s="1871">
        <f t="shared" si="74"/>
        <v>0</v>
      </c>
      <c r="G298" s="1450"/>
      <c r="H298" s="957">
        <f t="shared" si="75"/>
        <v>0</v>
      </c>
      <c r="I298" s="4">
        <f>0*B298</f>
        <v>0</v>
      </c>
      <c r="J298" s="19"/>
      <c r="K298" s="19"/>
      <c r="L298" s="125">
        <f>SUM(I298:K298)</f>
        <v>0</v>
      </c>
      <c r="M298" s="1758">
        <f t="shared" si="76"/>
        <v>0</v>
      </c>
      <c r="N298" s="1759"/>
      <c r="Q298" s="105"/>
    </row>
    <row r="299" spans="1:17" s="1168" customFormat="1" ht="17" thickBot="1">
      <c r="A299" s="108" t="str">
        <f>'Ontario Total'!A299</f>
        <v>IEUA Locally Implemented Residential Programs</v>
      </c>
      <c r="B299" s="1567"/>
      <c r="C299" s="1586"/>
      <c r="D299" s="1567"/>
      <c r="E299" s="1586"/>
      <c r="F299" s="1567"/>
      <c r="G299" s="1586"/>
      <c r="H299" s="1142"/>
      <c r="I299" s="109"/>
      <c r="J299" s="109"/>
      <c r="K299" s="109"/>
      <c r="L299" s="1141"/>
      <c r="M299" s="1617"/>
      <c r="N299" s="1486"/>
      <c r="Q299" s="1195"/>
    </row>
    <row r="300" spans="1:17">
      <c r="A300" s="78" t="s">
        <v>205</v>
      </c>
      <c r="B300" s="1431">
        <f>CVWD!N184</f>
        <v>8496</v>
      </c>
      <c r="C300" s="1422"/>
      <c r="D300" s="1431">
        <f t="shared" si="73"/>
        <v>117658279.08000001</v>
      </c>
      <c r="E300" s="1422"/>
      <c r="F300" s="1431">
        <f t="shared" si="74"/>
        <v>361.08000000000004</v>
      </c>
      <c r="G300" s="1422"/>
      <c r="H300" s="709">
        <f t="shared" si="75"/>
        <v>7221.6</v>
      </c>
      <c r="I300" s="131">
        <f>0*B300</f>
        <v>0</v>
      </c>
      <c r="J300" s="130">
        <v>0</v>
      </c>
      <c r="K300" s="130">
        <f>7125*3.25</f>
        <v>23156.25</v>
      </c>
      <c r="L300" s="134">
        <f>SUM(I300:K300)</f>
        <v>23156.25</v>
      </c>
      <c r="M300" s="1758">
        <f t="shared" si="76"/>
        <v>8.8212551707555001E-2</v>
      </c>
      <c r="N300" s="1759"/>
      <c r="Q300" s="105"/>
    </row>
    <row r="301" spans="1:17" hidden="1">
      <c r="A301" s="32" t="s">
        <v>166</v>
      </c>
      <c r="B301" s="1431">
        <f>CVWD!N185</f>
        <v>42</v>
      </c>
      <c r="C301" s="1422"/>
      <c r="D301" s="1431">
        <f t="shared" si="73"/>
        <v>12382338</v>
      </c>
      <c r="E301" s="1422"/>
      <c r="F301" s="1871">
        <v>38</v>
      </c>
      <c r="G301" s="1450"/>
      <c r="H301" s="957">
        <v>316</v>
      </c>
      <c r="I301" s="131">
        <v>23816</v>
      </c>
      <c r="J301" s="130">
        <v>3876</v>
      </c>
      <c r="K301" s="130">
        <v>27693</v>
      </c>
      <c r="L301" s="134">
        <f>SUM(I301:K301)</f>
        <v>55385</v>
      </c>
      <c r="M301" s="1758">
        <f t="shared" si="76"/>
        <v>2.0048143053645116</v>
      </c>
      <c r="N301" s="1759"/>
      <c r="Q301" s="105"/>
    </row>
    <row r="302" spans="1:17" s="91" customFormat="1" ht="17" thickBot="1">
      <c r="A302" s="78" t="s">
        <v>207</v>
      </c>
      <c r="B302" s="1431">
        <f>CVWD!N186</f>
        <v>6</v>
      </c>
      <c r="C302" s="1444"/>
      <c r="D302" s="1734">
        <f>F302*325851</f>
        <v>248852.40869999997</v>
      </c>
      <c r="E302" s="1430"/>
      <c r="F302" s="1886">
        <f>5455*0.00014</f>
        <v>0.76369999999999993</v>
      </c>
      <c r="G302" s="1887"/>
      <c r="H302" s="957">
        <f>F302*10</f>
        <v>7.6369999999999996</v>
      </c>
      <c r="I302" s="131">
        <v>1900</v>
      </c>
      <c r="J302" s="130">
        <v>4249</v>
      </c>
      <c r="K302" s="130">
        <f>5119*1</f>
        <v>5119</v>
      </c>
      <c r="L302" s="133">
        <f>SUM(I302:K302)</f>
        <v>11268</v>
      </c>
      <c r="M302" s="1943">
        <f>IF(ISERROR(L302/(F302*727)),0,L302/(F302*727))</f>
        <v>20.295027159998408</v>
      </c>
      <c r="N302" s="1759"/>
      <c r="Q302" s="105"/>
    </row>
    <row r="303" spans="1:17" ht="14" thickBot="1">
      <c r="A303" s="53" t="s">
        <v>60</v>
      </c>
      <c r="B303" s="1438">
        <f>SUM(B294:C302)</f>
        <v>8880</v>
      </c>
      <c r="C303" s="1621"/>
      <c r="D303" s="1441">
        <f>SUM(D294:E302)</f>
        <v>134942621.7687</v>
      </c>
      <c r="E303" s="1609"/>
      <c r="F303" s="1440">
        <f>SUM(F294:G302)</f>
        <v>414.12369999999999</v>
      </c>
      <c r="G303" s="1439"/>
      <c r="H303" s="707">
        <f>SUM(H294:H302)</f>
        <v>7830.8370000000004</v>
      </c>
      <c r="I303" s="136">
        <f>SUM(I294:I302)</f>
        <v>25716</v>
      </c>
      <c r="J303" s="136">
        <f>SUM(J294:J302)</f>
        <v>29006</v>
      </c>
      <c r="K303" s="136">
        <f>SUM(K294:K302)</f>
        <v>83017.25</v>
      </c>
      <c r="L303" s="143">
        <f>SUM(L294:L302)</f>
        <v>137739.25</v>
      </c>
      <c r="M303" s="1440"/>
      <c r="N303" s="1609"/>
      <c r="Q303" s="105"/>
    </row>
    <row r="304" spans="1:17" s="1168" customFormat="1" ht="17" thickBot="1">
      <c r="A304" s="108" t="str">
        <f>'Ontario Total'!A304</f>
        <v xml:space="preserve">IEUA High Efficiency Toilet (HET) Installation Prog. </v>
      </c>
      <c r="B304" s="1567"/>
      <c r="C304" s="1457"/>
      <c r="D304" s="1567"/>
      <c r="E304" s="1586"/>
      <c r="F304" s="1457"/>
      <c r="G304" s="1586"/>
      <c r="H304" s="1142"/>
      <c r="I304" s="109"/>
      <c r="J304" s="109"/>
      <c r="K304" s="109"/>
      <c r="L304" s="109"/>
      <c r="M304" s="1485"/>
      <c r="N304" s="1486"/>
    </row>
    <row r="305" spans="1:14" s="91" customFormat="1" ht="16">
      <c r="A305" s="32" t="str">
        <f>'Ontario Total'!A305</f>
        <v>IEUA Multi-Family Direct Install Prog. (HET)</v>
      </c>
      <c r="B305" s="1431">
        <f>CVWD!N189</f>
        <v>0</v>
      </c>
      <c r="C305" s="1444"/>
      <c r="D305" s="1431">
        <f>F305*325851</f>
        <v>0</v>
      </c>
      <c r="E305" s="1422"/>
      <c r="F305" s="1449">
        <f>0.0425*B305</f>
        <v>0</v>
      </c>
      <c r="G305" s="1450"/>
      <c r="H305" s="957">
        <f>F305*20</f>
        <v>0</v>
      </c>
      <c r="I305" s="131">
        <f>73.34*B305</f>
        <v>0</v>
      </c>
      <c r="J305" s="131">
        <f>35.66*B305</f>
        <v>0</v>
      </c>
      <c r="K305" s="131">
        <f>B305*50</f>
        <v>0</v>
      </c>
      <c r="L305" s="131">
        <f>I305+J305+K305</f>
        <v>0</v>
      </c>
      <c r="M305" s="1943">
        <f>IF(ISERROR(L305/(F305*727)),0,L305/(F305*727))</f>
        <v>0</v>
      </c>
      <c r="N305" s="1759"/>
    </row>
    <row r="306" spans="1:14" ht="14" thickBot="1">
      <c r="A306" s="32" t="str">
        <f>'Ontario Total'!A306</f>
        <v>IEUA Single-Family Direct Install Prog. (HET)</v>
      </c>
      <c r="B306" s="1431">
        <f>CVWD!N190</f>
        <v>179</v>
      </c>
      <c r="C306" s="1444"/>
      <c r="D306" s="1431">
        <f>F306*325851</f>
        <v>2478911.4825000004</v>
      </c>
      <c r="E306" s="1422"/>
      <c r="F306" s="1449">
        <f>0.0425*B306</f>
        <v>7.6075000000000008</v>
      </c>
      <c r="G306" s="1450"/>
      <c r="H306" s="957">
        <f>F306*20</f>
        <v>152.15</v>
      </c>
      <c r="I306" s="131">
        <f>73.34*B306</f>
        <v>13127.86</v>
      </c>
      <c r="J306" s="131">
        <f>35.66*B306</f>
        <v>6383.1399999999994</v>
      </c>
      <c r="K306" s="131">
        <f>B306*50</f>
        <v>8950</v>
      </c>
      <c r="L306" s="148">
        <f>I306+J306+K306</f>
        <v>28461</v>
      </c>
      <c r="M306" s="1943">
        <f>IF(ISERROR(L306/(F306*727)),0,L306/(F306*727))</f>
        <v>5.146047414839388</v>
      </c>
      <c r="N306" s="1759"/>
    </row>
    <row r="307" spans="1:14" ht="14" thickBot="1">
      <c r="A307" s="53" t="s">
        <v>60</v>
      </c>
      <c r="B307" s="1438">
        <f>SUM(B305:B306)</f>
        <v>179</v>
      </c>
      <c r="C307" s="1621"/>
      <c r="D307" s="1441">
        <f>SUM(D305:D306)</f>
        <v>2478911.4825000004</v>
      </c>
      <c r="E307" s="1609"/>
      <c r="F307" s="1440">
        <f>SUM(F305:F306)</f>
        <v>7.6075000000000008</v>
      </c>
      <c r="G307" s="1439"/>
      <c r="H307" s="482">
        <f>SUM(H305:H306)</f>
        <v>152.15</v>
      </c>
      <c r="I307" s="136">
        <f>SUM(I305:I306)</f>
        <v>13127.86</v>
      </c>
      <c r="J307" s="143">
        <f>SUM(J305:J306)</f>
        <v>6383.1399999999994</v>
      </c>
      <c r="K307" s="143">
        <f>SUM(K305:K306)</f>
        <v>8950</v>
      </c>
      <c r="L307" s="136">
        <f>SUM(L305:L306)</f>
        <v>28461</v>
      </c>
      <c r="M307" s="1610"/>
      <c r="N307" s="1611"/>
    </row>
    <row r="308" spans="1:14" s="1168" customFormat="1" ht="17" thickBot="1">
      <c r="A308" s="108" t="str">
        <f>'Ontario Total'!A308</f>
        <v>SoCal Water$mart Commercial Rebates</v>
      </c>
      <c r="B308" s="1567"/>
      <c r="C308" s="1457"/>
      <c r="D308" s="1567"/>
      <c r="E308" s="1586"/>
      <c r="F308" s="1457"/>
      <c r="G308" s="1586"/>
      <c r="H308" s="1142"/>
      <c r="I308" s="109"/>
      <c r="J308" s="109"/>
      <c r="K308" s="109"/>
      <c r="L308" s="1141"/>
      <c r="M308" s="1617"/>
      <c r="N308" s="1486"/>
    </row>
    <row r="309" spans="1:14">
      <c r="A309" s="122" t="str">
        <f>'Ontario Total'!A309</f>
        <v>High Efficiency Toilets (HET)</v>
      </c>
      <c r="B309" s="1444">
        <f>CVWD!N193</f>
        <v>0</v>
      </c>
      <c r="C309" s="1444"/>
      <c r="D309" s="1431">
        <f>F309*325851</f>
        <v>0</v>
      </c>
      <c r="E309" s="1422"/>
      <c r="F309" s="1884">
        <f>0.0425*B309</f>
        <v>0</v>
      </c>
      <c r="G309" s="1885"/>
      <c r="H309" s="957">
        <f>F309*20</f>
        <v>0</v>
      </c>
      <c r="I309" s="130">
        <v>0</v>
      </c>
      <c r="J309" s="131">
        <f>135*B309</f>
        <v>0</v>
      </c>
      <c r="K309" s="131">
        <f>165*B309</f>
        <v>0</v>
      </c>
      <c r="L309" s="132">
        <f t="shared" ref="L309:L324" si="77">SUM(I309:K309)</f>
        <v>0</v>
      </c>
      <c r="M309" s="1758">
        <f>IF(ISERROR(L309/(F309*727)),0,L309/(F309*727))</f>
        <v>0</v>
      </c>
      <c r="N309" s="1759"/>
    </row>
    <row r="310" spans="1:14">
      <c r="A310" s="32" t="str">
        <f>'Ontario Total'!A310</f>
        <v>Waterless Urinals</v>
      </c>
      <c r="B310" s="1444">
        <f>CVWD!N194</f>
        <v>0</v>
      </c>
      <c r="C310" s="1422"/>
      <c r="D310" s="1431">
        <f t="shared" ref="D310:D324" si="78">F310*325851</f>
        <v>0</v>
      </c>
      <c r="E310" s="1422"/>
      <c r="F310" s="1871">
        <f>0.1227*B310</f>
        <v>0</v>
      </c>
      <c r="G310" s="1450"/>
      <c r="H310" s="957">
        <f>F310*20</f>
        <v>0</v>
      </c>
      <c r="I310" s="130">
        <v>0</v>
      </c>
      <c r="J310" s="131">
        <f>50*B310</f>
        <v>0</v>
      </c>
      <c r="K310" s="131">
        <f>200*B310</f>
        <v>0</v>
      </c>
      <c r="L310" s="132">
        <f t="shared" si="77"/>
        <v>0</v>
      </c>
      <c r="M310" s="1758">
        <f t="shared" ref="M310:M324" si="79">IF(ISERROR(L310/(F310*727)),0,L310/(F310*727))</f>
        <v>0</v>
      </c>
      <c r="N310" s="1759"/>
    </row>
    <row r="311" spans="1:14">
      <c r="A311" s="32" t="s">
        <v>204</v>
      </c>
      <c r="B311" s="1444">
        <f>CVWD!N195</f>
        <v>0</v>
      </c>
      <c r="C311" s="1422"/>
      <c r="D311" s="1431">
        <f t="shared" si="78"/>
        <v>0</v>
      </c>
      <c r="E311" s="1422"/>
      <c r="F311" s="1871">
        <f>0.644*B311</f>
        <v>0</v>
      </c>
      <c r="G311" s="1450"/>
      <c r="H311" s="957">
        <f>F311*5</f>
        <v>0</v>
      </c>
      <c r="I311" s="130">
        <v>0</v>
      </c>
      <c r="J311" s="131">
        <f>500*B311</f>
        <v>0</v>
      </c>
      <c r="K311" s="131">
        <f>1750*B311</f>
        <v>0</v>
      </c>
      <c r="L311" s="132">
        <f t="shared" si="77"/>
        <v>0</v>
      </c>
      <c r="M311" s="1758">
        <f t="shared" si="79"/>
        <v>0</v>
      </c>
      <c r="N311" s="1759"/>
    </row>
    <row r="312" spans="1:14">
      <c r="A312" s="32" t="str">
        <f>'Ontario Total'!A312</f>
        <v>High Efficiency Clothes Washers</v>
      </c>
      <c r="B312" s="1444">
        <f>CVWD!N196</f>
        <v>0</v>
      </c>
      <c r="C312" s="1422"/>
      <c r="D312" s="1431">
        <f t="shared" si="78"/>
        <v>0</v>
      </c>
      <c r="E312" s="1422"/>
      <c r="F312" s="1871">
        <f>0.0276*B312</f>
        <v>0</v>
      </c>
      <c r="G312" s="1450"/>
      <c r="H312" s="957">
        <f>F312*10</f>
        <v>0</v>
      </c>
      <c r="I312" s="130">
        <v>0</v>
      </c>
      <c r="J312" s="131">
        <f>100*B312</f>
        <v>0</v>
      </c>
      <c r="K312" s="131">
        <f>80*B312</f>
        <v>0</v>
      </c>
      <c r="L312" s="132">
        <f t="shared" si="77"/>
        <v>0</v>
      </c>
      <c r="M312" s="1758">
        <f t="shared" si="79"/>
        <v>0</v>
      </c>
      <c r="N312" s="1759"/>
    </row>
    <row r="313" spans="1:14">
      <c r="A313" s="35" t="s">
        <v>47</v>
      </c>
      <c r="B313" s="1444">
        <f>CVWD!N197</f>
        <v>0</v>
      </c>
      <c r="C313" s="1422"/>
      <c r="D313" s="1431">
        <f t="shared" si="78"/>
        <v>0</v>
      </c>
      <c r="E313" s="1422"/>
      <c r="F313" s="1871">
        <f>0.1534*B313</f>
        <v>0</v>
      </c>
      <c r="G313" s="1450"/>
      <c r="H313" s="957">
        <f>F313*5</f>
        <v>0</v>
      </c>
      <c r="I313" s="130">
        <v>0</v>
      </c>
      <c r="J313" s="131">
        <f>0*B313</f>
        <v>0</v>
      </c>
      <c r="K313" s="131">
        <f>150*B313</f>
        <v>0</v>
      </c>
      <c r="L313" s="132">
        <f t="shared" si="77"/>
        <v>0</v>
      </c>
      <c r="M313" s="1758">
        <f t="shared" si="79"/>
        <v>0</v>
      </c>
      <c r="N313" s="1759"/>
    </row>
    <row r="314" spans="1:14" hidden="1">
      <c r="A314" s="32" t="str">
        <f>'Ontario Total'!A314</f>
        <v>Weather based Irrigation Controllers (WBIC)</v>
      </c>
      <c r="B314" s="1432">
        <v>12</v>
      </c>
      <c r="C314" s="1433"/>
      <c r="D314" s="1431">
        <f t="shared" si="78"/>
        <v>1270818.9000000001</v>
      </c>
      <c r="E314" s="1422"/>
      <c r="F314" s="1871">
        <f>0.325*B314</f>
        <v>3.9000000000000004</v>
      </c>
      <c r="G314" s="1450"/>
      <c r="H314" s="957">
        <f>F314*10</f>
        <v>39</v>
      </c>
      <c r="I314" s="130">
        <v>0</v>
      </c>
      <c r="J314" s="130">
        <v>6265</v>
      </c>
      <c r="K314" s="130">
        <v>8900</v>
      </c>
      <c r="L314" s="132">
        <f t="shared" si="77"/>
        <v>15165</v>
      </c>
      <c r="M314" s="1758">
        <f t="shared" si="79"/>
        <v>5.3486403555179347</v>
      </c>
      <c r="N314" s="1759"/>
    </row>
    <row r="315" spans="1:14">
      <c r="A315" s="33" t="s">
        <v>53</v>
      </c>
      <c r="B315" s="1432">
        <f>CVWD!N199</f>
        <v>0</v>
      </c>
      <c r="C315" s="1433"/>
      <c r="D315" s="1431">
        <f t="shared" si="78"/>
        <v>0</v>
      </c>
      <c r="E315" s="1422"/>
      <c r="F315" s="1871">
        <f>0.00014*B315</f>
        <v>0</v>
      </c>
      <c r="G315" s="1450"/>
      <c r="H315" s="957">
        <f>F315*10</f>
        <v>0</v>
      </c>
      <c r="I315" s="130">
        <v>0</v>
      </c>
      <c r="J315" s="131">
        <f>0.45*B315</f>
        <v>0</v>
      </c>
      <c r="K315" s="131">
        <f>0.3*B315</f>
        <v>0</v>
      </c>
      <c r="L315" s="132">
        <f t="shared" si="77"/>
        <v>0</v>
      </c>
      <c r="M315" s="1758">
        <f t="shared" si="79"/>
        <v>0</v>
      </c>
      <c r="N315" s="1759"/>
    </row>
    <row r="316" spans="1:14" hidden="1">
      <c r="A316" s="32" t="str">
        <f>'Ontario Total'!A316</f>
        <v>Rotating Nozzles for Pop-up Spray Heads</v>
      </c>
      <c r="B316" s="1432">
        <v>30</v>
      </c>
      <c r="C316" s="1433"/>
      <c r="D316" s="1431">
        <f t="shared" si="78"/>
        <v>39102.119999999995</v>
      </c>
      <c r="E316" s="1422"/>
      <c r="F316" s="1871">
        <f>0.004*B316</f>
        <v>0.12</v>
      </c>
      <c r="G316" s="1450"/>
      <c r="H316" s="957">
        <f>F316*5</f>
        <v>0.6</v>
      </c>
      <c r="I316" s="130">
        <v>0</v>
      </c>
      <c r="J316" s="131">
        <f>B316*1</f>
        <v>30</v>
      </c>
      <c r="K316" s="131">
        <f>4*B316</f>
        <v>120</v>
      </c>
      <c r="L316" s="132">
        <f t="shared" si="77"/>
        <v>150</v>
      </c>
      <c r="M316" s="1758">
        <f t="shared" si="79"/>
        <v>1.71939477303989</v>
      </c>
      <c r="N316" s="1759"/>
    </row>
    <row r="317" spans="1:14">
      <c r="A317" s="32" t="str">
        <f>'Ontario Total'!A317</f>
        <v>Large Rotary Nozzles</v>
      </c>
      <c r="B317" s="1444">
        <f>CVWD!N201</f>
        <v>0</v>
      </c>
      <c r="C317" s="1422"/>
      <c r="D317" s="1431">
        <f t="shared" si="78"/>
        <v>0</v>
      </c>
      <c r="E317" s="1422"/>
      <c r="F317" s="1871">
        <f>0.018*B317</f>
        <v>0</v>
      </c>
      <c r="G317" s="1450"/>
      <c r="H317" s="957">
        <f>F317*10</f>
        <v>0</v>
      </c>
      <c r="I317" s="130">
        <v>0</v>
      </c>
      <c r="J317" s="131">
        <f>0*B317</f>
        <v>0</v>
      </c>
      <c r="K317" s="131">
        <f>13*B317</f>
        <v>0</v>
      </c>
      <c r="L317" s="132">
        <f t="shared" si="77"/>
        <v>0</v>
      </c>
      <c r="M317" s="1758">
        <f t="shared" si="79"/>
        <v>0</v>
      </c>
      <c r="N317" s="1759"/>
    </row>
    <row r="318" spans="1:14">
      <c r="A318" s="33" t="s">
        <v>102</v>
      </c>
      <c r="B318" s="1444">
        <f>CVWD!N202</f>
        <v>0</v>
      </c>
      <c r="C318" s="1422"/>
      <c r="D318" s="1431">
        <f t="shared" si="78"/>
        <v>0</v>
      </c>
      <c r="E318" s="1422"/>
      <c r="F318" s="1871">
        <f>0.018*B318</f>
        <v>0</v>
      </c>
      <c r="G318" s="1450"/>
      <c r="H318" s="957">
        <f>F318*10</f>
        <v>0</v>
      </c>
      <c r="I318" s="130">
        <v>1</v>
      </c>
      <c r="J318" s="131">
        <f>0*B318</f>
        <v>0</v>
      </c>
      <c r="K318" s="131">
        <f>13*B318</f>
        <v>0</v>
      </c>
      <c r="L318" s="132">
        <f t="shared" si="77"/>
        <v>1</v>
      </c>
      <c r="M318" s="1758">
        <f t="shared" si="79"/>
        <v>0</v>
      </c>
      <c r="N318" s="1759"/>
    </row>
    <row r="319" spans="1:14" hidden="1">
      <c r="A319" s="32" t="str">
        <f>'Ontario Total'!A319</f>
        <v xml:space="preserve">Central Computerized Irrigation Controller </v>
      </c>
      <c r="B319" s="1444">
        <f>CVWD!N203</f>
        <v>0</v>
      </c>
      <c r="C319" s="1422"/>
      <c r="D319" s="1431">
        <f t="shared" si="78"/>
        <v>0</v>
      </c>
      <c r="E319" s="1422"/>
      <c r="F319" s="1871">
        <f>4.874*B319</f>
        <v>0</v>
      </c>
      <c r="G319" s="1450"/>
      <c r="H319" s="957">
        <f>F319*10</f>
        <v>0</v>
      </c>
      <c r="I319" s="130">
        <v>0</v>
      </c>
      <c r="J319" s="130">
        <f>0*B319</f>
        <v>0</v>
      </c>
      <c r="K319" s="130">
        <f>13*B319</f>
        <v>0</v>
      </c>
      <c r="L319" s="132">
        <f t="shared" si="77"/>
        <v>0</v>
      </c>
      <c r="M319" s="1758">
        <f t="shared" si="79"/>
        <v>0</v>
      </c>
      <c r="N319" s="1759"/>
    </row>
    <row r="320" spans="1:14" hidden="1">
      <c r="A320" s="144" t="str">
        <f>'Ontario Total'!A320</f>
        <v>Laminar Flow Restrictor</v>
      </c>
      <c r="B320" s="1445">
        <f>CVWD!N204</f>
        <v>0</v>
      </c>
      <c r="C320" s="1446"/>
      <c r="D320" s="1736">
        <f t="shared" si="78"/>
        <v>0</v>
      </c>
      <c r="E320" s="1446"/>
      <c r="F320" s="1897">
        <f>4.874*B320</f>
        <v>0</v>
      </c>
      <c r="G320" s="1898"/>
      <c r="H320" s="966">
        <f>F320*10</f>
        <v>0</v>
      </c>
      <c r="I320" s="130">
        <v>0</v>
      </c>
      <c r="J320" s="130">
        <f>0*B320</f>
        <v>0</v>
      </c>
      <c r="K320" s="130">
        <f>13*B320</f>
        <v>0</v>
      </c>
      <c r="L320" s="135">
        <f t="shared" si="77"/>
        <v>0</v>
      </c>
      <c r="M320" s="1859">
        <f t="shared" si="79"/>
        <v>0</v>
      </c>
      <c r="N320" s="1860"/>
    </row>
    <row r="321" spans="1:17" ht="14" thickBot="1">
      <c r="A321" s="494" t="str">
        <f>'Ontario Total'!A321</f>
        <v>Air-Cooled Ice Machine</v>
      </c>
      <c r="B321" s="1445">
        <f>CVWD!N205</f>
        <v>0</v>
      </c>
      <c r="C321" s="1446"/>
      <c r="D321" s="1736">
        <f t="shared" si="78"/>
        <v>0</v>
      </c>
      <c r="E321" s="1446"/>
      <c r="F321" s="1897">
        <f>4.874*B321</f>
        <v>0</v>
      </c>
      <c r="G321" s="1898"/>
      <c r="H321" s="966">
        <f>F321*10</f>
        <v>0</v>
      </c>
      <c r="I321" s="130">
        <v>0</v>
      </c>
      <c r="J321" s="130">
        <f>0*B321</f>
        <v>0</v>
      </c>
      <c r="K321" s="130">
        <f>13*B321</f>
        <v>0</v>
      </c>
      <c r="L321" s="135">
        <f t="shared" si="77"/>
        <v>0</v>
      </c>
      <c r="M321" s="1859">
        <f t="shared" si="79"/>
        <v>0</v>
      </c>
      <c r="N321" s="1860"/>
    </row>
    <row r="322" spans="1:17" s="1191" customFormat="1" ht="17" thickBot="1">
      <c r="A322" s="108" t="str">
        <f>'Ontario Total'!A322</f>
        <v>IEUA Locally Implemented Commercial Programs</v>
      </c>
      <c r="B322" s="1567"/>
      <c r="C322" s="1586"/>
      <c r="D322" s="1567"/>
      <c r="E322" s="1586"/>
      <c r="F322" s="1567"/>
      <c r="G322" s="1586"/>
      <c r="H322" s="1142"/>
      <c r="I322" s="109"/>
      <c r="J322" s="109"/>
      <c r="K322" s="109"/>
      <c r="L322" s="1141"/>
      <c r="M322" s="1617"/>
      <c r="N322" s="1486"/>
    </row>
    <row r="323" spans="1:17">
      <c r="A323" s="32" t="str">
        <f>'Ontario Total'!A323</f>
        <v>Fontana Unified School Retrofit Program</v>
      </c>
      <c r="B323" s="1431">
        <f>CVWD!N207</f>
        <v>0</v>
      </c>
      <c r="C323" s="1422"/>
      <c r="D323" s="1431">
        <f t="shared" si="78"/>
        <v>0</v>
      </c>
      <c r="E323" s="1422"/>
      <c r="F323" s="1871">
        <v>0</v>
      </c>
      <c r="G323" s="1450"/>
      <c r="H323" s="957">
        <f>F323*10</f>
        <v>0</v>
      </c>
      <c r="I323" s="130">
        <v>0</v>
      </c>
      <c r="J323" s="130">
        <f>0*B323</f>
        <v>0</v>
      </c>
      <c r="K323" s="130">
        <f>13*B323</f>
        <v>0</v>
      </c>
      <c r="L323" s="132">
        <f>SUM(I323:K323)</f>
        <v>0</v>
      </c>
      <c r="M323" s="1758">
        <f>IF(ISERROR(L323/(F323*727)),0,L323/(F323*727))</f>
        <v>0</v>
      </c>
      <c r="N323" s="1759"/>
    </row>
    <row r="324" spans="1:17" ht="14" thickBot="1">
      <c r="A324" s="32" t="s">
        <v>165</v>
      </c>
      <c r="B324" s="1431">
        <f>CVWD!N208</f>
        <v>17635</v>
      </c>
      <c r="C324" s="1422"/>
      <c r="D324" s="1431">
        <f t="shared" si="78"/>
        <v>22985529.540000003</v>
      </c>
      <c r="E324" s="1422"/>
      <c r="F324" s="1871">
        <f>0.004*B324</f>
        <v>70.540000000000006</v>
      </c>
      <c r="G324" s="1450"/>
      <c r="H324" s="957">
        <f>F324*5</f>
        <v>352.70000000000005</v>
      </c>
      <c r="I324" s="130">
        <v>0</v>
      </c>
      <c r="J324" s="131">
        <f>0*B324</f>
        <v>0</v>
      </c>
      <c r="K324" s="131">
        <f>3.25*B324</f>
        <v>57313.75</v>
      </c>
      <c r="L324" s="132">
        <f t="shared" si="77"/>
        <v>57313.75</v>
      </c>
      <c r="M324" s="1758">
        <f t="shared" si="79"/>
        <v>1.1176066024759284</v>
      </c>
      <c r="N324" s="1759"/>
    </row>
    <row r="325" spans="1:17" ht="14" thickBot="1">
      <c r="A325" s="53" t="s">
        <v>60</v>
      </c>
      <c r="B325" s="1438">
        <f>SUM(B309:C324)</f>
        <v>17677</v>
      </c>
      <c r="C325" s="1621"/>
      <c r="D325" s="1441">
        <f>SUM(D309:E324)</f>
        <v>24295450.560000002</v>
      </c>
      <c r="E325" s="1621"/>
      <c r="F325" s="1441">
        <f>SUM(F309:G324)</f>
        <v>74.56</v>
      </c>
      <c r="G325" s="1439"/>
      <c r="H325" s="482">
        <f>SUM(H309:H324)</f>
        <v>392.30000000000007</v>
      </c>
      <c r="I325" s="136">
        <v>0</v>
      </c>
      <c r="J325" s="136">
        <f>SUM(J309:J324)</f>
        <v>6295</v>
      </c>
      <c r="K325" s="136">
        <f>SUM(K309:K324)</f>
        <v>66333.75</v>
      </c>
      <c r="L325" s="136">
        <f>SUM(L309:L324)</f>
        <v>72629.75</v>
      </c>
      <c r="M325" s="1610"/>
      <c r="N325" s="1611"/>
    </row>
    <row r="326" spans="1:17" s="1161" customFormat="1" ht="17" thickBot="1">
      <c r="A326" s="1163" t="s">
        <v>17</v>
      </c>
      <c r="B326" s="1612">
        <f>SUM(B303+B307+B325)</f>
        <v>26736</v>
      </c>
      <c r="C326" s="1415"/>
      <c r="D326" s="1416">
        <f>SUM(D303+D307+D325)</f>
        <v>161716983.81119999</v>
      </c>
      <c r="E326" s="1415"/>
      <c r="F326" s="1416">
        <f>SUM(F303+F307+F325)</f>
        <v>496.2912</v>
      </c>
      <c r="G326" s="1415"/>
      <c r="H326" s="1164">
        <f>SUM(H303+H307+H325)</f>
        <v>8375.2870000000003</v>
      </c>
      <c r="I326" s="1169">
        <f>SUM(I303+I307+I325)</f>
        <v>38843.86</v>
      </c>
      <c r="J326" s="1169">
        <f>SUM(J303+J307+J325)</f>
        <v>41684.14</v>
      </c>
      <c r="K326" s="1169">
        <f>SUM(K303+K307+K325)</f>
        <v>158301</v>
      </c>
      <c r="L326" s="1169">
        <f>SUM(L303+L307+L325)</f>
        <v>238830</v>
      </c>
      <c r="M326" s="1631"/>
      <c r="N326" s="1640"/>
      <c r="Q326" s="1195"/>
    </row>
    <row r="327" spans="1:17" ht="16">
      <c r="A327" s="60"/>
      <c r="B327" s="61"/>
      <c r="C327" s="61"/>
      <c r="D327" s="61"/>
      <c r="E327" s="61"/>
      <c r="F327" s="441"/>
      <c r="G327" s="441"/>
      <c r="H327" s="441"/>
      <c r="I327" s="62"/>
      <c r="J327" s="62"/>
      <c r="K327" s="62"/>
      <c r="L327" s="62"/>
      <c r="M327" s="64"/>
      <c r="N327" s="65"/>
      <c r="Q327" s="105"/>
    </row>
    <row r="328" spans="1:17" ht="16">
      <c r="A328" s="9" t="s">
        <v>18</v>
      </c>
      <c r="B328" s="1419" t="s">
        <v>59</v>
      </c>
      <c r="C328" s="1419"/>
      <c r="D328" s="1419"/>
      <c r="E328" s="1419"/>
      <c r="F328" s="441"/>
      <c r="G328" s="441"/>
      <c r="H328" s="441"/>
      <c r="I328" s="62"/>
      <c r="J328" s="62"/>
      <c r="K328" s="62"/>
      <c r="L328" s="62"/>
      <c r="M328" s="64"/>
      <c r="N328" s="65"/>
      <c r="Q328" s="105"/>
    </row>
    <row r="329" spans="1:17" ht="16">
      <c r="A329" s="57"/>
      <c r="B329" s="1420" t="s">
        <v>19</v>
      </c>
      <c r="C329" s="1420"/>
      <c r="D329" s="1420"/>
      <c r="E329" s="1420"/>
      <c r="F329" s="441"/>
      <c r="G329" s="441"/>
      <c r="H329" s="441"/>
      <c r="I329" s="62"/>
      <c r="J329" s="62"/>
      <c r="K329" s="62"/>
      <c r="L329" s="62"/>
      <c r="M329" s="64"/>
      <c r="N329" s="65"/>
      <c r="Q329" s="105"/>
    </row>
    <row r="330" spans="1:17" ht="17" thickBot="1">
      <c r="A330" s="57"/>
      <c r="B330" s="943"/>
      <c r="C330" s="943"/>
      <c r="D330" s="943"/>
      <c r="E330" s="943"/>
      <c r="F330" s="441"/>
      <c r="G330" s="441"/>
      <c r="H330" s="441"/>
      <c r="I330" s="62"/>
      <c r="J330" s="62"/>
      <c r="K330" s="62"/>
      <c r="L330" s="62"/>
      <c r="M330" s="64"/>
      <c r="N330" s="65"/>
      <c r="Q330" s="105"/>
    </row>
    <row r="331" spans="1:17" ht="16">
      <c r="A331" s="98"/>
      <c r="B331" s="99"/>
      <c r="C331" s="99"/>
      <c r="D331" s="99"/>
      <c r="E331" s="99"/>
      <c r="F331" s="421"/>
      <c r="G331" s="421"/>
      <c r="H331" s="421"/>
      <c r="I331" s="1468" t="s">
        <v>0</v>
      </c>
      <c r="J331" s="1468"/>
      <c r="K331" s="1468"/>
      <c r="L331" s="1468"/>
      <c r="M331" s="99"/>
      <c r="N331" s="101"/>
      <c r="Q331" s="105"/>
    </row>
    <row r="332" spans="1:17" ht="16">
      <c r="A332" s="97"/>
      <c r="B332" s="1469" t="s">
        <v>1</v>
      </c>
      <c r="C332" s="1469"/>
      <c r="D332" s="1469" t="s">
        <v>2</v>
      </c>
      <c r="E332" s="1469"/>
      <c r="F332" s="1470" t="s">
        <v>3</v>
      </c>
      <c r="G332" s="1470"/>
      <c r="H332" s="931" t="s">
        <v>3</v>
      </c>
      <c r="I332" s="127" t="s">
        <v>197</v>
      </c>
      <c r="J332" s="102"/>
      <c r="K332" s="102"/>
      <c r="L332" s="128"/>
      <c r="M332" s="1469" t="s">
        <v>4</v>
      </c>
      <c r="N332" s="1526"/>
      <c r="Q332" s="105"/>
    </row>
    <row r="333" spans="1:17" ht="19" thickBot="1">
      <c r="A333" s="103" t="s">
        <v>5</v>
      </c>
      <c r="B333" s="1473" t="s">
        <v>6</v>
      </c>
      <c r="C333" s="1473"/>
      <c r="D333" s="1473" t="s">
        <v>7</v>
      </c>
      <c r="E333" s="1473"/>
      <c r="F333" s="1474" t="s">
        <v>7</v>
      </c>
      <c r="G333" s="1474"/>
      <c r="H333" s="933" t="s">
        <v>58</v>
      </c>
      <c r="I333" s="937" t="s">
        <v>198</v>
      </c>
      <c r="J333" s="932" t="s">
        <v>8</v>
      </c>
      <c r="K333" s="932" t="s">
        <v>9</v>
      </c>
      <c r="L333" s="401" t="s">
        <v>10</v>
      </c>
      <c r="M333" s="1473" t="s">
        <v>145</v>
      </c>
      <c r="N333" s="1475"/>
      <c r="Q333" s="105"/>
    </row>
    <row r="334" spans="1:17" ht="24" thickBot="1">
      <c r="A334" s="88" t="s">
        <v>180</v>
      </c>
      <c r="B334" s="1764"/>
      <c r="C334" s="1477"/>
      <c r="D334" s="1478"/>
      <c r="E334" s="1479"/>
      <c r="F334" s="1480"/>
      <c r="G334" s="1481"/>
      <c r="H334" s="945"/>
      <c r="I334" s="7"/>
      <c r="J334" s="7"/>
      <c r="K334" s="7"/>
      <c r="L334" s="8"/>
      <c r="M334" s="1764"/>
      <c r="N334" s="1765"/>
      <c r="Q334" s="105"/>
    </row>
    <row r="335" spans="1:17" s="1168" customFormat="1" ht="17" thickBot="1">
      <c r="A335" s="108" t="s">
        <v>48</v>
      </c>
      <c r="B335" s="1567"/>
      <c r="C335" s="1586"/>
      <c r="D335" s="1567"/>
      <c r="E335" s="1586"/>
      <c r="F335" s="1587"/>
      <c r="G335" s="1588"/>
      <c r="H335" s="1145"/>
      <c r="I335" s="109"/>
      <c r="J335" s="109"/>
      <c r="K335" s="109"/>
      <c r="L335" s="1141"/>
      <c r="M335" s="1617"/>
      <c r="N335" s="1486"/>
      <c r="Q335" s="1195"/>
    </row>
    <row r="336" spans="1:17" s="91" customFormat="1" ht="16">
      <c r="A336" s="32" t="s">
        <v>29</v>
      </c>
      <c r="B336" s="1431">
        <f>CVWD!N146</f>
        <v>0</v>
      </c>
      <c r="C336" s="1422"/>
      <c r="D336" s="1431">
        <f>F336*325851</f>
        <v>0</v>
      </c>
      <c r="E336" s="1422"/>
      <c r="F336" s="1871">
        <f>0.0425*B336</f>
        <v>0</v>
      </c>
      <c r="G336" s="1450"/>
      <c r="H336" s="464">
        <f>F336*20</f>
        <v>0</v>
      </c>
      <c r="I336" s="131">
        <v>0</v>
      </c>
      <c r="J336" s="131">
        <f>35*B336</f>
        <v>0</v>
      </c>
      <c r="K336" s="131">
        <f>B336*50</f>
        <v>0</v>
      </c>
      <c r="L336" s="132">
        <f>I336+J336+K336</f>
        <v>0</v>
      </c>
      <c r="M336" s="1758">
        <v>0</v>
      </c>
      <c r="N336" s="1759"/>
      <c r="Q336" s="105"/>
    </row>
    <row r="337" spans="1:17">
      <c r="A337" s="32" t="s">
        <v>33</v>
      </c>
      <c r="B337" s="1431">
        <f>CVWD!N147</f>
        <v>361</v>
      </c>
      <c r="C337" s="1422"/>
      <c r="D337" s="1431">
        <f>F337*325851</f>
        <v>3246649.0236</v>
      </c>
      <c r="E337" s="1422"/>
      <c r="F337" s="1871">
        <f>0.0276*B337</f>
        <v>9.9635999999999996</v>
      </c>
      <c r="G337" s="1450"/>
      <c r="H337" s="957">
        <f>F337*15</f>
        <v>149.45400000000001</v>
      </c>
      <c r="I337" s="131">
        <f>0*B337</f>
        <v>0</v>
      </c>
      <c r="J337" s="150">
        <v>0</v>
      </c>
      <c r="K337" s="131">
        <f>B337*85</f>
        <v>30685</v>
      </c>
      <c r="L337" s="132">
        <f>I337+J337+K337</f>
        <v>30685</v>
      </c>
      <c r="M337" s="1758">
        <f>L337/(F337*681)</f>
        <v>4.5223350145778802</v>
      </c>
      <c r="N337" s="1759"/>
      <c r="Q337" s="105"/>
    </row>
    <row r="338" spans="1:17">
      <c r="A338" s="32" t="s">
        <v>56</v>
      </c>
      <c r="B338" s="1431">
        <f>CVWD!N148</f>
        <v>513</v>
      </c>
      <c r="C338" s="1422"/>
      <c r="D338" s="1431">
        <f>F338*325851</f>
        <v>668646.25199999998</v>
      </c>
      <c r="E338" s="1422"/>
      <c r="F338" s="1871">
        <f>0.004*B338</f>
        <v>2.052</v>
      </c>
      <c r="G338" s="1450"/>
      <c r="H338" s="957">
        <f>F338*5</f>
        <v>10.26</v>
      </c>
      <c r="I338" s="131">
        <f>0*B338</f>
        <v>0</v>
      </c>
      <c r="J338" s="131">
        <f>2*B338</f>
        <v>1026</v>
      </c>
      <c r="K338" s="131">
        <f>B338*3</f>
        <v>1539</v>
      </c>
      <c r="L338" s="132">
        <f>I338+J338+K338</f>
        <v>2565</v>
      </c>
      <c r="M338" s="1758">
        <f>L338/(F338*681)</f>
        <v>1.8355359765051396</v>
      </c>
      <c r="N338" s="1759"/>
    </row>
    <row r="339" spans="1:17" s="91" customFormat="1" ht="16">
      <c r="A339" s="78" t="s">
        <v>30</v>
      </c>
      <c r="B339" s="1431">
        <f>CVWD!N149</f>
        <v>33</v>
      </c>
      <c r="C339" s="1422"/>
      <c r="D339" s="1431">
        <f>F339*325851</f>
        <v>3494751.9750000001</v>
      </c>
      <c r="E339" s="1422"/>
      <c r="F339" s="1871">
        <f>0.325*B339</f>
        <v>10.725</v>
      </c>
      <c r="G339" s="1450"/>
      <c r="H339" s="957">
        <f>F339*10</f>
        <v>107.25</v>
      </c>
      <c r="I339" s="131">
        <v>0</v>
      </c>
      <c r="J339" s="131">
        <f>B339*45</f>
        <v>1485</v>
      </c>
      <c r="K339" s="131">
        <f>B339*80</f>
        <v>2640</v>
      </c>
      <c r="L339" s="132">
        <f>SUM(J339:K339)</f>
        <v>4125</v>
      </c>
      <c r="M339" s="1758">
        <f>L339/(F339*681)</f>
        <v>0.56478030046311989</v>
      </c>
      <c r="N339" s="1759"/>
    </row>
    <row r="340" spans="1:17" hidden="1">
      <c r="A340" s="76" t="s">
        <v>183</v>
      </c>
      <c r="B340" s="1431">
        <f>CVWD!N150</f>
        <v>0</v>
      </c>
      <c r="C340" s="1422"/>
      <c r="D340" s="1467">
        <v>0</v>
      </c>
      <c r="E340" s="1433"/>
      <c r="F340" s="1876">
        <v>0</v>
      </c>
      <c r="G340" s="1877"/>
      <c r="H340" s="956">
        <f>F340*10</f>
        <v>0</v>
      </c>
      <c r="I340" s="133">
        <v>0</v>
      </c>
      <c r="J340" s="133"/>
      <c r="K340" s="133"/>
      <c r="L340" s="134">
        <f>SUM(I340:K340)</f>
        <v>0</v>
      </c>
      <c r="M340" s="1758">
        <v>0</v>
      </c>
      <c r="N340" s="1759"/>
    </row>
    <row r="341" spans="1:17">
      <c r="A341" s="76" t="s">
        <v>165</v>
      </c>
      <c r="B341" s="1431">
        <f>CVWD!N151</f>
        <v>19915</v>
      </c>
      <c r="C341" s="1422"/>
      <c r="D341" s="1467">
        <f>F341*325851</f>
        <v>25957290.66</v>
      </c>
      <c r="E341" s="1433"/>
      <c r="F341" s="1876">
        <f>B341*0.004</f>
        <v>79.66</v>
      </c>
      <c r="G341" s="1877"/>
      <c r="H341" s="956">
        <f>F341*5</f>
        <v>398.29999999999995</v>
      </c>
      <c r="I341" s="133">
        <v>0</v>
      </c>
      <c r="J341" s="133">
        <v>0</v>
      </c>
      <c r="K341" s="133">
        <f>7125*3</f>
        <v>21375</v>
      </c>
      <c r="L341" s="134">
        <f>SUM(I341:K341)</f>
        <v>21375</v>
      </c>
      <c r="M341" s="1758">
        <f>L341/(F341*681)</f>
        <v>0.39402040168513541</v>
      </c>
      <c r="N341" s="1759"/>
    </row>
    <row r="342" spans="1:17" ht="14" thickBot="1">
      <c r="A342" s="76" t="s">
        <v>166</v>
      </c>
      <c r="B342" s="1431">
        <f>CVWD!N152</f>
        <v>0</v>
      </c>
      <c r="C342" s="1422"/>
      <c r="D342" s="1467">
        <f>F342*325851</f>
        <v>0</v>
      </c>
      <c r="E342" s="1433"/>
      <c r="F342" s="1902">
        <f>B342*0.004</f>
        <v>0</v>
      </c>
      <c r="G342" s="1877"/>
      <c r="H342" s="956">
        <f>F342*5</f>
        <v>0</v>
      </c>
      <c r="I342" s="133">
        <v>0</v>
      </c>
      <c r="J342" s="133">
        <v>0</v>
      </c>
      <c r="K342" s="133">
        <v>0</v>
      </c>
      <c r="L342" s="134">
        <v>0</v>
      </c>
      <c r="M342" s="1758">
        <v>0</v>
      </c>
      <c r="N342" s="1759"/>
    </row>
    <row r="343" spans="1:17" ht="14" thickBot="1">
      <c r="A343" s="53" t="s">
        <v>60</v>
      </c>
      <c r="B343" s="1438">
        <f>SUM(B336:C342)</f>
        <v>20822</v>
      </c>
      <c r="C343" s="1609"/>
      <c r="D343" s="1441">
        <f>SUM(D336:E342)</f>
        <v>33367337.910599999</v>
      </c>
      <c r="E343" s="1609"/>
      <c r="F343" s="1440">
        <f>SUM(F336:G342)</f>
        <v>102.4006</v>
      </c>
      <c r="G343" s="1439"/>
      <c r="H343" s="707">
        <f>SUM(H336:H342)</f>
        <v>665.2639999999999</v>
      </c>
      <c r="I343" s="136">
        <f>SUM(I336:I342)</f>
        <v>0</v>
      </c>
      <c r="J343" s="136">
        <f>SUM(J336:J342)</f>
        <v>2511</v>
      </c>
      <c r="K343" s="136">
        <f>SUM(K336:K342)</f>
        <v>56239</v>
      </c>
      <c r="L343" s="136">
        <f>SUM(L336:L342)</f>
        <v>58750</v>
      </c>
      <c r="M343" s="1610"/>
      <c r="N343" s="1611"/>
    </row>
    <row r="344" spans="1:17" s="1168" customFormat="1" ht="12.75" hidden="1" customHeight="1">
      <c r="A344" s="108" t="s">
        <v>146</v>
      </c>
      <c r="B344" s="1567"/>
      <c r="C344" s="1586"/>
      <c r="D344" s="1567"/>
      <c r="E344" s="1586"/>
      <c r="F344" s="1457"/>
      <c r="G344" s="1586"/>
      <c r="H344" s="1142"/>
      <c r="I344" s="161"/>
      <c r="J344" s="161"/>
      <c r="K344" s="161"/>
      <c r="L344" s="162"/>
      <c r="M344" s="1617"/>
      <c r="N344" s="1486"/>
    </row>
    <row r="345" spans="1:17">
      <c r="A345" s="76" t="s">
        <v>146</v>
      </c>
      <c r="B345" s="1431">
        <f>CVWD!N155</f>
        <v>10</v>
      </c>
      <c r="C345" s="1422"/>
      <c r="D345" s="1431">
        <f>F345*325851</f>
        <v>138486.67500000002</v>
      </c>
      <c r="E345" s="1422"/>
      <c r="F345" s="1449">
        <f>0.0425*B345</f>
        <v>0.42500000000000004</v>
      </c>
      <c r="G345" s="1450"/>
      <c r="H345" s="957">
        <f>F345*20</f>
        <v>8.5</v>
      </c>
      <c r="I345" s="131">
        <f>73.34*B345</f>
        <v>733.40000000000009</v>
      </c>
      <c r="J345" s="131">
        <f>35.66*B345</f>
        <v>356.59999999999997</v>
      </c>
      <c r="K345" s="131">
        <f>B345*50</f>
        <v>500</v>
      </c>
      <c r="L345" s="132">
        <f>I345+J345+K345</f>
        <v>1590</v>
      </c>
      <c r="M345" s="1758">
        <f>L345/(F345*681)</f>
        <v>5.4936512049753823</v>
      </c>
      <c r="N345" s="1759"/>
    </row>
    <row r="346" spans="1:17" ht="14" thickBot="1">
      <c r="A346" s="76" t="s">
        <v>181</v>
      </c>
      <c r="B346" s="1431">
        <f>CVWD!N156</f>
        <v>189</v>
      </c>
      <c r="C346" s="1422"/>
      <c r="D346" s="1431">
        <f>F346*325851</f>
        <v>2617398.1575000002</v>
      </c>
      <c r="E346" s="1422"/>
      <c r="F346" s="1449">
        <f>0.0425*B346</f>
        <v>8.0325000000000006</v>
      </c>
      <c r="G346" s="1450"/>
      <c r="H346" s="957">
        <f>F346*20</f>
        <v>160.65</v>
      </c>
      <c r="I346" s="131">
        <f>73.34*B346</f>
        <v>13861.26</v>
      </c>
      <c r="J346" s="131">
        <f>35.66*B346</f>
        <v>6739.74</v>
      </c>
      <c r="K346" s="131">
        <f>B346*50</f>
        <v>9450</v>
      </c>
      <c r="L346" s="132">
        <f>I346+J346+K346</f>
        <v>30051</v>
      </c>
      <c r="M346" s="1758">
        <f>L346/(F346*681)</f>
        <v>5.4936512049753814</v>
      </c>
      <c r="N346" s="1759"/>
    </row>
    <row r="347" spans="1:17" ht="14" thickBot="1">
      <c r="A347" s="53" t="s">
        <v>60</v>
      </c>
      <c r="B347" s="1438">
        <f>SUM(B345:B346)</f>
        <v>199</v>
      </c>
      <c r="C347" s="1609"/>
      <c r="D347" s="1441">
        <f>SUM(D345:D346)</f>
        <v>2755884.8325</v>
      </c>
      <c r="E347" s="1609"/>
      <c r="F347" s="1440">
        <f>SUM(F345:F346)</f>
        <v>8.4575000000000014</v>
      </c>
      <c r="G347" s="1439"/>
      <c r="H347" s="707">
        <f>SUM(H345:H346)</f>
        <v>169.15</v>
      </c>
      <c r="I347" s="136">
        <f>SUM(I345:I346)</f>
        <v>14594.66</v>
      </c>
      <c r="J347" s="143">
        <f>SUM(J345:J346)</f>
        <v>7096.34</v>
      </c>
      <c r="K347" s="143">
        <f>SUM(K345:K346)</f>
        <v>9950</v>
      </c>
      <c r="L347" s="136">
        <f>SUM(L345:L346)</f>
        <v>31641</v>
      </c>
      <c r="M347" s="1610"/>
      <c r="N347" s="1611"/>
    </row>
    <row r="348" spans="1:17" s="1168" customFormat="1" ht="17" thickBot="1">
      <c r="A348" s="108" t="s">
        <v>50</v>
      </c>
      <c r="B348" s="1567"/>
      <c r="C348" s="1586"/>
      <c r="D348" s="1567"/>
      <c r="E348" s="1586"/>
      <c r="F348" s="1457"/>
      <c r="G348" s="1586"/>
      <c r="H348" s="1142"/>
      <c r="I348" s="161"/>
      <c r="J348" s="161"/>
      <c r="K348" s="161"/>
      <c r="L348" s="162"/>
      <c r="M348" s="1617"/>
      <c r="N348" s="1486"/>
    </row>
    <row r="349" spans="1:17">
      <c r="A349" s="122" t="s">
        <v>29</v>
      </c>
      <c r="B349" s="1444">
        <f>CVWD!N159</f>
        <v>0</v>
      </c>
      <c r="C349" s="1422"/>
      <c r="D349" s="1431">
        <f t="shared" ref="D349:D355" si="80">F349*325851</f>
        <v>0</v>
      </c>
      <c r="E349" s="1422"/>
      <c r="F349" s="1449">
        <f>0.0425*B349</f>
        <v>0</v>
      </c>
      <c r="G349" s="1450"/>
      <c r="H349" s="957">
        <f>F349*20</f>
        <v>0</v>
      </c>
      <c r="I349" s="131">
        <v>0</v>
      </c>
      <c r="J349" s="131">
        <f>135*B349</f>
        <v>0</v>
      </c>
      <c r="K349" s="131">
        <f>165*B349</f>
        <v>0</v>
      </c>
      <c r="L349" s="132">
        <f t="shared" ref="L349:L357" si="81">SUM(I349:K349)</f>
        <v>0</v>
      </c>
      <c r="M349" s="1539">
        <v>0</v>
      </c>
      <c r="N349" s="1759"/>
    </row>
    <row r="350" spans="1:17" ht="12.75" hidden="1" customHeight="1">
      <c r="A350" s="32" t="s">
        <v>51</v>
      </c>
      <c r="B350" s="1444">
        <f>CVWD!N160</f>
        <v>15</v>
      </c>
      <c r="C350" s="1422"/>
      <c r="D350" s="1431">
        <f t="shared" si="80"/>
        <v>599728.76549999998</v>
      </c>
      <c r="E350" s="1422"/>
      <c r="F350" s="1449">
        <f>0.1227*B350</f>
        <v>1.8405</v>
      </c>
      <c r="G350" s="1450"/>
      <c r="H350" s="957">
        <f>F350*20</f>
        <v>36.81</v>
      </c>
      <c r="I350" s="131">
        <v>0</v>
      </c>
      <c r="J350" s="131">
        <f>50*B350</f>
        <v>750</v>
      </c>
      <c r="K350" s="131">
        <f>200*B350</f>
        <v>3000</v>
      </c>
      <c r="L350" s="132">
        <f t="shared" si="81"/>
        <v>3750</v>
      </c>
      <c r="M350" s="1539">
        <f>L350/(F350*681)</f>
        <v>2.9919086821599667</v>
      </c>
      <c r="N350" s="1759"/>
    </row>
    <row r="351" spans="1:17">
      <c r="A351" s="78" t="s">
        <v>170</v>
      </c>
      <c r="B351" s="1444">
        <f>CVWD!N161</f>
        <v>0</v>
      </c>
      <c r="C351" s="1422"/>
      <c r="D351" s="1431">
        <f t="shared" si="80"/>
        <v>0</v>
      </c>
      <c r="E351" s="1422"/>
      <c r="F351" s="1449">
        <f>0.644*B351</f>
        <v>0</v>
      </c>
      <c r="G351" s="1450"/>
      <c r="H351" s="957">
        <f>F351*5</f>
        <v>0</v>
      </c>
      <c r="I351" s="131">
        <v>0</v>
      </c>
      <c r="J351" s="131">
        <f>500*B351</f>
        <v>0</v>
      </c>
      <c r="K351" s="131">
        <f>1750*B351</f>
        <v>0</v>
      </c>
      <c r="L351" s="132">
        <f t="shared" si="81"/>
        <v>0</v>
      </c>
      <c r="M351" s="1539">
        <v>0</v>
      </c>
      <c r="N351" s="1759"/>
    </row>
    <row r="352" spans="1:17">
      <c r="A352" s="34" t="s">
        <v>13</v>
      </c>
      <c r="B352" s="1444">
        <f>CVWD!N162</f>
        <v>0</v>
      </c>
      <c r="C352" s="1422"/>
      <c r="D352" s="1431">
        <f t="shared" si="80"/>
        <v>0</v>
      </c>
      <c r="E352" s="1422"/>
      <c r="F352" s="1449">
        <f>0.0276*B352</f>
        <v>0</v>
      </c>
      <c r="G352" s="1450"/>
      <c r="H352" s="957">
        <f>F352*10</f>
        <v>0</v>
      </c>
      <c r="I352" s="131">
        <v>0</v>
      </c>
      <c r="J352" s="131">
        <f>100*B352</f>
        <v>0</v>
      </c>
      <c r="K352" s="131">
        <f>80*B352</f>
        <v>0</v>
      </c>
      <c r="L352" s="132">
        <f t="shared" si="81"/>
        <v>0</v>
      </c>
      <c r="M352" s="1539">
        <v>0</v>
      </c>
      <c r="N352" s="1759"/>
    </row>
    <row r="353" spans="1:14" s="91" customFormat="1" ht="16">
      <c r="A353" s="35" t="s">
        <v>47</v>
      </c>
      <c r="B353" s="1444">
        <f>CVWD!N162</f>
        <v>0</v>
      </c>
      <c r="C353" s="1422"/>
      <c r="D353" s="1431">
        <f t="shared" si="80"/>
        <v>0</v>
      </c>
      <c r="E353" s="1422"/>
      <c r="F353" s="1449">
        <f>0.1534*B353</f>
        <v>0</v>
      </c>
      <c r="G353" s="1450"/>
      <c r="H353" s="957">
        <f>F353*5</f>
        <v>0</v>
      </c>
      <c r="I353" s="131">
        <v>0</v>
      </c>
      <c r="J353" s="131">
        <f>0*B353</f>
        <v>0</v>
      </c>
      <c r="K353" s="131">
        <f>150*B353</f>
        <v>0</v>
      </c>
      <c r="L353" s="132">
        <f t="shared" si="81"/>
        <v>0</v>
      </c>
      <c r="M353" s="1539">
        <v>0</v>
      </c>
      <c r="N353" s="1759"/>
    </row>
    <row r="354" spans="1:14">
      <c r="A354" s="76" t="s">
        <v>30</v>
      </c>
      <c r="B354" s="1444">
        <f>CVWD!N164</f>
        <v>37</v>
      </c>
      <c r="C354" s="1422"/>
      <c r="D354" s="1431">
        <f t="shared" si="80"/>
        <v>3918358.2749999999</v>
      </c>
      <c r="E354" s="1422"/>
      <c r="F354" s="1449">
        <f>0.325*B354</f>
        <v>12.025</v>
      </c>
      <c r="G354" s="1450"/>
      <c r="H354" s="957">
        <f>F354*10</f>
        <v>120.25</v>
      </c>
      <c r="I354" s="131">
        <v>0</v>
      </c>
      <c r="J354" s="131">
        <v>2716</v>
      </c>
      <c r="K354" s="131">
        <v>6775</v>
      </c>
      <c r="L354" s="132">
        <f t="shared" si="81"/>
        <v>9491</v>
      </c>
      <c r="M354" s="1539">
        <f t="shared" ref="M354:M360" si="82">L354/(F354*681)</f>
        <v>1.1589902338801017</v>
      </c>
      <c r="N354" s="1759"/>
    </row>
    <row r="355" spans="1:14">
      <c r="A355" s="33" t="s">
        <v>53</v>
      </c>
      <c r="B355" s="1444">
        <f>CVWD!N164</f>
        <v>37</v>
      </c>
      <c r="C355" s="1422"/>
      <c r="D355" s="1431">
        <f t="shared" si="80"/>
        <v>1687.9081799999999</v>
      </c>
      <c r="E355" s="1422"/>
      <c r="F355" s="1449">
        <f>0.00014*B355</f>
        <v>5.1799999999999997E-3</v>
      </c>
      <c r="G355" s="1450"/>
      <c r="H355" s="957">
        <f>F355*10</f>
        <v>5.1799999999999999E-2</v>
      </c>
      <c r="I355" s="131">
        <v>0</v>
      </c>
      <c r="J355" s="131">
        <f>0.45*B355</f>
        <v>16.650000000000002</v>
      </c>
      <c r="K355" s="131">
        <f>0.3*B355</f>
        <v>11.1</v>
      </c>
      <c r="L355" s="132">
        <f t="shared" si="81"/>
        <v>27.75</v>
      </c>
      <c r="M355" s="1539">
        <f t="shared" si="82"/>
        <v>7.8665827564505983</v>
      </c>
      <c r="N355" s="1759"/>
    </row>
    <row r="356" spans="1:14" hidden="1">
      <c r="A356" s="33" t="s">
        <v>56</v>
      </c>
      <c r="B356" s="1444">
        <f>CVWD!N166</f>
        <v>1493</v>
      </c>
      <c r="C356" s="1422"/>
      <c r="D356" s="1431">
        <f>F356*325851</f>
        <v>1945982.172</v>
      </c>
      <c r="E356" s="1422"/>
      <c r="F356" s="1449">
        <f>0.004*B356</f>
        <v>5.9720000000000004</v>
      </c>
      <c r="G356" s="1450"/>
      <c r="H356" s="957">
        <f>F356*5</f>
        <v>29.860000000000003</v>
      </c>
      <c r="I356" s="131">
        <v>0</v>
      </c>
      <c r="J356" s="131">
        <f>B356*1</f>
        <v>1493</v>
      </c>
      <c r="K356" s="131">
        <f>3*B356</f>
        <v>4479</v>
      </c>
      <c r="L356" s="132">
        <f t="shared" si="81"/>
        <v>5972</v>
      </c>
      <c r="M356" s="1539">
        <f t="shared" si="82"/>
        <v>1.4684287812041115</v>
      </c>
      <c r="N356" s="1759"/>
    </row>
    <row r="357" spans="1:14">
      <c r="A357" s="76" t="s">
        <v>122</v>
      </c>
      <c r="B357" s="1444">
        <f>CVWD!N167</f>
        <v>0</v>
      </c>
      <c r="C357" s="1422"/>
      <c r="D357" s="1431">
        <f>F357*325851</f>
        <v>0</v>
      </c>
      <c r="E357" s="1422"/>
      <c r="F357" s="1449">
        <f>0.018*B357</f>
        <v>0</v>
      </c>
      <c r="G357" s="1450"/>
      <c r="H357" s="957">
        <f>F357*10</f>
        <v>0</v>
      </c>
      <c r="I357" s="131">
        <v>0</v>
      </c>
      <c r="J357" s="131">
        <f>0*B357</f>
        <v>0</v>
      </c>
      <c r="K357" s="131">
        <f>13*B357</f>
        <v>0</v>
      </c>
      <c r="L357" s="132">
        <f t="shared" si="81"/>
        <v>0</v>
      </c>
      <c r="M357" s="1539">
        <v>0</v>
      </c>
      <c r="N357" s="1759"/>
    </row>
    <row r="358" spans="1:14">
      <c r="A358" s="33" t="s">
        <v>102</v>
      </c>
      <c r="B358" s="1444">
        <f>CVWD!N167</f>
        <v>0</v>
      </c>
      <c r="C358" s="1422"/>
      <c r="D358" s="1431">
        <f>F358*325851</f>
        <v>0</v>
      </c>
      <c r="E358" s="1422"/>
      <c r="F358" s="1449">
        <f>0.018*B358</f>
        <v>0</v>
      </c>
      <c r="G358" s="1450"/>
      <c r="H358" s="957">
        <f>F358*10</f>
        <v>0</v>
      </c>
      <c r="I358" s="131">
        <v>0</v>
      </c>
      <c r="J358" s="131">
        <f>0*B358</f>
        <v>0</v>
      </c>
      <c r="K358" s="131">
        <f>13*B358</f>
        <v>0</v>
      </c>
      <c r="L358" s="132">
        <f>SUM(I358:K358)</f>
        <v>0</v>
      </c>
      <c r="M358" s="1539">
        <v>0</v>
      </c>
      <c r="N358" s="1759"/>
    </row>
    <row r="359" spans="1:14">
      <c r="A359" s="33" t="s">
        <v>167</v>
      </c>
      <c r="B359" s="1444"/>
      <c r="C359" s="1422"/>
      <c r="D359" s="1431"/>
      <c r="E359" s="1422"/>
      <c r="F359" s="1871"/>
      <c r="G359" s="1450"/>
      <c r="H359" s="957"/>
      <c r="I359" s="169"/>
      <c r="J359" s="131"/>
      <c r="K359" s="131"/>
      <c r="L359" s="132"/>
      <c r="M359" s="1539">
        <v>0</v>
      </c>
      <c r="N359" s="1759"/>
    </row>
    <row r="360" spans="1:14">
      <c r="A360" s="76" t="s">
        <v>165</v>
      </c>
      <c r="B360" s="1444">
        <f>CVWD!N170</f>
        <v>1300</v>
      </c>
      <c r="C360" s="1422"/>
      <c r="D360" s="1431">
        <f>F360*325851</f>
        <v>7624913.3999999994</v>
      </c>
      <c r="E360" s="1422"/>
      <c r="F360" s="1449">
        <f>0.018*B360</f>
        <v>23.4</v>
      </c>
      <c r="G360" s="1450"/>
      <c r="H360" s="957">
        <f>F360*10</f>
        <v>234</v>
      </c>
      <c r="I360" s="131">
        <v>0</v>
      </c>
      <c r="J360" s="131">
        <f>0*B360</f>
        <v>0</v>
      </c>
      <c r="K360" s="131">
        <f>13*B360</f>
        <v>16900</v>
      </c>
      <c r="L360" s="132">
        <f>SUM(I360:K360)</f>
        <v>16900</v>
      </c>
      <c r="M360" s="1539">
        <f t="shared" si="82"/>
        <v>1.0605318975363029</v>
      </c>
      <c r="N360" s="1759"/>
    </row>
    <row r="361" spans="1:14" ht="14" thickBot="1">
      <c r="A361" s="123" t="s">
        <v>184</v>
      </c>
      <c r="B361" s="1444">
        <f>CVWD!N171</f>
        <v>11</v>
      </c>
      <c r="C361" s="1422"/>
      <c r="D361" s="1431">
        <f>F361*325851</f>
        <v>17470175.513999999</v>
      </c>
      <c r="E361" s="1422"/>
      <c r="F361" s="1449">
        <f>4.874*B361</f>
        <v>53.613999999999997</v>
      </c>
      <c r="G361" s="1450"/>
      <c r="H361" s="957">
        <f>F361*10</f>
        <v>536.14</v>
      </c>
      <c r="I361" s="131">
        <v>0</v>
      </c>
      <c r="J361" s="131">
        <v>3480</v>
      </c>
      <c r="K361" s="131">
        <v>8700</v>
      </c>
      <c r="L361" s="132">
        <f>I361+J361+K361</f>
        <v>12180</v>
      </c>
      <c r="M361" s="1539">
        <f>L361/(F361*681)</f>
        <v>0.33359686938236432</v>
      </c>
      <c r="N361" s="1759"/>
    </row>
    <row r="362" spans="1:14" ht="14" thickBot="1">
      <c r="A362" s="53" t="s">
        <v>60</v>
      </c>
      <c r="B362" s="1438">
        <f>SUM(B349:C361)</f>
        <v>2893</v>
      </c>
      <c r="C362" s="1609"/>
      <c r="D362" s="1441">
        <f>SUM(D349:E361)</f>
        <v>31560846.034679998</v>
      </c>
      <c r="E362" s="1609"/>
      <c r="F362" s="1440">
        <f>SUM(F349:G361)</f>
        <v>96.856679999999997</v>
      </c>
      <c r="G362" s="1439"/>
      <c r="H362" s="482">
        <f>SUM(H349:H361)</f>
        <v>957.11180000000002</v>
      </c>
      <c r="I362" s="136">
        <f>SUM(I349:I361)</f>
        <v>0</v>
      </c>
      <c r="J362" s="136">
        <f>SUM(J349:J361)</f>
        <v>8455.65</v>
      </c>
      <c r="K362" s="136">
        <f>SUM(K349:K361)</f>
        <v>39865.1</v>
      </c>
      <c r="L362" s="136">
        <f>SUM(L349:L361)</f>
        <v>48320.75</v>
      </c>
      <c r="M362" s="1610"/>
      <c r="N362" s="1611"/>
    </row>
    <row r="363" spans="1:14" s="1168" customFormat="1" ht="17" thickBot="1">
      <c r="A363" s="1182" t="s">
        <v>17</v>
      </c>
      <c r="B363" s="1416">
        <f>SUM(B343+B347+B362)</f>
        <v>23914</v>
      </c>
      <c r="C363" s="1415"/>
      <c r="D363" s="1416">
        <f>SUM(D343+D347+D362)</f>
        <v>67684068.777779996</v>
      </c>
      <c r="E363" s="1415"/>
      <c r="F363" s="1416">
        <f>SUM(F343+F347+F362)</f>
        <v>207.71477999999999</v>
      </c>
      <c r="G363" s="1415"/>
      <c r="H363" s="1164">
        <f>SUM(H343+H347+H362)</f>
        <v>1791.5257999999999</v>
      </c>
      <c r="I363" s="1169">
        <f>SUM(I343+I347+I362)</f>
        <v>14594.66</v>
      </c>
      <c r="J363" s="1169">
        <f>SUM(J343+J347+J362)</f>
        <v>18062.989999999998</v>
      </c>
      <c r="K363" s="1169">
        <f>SUM(K343+K347+K362)</f>
        <v>106054.1</v>
      </c>
      <c r="L363" s="1169">
        <f>SUM(L343+L347+L362)</f>
        <v>138711.75</v>
      </c>
      <c r="M363" s="1631"/>
      <c r="N363" s="1640"/>
    </row>
    <row r="364" spans="1:14" ht="16">
      <c r="A364" s="60"/>
      <c r="B364" s="61"/>
      <c r="C364" s="61"/>
      <c r="D364" s="61"/>
      <c r="E364" s="61"/>
      <c r="F364" s="441"/>
      <c r="G364" s="441"/>
      <c r="H364" s="441"/>
      <c r="I364" s="62"/>
      <c r="J364" s="62"/>
      <c r="K364" s="62"/>
      <c r="L364" s="62"/>
      <c r="M364" s="64"/>
      <c r="N364" s="65"/>
    </row>
    <row r="365" spans="1:14" ht="16">
      <c r="A365" s="9" t="s">
        <v>18</v>
      </c>
      <c r="B365" s="1419" t="s">
        <v>59</v>
      </c>
      <c r="C365" s="1419"/>
      <c r="D365" s="1419"/>
      <c r="E365" s="1419"/>
      <c r="F365" s="441"/>
      <c r="G365" s="441"/>
      <c r="H365" s="441"/>
      <c r="I365" s="62"/>
      <c r="J365" s="62"/>
      <c r="K365" s="62"/>
      <c r="L365" s="62"/>
      <c r="M365" s="64"/>
      <c r="N365" s="65"/>
    </row>
    <row r="366" spans="1:14" s="363" customFormat="1" ht="16">
      <c r="A366" s="57"/>
      <c r="B366" s="1420" t="s">
        <v>19</v>
      </c>
      <c r="C366" s="1420"/>
      <c r="D366" s="1420"/>
      <c r="E366" s="1420"/>
      <c r="F366" s="441"/>
      <c r="G366" s="441"/>
      <c r="H366" s="441"/>
      <c r="I366" s="62"/>
      <c r="J366" s="62"/>
      <c r="K366" s="62"/>
      <c r="L366" s="62"/>
      <c r="M366" s="64"/>
      <c r="N366" s="65"/>
    </row>
    <row r="367" spans="1:14" ht="17" thickBot="1">
      <c r="A367" s="57"/>
      <c r="B367" s="943"/>
      <c r="C367" s="943"/>
      <c r="D367" s="943"/>
      <c r="E367" s="943"/>
      <c r="F367" s="441"/>
      <c r="G367" s="441"/>
      <c r="H367" s="441"/>
      <c r="I367" s="62"/>
      <c r="J367" s="62"/>
      <c r="K367" s="62"/>
      <c r="L367" s="62"/>
      <c r="M367" s="64"/>
      <c r="N367" s="65"/>
    </row>
    <row r="368" spans="1:14" ht="16">
      <c r="A368" s="98"/>
      <c r="B368" s="99"/>
      <c r="C368" s="99"/>
      <c r="D368" s="99"/>
      <c r="E368" s="99"/>
      <c r="F368" s="421"/>
      <c r="G368" s="421"/>
      <c r="H368" s="421"/>
      <c r="I368" s="1468" t="s">
        <v>0</v>
      </c>
      <c r="J368" s="1468"/>
      <c r="K368" s="1468"/>
      <c r="L368" s="1468"/>
      <c r="M368" s="99"/>
      <c r="N368" s="101"/>
    </row>
    <row r="369" spans="1:14" ht="16">
      <c r="A369" s="97"/>
      <c r="B369" s="1469" t="s">
        <v>1</v>
      </c>
      <c r="C369" s="1469"/>
      <c r="D369" s="1469" t="s">
        <v>2</v>
      </c>
      <c r="E369" s="1469"/>
      <c r="F369" s="1470" t="s">
        <v>3</v>
      </c>
      <c r="G369" s="1470"/>
      <c r="H369" s="931" t="s">
        <v>3</v>
      </c>
      <c r="I369" s="127" t="s">
        <v>197</v>
      </c>
      <c r="J369" s="102"/>
      <c r="K369" s="102"/>
      <c r="L369" s="128"/>
      <c r="M369" s="1469" t="s">
        <v>4</v>
      </c>
      <c r="N369" s="1526"/>
    </row>
    <row r="370" spans="1:14" s="91" customFormat="1" ht="19" thickBot="1">
      <c r="A370" s="103" t="s">
        <v>5</v>
      </c>
      <c r="B370" s="1473" t="s">
        <v>6</v>
      </c>
      <c r="C370" s="1473"/>
      <c r="D370" s="1473" t="s">
        <v>7</v>
      </c>
      <c r="E370" s="1473"/>
      <c r="F370" s="1474" t="s">
        <v>7</v>
      </c>
      <c r="G370" s="1474"/>
      <c r="H370" s="933" t="s">
        <v>58</v>
      </c>
      <c r="I370" s="937" t="s">
        <v>198</v>
      </c>
      <c r="J370" s="932" t="s">
        <v>8</v>
      </c>
      <c r="K370" s="932" t="s">
        <v>9</v>
      </c>
      <c r="L370" s="401" t="s">
        <v>10</v>
      </c>
      <c r="M370" s="1473" t="s">
        <v>145</v>
      </c>
      <c r="N370" s="1475"/>
    </row>
    <row r="371" spans="1:14" ht="24" thickBot="1">
      <c r="A371" s="88" t="s">
        <v>163</v>
      </c>
      <c r="B371" s="1764"/>
      <c r="C371" s="1477"/>
      <c r="D371" s="1478"/>
      <c r="E371" s="1479"/>
      <c r="F371" s="1480"/>
      <c r="G371" s="1481"/>
      <c r="H371" s="945"/>
      <c r="I371" s="7"/>
      <c r="J371" s="7"/>
      <c r="K371" s="7"/>
      <c r="L371" s="8"/>
      <c r="M371" s="1764"/>
      <c r="N371" s="1765"/>
    </row>
    <row r="372" spans="1:14" s="1168" customFormat="1" ht="17" thickBot="1">
      <c r="A372" s="108" t="s">
        <v>48</v>
      </c>
      <c r="B372" s="1567"/>
      <c r="C372" s="1586"/>
      <c r="D372" s="1567"/>
      <c r="E372" s="1586"/>
      <c r="F372" s="1587"/>
      <c r="G372" s="1588"/>
      <c r="H372" s="1145"/>
      <c r="I372" s="109"/>
      <c r="J372" s="109"/>
      <c r="K372" s="109"/>
      <c r="L372" s="1141"/>
      <c r="M372" s="1617"/>
      <c r="N372" s="1486"/>
    </row>
    <row r="373" spans="1:14">
      <c r="A373" s="32" t="s">
        <v>29</v>
      </c>
      <c r="B373" s="1431">
        <f>CVWD!N117</f>
        <v>44</v>
      </c>
      <c r="C373" s="1422"/>
      <c r="D373" s="1431">
        <f>F373*325851</f>
        <v>609341.37</v>
      </c>
      <c r="E373" s="1422"/>
      <c r="F373" s="1756">
        <f>0.0425*B373</f>
        <v>1.87</v>
      </c>
      <c r="G373" s="1757"/>
      <c r="H373" s="941">
        <f>F373*20</f>
        <v>37.400000000000006</v>
      </c>
      <c r="I373" s="131">
        <v>0</v>
      </c>
      <c r="J373" s="131">
        <f>35*B373</f>
        <v>1540</v>
      </c>
      <c r="K373" s="131">
        <f>B373*50</f>
        <v>2200</v>
      </c>
      <c r="L373" s="132">
        <f>I373+J373+K373</f>
        <v>3740</v>
      </c>
      <c r="M373" s="1758">
        <f t="shared" ref="M373:M378" si="83">L373/(F373*498.5)</f>
        <v>4.0120361083249749</v>
      </c>
      <c r="N373" s="1759"/>
    </row>
    <row r="374" spans="1:14">
      <c r="A374" s="32" t="s">
        <v>33</v>
      </c>
      <c r="B374" s="1431">
        <f>CVWD!N118</f>
        <v>685</v>
      </c>
      <c r="C374" s="1422"/>
      <c r="D374" s="1431">
        <f>F374*325851</f>
        <v>6160539.0060000001</v>
      </c>
      <c r="E374" s="1422"/>
      <c r="F374" s="1756">
        <f>0.0276*B374</f>
        <v>18.905999999999999</v>
      </c>
      <c r="G374" s="1757"/>
      <c r="H374" s="941">
        <f>F374*15</f>
        <v>283.58999999999997</v>
      </c>
      <c r="I374" s="131">
        <f>0*B374</f>
        <v>0</v>
      </c>
      <c r="J374" s="150">
        <v>0</v>
      </c>
      <c r="K374" s="131">
        <f>B374*85</f>
        <v>58225</v>
      </c>
      <c r="L374" s="132">
        <f>I374+J374+K374</f>
        <v>58225</v>
      </c>
      <c r="M374" s="1758">
        <f t="shared" si="83"/>
        <v>6.177954152312009</v>
      </c>
      <c r="N374" s="1759"/>
    </row>
    <row r="375" spans="1:14">
      <c r="A375" s="32" t="s">
        <v>56</v>
      </c>
      <c r="B375" s="1431">
        <f>CVWD!N119</f>
        <v>493</v>
      </c>
      <c r="C375" s="1422"/>
      <c r="D375" s="1431">
        <f>F375*325851</f>
        <v>642578.17200000002</v>
      </c>
      <c r="E375" s="1422"/>
      <c r="F375" s="1756">
        <f>0.004*B375</f>
        <v>1.972</v>
      </c>
      <c r="G375" s="1757"/>
      <c r="H375" s="941">
        <f>F375*5</f>
        <v>9.86</v>
      </c>
      <c r="I375" s="131">
        <f>0*B375</f>
        <v>0</v>
      </c>
      <c r="J375" s="131">
        <f>2*B375</f>
        <v>986</v>
      </c>
      <c r="K375" s="131">
        <f>B375*3</f>
        <v>1479</v>
      </c>
      <c r="L375" s="132">
        <f>I375+J375+K375</f>
        <v>2465</v>
      </c>
      <c r="M375" s="1758">
        <f t="shared" si="83"/>
        <v>2.5075225677031092</v>
      </c>
      <c r="N375" s="1759"/>
    </row>
    <row r="376" spans="1:14">
      <c r="A376" s="78" t="s">
        <v>30</v>
      </c>
      <c r="B376" s="1431">
        <f>CVWD!N120</f>
        <v>11</v>
      </c>
      <c r="C376" s="1422"/>
      <c r="D376" s="1431">
        <f>F376*325851</f>
        <v>1164917.325</v>
      </c>
      <c r="E376" s="1422"/>
      <c r="F376" s="1756">
        <f>0.325*B376</f>
        <v>3.5750000000000002</v>
      </c>
      <c r="G376" s="1757"/>
      <c r="H376" s="941">
        <f>F376*10</f>
        <v>35.75</v>
      </c>
      <c r="I376" s="131">
        <v>0</v>
      </c>
      <c r="J376" s="131">
        <f>B376*45</f>
        <v>495</v>
      </c>
      <c r="K376" s="131">
        <f>B376*80</f>
        <v>880</v>
      </c>
      <c r="L376" s="132">
        <f>SUM(J376:K376)</f>
        <v>1375</v>
      </c>
      <c r="M376" s="1758">
        <f t="shared" si="83"/>
        <v>0.77154540544711059</v>
      </c>
      <c r="N376" s="1759"/>
    </row>
    <row r="377" spans="1:14">
      <c r="A377" s="76" t="s">
        <v>176</v>
      </c>
      <c r="B377" s="1431">
        <v>7</v>
      </c>
      <c r="C377" s="1422"/>
      <c r="D377" s="1467">
        <f>F377*325900</f>
        <v>300538.46199999994</v>
      </c>
      <c r="E377" s="1433"/>
      <c r="F377" s="1718">
        <f>0.00014*6587</f>
        <v>0.92217999999999989</v>
      </c>
      <c r="G377" s="1719"/>
      <c r="H377" s="944">
        <f>F377*10</f>
        <v>9.2217999999999982</v>
      </c>
      <c r="I377" s="133">
        <v>0</v>
      </c>
      <c r="J377" s="133">
        <f>6587*0.45</f>
        <v>2964.15</v>
      </c>
      <c r="K377" s="133">
        <f>6587*0.3</f>
        <v>1976.1</v>
      </c>
      <c r="L377" s="134">
        <f>SUM(I377:K377)</f>
        <v>4940.25</v>
      </c>
      <c r="M377" s="1758">
        <f t="shared" si="83"/>
        <v>10.746525290156184</v>
      </c>
      <c r="N377" s="1759"/>
    </row>
    <row r="378" spans="1:14">
      <c r="A378" s="76" t="s">
        <v>165</v>
      </c>
      <c r="B378" s="1421">
        <f>CVWD!N122</f>
        <v>285</v>
      </c>
      <c r="C378" s="1422"/>
      <c r="D378" s="1467">
        <f>F378*325900</f>
        <v>371526.00000000006</v>
      </c>
      <c r="E378" s="1433"/>
      <c r="F378" s="1771">
        <f>B378*0.004</f>
        <v>1.1400000000000001</v>
      </c>
      <c r="G378" s="1719"/>
      <c r="H378" s="944">
        <f>F378*5</f>
        <v>5.7000000000000011</v>
      </c>
      <c r="I378" s="133">
        <v>0</v>
      </c>
      <c r="J378" s="133">
        <v>0</v>
      </c>
      <c r="K378" s="133">
        <f>7125*3</f>
        <v>21375</v>
      </c>
      <c r="L378" s="134">
        <f>SUM(I378:K378)</f>
        <v>21375</v>
      </c>
      <c r="M378" s="1758">
        <f t="shared" si="83"/>
        <v>37.612838515546635</v>
      </c>
      <c r="N378" s="1759"/>
    </row>
    <row r="379" spans="1:14" s="91" customFormat="1" ht="17" thickBot="1">
      <c r="A379" s="76" t="s">
        <v>166</v>
      </c>
      <c r="B379" s="1429"/>
      <c r="C379" s="1430"/>
      <c r="D379" s="1744"/>
      <c r="E379" s="1437"/>
      <c r="F379" s="2183"/>
      <c r="G379" s="2095"/>
      <c r="H379" s="716"/>
      <c r="I379" s="334"/>
      <c r="J379" s="334"/>
      <c r="K379" s="334"/>
      <c r="L379" s="134"/>
      <c r="M379" s="1754"/>
      <c r="N379" s="1755"/>
    </row>
    <row r="380" spans="1:14" ht="14" hidden="1" thickBot="1">
      <c r="A380" s="53" t="s">
        <v>60</v>
      </c>
      <c r="B380" s="1438">
        <f>SUM(B373:C378)</f>
        <v>1525</v>
      </c>
      <c r="C380" s="1609"/>
      <c r="D380" s="1441">
        <f>SUM(D373:E378)</f>
        <v>9249440.334999999</v>
      </c>
      <c r="E380" s="1609"/>
      <c r="F380" s="1512">
        <f>SUM(F373:G378)</f>
        <v>28.385180000000002</v>
      </c>
      <c r="G380" s="1575"/>
      <c r="H380" s="704">
        <f>SUM(H373:H378)</f>
        <v>381.52179999999998</v>
      </c>
      <c r="I380" s="136">
        <f>SUM(I373:I378)</f>
        <v>0</v>
      </c>
      <c r="J380" s="136">
        <f>SUM(J373:J378)</f>
        <v>5985.15</v>
      </c>
      <c r="K380" s="136">
        <f>SUM(K373:K378)</f>
        <v>86135.1</v>
      </c>
      <c r="L380" s="136">
        <f>SUM(L373:L378)</f>
        <v>92120.25</v>
      </c>
      <c r="M380" s="1610"/>
      <c r="N380" s="1611"/>
    </row>
    <row r="381" spans="1:14" s="1168" customFormat="1" ht="17" thickBot="1">
      <c r="A381" s="108" t="s">
        <v>146</v>
      </c>
      <c r="B381" s="1456"/>
      <c r="C381" s="1586"/>
      <c r="D381" s="1567"/>
      <c r="E381" s="1586"/>
      <c r="F381" s="1484"/>
      <c r="G381" s="1588"/>
      <c r="H381" s="1145"/>
      <c r="I381" s="161"/>
      <c r="J381" s="161"/>
      <c r="K381" s="161"/>
      <c r="L381" s="162"/>
      <c r="M381" s="1617"/>
      <c r="N381" s="1486"/>
    </row>
    <row r="382" spans="1:14" s="91" customFormat="1" ht="17" thickBot="1">
      <c r="A382" s="76" t="s">
        <v>146</v>
      </c>
      <c r="B382" s="1421">
        <f>CVWD!N126</f>
        <v>287</v>
      </c>
      <c r="C382" s="1422"/>
      <c r="D382" s="1431">
        <f>F382*325851</f>
        <v>3974567.5725000007</v>
      </c>
      <c r="E382" s="1422"/>
      <c r="F382" s="1727">
        <f>0.0425*B382</f>
        <v>12.197500000000002</v>
      </c>
      <c r="G382" s="1721"/>
      <c r="H382" s="711">
        <f>F382*20</f>
        <v>243.95000000000005</v>
      </c>
      <c r="I382" s="131">
        <f>73.34*B382</f>
        <v>21048.58</v>
      </c>
      <c r="J382" s="131">
        <f>35.66*B382</f>
        <v>10234.419999999998</v>
      </c>
      <c r="K382" s="131">
        <f>B382*50</f>
        <v>14350</v>
      </c>
      <c r="L382" s="132">
        <f>I382+J382+K382</f>
        <v>45633</v>
      </c>
      <c r="M382" s="1539">
        <f>L382/(F382*498.5)</f>
        <v>7.5048675438078938</v>
      </c>
      <c r="N382" s="1759"/>
    </row>
    <row r="383" spans="1:14" ht="14" thickBot="1">
      <c r="A383" s="53" t="s">
        <v>60</v>
      </c>
      <c r="B383" s="1438">
        <f>SUM(B382)</f>
        <v>287</v>
      </c>
      <c r="C383" s="1609"/>
      <c r="D383" s="1441">
        <f>SUM(D382)</f>
        <v>3974567.5725000007</v>
      </c>
      <c r="E383" s="1609"/>
      <c r="F383" s="1512">
        <f>SUM(F382)</f>
        <v>12.197500000000002</v>
      </c>
      <c r="G383" s="1575"/>
      <c r="H383" s="704">
        <f>SUM(H382)</f>
        <v>243.95000000000005</v>
      </c>
      <c r="I383" s="136">
        <f>SUM(I382)</f>
        <v>21048.58</v>
      </c>
      <c r="J383" s="143">
        <f>SUM(J382)</f>
        <v>10234.419999999998</v>
      </c>
      <c r="K383" s="143">
        <f>SUM(K382)</f>
        <v>14350</v>
      </c>
      <c r="L383" s="136">
        <f>SUM(L382)</f>
        <v>45633</v>
      </c>
      <c r="M383" s="1610"/>
      <c r="N383" s="1611"/>
    </row>
    <row r="384" spans="1:14" s="1168" customFormat="1" ht="17" hidden="1" thickBot="1">
      <c r="A384" s="108" t="s">
        <v>50</v>
      </c>
      <c r="B384" s="1456"/>
      <c r="C384" s="1586"/>
      <c r="D384" s="1567"/>
      <c r="E384" s="1586"/>
      <c r="F384" s="1484"/>
      <c r="G384" s="1588"/>
      <c r="H384" s="1145"/>
      <c r="I384" s="161"/>
      <c r="J384" s="161"/>
      <c r="K384" s="161"/>
      <c r="L384" s="162"/>
      <c r="M384" s="1617"/>
      <c r="N384" s="1486"/>
    </row>
    <row r="385" spans="1:14">
      <c r="A385" s="122" t="s">
        <v>29</v>
      </c>
      <c r="B385" s="1444">
        <f>CVWD!N129</f>
        <v>0</v>
      </c>
      <c r="C385" s="1422"/>
      <c r="D385" s="1431">
        <f t="shared" ref="D385:D391" si="84">F385*325851</f>
        <v>0</v>
      </c>
      <c r="E385" s="1422"/>
      <c r="F385" s="1727">
        <f>0.0425*B385</f>
        <v>0</v>
      </c>
      <c r="G385" s="1721"/>
      <c r="H385" s="711">
        <f>F385*20</f>
        <v>0</v>
      </c>
      <c r="I385" s="131">
        <v>0</v>
      </c>
      <c r="J385" s="131">
        <f>135*B385</f>
        <v>0</v>
      </c>
      <c r="K385" s="131">
        <f>165*B385</f>
        <v>0</v>
      </c>
      <c r="L385" s="132">
        <f t="shared" ref="L385:L392" si="85">SUM(I385:K385)</f>
        <v>0</v>
      </c>
      <c r="M385" s="1539">
        <v>0</v>
      </c>
      <c r="N385" s="1759"/>
    </row>
    <row r="386" spans="1:14">
      <c r="A386" s="32" t="s">
        <v>51</v>
      </c>
      <c r="B386" s="1444">
        <f>CVWD!N130</f>
        <v>9</v>
      </c>
      <c r="C386" s="1422"/>
      <c r="D386" s="1431">
        <f t="shared" si="84"/>
        <v>359837.25930000003</v>
      </c>
      <c r="E386" s="1422"/>
      <c r="F386" s="1727">
        <f>0.1227*B386</f>
        <v>1.1043000000000001</v>
      </c>
      <c r="G386" s="1721"/>
      <c r="H386" s="711">
        <f>F386*20</f>
        <v>22.086000000000002</v>
      </c>
      <c r="I386" s="131">
        <v>0</v>
      </c>
      <c r="J386" s="131">
        <f>50*B386</f>
        <v>450</v>
      </c>
      <c r="K386" s="131">
        <f>200*B386</f>
        <v>1800</v>
      </c>
      <c r="L386" s="132">
        <f t="shared" si="85"/>
        <v>2250</v>
      </c>
      <c r="M386" s="1539">
        <f>L386/(F386*498.5)</f>
        <v>4.0872413491493225</v>
      </c>
      <c r="N386" s="1759"/>
    </row>
    <row r="387" spans="1:14">
      <c r="A387" s="78" t="s">
        <v>170</v>
      </c>
      <c r="B387" s="1444">
        <v>2</v>
      </c>
      <c r="C387" s="1422"/>
      <c r="D387" s="1431">
        <f t="shared" si="84"/>
        <v>419696.08799999999</v>
      </c>
      <c r="E387" s="1422"/>
      <c r="F387" s="1727">
        <f>0.644*B387</f>
        <v>1.288</v>
      </c>
      <c r="G387" s="1721"/>
      <c r="H387" s="711">
        <f>F387*5</f>
        <v>6.44</v>
      </c>
      <c r="I387" s="131">
        <v>0</v>
      </c>
      <c r="J387" s="131">
        <f>500*B387</f>
        <v>1000</v>
      </c>
      <c r="K387" s="131">
        <f>1750*B387</f>
        <v>3500</v>
      </c>
      <c r="L387" s="132">
        <f t="shared" si="85"/>
        <v>4500</v>
      </c>
      <c r="M387" s="1539">
        <f>L387/(F387*498.5)</f>
        <v>7.0086034501018588</v>
      </c>
      <c r="N387" s="1759"/>
    </row>
    <row r="388" spans="1:14">
      <c r="A388" s="34" t="s">
        <v>13</v>
      </c>
      <c r="B388" s="1444">
        <f>CVWD!N132</f>
        <v>0</v>
      </c>
      <c r="C388" s="1422"/>
      <c r="D388" s="1431">
        <f t="shared" si="84"/>
        <v>0</v>
      </c>
      <c r="E388" s="1422"/>
      <c r="F388" s="1727">
        <f>0.0276*B388</f>
        <v>0</v>
      </c>
      <c r="G388" s="1721"/>
      <c r="H388" s="711">
        <f>F388*10</f>
        <v>0</v>
      </c>
      <c r="I388" s="131">
        <v>0</v>
      </c>
      <c r="J388" s="131">
        <f>100*B388</f>
        <v>0</v>
      </c>
      <c r="K388" s="131">
        <f>80*B388</f>
        <v>0</v>
      </c>
      <c r="L388" s="132">
        <f t="shared" si="85"/>
        <v>0</v>
      </c>
      <c r="M388" s="1539">
        <v>0</v>
      </c>
      <c r="N388" s="1759"/>
    </row>
    <row r="389" spans="1:14">
      <c r="A389" s="35" t="s">
        <v>47</v>
      </c>
      <c r="B389" s="1444">
        <f>CVWD!N133</f>
        <v>0</v>
      </c>
      <c r="C389" s="1422"/>
      <c r="D389" s="1431">
        <f t="shared" si="84"/>
        <v>0</v>
      </c>
      <c r="E389" s="1422"/>
      <c r="F389" s="1727">
        <f>0.1534*B389</f>
        <v>0</v>
      </c>
      <c r="G389" s="1721"/>
      <c r="H389" s="711">
        <f>F389*5</f>
        <v>0</v>
      </c>
      <c r="I389" s="131">
        <v>0</v>
      </c>
      <c r="J389" s="131">
        <f>0*B389</f>
        <v>0</v>
      </c>
      <c r="K389" s="131">
        <f>150*B389</f>
        <v>0</v>
      </c>
      <c r="L389" s="132">
        <f t="shared" si="85"/>
        <v>0</v>
      </c>
      <c r="M389" s="1539" t="e">
        <f t="shared" ref="M389" si="86">L389/(F389*498.5)</f>
        <v>#DIV/0!</v>
      </c>
      <c r="N389" s="1759"/>
    </row>
    <row r="390" spans="1:14" hidden="1">
      <c r="A390" s="76" t="s">
        <v>30</v>
      </c>
      <c r="B390" s="1444">
        <f>CVWD!N134</f>
        <v>43</v>
      </c>
      <c r="C390" s="1422"/>
      <c r="D390" s="1431">
        <f t="shared" si="84"/>
        <v>4553767.7249999996</v>
      </c>
      <c r="E390" s="1422"/>
      <c r="F390" s="1727">
        <f>0.325*B390</f>
        <v>13.975</v>
      </c>
      <c r="G390" s="1721"/>
      <c r="H390" s="711">
        <f>F390*10</f>
        <v>139.75</v>
      </c>
      <c r="I390" s="131">
        <v>0</v>
      </c>
      <c r="J390" s="131">
        <v>9275</v>
      </c>
      <c r="K390" s="131">
        <v>22175</v>
      </c>
      <c r="L390" s="132">
        <f>SUM(I390:K390)</f>
        <v>31450</v>
      </c>
      <c r="M390" s="1539">
        <f>L390/(F390*498.5)</f>
        <v>4.5144377676858847</v>
      </c>
      <c r="N390" s="1759"/>
    </row>
    <row r="391" spans="1:14">
      <c r="A391" s="33" t="s">
        <v>53</v>
      </c>
      <c r="B391" s="1444">
        <f>CVWD!N135</f>
        <v>0</v>
      </c>
      <c r="C391" s="1422"/>
      <c r="D391" s="1431">
        <f t="shared" si="84"/>
        <v>0</v>
      </c>
      <c r="E391" s="1422"/>
      <c r="F391" s="1727">
        <f>0.00014*B391</f>
        <v>0</v>
      </c>
      <c r="G391" s="1721"/>
      <c r="H391" s="711">
        <f>F391*10</f>
        <v>0</v>
      </c>
      <c r="I391" s="131">
        <v>0</v>
      </c>
      <c r="J391" s="131">
        <f>0.45*B391</f>
        <v>0</v>
      </c>
      <c r="K391" s="131">
        <f>0.3*B391</f>
        <v>0</v>
      </c>
      <c r="L391" s="132">
        <f t="shared" si="85"/>
        <v>0</v>
      </c>
      <c r="M391" s="1539">
        <v>0</v>
      </c>
      <c r="N391" s="1759"/>
    </row>
    <row r="392" spans="1:14">
      <c r="A392" s="33" t="s">
        <v>56</v>
      </c>
      <c r="B392" s="1444">
        <f>CVWD!N136</f>
        <v>2998</v>
      </c>
      <c r="C392" s="1422"/>
      <c r="D392" s="1431">
        <f>F392*325851</f>
        <v>3907605.1920000003</v>
      </c>
      <c r="E392" s="1422"/>
      <c r="F392" s="1727">
        <f>0.004*B392</f>
        <v>11.992000000000001</v>
      </c>
      <c r="G392" s="1721"/>
      <c r="H392" s="711">
        <f>F392*5</f>
        <v>59.960000000000008</v>
      </c>
      <c r="I392" s="131">
        <v>0</v>
      </c>
      <c r="J392" s="131">
        <f>B392*1</f>
        <v>2998</v>
      </c>
      <c r="K392" s="131">
        <f>3*B392</f>
        <v>8994</v>
      </c>
      <c r="L392" s="132">
        <f t="shared" si="85"/>
        <v>11992</v>
      </c>
      <c r="M392" s="1539">
        <f>L392/(F392*498.5)</f>
        <v>2.0060180541624875</v>
      </c>
      <c r="N392" s="1759"/>
    </row>
    <row r="393" spans="1:14">
      <c r="A393" s="76" t="s">
        <v>122</v>
      </c>
      <c r="B393" s="1444">
        <f>CVWD!N137</f>
        <v>0</v>
      </c>
      <c r="C393" s="1422"/>
      <c r="D393" s="1431">
        <f>F393*325851</f>
        <v>0</v>
      </c>
      <c r="E393" s="1422"/>
      <c r="F393" s="1727">
        <f>0.018*B393</f>
        <v>0</v>
      </c>
      <c r="G393" s="1721"/>
      <c r="H393" s="711">
        <f>F393*10</f>
        <v>0</v>
      </c>
      <c r="I393" s="131">
        <v>0</v>
      </c>
      <c r="J393" s="131">
        <f>0*B393</f>
        <v>0</v>
      </c>
      <c r="K393" s="131">
        <f>13*B393</f>
        <v>0</v>
      </c>
      <c r="L393" s="132">
        <f>SUM(I393:K393)</f>
        <v>0</v>
      </c>
      <c r="M393" s="1539">
        <v>0</v>
      </c>
      <c r="N393" s="1759"/>
    </row>
    <row r="394" spans="1:14">
      <c r="A394" s="33" t="s">
        <v>102</v>
      </c>
      <c r="B394" s="1444">
        <f>CVWD!N138</f>
        <v>0</v>
      </c>
      <c r="C394" s="1422"/>
      <c r="D394" s="1431">
        <f>F394*325851</f>
        <v>0</v>
      </c>
      <c r="E394" s="1422"/>
      <c r="F394" s="1727">
        <f>0.153*B394</f>
        <v>0</v>
      </c>
      <c r="G394" s="1721"/>
      <c r="H394" s="711">
        <f>F394*5</f>
        <v>0</v>
      </c>
      <c r="I394" s="131">
        <v>0</v>
      </c>
      <c r="J394" s="131">
        <f>0*B394</f>
        <v>0</v>
      </c>
      <c r="K394" s="131">
        <f>60*B394</f>
        <v>0</v>
      </c>
      <c r="L394" s="132">
        <f>SUM(I394:K394)</f>
        <v>0</v>
      </c>
      <c r="M394" s="1539">
        <v>0</v>
      </c>
      <c r="N394" s="1759"/>
    </row>
    <row r="395" spans="1:14" ht="14" thickBot="1">
      <c r="A395" s="123" t="s">
        <v>167</v>
      </c>
      <c r="B395" s="1768"/>
      <c r="C395" s="1430"/>
      <c r="D395" s="1744"/>
      <c r="E395" s="1436"/>
      <c r="F395" s="1718"/>
      <c r="G395" s="1719"/>
      <c r="H395" s="479"/>
      <c r="I395" s="334"/>
      <c r="J395" s="334"/>
      <c r="K395" s="334"/>
      <c r="L395" s="134"/>
      <c r="M395" s="1754"/>
      <c r="N395" s="1755"/>
    </row>
    <row r="396" spans="1:14" s="91" customFormat="1" ht="17" thickBot="1">
      <c r="A396" s="53" t="s">
        <v>60</v>
      </c>
      <c r="B396" s="1438">
        <f>SUM(B385:C394)</f>
        <v>3052</v>
      </c>
      <c r="C396" s="1609"/>
      <c r="D396" s="1441">
        <f>SUM(D385:E394)</f>
        <v>9240906.2642999999</v>
      </c>
      <c r="E396" s="1609"/>
      <c r="F396" s="1512">
        <f>SUM(F385:G394)</f>
        <v>28.359300000000001</v>
      </c>
      <c r="G396" s="1512"/>
      <c r="H396" s="448">
        <f>SUM(H385:H394)</f>
        <v>228.23600000000002</v>
      </c>
      <c r="I396" s="136">
        <f>SUM(I385:I394)</f>
        <v>0</v>
      </c>
      <c r="J396" s="143">
        <f>SUM(J385:J394)</f>
        <v>13723</v>
      </c>
      <c r="K396" s="143">
        <f>SUM(K385:K394)</f>
        <v>36469</v>
      </c>
      <c r="L396" s="136">
        <f>SUM(L385:L394)</f>
        <v>50192</v>
      </c>
      <c r="M396" s="1610"/>
      <c r="N396" s="1611"/>
    </row>
    <row r="397" spans="1:14" s="1168" customFormat="1" ht="17" thickBot="1">
      <c r="A397" s="1182" t="s">
        <v>17</v>
      </c>
      <c r="B397" s="1416">
        <f>SUM(B380+B383+B396)</f>
        <v>4864</v>
      </c>
      <c r="C397" s="1415"/>
      <c r="D397" s="1416">
        <f>SUM(D380+D383+D396)</f>
        <v>22464914.171799999</v>
      </c>
      <c r="E397" s="1415"/>
      <c r="F397" s="1487">
        <f>SUM(F380+F383+F396)</f>
        <v>68.941980000000001</v>
      </c>
      <c r="G397" s="1488"/>
      <c r="H397" s="1201">
        <f>SUM(H380+H383+H396)</f>
        <v>853.70780000000002</v>
      </c>
      <c r="I397" s="1169">
        <f>SUM(I380+I383+I396)</f>
        <v>21048.58</v>
      </c>
      <c r="J397" s="1169">
        <f>SUM(J380+J383+J396)</f>
        <v>29942.57</v>
      </c>
      <c r="K397" s="1169">
        <f>SUM(K380+K383+K396)</f>
        <v>136954.1</v>
      </c>
      <c r="L397" s="1169">
        <f>SUM(L380+L383+L396)</f>
        <v>187945.25</v>
      </c>
      <c r="M397" s="1631"/>
      <c r="N397" s="1640"/>
    </row>
    <row r="398" spans="1:14" ht="16">
      <c r="A398" s="60"/>
      <c r="B398" s="61"/>
      <c r="C398" s="61"/>
      <c r="D398" s="61"/>
      <c r="E398" s="61"/>
      <c r="F398" s="441"/>
      <c r="G398" s="441"/>
      <c r="H398" s="441"/>
      <c r="I398" s="62"/>
      <c r="J398" s="62"/>
      <c r="K398" s="62"/>
      <c r="L398" s="62"/>
      <c r="M398" s="64"/>
      <c r="N398" s="65"/>
    </row>
    <row r="399" spans="1:14" ht="16">
      <c r="A399" s="9" t="s">
        <v>18</v>
      </c>
      <c r="B399" s="1419" t="s">
        <v>59</v>
      </c>
      <c r="C399" s="1419"/>
      <c r="D399" s="1419"/>
      <c r="E399" s="1419"/>
      <c r="F399" s="441"/>
      <c r="G399" s="441"/>
      <c r="H399" s="441"/>
      <c r="I399" s="62"/>
      <c r="J399" s="62"/>
      <c r="K399" s="62"/>
      <c r="L399" s="62"/>
      <c r="M399" s="64"/>
      <c r="N399" s="65"/>
    </row>
    <row r="400" spans="1:14" ht="16">
      <c r="A400" s="57"/>
      <c r="B400" s="1420" t="s">
        <v>19</v>
      </c>
      <c r="C400" s="1420"/>
      <c r="D400" s="1420"/>
      <c r="E400" s="1420"/>
      <c r="F400" s="441"/>
      <c r="G400" s="441"/>
      <c r="H400" s="441"/>
      <c r="I400" s="62"/>
      <c r="J400" s="62"/>
      <c r="K400" s="62"/>
      <c r="L400" s="62"/>
      <c r="M400" s="64"/>
      <c r="N400" s="65"/>
    </row>
    <row r="401" spans="1:14" ht="17" thickBot="1">
      <c r="A401" s="57"/>
      <c r="B401" s="943"/>
      <c r="C401" s="943"/>
      <c r="D401" s="943"/>
      <c r="E401" s="943"/>
      <c r="F401" s="441"/>
      <c r="G401" s="441"/>
      <c r="H401" s="441"/>
      <c r="I401" s="62"/>
      <c r="J401" s="62"/>
      <c r="K401" s="62"/>
      <c r="L401" s="62"/>
      <c r="M401" s="64"/>
      <c r="N401" s="65"/>
    </row>
    <row r="402" spans="1:14" s="66" customFormat="1" ht="16">
      <c r="A402" s="98"/>
      <c r="B402" s="99"/>
      <c r="C402" s="99"/>
      <c r="D402" s="99"/>
      <c r="E402" s="99"/>
      <c r="F402" s="421"/>
      <c r="G402" s="421"/>
      <c r="H402" s="421"/>
      <c r="I402" s="1468" t="s">
        <v>0</v>
      </c>
      <c r="J402" s="1468"/>
      <c r="K402" s="1468"/>
      <c r="L402" s="1468"/>
      <c r="M402" s="99"/>
      <c r="N402" s="101"/>
    </row>
    <row r="403" spans="1:14" s="66" customFormat="1" ht="16">
      <c r="A403" s="97"/>
      <c r="B403" s="1469" t="s">
        <v>1</v>
      </c>
      <c r="C403" s="1469"/>
      <c r="D403" s="1469" t="s">
        <v>2</v>
      </c>
      <c r="E403" s="1469"/>
      <c r="F403" s="1470" t="s">
        <v>3</v>
      </c>
      <c r="G403" s="1470"/>
      <c r="H403" s="931" t="s">
        <v>3</v>
      </c>
      <c r="I403" s="127" t="s">
        <v>197</v>
      </c>
      <c r="J403" s="102"/>
      <c r="K403" s="102"/>
      <c r="L403" s="128"/>
      <c r="M403" s="1469" t="s">
        <v>4</v>
      </c>
      <c r="N403" s="1526"/>
    </row>
    <row r="404" spans="1:14" s="66" customFormat="1" ht="19" thickBot="1">
      <c r="A404" s="103" t="s">
        <v>5</v>
      </c>
      <c r="B404" s="1473" t="s">
        <v>6</v>
      </c>
      <c r="C404" s="1473"/>
      <c r="D404" s="1473" t="s">
        <v>7</v>
      </c>
      <c r="E404" s="1473"/>
      <c r="F404" s="1474" t="s">
        <v>7</v>
      </c>
      <c r="G404" s="1474"/>
      <c r="H404" s="933" t="s">
        <v>58</v>
      </c>
      <c r="I404" s="937" t="s">
        <v>198</v>
      </c>
      <c r="J404" s="932" t="s">
        <v>8</v>
      </c>
      <c r="K404" s="932" t="s">
        <v>9</v>
      </c>
      <c r="L404" s="401" t="s">
        <v>10</v>
      </c>
      <c r="M404" s="1473" t="s">
        <v>145</v>
      </c>
      <c r="N404" s="1475"/>
    </row>
    <row r="405" spans="1:14" s="66" customFormat="1" ht="24" thickBot="1">
      <c r="A405" s="88" t="s">
        <v>144</v>
      </c>
      <c r="B405" s="1764"/>
      <c r="C405" s="1477"/>
      <c r="D405" s="1478"/>
      <c r="E405" s="1479"/>
      <c r="F405" s="1480"/>
      <c r="G405" s="1481"/>
      <c r="H405" s="945"/>
      <c r="I405" s="7"/>
      <c r="J405" s="7"/>
      <c r="K405" s="7"/>
      <c r="L405" s="8"/>
      <c r="M405" s="1764"/>
      <c r="N405" s="1765"/>
    </row>
    <row r="406" spans="1:14" s="1202" customFormat="1" ht="17" thickBot="1">
      <c r="A406" s="108" t="s">
        <v>48</v>
      </c>
      <c r="B406" s="1567"/>
      <c r="C406" s="1586"/>
      <c r="D406" s="1567"/>
      <c r="E406" s="1586"/>
      <c r="F406" s="1587"/>
      <c r="G406" s="1588"/>
      <c r="H406" s="1145"/>
      <c r="I406" s="109"/>
      <c r="J406" s="109"/>
      <c r="K406" s="109"/>
      <c r="L406" s="1141"/>
      <c r="M406" s="1617"/>
      <c r="N406" s="1486"/>
    </row>
    <row r="407" spans="1:14" s="66" customFormat="1">
      <c r="A407" s="32" t="s">
        <v>28</v>
      </c>
      <c r="B407" s="1431">
        <f>CVWD!N79</f>
        <v>0</v>
      </c>
      <c r="C407" s="1422"/>
      <c r="D407" s="1431">
        <f t="shared" ref="D407:D413" si="87">F407*325851</f>
        <v>0</v>
      </c>
      <c r="E407" s="1422"/>
      <c r="F407" s="1756">
        <f>0.0379*B407</f>
        <v>0</v>
      </c>
      <c r="G407" s="1757"/>
      <c r="H407" s="477">
        <f>F407*20</f>
        <v>0</v>
      </c>
      <c r="I407" s="131">
        <v>0</v>
      </c>
      <c r="J407" s="131">
        <f>0*B407</f>
        <v>0</v>
      </c>
      <c r="K407" s="131">
        <f>60*B407</f>
        <v>0</v>
      </c>
      <c r="L407" s="132">
        <f t="shared" ref="L407:L413" si="88">I407+J407+K407</f>
        <v>0</v>
      </c>
      <c r="M407" s="1758">
        <v>0</v>
      </c>
      <c r="N407" s="1759"/>
    </row>
    <row r="408" spans="1:14" s="66" customFormat="1">
      <c r="A408" s="32" t="s">
        <v>29</v>
      </c>
      <c r="B408" s="1431">
        <f>CVWD!N80</f>
        <v>65</v>
      </c>
      <c r="C408" s="1422"/>
      <c r="D408" s="1431">
        <f t="shared" si="87"/>
        <v>900163.38750000007</v>
      </c>
      <c r="E408" s="1422"/>
      <c r="F408" s="1756">
        <f>0.0425*B408</f>
        <v>2.7625000000000002</v>
      </c>
      <c r="G408" s="1757"/>
      <c r="H408" s="941">
        <f>F408*20</f>
        <v>55.25</v>
      </c>
      <c r="I408" s="131">
        <v>0</v>
      </c>
      <c r="J408" s="131">
        <f>35*B408</f>
        <v>2275</v>
      </c>
      <c r="K408" s="131">
        <f>B408*50</f>
        <v>3250</v>
      </c>
      <c r="L408" s="132">
        <f t="shared" si="88"/>
        <v>5525</v>
      </c>
      <c r="M408" s="1758">
        <f>L408/(F408*498.5)</f>
        <v>4.0120361083249749</v>
      </c>
      <c r="N408" s="1759"/>
    </row>
    <row r="409" spans="1:14" s="363" customFormat="1">
      <c r="A409" s="32" t="s">
        <v>33</v>
      </c>
      <c r="B409" s="1431">
        <f>CVWD!N81</f>
        <v>122</v>
      </c>
      <c r="C409" s="1422"/>
      <c r="D409" s="1431">
        <f t="shared" si="87"/>
        <v>1097205.4872000001</v>
      </c>
      <c r="E409" s="1422"/>
      <c r="F409" s="1756">
        <f>0.0276*B409</f>
        <v>3.3672</v>
      </c>
      <c r="G409" s="1757"/>
      <c r="H409" s="941">
        <f>F409*15</f>
        <v>50.508000000000003</v>
      </c>
      <c r="I409" s="131">
        <f>0*B409</f>
        <v>0</v>
      </c>
      <c r="J409" s="131">
        <f>50*B409</f>
        <v>6100</v>
      </c>
      <c r="K409" s="131">
        <f>B409*110</f>
        <v>13420</v>
      </c>
      <c r="L409" s="132">
        <f t="shared" si="88"/>
        <v>19520</v>
      </c>
      <c r="M409" s="1758">
        <f>L409/(F409*498.5)</f>
        <v>11.629090169057898</v>
      </c>
      <c r="N409" s="1759"/>
    </row>
    <row r="410" spans="1:14">
      <c r="A410" s="32" t="s">
        <v>56</v>
      </c>
      <c r="B410" s="1431">
        <f>CVWD!N82</f>
        <v>216</v>
      </c>
      <c r="C410" s="1422"/>
      <c r="D410" s="1431">
        <f t="shared" si="87"/>
        <v>281535.26400000002</v>
      </c>
      <c r="E410" s="1422"/>
      <c r="F410" s="1756">
        <f>0.004*B410</f>
        <v>0.86399999999999999</v>
      </c>
      <c r="G410" s="1757"/>
      <c r="H410" s="941">
        <f>F410*5</f>
        <v>4.32</v>
      </c>
      <c r="I410" s="131">
        <f>0*B410</f>
        <v>0</v>
      </c>
      <c r="J410" s="131">
        <f>2*B410</f>
        <v>432</v>
      </c>
      <c r="K410" s="131">
        <f>B410*4</f>
        <v>864</v>
      </c>
      <c r="L410" s="132">
        <f t="shared" si="88"/>
        <v>1296</v>
      </c>
      <c r="M410" s="1758">
        <f>L410/(F410*498.5)</f>
        <v>3.009027081243731</v>
      </c>
      <c r="N410" s="1759"/>
    </row>
    <row r="411" spans="1:14">
      <c r="A411" s="78" t="s">
        <v>30</v>
      </c>
      <c r="B411" s="1431">
        <f>CVWD!N83</f>
        <v>7</v>
      </c>
      <c r="C411" s="1422"/>
      <c r="D411" s="1431">
        <f t="shared" si="87"/>
        <v>741311.02500000002</v>
      </c>
      <c r="E411" s="1422"/>
      <c r="F411" s="1756">
        <f>0.325*B411</f>
        <v>2.2749999999999999</v>
      </c>
      <c r="G411" s="1757"/>
      <c r="H411" s="941">
        <f>F411*10</f>
        <v>22.75</v>
      </c>
      <c r="I411" s="131">
        <v>0</v>
      </c>
      <c r="J411" s="131">
        <f>0*B411</f>
        <v>0</v>
      </c>
      <c r="K411" s="131">
        <v>519</v>
      </c>
      <c r="L411" s="132">
        <f t="shared" si="88"/>
        <v>519</v>
      </c>
      <c r="M411" s="1758">
        <f>L411/(F411*498.5)</f>
        <v>0.45763664620234334</v>
      </c>
      <c r="N411" s="1759"/>
    </row>
    <row r="412" spans="1:14">
      <c r="A412" s="76" t="s">
        <v>57</v>
      </c>
      <c r="B412" s="1431">
        <f>CVWD!N84</f>
        <v>0</v>
      </c>
      <c r="C412" s="1422"/>
      <c r="D412" s="1467">
        <f t="shared" si="87"/>
        <v>0</v>
      </c>
      <c r="E412" s="1433"/>
      <c r="F412" s="1718">
        <f>0.00014*0</f>
        <v>0</v>
      </c>
      <c r="G412" s="1719"/>
      <c r="H412" s="944">
        <f>F412*10</f>
        <v>0</v>
      </c>
      <c r="I412" s="133">
        <v>0</v>
      </c>
      <c r="J412" s="133">
        <v>0</v>
      </c>
      <c r="K412" s="133">
        <f>B412*0</f>
        <v>0</v>
      </c>
      <c r="L412" s="134">
        <f t="shared" si="88"/>
        <v>0</v>
      </c>
      <c r="M412" s="1758">
        <v>0</v>
      </c>
      <c r="N412" s="1759"/>
    </row>
    <row r="413" spans="1:14" s="91" customFormat="1" ht="17" thickBot="1">
      <c r="A413" s="76" t="s">
        <v>155</v>
      </c>
      <c r="B413" s="1431">
        <f>CVWD!N85</f>
        <v>13</v>
      </c>
      <c r="C413" s="1422"/>
      <c r="D413" s="1432">
        <f t="shared" si="87"/>
        <v>783189.3955199999</v>
      </c>
      <c r="E413" s="1433"/>
      <c r="F413" s="1771">
        <f>0.00014*17168</f>
        <v>2.4035199999999999</v>
      </c>
      <c r="G413" s="1719"/>
      <c r="H413" s="944">
        <f>F413*10</f>
        <v>24.0352</v>
      </c>
      <c r="I413" s="133">
        <v>0</v>
      </c>
      <c r="J413" s="133">
        <f>0.45*17168</f>
        <v>7725.6</v>
      </c>
      <c r="K413" s="133">
        <f>17168*0.3</f>
        <v>5150.3999999999996</v>
      </c>
      <c r="L413" s="134">
        <f t="shared" si="88"/>
        <v>12876</v>
      </c>
      <c r="M413" s="1758">
        <f>L413/(F413*498.5)</f>
        <v>10.746525290156184</v>
      </c>
      <c r="N413" s="1759"/>
    </row>
    <row r="414" spans="1:14" ht="14" thickBot="1">
      <c r="A414" s="53" t="s">
        <v>60</v>
      </c>
      <c r="B414" s="1438">
        <f>SUM(B407:C413)</f>
        <v>423</v>
      </c>
      <c r="C414" s="1609"/>
      <c r="D414" s="1440">
        <f>SUM(D407:E413)</f>
        <v>3803404.5592199997</v>
      </c>
      <c r="E414" s="1609"/>
      <c r="F414" s="1512">
        <f>SUM(F407:G413)</f>
        <v>11.672219999999999</v>
      </c>
      <c r="G414" s="1575"/>
      <c r="H414" s="704">
        <f>SUM(H407:H413)</f>
        <v>156.86320000000001</v>
      </c>
      <c r="I414" s="143">
        <f>SUM(I407:I413)</f>
        <v>0</v>
      </c>
      <c r="J414" s="143">
        <f>SUM(J407:J413)</f>
        <v>16532.599999999999</v>
      </c>
      <c r="K414" s="143">
        <f>SUM(K407:K413)</f>
        <v>23203.4</v>
      </c>
      <c r="L414" s="152">
        <f>SUM(L407:L413)</f>
        <v>39736</v>
      </c>
      <c r="M414" s="1610"/>
      <c r="N414" s="1611"/>
    </row>
    <row r="415" spans="1:14" s="1168" customFormat="1" ht="17" thickBot="1">
      <c r="A415" s="108" t="s">
        <v>146</v>
      </c>
      <c r="B415" s="1567"/>
      <c r="C415" s="1586"/>
      <c r="D415" s="1457"/>
      <c r="E415" s="1586"/>
      <c r="F415" s="1484"/>
      <c r="G415" s="1588"/>
      <c r="H415" s="1145"/>
      <c r="I415" s="161"/>
      <c r="J415" s="161"/>
      <c r="K415" s="161"/>
      <c r="L415" s="162"/>
      <c r="M415" s="1617"/>
      <c r="N415" s="1486"/>
    </row>
    <row r="416" spans="1:14" ht="14" thickBot="1">
      <c r="A416" s="76" t="s">
        <v>146</v>
      </c>
      <c r="B416" s="1431">
        <f>CVWD!N88</f>
        <v>129</v>
      </c>
      <c r="C416" s="1422"/>
      <c r="D416" s="1444">
        <f>F416*325851</f>
        <v>1786478.1075000002</v>
      </c>
      <c r="E416" s="1422"/>
      <c r="F416" s="1760">
        <f>0.0425*B416</f>
        <v>5.4825000000000008</v>
      </c>
      <c r="G416" s="1757"/>
      <c r="H416" s="941">
        <f>F416*20</f>
        <v>109.65000000000002</v>
      </c>
      <c r="I416" s="131">
        <f>73.34*B416</f>
        <v>9460.86</v>
      </c>
      <c r="J416" s="131">
        <f>35.66*B416</f>
        <v>4600.1399999999994</v>
      </c>
      <c r="K416" s="131">
        <f>B416*165</f>
        <v>21285</v>
      </c>
      <c r="L416" s="132">
        <f>I416+J416+K416</f>
        <v>35346</v>
      </c>
      <c r="M416" s="1758">
        <f>L416/(F416*498.5)</f>
        <v>12.932916396247565</v>
      </c>
      <c r="N416" s="1759"/>
    </row>
    <row r="417" spans="1:14" ht="14" thickBot="1">
      <c r="A417" s="53" t="s">
        <v>60</v>
      </c>
      <c r="B417" s="1438">
        <f>SUM(B416)</f>
        <v>129</v>
      </c>
      <c r="C417" s="1609"/>
      <c r="D417" s="1440">
        <f>SUM(D416)</f>
        <v>1786478.1075000002</v>
      </c>
      <c r="E417" s="1609"/>
      <c r="F417" s="1512">
        <f>SUM(F416)</f>
        <v>5.4825000000000008</v>
      </c>
      <c r="G417" s="1575"/>
      <c r="H417" s="704">
        <f>SUM(H416)</f>
        <v>109.65000000000002</v>
      </c>
      <c r="I417" s="136">
        <f>SUM(I416)</f>
        <v>9460.86</v>
      </c>
      <c r="J417" s="143">
        <f>SUM(J416)</f>
        <v>4600.1399999999994</v>
      </c>
      <c r="K417" s="143">
        <f>SUM(K416)</f>
        <v>21285</v>
      </c>
      <c r="L417" s="136">
        <f>SUM(L416)</f>
        <v>35346</v>
      </c>
      <c r="M417" s="1610"/>
      <c r="N417" s="1611"/>
    </row>
    <row r="418" spans="1:14" s="1168" customFormat="1" ht="17" thickBot="1">
      <c r="A418" s="108" t="s">
        <v>50</v>
      </c>
      <c r="B418" s="1567"/>
      <c r="C418" s="1586"/>
      <c r="D418" s="1457"/>
      <c r="E418" s="1586"/>
      <c r="F418" s="1484"/>
      <c r="G418" s="1588"/>
      <c r="H418" s="1145"/>
      <c r="I418" s="161"/>
      <c r="J418" s="161"/>
      <c r="K418" s="161"/>
      <c r="L418" s="162"/>
      <c r="M418" s="1617"/>
      <c r="N418" s="1486"/>
    </row>
    <row r="419" spans="1:14">
      <c r="A419" s="34" t="s">
        <v>26</v>
      </c>
      <c r="B419" s="1431">
        <f>CVWD!N91</f>
        <v>0</v>
      </c>
      <c r="C419" s="1422"/>
      <c r="D419" s="1444">
        <f t="shared" ref="D419:D427" si="89">F419*325851</f>
        <v>0</v>
      </c>
      <c r="E419" s="1422"/>
      <c r="F419" s="1760">
        <f>0.0379*B419</f>
        <v>0</v>
      </c>
      <c r="G419" s="1757"/>
      <c r="H419" s="941">
        <f>F419*20</f>
        <v>0</v>
      </c>
      <c r="I419" s="131">
        <v>0</v>
      </c>
      <c r="J419" s="131">
        <f>35.66*B419</f>
        <v>0</v>
      </c>
      <c r="K419" s="131">
        <f>135*B419</f>
        <v>0</v>
      </c>
      <c r="L419" s="132">
        <f>SUM(I419:K419)</f>
        <v>0</v>
      </c>
      <c r="M419" s="1539">
        <v>0</v>
      </c>
      <c r="N419" s="1759"/>
    </row>
    <row r="420" spans="1:14">
      <c r="A420" s="34" t="s">
        <v>25</v>
      </c>
      <c r="B420" s="1431">
        <f>CVWD!N92</f>
        <v>1</v>
      </c>
      <c r="C420" s="1422"/>
      <c r="D420" s="1444">
        <f t="shared" si="89"/>
        <v>12349.752900000001</v>
      </c>
      <c r="E420" s="1422"/>
      <c r="F420" s="1760">
        <f>0.0379*B420</f>
        <v>3.7900000000000003E-2</v>
      </c>
      <c r="G420" s="1757"/>
      <c r="H420" s="941">
        <f>F420*20</f>
        <v>0.75800000000000001</v>
      </c>
      <c r="I420" s="131">
        <v>0</v>
      </c>
      <c r="J420" s="131">
        <f>0*B420</f>
        <v>0</v>
      </c>
      <c r="K420" s="131">
        <f>60*B420</f>
        <v>60</v>
      </c>
      <c r="L420" s="132">
        <f t="shared" ref="L420:L428" si="90">SUM(I420:K420)</f>
        <v>60</v>
      </c>
      <c r="M420" s="1539">
        <f>L420/(F420*498.5)</f>
        <v>3.1757541754551251</v>
      </c>
      <c r="N420" s="1759"/>
    </row>
    <row r="421" spans="1:14">
      <c r="A421" s="32" t="s">
        <v>29</v>
      </c>
      <c r="B421" s="1431">
        <f>CVWD!N93</f>
        <v>7</v>
      </c>
      <c r="C421" s="1422"/>
      <c r="D421" s="1444">
        <f t="shared" si="89"/>
        <v>96940.672500000015</v>
      </c>
      <c r="E421" s="1422"/>
      <c r="F421" s="1760">
        <f>0.0425*B421</f>
        <v>0.29750000000000004</v>
      </c>
      <c r="G421" s="1757"/>
      <c r="H421" s="941">
        <f>F421*20</f>
        <v>5.9500000000000011</v>
      </c>
      <c r="I421" s="131">
        <v>0</v>
      </c>
      <c r="J421" s="131">
        <f>135*B421</f>
        <v>945</v>
      </c>
      <c r="K421" s="131">
        <f>165*B421</f>
        <v>1155</v>
      </c>
      <c r="L421" s="132">
        <f t="shared" si="90"/>
        <v>2100</v>
      </c>
      <c r="M421" s="1539">
        <f t="shared" ref="M421:M429" si="91">L421/(F421*498.5)</f>
        <v>14.160127441146969</v>
      </c>
      <c r="N421" s="1759"/>
    </row>
    <row r="422" spans="1:14" s="91" customFormat="1" ht="16">
      <c r="A422" s="32" t="s">
        <v>51</v>
      </c>
      <c r="B422" s="1431">
        <f>CVWD!N94</f>
        <v>144</v>
      </c>
      <c r="C422" s="1422"/>
      <c r="D422" s="1444">
        <f t="shared" si="89"/>
        <v>5757396.1488000005</v>
      </c>
      <c r="E422" s="1422"/>
      <c r="F422" s="1760">
        <f>0.1227*B422</f>
        <v>17.668800000000001</v>
      </c>
      <c r="G422" s="1757"/>
      <c r="H422" s="941">
        <f>F422*20</f>
        <v>353.37600000000003</v>
      </c>
      <c r="I422" s="131">
        <v>0</v>
      </c>
      <c r="J422" s="131">
        <f>0*B422</f>
        <v>0</v>
      </c>
      <c r="K422" s="131">
        <f>400*B422</f>
        <v>57600</v>
      </c>
      <c r="L422" s="132">
        <f t="shared" si="90"/>
        <v>57600</v>
      </c>
      <c r="M422" s="1539">
        <f t="shared" si="91"/>
        <v>6.5395861586389152</v>
      </c>
      <c r="N422" s="1759"/>
    </row>
    <row r="423" spans="1:14">
      <c r="A423" s="34" t="s">
        <v>20</v>
      </c>
      <c r="B423" s="1431">
        <f>CVWD!N95</f>
        <v>0</v>
      </c>
      <c r="C423" s="1422"/>
      <c r="D423" s="1444">
        <f t="shared" si="89"/>
        <v>0</v>
      </c>
      <c r="E423" s="1422"/>
      <c r="F423" s="1760">
        <f>0.644*B423</f>
        <v>0</v>
      </c>
      <c r="G423" s="1757"/>
      <c r="H423" s="941">
        <f>F423*5</f>
        <v>0</v>
      </c>
      <c r="I423" s="131">
        <v>0</v>
      </c>
      <c r="J423" s="131">
        <f>43.75*B423</f>
        <v>0</v>
      </c>
      <c r="K423" s="131">
        <f>625*B423</f>
        <v>0</v>
      </c>
      <c r="L423" s="132">
        <f t="shared" si="90"/>
        <v>0</v>
      </c>
      <c r="M423" s="1539" t="e">
        <f t="shared" si="91"/>
        <v>#DIV/0!</v>
      </c>
      <c r="N423" s="1759"/>
    </row>
    <row r="424" spans="1:14">
      <c r="A424" s="34" t="s">
        <v>13</v>
      </c>
      <c r="B424" s="1431">
        <f>CVWD!N96</f>
        <v>0</v>
      </c>
      <c r="C424" s="1422"/>
      <c r="D424" s="1444">
        <f t="shared" si="89"/>
        <v>0</v>
      </c>
      <c r="E424" s="1422"/>
      <c r="F424" s="1760">
        <f>0.0276*B424</f>
        <v>0</v>
      </c>
      <c r="G424" s="1757"/>
      <c r="H424" s="941">
        <f>F424*10</f>
        <v>0</v>
      </c>
      <c r="I424" s="131">
        <v>0</v>
      </c>
      <c r="J424" s="131">
        <f>100*B424</f>
        <v>0</v>
      </c>
      <c r="K424" s="131">
        <f>80*B424</f>
        <v>0</v>
      </c>
      <c r="L424" s="132">
        <f t="shared" si="90"/>
        <v>0</v>
      </c>
      <c r="M424" s="1539">
        <v>0</v>
      </c>
      <c r="N424" s="1759"/>
    </row>
    <row r="425" spans="1:14" s="91" customFormat="1" ht="16">
      <c r="A425" s="35" t="s">
        <v>47</v>
      </c>
      <c r="B425" s="1431">
        <f>CVWD!N97</f>
        <v>0</v>
      </c>
      <c r="C425" s="1422"/>
      <c r="D425" s="1444">
        <f t="shared" si="89"/>
        <v>0</v>
      </c>
      <c r="E425" s="1422"/>
      <c r="F425" s="1760">
        <f>0.1534*B425</f>
        <v>0</v>
      </c>
      <c r="G425" s="1757"/>
      <c r="H425" s="941">
        <f>F425*5</f>
        <v>0</v>
      </c>
      <c r="I425" s="131">
        <v>0</v>
      </c>
      <c r="J425" s="131">
        <f>0*B425</f>
        <v>0</v>
      </c>
      <c r="K425" s="131">
        <f>150*B425</f>
        <v>0</v>
      </c>
      <c r="L425" s="132">
        <f t="shared" si="90"/>
        <v>0</v>
      </c>
      <c r="M425" s="1539">
        <v>0</v>
      </c>
      <c r="N425" s="1759"/>
    </row>
    <row r="426" spans="1:14">
      <c r="A426" s="76" t="s">
        <v>30</v>
      </c>
      <c r="B426" s="1431">
        <f>CVWD!N98</f>
        <v>49</v>
      </c>
      <c r="C426" s="1422"/>
      <c r="D426" s="1444">
        <f t="shared" si="89"/>
        <v>5189177.1749999998</v>
      </c>
      <c r="E426" s="1422"/>
      <c r="F426" s="1760">
        <f>0.325*B426</f>
        <v>15.925000000000001</v>
      </c>
      <c r="G426" s="1757"/>
      <c r="H426" s="941">
        <f>F426*10</f>
        <v>159.25</v>
      </c>
      <c r="I426" s="131">
        <v>0</v>
      </c>
      <c r="J426" s="131">
        <v>15735</v>
      </c>
      <c r="K426" s="131">
        <v>27548</v>
      </c>
      <c r="L426" s="132">
        <f t="shared" si="90"/>
        <v>43283</v>
      </c>
      <c r="M426" s="1539">
        <f t="shared" si="91"/>
        <v>5.4522122096273122</v>
      </c>
      <c r="N426" s="1759"/>
    </row>
    <row r="427" spans="1:14">
      <c r="A427" s="33" t="s">
        <v>53</v>
      </c>
      <c r="B427" s="1431">
        <f>CVWD!N99</f>
        <v>0</v>
      </c>
      <c r="C427" s="1422"/>
      <c r="D427" s="1444">
        <f t="shared" si="89"/>
        <v>0</v>
      </c>
      <c r="E427" s="1422"/>
      <c r="F427" s="1760">
        <f>0.00014*B427</f>
        <v>0</v>
      </c>
      <c r="G427" s="1757"/>
      <c r="H427" s="941">
        <f>F427*10</f>
        <v>0</v>
      </c>
      <c r="I427" s="131">
        <v>0</v>
      </c>
      <c r="J427" s="131">
        <f>0.45*B427</f>
        <v>0</v>
      </c>
      <c r="K427" s="131">
        <f>0.3*B427</f>
        <v>0</v>
      </c>
      <c r="L427" s="132">
        <f t="shared" si="90"/>
        <v>0</v>
      </c>
      <c r="M427" s="1539">
        <v>0</v>
      </c>
      <c r="N427" s="1759"/>
    </row>
    <row r="428" spans="1:14">
      <c r="A428" s="33" t="s">
        <v>56</v>
      </c>
      <c r="B428" s="1431">
        <f>CVWD!N100</f>
        <v>8081</v>
      </c>
      <c r="C428" s="1422"/>
      <c r="D428" s="1444">
        <f>F428*325851</f>
        <v>10532807.723999999</v>
      </c>
      <c r="E428" s="1422"/>
      <c r="F428" s="1760">
        <f>0.004*B428</f>
        <v>32.323999999999998</v>
      </c>
      <c r="G428" s="1757"/>
      <c r="H428" s="941">
        <f>F428*5</f>
        <v>161.62</v>
      </c>
      <c r="I428" s="131">
        <v>0</v>
      </c>
      <c r="J428" s="131">
        <f>0*B428</f>
        <v>0</v>
      </c>
      <c r="K428" s="131">
        <f>4*B428</f>
        <v>32324</v>
      </c>
      <c r="L428" s="132">
        <f t="shared" si="90"/>
        <v>32324</v>
      </c>
      <c r="M428" s="1539">
        <f t="shared" si="91"/>
        <v>2.0060180541624875</v>
      </c>
      <c r="N428" s="1759"/>
    </row>
    <row r="429" spans="1:14">
      <c r="A429" s="76" t="s">
        <v>122</v>
      </c>
      <c r="B429" s="1431">
        <f>CVWD!N101</f>
        <v>0</v>
      </c>
      <c r="C429" s="1422"/>
      <c r="D429" s="1444">
        <f>F429*325851</f>
        <v>0</v>
      </c>
      <c r="E429" s="1422"/>
      <c r="F429" s="1760">
        <f>0.018*B429</f>
        <v>0</v>
      </c>
      <c r="G429" s="1757"/>
      <c r="H429" s="941">
        <f>F429*10</f>
        <v>0</v>
      </c>
      <c r="I429" s="131">
        <v>0</v>
      </c>
      <c r="J429" s="131">
        <f>0*B429</f>
        <v>0</v>
      </c>
      <c r="K429" s="131">
        <f>13*B429</f>
        <v>0</v>
      </c>
      <c r="L429" s="132">
        <f>SUM(I429:K429)</f>
        <v>0</v>
      </c>
      <c r="M429" s="1539" t="e">
        <f t="shared" si="91"/>
        <v>#DIV/0!</v>
      </c>
      <c r="N429" s="1759"/>
    </row>
    <row r="430" spans="1:14" ht="14" thickBot="1">
      <c r="A430" s="47" t="s">
        <v>102</v>
      </c>
      <c r="B430" s="1431">
        <f>CVWD!N102</f>
        <v>0</v>
      </c>
      <c r="C430" s="1422"/>
      <c r="D430" s="1444">
        <f>F430*325851</f>
        <v>0</v>
      </c>
      <c r="E430" s="1422"/>
      <c r="F430" s="1766">
        <f>0.153*B430</f>
        <v>0</v>
      </c>
      <c r="G430" s="1763"/>
      <c r="H430" s="941">
        <f>F430*5</f>
        <v>0</v>
      </c>
      <c r="I430" s="131">
        <v>0</v>
      </c>
      <c r="J430" s="131">
        <f>0*B430</f>
        <v>0</v>
      </c>
      <c r="K430" s="131">
        <f>60*B430</f>
        <v>0</v>
      </c>
      <c r="L430" s="132">
        <f>SUM(I430:K430)</f>
        <v>0</v>
      </c>
      <c r="M430" s="1539">
        <v>0</v>
      </c>
      <c r="N430" s="1759"/>
    </row>
    <row r="431" spans="1:14" ht="14" thickBot="1">
      <c r="A431" s="53" t="s">
        <v>60</v>
      </c>
      <c r="B431" s="1438">
        <f>SUM(B419:C430)</f>
        <v>8282</v>
      </c>
      <c r="C431" s="1609"/>
      <c r="D431" s="1440">
        <f>SUM(D419:E430)</f>
        <v>21588671.473200001</v>
      </c>
      <c r="E431" s="1609"/>
      <c r="F431" s="1512">
        <f>SUM(F419:G430)</f>
        <v>66.253199999999993</v>
      </c>
      <c r="G431" s="1575"/>
      <c r="H431" s="167">
        <f>SUM(H419:H430)</f>
        <v>680.95400000000006</v>
      </c>
      <c r="I431" s="136">
        <f>SUM(I419:I430)</f>
        <v>0</v>
      </c>
      <c r="J431" s="143">
        <f>SUM(J419:J430)</f>
        <v>16680</v>
      </c>
      <c r="K431" s="143">
        <f>SUM(K419:K430)</f>
        <v>118687</v>
      </c>
      <c r="L431" s="136">
        <f>SUM(L419:L430)</f>
        <v>135367</v>
      </c>
      <c r="M431" s="1610"/>
      <c r="N431" s="1611"/>
    </row>
    <row r="432" spans="1:14" s="1168" customFormat="1" ht="17" thickBot="1">
      <c r="A432" s="108" t="s">
        <v>54</v>
      </c>
      <c r="B432" s="1457"/>
      <c r="C432" s="1913"/>
      <c r="D432" s="1277"/>
      <c r="E432" s="1280"/>
      <c r="F432" s="1278"/>
      <c r="G432" s="1281"/>
      <c r="H432" s="1281"/>
      <c r="I432" s="161"/>
      <c r="J432" s="161"/>
      <c r="K432" s="161"/>
      <c r="L432" s="162"/>
      <c r="M432" s="1282"/>
      <c r="N432" s="1279"/>
    </row>
    <row r="433" spans="1:14">
      <c r="A433" s="1" t="s">
        <v>29</v>
      </c>
      <c r="B433" s="1431">
        <f>CVWD!N105</f>
        <v>0</v>
      </c>
      <c r="C433" s="1422"/>
      <c r="D433" s="1444">
        <f t="shared" ref="D433:D438" si="92">F433*325851</f>
        <v>0</v>
      </c>
      <c r="E433" s="1422"/>
      <c r="F433" s="1760">
        <f>0.0425*B433</f>
        <v>0</v>
      </c>
      <c r="G433" s="1757"/>
      <c r="H433" s="941">
        <f>F433*20</f>
        <v>0</v>
      </c>
      <c r="I433" s="131">
        <v>0</v>
      </c>
      <c r="J433" s="131">
        <f>35.66*B433</f>
        <v>0</v>
      </c>
      <c r="K433" s="131">
        <f>0*B433</f>
        <v>0</v>
      </c>
      <c r="L433" s="132">
        <f t="shared" ref="L433:L438" si="93">SUM(I433:K433)</f>
        <v>0</v>
      </c>
      <c r="M433" s="1539">
        <v>0</v>
      </c>
      <c r="N433" s="1759"/>
    </row>
    <row r="434" spans="1:14">
      <c r="A434" s="2" t="s">
        <v>51</v>
      </c>
      <c r="B434" s="1431">
        <f>CVWD!N106</f>
        <v>0</v>
      </c>
      <c r="C434" s="1422"/>
      <c r="D434" s="1444">
        <f t="shared" si="92"/>
        <v>0</v>
      </c>
      <c r="E434" s="1422"/>
      <c r="F434" s="1760">
        <f>0.125*B434</f>
        <v>0</v>
      </c>
      <c r="G434" s="1757"/>
      <c r="H434" s="941">
        <f>F434*20</f>
        <v>0</v>
      </c>
      <c r="I434" s="131">
        <v>0</v>
      </c>
      <c r="J434" s="131">
        <f>0*B434</f>
        <v>0</v>
      </c>
      <c r="K434" s="131">
        <f>0*B434</f>
        <v>0</v>
      </c>
      <c r="L434" s="132">
        <f t="shared" si="93"/>
        <v>0</v>
      </c>
      <c r="M434" s="1539">
        <v>0</v>
      </c>
      <c r="N434" s="1759"/>
    </row>
    <row r="435" spans="1:14">
      <c r="A435" s="2" t="s">
        <v>15</v>
      </c>
      <c r="B435" s="1431">
        <f>CVWD!N107</f>
        <v>0</v>
      </c>
      <c r="C435" s="1422"/>
      <c r="D435" s="1444">
        <f t="shared" si="92"/>
        <v>0</v>
      </c>
      <c r="E435" s="1422"/>
      <c r="F435" s="1760">
        <f>0.1534*B435</f>
        <v>0</v>
      </c>
      <c r="G435" s="1757"/>
      <c r="H435" s="941">
        <f>F435*5</f>
        <v>0</v>
      </c>
      <c r="I435" s="131">
        <v>0</v>
      </c>
      <c r="J435" s="131">
        <f>0*B435</f>
        <v>0</v>
      </c>
      <c r="K435" s="131">
        <f>350.19*B435</f>
        <v>0</v>
      </c>
      <c r="L435" s="132">
        <f t="shared" si="93"/>
        <v>0</v>
      </c>
      <c r="M435" s="1539">
        <v>0</v>
      </c>
      <c r="N435" s="1759"/>
    </row>
    <row r="436" spans="1:14">
      <c r="A436" s="2" t="s">
        <v>30</v>
      </c>
      <c r="B436" s="1431">
        <f>CVWD!N108</f>
        <v>0</v>
      </c>
      <c r="C436" s="1422"/>
      <c r="D436" s="1444">
        <f t="shared" si="92"/>
        <v>0</v>
      </c>
      <c r="E436" s="1422"/>
      <c r="F436" s="1760">
        <f>0.609*B436</f>
        <v>0</v>
      </c>
      <c r="G436" s="1757"/>
      <c r="H436" s="941">
        <f>F436*10</f>
        <v>0</v>
      </c>
      <c r="I436" s="131">
        <v>0</v>
      </c>
      <c r="J436" s="131">
        <f>0*B436</f>
        <v>0</v>
      </c>
      <c r="K436" s="131">
        <f>1660.85*B436</f>
        <v>0</v>
      </c>
      <c r="L436" s="132">
        <f t="shared" si="93"/>
        <v>0</v>
      </c>
      <c r="M436" s="1539">
        <v>0</v>
      </c>
      <c r="N436" s="1759"/>
    </row>
    <row r="437" spans="1:14" s="91" customFormat="1" ht="16">
      <c r="A437" s="2" t="s">
        <v>55</v>
      </c>
      <c r="B437" s="1431">
        <f>CVWD!N109</f>
        <v>0</v>
      </c>
      <c r="C437" s="1422"/>
      <c r="D437" s="1444">
        <f t="shared" si="92"/>
        <v>0</v>
      </c>
      <c r="E437" s="1422"/>
      <c r="F437" s="1771">
        <f>0.992*B437</f>
        <v>0</v>
      </c>
      <c r="G437" s="1719"/>
      <c r="H437" s="941">
        <f>F437*10</f>
        <v>0</v>
      </c>
      <c r="I437" s="131">
        <v>0</v>
      </c>
      <c r="J437" s="131">
        <f>0*B437</f>
        <v>0</v>
      </c>
      <c r="K437" s="131">
        <f>4395.21*B437</f>
        <v>0</v>
      </c>
      <c r="L437" s="132">
        <f t="shared" si="93"/>
        <v>0</v>
      </c>
      <c r="M437" s="1539">
        <v>0</v>
      </c>
      <c r="N437" s="1759"/>
    </row>
    <row r="438" spans="1:14" ht="14" thickBot="1">
      <c r="A438" s="75" t="s">
        <v>53</v>
      </c>
      <c r="B438" s="1431">
        <f>CVWD!N110</f>
        <v>0</v>
      </c>
      <c r="C438" s="1422"/>
      <c r="D438" s="1444">
        <f t="shared" si="92"/>
        <v>0</v>
      </c>
      <c r="E438" s="1422"/>
      <c r="F438" s="1760">
        <f>0.00014*B438</f>
        <v>0</v>
      </c>
      <c r="G438" s="1757"/>
      <c r="H438" s="941">
        <f>F438*10</f>
        <v>0</v>
      </c>
      <c r="I438" s="131">
        <v>0</v>
      </c>
      <c r="J438" s="131">
        <f>0.3*B438</f>
        <v>0</v>
      </c>
      <c r="K438" s="131">
        <f>0.75*B438</f>
        <v>0</v>
      </c>
      <c r="L438" s="132">
        <f t="shared" si="93"/>
        <v>0</v>
      </c>
      <c r="M438" s="1539">
        <v>0</v>
      </c>
      <c r="N438" s="1759"/>
    </row>
    <row r="439" spans="1:14" ht="14" thickBot="1">
      <c r="A439" s="53" t="s">
        <v>60</v>
      </c>
      <c r="B439" s="1438">
        <f>SUM(B433:C438)</f>
        <v>0</v>
      </c>
      <c r="C439" s="1609"/>
      <c r="D439" s="1440">
        <f>SUM(D433:E438)</f>
        <v>0</v>
      </c>
      <c r="E439" s="1609"/>
      <c r="F439" s="1512">
        <f>SUM(F433:G438)</f>
        <v>0</v>
      </c>
      <c r="G439" s="1575"/>
      <c r="H439" s="167">
        <f>SUM(H433:H438)</f>
        <v>0</v>
      </c>
      <c r="I439" s="136">
        <f>SUM(I433:I438)</f>
        <v>0</v>
      </c>
      <c r="J439" s="136">
        <f>SUM(J433:J438)</f>
        <v>0</v>
      </c>
      <c r="K439" s="136">
        <f>SUM(K433:K438)</f>
        <v>0</v>
      </c>
      <c r="L439" s="136">
        <f>SUM(L433:L438)</f>
        <v>0</v>
      </c>
      <c r="M439" s="1610"/>
      <c r="N439" s="1611"/>
    </row>
    <row r="440" spans="1:14" s="1168" customFormat="1" ht="17" thickBot="1">
      <c r="A440" s="1182" t="s">
        <v>17</v>
      </c>
      <c r="B440" s="1416">
        <f>SUM(B414+B417+B431+B439)</f>
        <v>8834</v>
      </c>
      <c r="C440" s="1415"/>
      <c r="D440" s="1612">
        <f>SUM(D414+D417+D431+D439)</f>
        <v>27178554.13992</v>
      </c>
      <c r="E440" s="1415"/>
      <c r="F440" s="1613">
        <f>SUM(F414+F417+F431+F439)</f>
        <v>83.40791999999999</v>
      </c>
      <c r="G440" s="1488"/>
      <c r="H440" s="1201">
        <f>SUM(H414+H417+H431+H439)</f>
        <v>947.46720000000005</v>
      </c>
      <c r="I440" s="1169">
        <f>SUM(I414+I417+I431+I439)</f>
        <v>9460.86</v>
      </c>
      <c r="J440" s="1169">
        <f>SUM(J414+J417+J431+J439)</f>
        <v>37812.74</v>
      </c>
      <c r="K440" s="1169">
        <f>SUM(K414+K417+K431+K439)</f>
        <v>163175.4</v>
      </c>
      <c r="L440" s="1169">
        <f>SUM(L414+L417+L431+L439)</f>
        <v>210449</v>
      </c>
      <c r="M440" s="1631"/>
      <c r="N440" s="1640"/>
    </row>
    <row r="441" spans="1:14" ht="16">
      <c r="A441" s="60"/>
      <c r="B441" s="61"/>
      <c r="C441" s="61"/>
      <c r="D441" s="61"/>
      <c r="E441" s="61"/>
      <c r="F441" s="441"/>
      <c r="G441" s="441"/>
      <c r="H441" s="441"/>
      <c r="I441" s="62"/>
      <c r="J441" s="62"/>
      <c r="K441" s="62"/>
      <c r="L441" s="62"/>
      <c r="M441" s="64"/>
      <c r="N441" s="65"/>
    </row>
    <row r="442" spans="1:14" ht="16">
      <c r="A442" s="9" t="s">
        <v>18</v>
      </c>
      <c r="B442" s="1419" t="s">
        <v>59</v>
      </c>
      <c r="C442" s="1419"/>
      <c r="D442" s="1419"/>
      <c r="E442" s="1419"/>
      <c r="F442" s="441"/>
      <c r="G442" s="441"/>
      <c r="H442" s="441"/>
      <c r="I442" s="62"/>
      <c r="J442" s="62"/>
      <c r="K442" s="62"/>
      <c r="L442" s="62"/>
      <c r="M442" s="64"/>
      <c r="N442" s="65"/>
    </row>
    <row r="443" spans="1:14" ht="16">
      <c r="A443" s="57"/>
      <c r="B443" s="1420" t="s">
        <v>19</v>
      </c>
      <c r="C443" s="1420"/>
      <c r="D443" s="1420"/>
      <c r="E443" s="1420"/>
      <c r="F443" s="441"/>
      <c r="G443" s="441"/>
      <c r="H443" s="441"/>
      <c r="I443" s="62"/>
      <c r="J443" s="62"/>
      <c r="K443" s="62"/>
      <c r="L443" s="62"/>
      <c r="M443" s="64"/>
      <c r="N443" s="65"/>
    </row>
    <row r="444" spans="1:14" ht="17" thickBot="1">
      <c r="A444" s="985"/>
      <c r="B444" s="943"/>
      <c r="C444" s="943"/>
      <c r="D444" s="943"/>
      <c r="E444" s="943"/>
      <c r="F444" s="441"/>
      <c r="G444" s="441"/>
      <c r="H444" s="441"/>
      <c r="I444" s="62"/>
      <c r="J444" s="62"/>
      <c r="K444" s="62"/>
      <c r="L444" s="62"/>
      <c r="M444" s="64"/>
      <c r="N444" s="65"/>
    </row>
    <row r="445" spans="1:14" ht="16">
      <c r="A445" s="98"/>
      <c r="B445" s="99"/>
      <c r="C445" s="99"/>
      <c r="D445" s="99"/>
      <c r="E445" s="99"/>
      <c r="F445" s="421"/>
      <c r="G445" s="421"/>
      <c r="H445" s="421"/>
      <c r="I445" s="1468" t="s">
        <v>0</v>
      </c>
      <c r="J445" s="1468"/>
      <c r="K445" s="1468"/>
      <c r="L445" s="1468"/>
      <c r="M445" s="99"/>
      <c r="N445" s="101"/>
    </row>
    <row r="446" spans="1:14" ht="16">
      <c r="A446" s="97"/>
      <c r="B446" s="1469" t="s">
        <v>1</v>
      </c>
      <c r="C446" s="1469"/>
      <c r="D446" s="1469" t="s">
        <v>2</v>
      </c>
      <c r="E446" s="1469"/>
      <c r="F446" s="1470" t="s">
        <v>3</v>
      </c>
      <c r="G446" s="1470"/>
      <c r="H446" s="931" t="s">
        <v>3</v>
      </c>
      <c r="I446" s="127" t="s">
        <v>197</v>
      </c>
      <c r="J446" s="102"/>
      <c r="K446" s="102"/>
      <c r="L446" s="128"/>
      <c r="M446" s="1469" t="s">
        <v>4</v>
      </c>
      <c r="N446" s="1526"/>
    </row>
    <row r="447" spans="1:14" ht="19" thickBot="1">
      <c r="A447" s="103" t="s">
        <v>5</v>
      </c>
      <c r="B447" s="1473" t="s">
        <v>6</v>
      </c>
      <c r="C447" s="1473"/>
      <c r="D447" s="1473" t="s">
        <v>7</v>
      </c>
      <c r="E447" s="1473"/>
      <c r="F447" s="1474" t="s">
        <v>7</v>
      </c>
      <c r="G447" s="1474"/>
      <c r="H447" s="933" t="s">
        <v>58</v>
      </c>
      <c r="I447" s="937" t="s">
        <v>198</v>
      </c>
      <c r="J447" s="932" t="s">
        <v>8</v>
      </c>
      <c r="K447" s="932" t="s">
        <v>9</v>
      </c>
      <c r="L447" s="401" t="s">
        <v>10</v>
      </c>
      <c r="M447" s="1473" t="s">
        <v>145</v>
      </c>
      <c r="N447" s="1475"/>
    </row>
    <row r="448" spans="1:14" ht="24" thickBot="1">
      <c r="A448" s="88" t="s">
        <v>131</v>
      </c>
      <c r="B448" s="1764"/>
      <c r="C448" s="1477"/>
      <c r="D448" s="1478"/>
      <c r="E448" s="1479"/>
      <c r="F448" s="1480"/>
      <c r="G448" s="1481"/>
      <c r="H448" s="945"/>
      <c r="I448" s="7"/>
      <c r="J448" s="7"/>
      <c r="K448" s="7"/>
      <c r="L448" s="8"/>
      <c r="M448" s="1764"/>
      <c r="N448" s="1765"/>
    </row>
    <row r="449" spans="1:14" s="1191" customFormat="1" ht="17" thickBot="1">
      <c r="A449" s="108" t="s">
        <v>48</v>
      </c>
      <c r="B449" s="1567"/>
      <c r="C449" s="1586"/>
      <c r="D449" s="1567"/>
      <c r="E449" s="1586"/>
      <c r="F449" s="1587"/>
      <c r="G449" s="1588"/>
      <c r="H449" s="1145"/>
      <c r="I449" s="109"/>
      <c r="J449" s="109"/>
      <c r="K449" s="109"/>
      <c r="L449" s="1141"/>
      <c r="M449" s="1617"/>
      <c r="N449" s="1486"/>
    </row>
    <row r="450" spans="1:14">
      <c r="A450" s="32" t="s">
        <v>28</v>
      </c>
      <c r="B450" s="1431">
        <f>CVWD!N41</f>
        <v>3</v>
      </c>
      <c r="C450" s="1422"/>
      <c r="D450" s="1431">
        <f t="shared" ref="D450:D456" si="94">F450*325851</f>
        <v>37049.258700000006</v>
      </c>
      <c r="E450" s="1422"/>
      <c r="F450" s="1871">
        <f>0.0379*B450</f>
        <v>0.11370000000000001</v>
      </c>
      <c r="G450" s="1450"/>
      <c r="H450" s="957">
        <f>F450*20</f>
        <v>2.274</v>
      </c>
      <c r="I450" s="131">
        <v>0</v>
      </c>
      <c r="J450" s="131">
        <f>0*B450</f>
        <v>0</v>
      </c>
      <c r="K450" s="131">
        <f>60*B450</f>
        <v>180</v>
      </c>
      <c r="L450" s="132">
        <f t="shared" ref="L450:L456" si="95">I450+J450+K450</f>
        <v>180</v>
      </c>
      <c r="M450" s="1758">
        <f>L450/(F450*498.5)</f>
        <v>3.1757541754551251</v>
      </c>
      <c r="N450" s="1759"/>
    </row>
    <row r="451" spans="1:14">
      <c r="A451" s="32" t="s">
        <v>29</v>
      </c>
      <c r="B451" s="1431">
        <f>CVWD!N42</f>
        <v>297</v>
      </c>
      <c r="C451" s="1422"/>
      <c r="D451" s="1431">
        <f t="shared" si="94"/>
        <v>4113054.2475000001</v>
      </c>
      <c r="E451" s="1422"/>
      <c r="F451" s="1871">
        <f>0.0425*B451</f>
        <v>12.6225</v>
      </c>
      <c r="G451" s="1450"/>
      <c r="H451" s="957">
        <f>F451*20</f>
        <v>252.45000000000002</v>
      </c>
      <c r="I451" s="131">
        <v>0</v>
      </c>
      <c r="J451" s="131">
        <f>0*B451</f>
        <v>0</v>
      </c>
      <c r="K451" s="131">
        <f>B451*165</f>
        <v>49005</v>
      </c>
      <c r="L451" s="132">
        <f t="shared" si="95"/>
        <v>49005</v>
      </c>
      <c r="M451" s="1758">
        <f t="shared" ref="M451:M456" si="96">L451/(F451*498.5)</f>
        <v>7.7880700926308339</v>
      </c>
      <c r="N451" s="1759"/>
    </row>
    <row r="452" spans="1:14">
      <c r="A452" s="32" t="s">
        <v>33</v>
      </c>
      <c r="B452" s="1431">
        <f>CVWD!N43</f>
        <v>323</v>
      </c>
      <c r="C452" s="1422"/>
      <c r="D452" s="1431">
        <f t="shared" si="94"/>
        <v>2904896.4948</v>
      </c>
      <c r="E452" s="1422"/>
      <c r="F452" s="1871">
        <f>0.0276*B452</f>
        <v>8.9147999999999996</v>
      </c>
      <c r="G452" s="1450"/>
      <c r="H452" s="957">
        <f>F452*15</f>
        <v>133.72199999999998</v>
      </c>
      <c r="I452" s="131">
        <f>0*B452</f>
        <v>0</v>
      </c>
      <c r="J452" s="131">
        <f>0*B452</f>
        <v>0</v>
      </c>
      <c r="K452" s="131">
        <f>B452*110</f>
        <v>35530</v>
      </c>
      <c r="L452" s="132">
        <f t="shared" si="95"/>
        <v>35530</v>
      </c>
      <c r="M452" s="1758">
        <f t="shared" si="96"/>
        <v>7.994999491227305</v>
      </c>
      <c r="N452" s="1759"/>
    </row>
    <row r="453" spans="1:14" s="91" customFormat="1" ht="16">
      <c r="A453" s="32" t="s">
        <v>56</v>
      </c>
      <c r="B453" s="1431">
        <f>CVWD!N44</f>
        <v>575</v>
      </c>
      <c r="C453" s="1422"/>
      <c r="D453" s="1431">
        <f t="shared" si="94"/>
        <v>749457.3</v>
      </c>
      <c r="E453" s="1422"/>
      <c r="F453" s="1871">
        <f>0.004*B453</f>
        <v>2.3000000000000003</v>
      </c>
      <c r="G453" s="1450"/>
      <c r="H453" s="957">
        <f>F453*5</f>
        <v>11.500000000000002</v>
      </c>
      <c r="I453" s="131">
        <f>0*B453</f>
        <v>0</v>
      </c>
      <c r="J453" s="131">
        <f>0*B453</f>
        <v>0</v>
      </c>
      <c r="K453" s="131">
        <f>B453*4</f>
        <v>2300</v>
      </c>
      <c r="L453" s="132">
        <f t="shared" si="95"/>
        <v>2300</v>
      </c>
      <c r="M453" s="1758">
        <f t="shared" si="96"/>
        <v>2.006018054162487</v>
      </c>
      <c r="N453" s="1759"/>
    </row>
    <row r="454" spans="1:14">
      <c r="A454" s="78" t="s">
        <v>30</v>
      </c>
      <c r="B454" s="1431">
        <f>CVWD!N45</f>
        <v>4</v>
      </c>
      <c r="C454" s="1422"/>
      <c r="D454" s="1431">
        <f t="shared" si="94"/>
        <v>423606.3</v>
      </c>
      <c r="E454" s="1422"/>
      <c r="F454" s="1871">
        <f>0.325*B454</f>
        <v>1.3</v>
      </c>
      <c r="G454" s="1450"/>
      <c r="H454" s="957">
        <f>F454*10</f>
        <v>13</v>
      </c>
      <c r="I454" s="131">
        <v>0</v>
      </c>
      <c r="J454" s="131">
        <f>0*B454</f>
        <v>0</v>
      </c>
      <c r="K454" s="131">
        <f>B454*80</f>
        <v>320</v>
      </c>
      <c r="L454" s="132">
        <f t="shared" si="95"/>
        <v>320</v>
      </c>
      <c r="M454" s="1758">
        <f t="shared" si="96"/>
        <v>0.49378905948615071</v>
      </c>
      <c r="N454" s="1759"/>
    </row>
    <row r="455" spans="1:14">
      <c r="A455" s="33" t="s">
        <v>114</v>
      </c>
      <c r="B455" s="1467">
        <f>CVWD!N46</f>
        <v>49</v>
      </c>
      <c r="C455" s="1433"/>
      <c r="D455" s="1467">
        <f t="shared" si="94"/>
        <v>3025324.5073799994</v>
      </c>
      <c r="E455" s="1433"/>
      <c r="F455" s="1902">
        <f>0.00014*66317</f>
        <v>9.2843799999999987</v>
      </c>
      <c r="G455" s="1877"/>
      <c r="H455" s="956">
        <f>F455*10</f>
        <v>92.843799999999987</v>
      </c>
      <c r="I455" s="133">
        <v>0</v>
      </c>
      <c r="J455" s="133">
        <f>87921</f>
        <v>87921</v>
      </c>
      <c r="K455" s="133">
        <f>B455*0</f>
        <v>0</v>
      </c>
      <c r="L455" s="134">
        <f t="shared" si="95"/>
        <v>87921</v>
      </c>
      <c r="M455" s="1758">
        <f t="shared" si="96"/>
        <v>18.996541862786756</v>
      </c>
      <c r="N455" s="1759"/>
    </row>
    <row r="456" spans="1:14" ht="14" thickBot="1">
      <c r="A456" s="33" t="s">
        <v>115</v>
      </c>
      <c r="B456" s="1467">
        <f>CVWD!N47</f>
        <v>43</v>
      </c>
      <c r="C456" s="1433"/>
      <c r="D456" s="1432">
        <f t="shared" si="94"/>
        <v>1641695.9911799999</v>
      </c>
      <c r="E456" s="1433"/>
      <c r="F456" s="1902">
        <f>0.00014*35987</f>
        <v>5.0381799999999997</v>
      </c>
      <c r="G456" s="1877"/>
      <c r="H456" s="956">
        <f>F456*10</f>
        <v>50.381799999999998</v>
      </c>
      <c r="I456" s="133">
        <v>0</v>
      </c>
      <c r="J456" s="133">
        <f>0.3*35987</f>
        <v>10796.1</v>
      </c>
      <c r="K456" s="133">
        <f>35987*0.3</f>
        <v>10796.1</v>
      </c>
      <c r="L456" s="134">
        <f t="shared" si="95"/>
        <v>21592.2</v>
      </c>
      <c r="M456" s="1758">
        <f t="shared" si="96"/>
        <v>8.5972202321249469</v>
      </c>
      <c r="N456" s="1759"/>
    </row>
    <row r="457" spans="1:14" ht="14" thickBot="1">
      <c r="A457" s="53" t="s">
        <v>60</v>
      </c>
      <c r="B457" s="1438">
        <f>SUM(B450:C456)</f>
        <v>1294</v>
      </c>
      <c r="C457" s="1609"/>
      <c r="D457" s="1440">
        <f>SUM(D450:E456)</f>
        <v>12895084.09956</v>
      </c>
      <c r="E457" s="1609"/>
      <c r="F457" s="1440">
        <f>SUM(F450:G456)</f>
        <v>39.573560000000001</v>
      </c>
      <c r="G457" s="1439"/>
      <c r="H457" s="482">
        <f>SUM(H450:H456)</f>
        <v>556.17160000000001</v>
      </c>
      <c r="I457" s="143">
        <f>SUM(I450:I456)</f>
        <v>0</v>
      </c>
      <c r="J457" s="143">
        <f>SUM(J450:J456)</f>
        <v>98717.1</v>
      </c>
      <c r="K457" s="143">
        <f>SUM(K450:K456)</f>
        <v>98131.1</v>
      </c>
      <c r="L457" s="152">
        <f>SUM(L450:L456)</f>
        <v>196848.2</v>
      </c>
      <c r="M457" s="1610"/>
      <c r="N457" s="1611"/>
    </row>
    <row r="458" spans="1:14" s="1168" customFormat="1" ht="17" thickBot="1">
      <c r="A458" s="108" t="s">
        <v>146</v>
      </c>
      <c r="B458" s="1567"/>
      <c r="C458" s="1586"/>
      <c r="D458" s="1457"/>
      <c r="E458" s="1586"/>
      <c r="F458" s="1457"/>
      <c r="G458" s="1586"/>
      <c r="H458" s="1142"/>
      <c r="I458" s="161"/>
      <c r="J458" s="161"/>
      <c r="K458" s="161"/>
      <c r="L458" s="162"/>
      <c r="M458" s="1617"/>
      <c r="N458" s="1486"/>
    </row>
    <row r="459" spans="1:14" ht="14" thickBot="1">
      <c r="A459" s="76" t="s">
        <v>146</v>
      </c>
      <c r="B459" s="1431">
        <f>CVWD!N50</f>
        <v>0</v>
      </c>
      <c r="C459" s="1422"/>
      <c r="D459" s="1444">
        <f>F459*325851</f>
        <v>0</v>
      </c>
      <c r="E459" s="1422"/>
      <c r="F459" s="1444">
        <f>0.0425*B459</f>
        <v>0</v>
      </c>
      <c r="G459" s="1422"/>
      <c r="H459" s="462">
        <f>F459*20</f>
        <v>0</v>
      </c>
      <c r="I459" s="131">
        <f>73.34*B459</f>
        <v>0</v>
      </c>
      <c r="J459" s="131">
        <f>35.66*B459</f>
        <v>0</v>
      </c>
      <c r="K459" s="131">
        <f>B459*165</f>
        <v>0</v>
      </c>
      <c r="L459" s="132">
        <f>I459+J459+K459</f>
        <v>0</v>
      </c>
      <c r="M459" s="1539">
        <v>0</v>
      </c>
      <c r="N459" s="1759"/>
    </row>
    <row r="460" spans="1:14" ht="14" thickBot="1">
      <c r="A460" s="53" t="s">
        <v>60</v>
      </c>
      <c r="B460" s="1438">
        <f>SUM(B459)</f>
        <v>0</v>
      </c>
      <c r="C460" s="1609"/>
      <c r="D460" s="1440">
        <f>SUM(D459)</f>
        <v>0</v>
      </c>
      <c r="E460" s="1609"/>
      <c r="F460" s="1440">
        <f>SUM(F459)</f>
        <v>0</v>
      </c>
      <c r="G460" s="1439"/>
      <c r="H460" s="482">
        <f>SUM(H459)</f>
        <v>0</v>
      </c>
      <c r="I460" s="136">
        <f>SUM(I459)</f>
        <v>0</v>
      </c>
      <c r="J460" s="143">
        <f>SUM(J459)</f>
        <v>0</v>
      </c>
      <c r="K460" s="143">
        <f>SUM(K459)</f>
        <v>0</v>
      </c>
      <c r="L460" s="136">
        <f>SUM(L459)</f>
        <v>0</v>
      </c>
      <c r="M460" s="1610"/>
      <c r="N460" s="1611"/>
    </row>
    <row r="461" spans="1:14" s="1161" customFormat="1" ht="17" thickBot="1">
      <c r="A461" s="108" t="s">
        <v>50</v>
      </c>
      <c r="B461" s="1567"/>
      <c r="C461" s="1586"/>
      <c r="D461" s="1457"/>
      <c r="E461" s="1586"/>
      <c r="F461" s="1457"/>
      <c r="G461" s="1586"/>
      <c r="H461" s="1142"/>
      <c r="I461" s="161"/>
      <c r="J461" s="161"/>
      <c r="K461" s="161"/>
      <c r="L461" s="162"/>
      <c r="M461" s="1617"/>
      <c r="N461" s="1486"/>
    </row>
    <row r="462" spans="1:14">
      <c r="A462" s="34" t="s">
        <v>26</v>
      </c>
      <c r="B462" s="1431">
        <f>CVWD!N53</f>
        <v>0</v>
      </c>
      <c r="C462" s="1422"/>
      <c r="D462" s="1444">
        <f t="shared" ref="D462:D470" si="97">F462*325851</f>
        <v>0</v>
      </c>
      <c r="E462" s="1422"/>
      <c r="F462" s="1449">
        <f>0.0379*B462</f>
        <v>0</v>
      </c>
      <c r="G462" s="1450"/>
      <c r="H462" s="957">
        <f>F462*20</f>
        <v>0</v>
      </c>
      <c r="I462" s="131">
        <v>0</v>
      </c>
      <c r="J462" s="131">
        <f>35.66*B462</f>
        <v>0</v>
      </c>
      <c r="K462" s="131">
        <f>135*B462</f>
        <v>0</v>
      </c>
      <c r="L462" s="132">
        <f>SUM(I462:K462)</f>
        <v>0</v>
      </c>
      <c r="M462" s="1539">
        <v>0</v>
      </c>
      <c r="N462" s="1759"/>
    </row>
    <row r="463" spans="1:14">
      <c r="A463" s="34" t="s">
        <v>25</v>
      </c>
      <c r="B463" s="1431">
        <f>CVWD!N54</f>
        <v>1</v>
      </c>
      <c r="C463" s="1422"/>
      <c r="D463" s="1444">
        <f t="shared" si="97"/>
        <v>12349.752900000001</v>
      </c>
      <c r="E463" s="1422"/>
      <c r="F463" s="1449">
        <f>0.0379*B463</f>
        <v>3.7900000000000003E-2</v>
      </c>
      <c r="G463" s="1450"/>
      <c r="H463" s="957">
        <f>F463*20</f>
        <v>0.75800000000000001</v>
      </c>
      <c r="I463" s="131">
        <v>0</v>
      </c>
      <c r="J463" s="131">
        <f>0*B463</f>
        <v>0</v>
      </c>
      <c r="K463" s="131">
        <f>60*B463</f>
        <v>60</v>
      </c>
      <c r="L463" s="132">
        <f t="shared" ref="L463:L471" si="98">SUM(I463:K463)</f>
        <v>60</v>
      </c>
      <c r="M463" s="1539">
        <f t="shared" ref="M463:M469" si="99">L463/(F463*498.5)</f>
        <v>3.1757541754551251</v>
      </c>
      <c r="N463" s="1759"/>
    </row>
    <row r="464" spans="1:14" s="91" customFormat="1" ht="16">
      <c r="A464" s="32" t="s">
        <v>29</v>
      </c>
      <c r="B464" s="1431">
        <f>CVWD!N55</f>
        <v>587</v>
      </c>
      <c r="C464" s="1422"/>
      <c r="D464" s="1444">
        <f t="shared" si="97"/>
        <v>8129167.8225000007</v>
      </c>
      <c r="E464" s="1422"/>
      <c r="F464" s="1449">
        <f>0.0425*B464</f>
        <v>24.947500000000002</v>
      </c>
      <c r="G464" s="1450"/>
      <c r="H464" s="957">
        <f>F464*20</f>
        <v>498.95000000000005</v>
      </c>
      <c r="I464" s="131">
        <v>0</v>
      </c>
      <c r="J464" s="131">
        <f>135*B464</f>
        <v>79245</v>
      </c>
      <c r="K464" s="131">
        <f>165*B464</f>
        <v>96855</v>
      </c>
      <c r="L464" s="132">
        <f t="shared" si="98"/>
        <v>176100</v>
      </c>
      <c r="M464" s="1539">
        <f t="shared" si="99"/>
        <v>14.160127441146969</v>
      </c>
      <c r="N464" s="1759"/>
    </row>
    <row r="465" spans="1:14">
      <c r="A465" s="32" t="s">
        <v>51</v>
      </c>
      <c r="B465" s="1431">
        <f>CVWD!N56</f>
        <v>162</v>
      </c>
      <c r="C465" s="1422"/>
      <c r="D465" s="1444">
        <f t="shared" si="97"/>
        <v>6477070.6674000006</v>
      </c>
      <c r="E465" s="1422"/>
      <c r="F465" s="1449">
        <f>0.1227*B465</f>
        <v>19.877400000000002</v>
      </c>
      <c r="G465" s="1450"/>
      <c r="H465" s="957">
        <f>F465*20</f>
        <v>397.548</v>
      </c>
      <c r="I465" s="131">
        <v>0</v>
      </c>
      <c r="J465" s="131">
        <f>0*B465</f>
        <v>0</v>
      </c>
      <c r="K465" s="131">
        <f>400*B465</f>
        <v>64800</v>
      </c>
      <c r="L465" s="132">
        <f t="shared" si="98"/>
        <v>64800</v>
      </c>
      <c r="M465" s="1539">
        <f t="shared" si="99"/>
        <v>6.5395861586389152</v>
      </c>
      <c r="N465" s="1759"/>
    </row>
    <row r="466" spans="1:14">
      <c r="A466" s="34" t="s">
        <v>20</v>
      </c>
      <c r="B466" s="1431">
        <f>CVWD!N57</f>
        <v>4</v>
      </c>
      <c r="C466" s="1422"/>
      <c r="D466" s="1444">
        <f t="shared" si="97"/>
        <v>839392.17599999998</v>
      </c>
      <c r="E466" s="1422"/>
      <c r="F466" s="1449">
        <f>0.644*B466</f>
        <v>2.5760000000000001</v>
      </c>
      <c r="G466" s="1450"/>
      <c r="H466" s="957">
        <f>F466*5</f>
        <v>12.88</v>
      </c>
      <c r="I466" s="131">
        <v>0</v>
      </c>
      <c r="J466" s="131">
        <f>43.75*B466</f>
        <v>175</v>
      </c>
      <c r="K466" s="131">
        <f>625*B466</f>
        <v>2500</v>
      </c>
      <c r="L466" s="132">
        <f t="shared" si="98"/>
        <v>2675</v>
      </c>
      <c r="M466" s="1539">
        <f t="shared" si="99"/>
        <v>2.0831126921136081</v>
      </c>
      <c r="N466" s="1759"/>
    </row>
    <row r="467" spans="1:14">
      <c r="A467" s="34" t="s">
        <v>13</v>
      </c>
      <c r="B467" s="1431">
        <f>CVWD!N58</f>
        <v>3</v>
      </c>
      <c r="C467" s="1422"/>
      <c r="D467" s="1444">
        <f t="shared" si="97"/>
        <v>26980.462800000001</v>
      </c>
      <c r="E467" s="1422"/>
      <c r="F467" s="1449">
        <f>0.0276*B467</f>
        <v>8.2799999999999999E-2</v>
      </c>
      <c r="G467" s="1450"/>
      <c r="H467" s="957">
        <f>F467*10</f>
        <v>0.82799999999999996</v>
      </c>
      <c r="I467" s="131">
        <v>0</v>
      </c>
      <c r="J467" s="131">
        <f>100*B467</f>
        <v>300</v>
      </c>
      <c r="K467" s="131">
        <f>80*B467</f>
        <v>240</v>
      </c>
      <c r="L467" s="132">
        <f t="shared" si="98"/>
        <v>540</v>
      </c>
      <c r="M467" s="1539">
        <f t="shared" si="99"/>
        <v>13.082726440190136</v>
      </c>
      <c r="N467" s="1759"/>
    </row>
    <row r="468" spans="1:14">
      <c r="A468" s="35" t="s">
        <v>47</v>
      </c>
      <c r="B468" s="1431">
        <f>CVWD!N59</f>
        <v>3</v>
      </c>
      <c r="C468" s="1422"/>
      <c r="D468" s="1444">
        <f t="shared" si="97"/>
        <v>149956.63020000001</v>
      </c>
      <c r="E468" s="1422"/>
      <c r="F468" s="1449">
        <f>0.1534*B468</f>
        <v>0.46020000000000005</v>
      </c>
      <c r="G468" s="1450"/>
      <c r="H468" s="957">
        <f>F468*5</f>
        <v>2.3010000000000002</v>
      </c>
      <c r="I468" s="131">
        <v>0</v>
      </c>
      <c r="J468" s="131">
        <f>0*B468</f>
        <v>0</v>
      </c>
      <c r="K468" s="131">
        <f>150*B468</f>
        <v>450</v>
      </c>
      <c r="L468" s="132">
        <f t="shared" si="98"/>
        <v>450</v>
      </c>
      <c r="M468" s="1539">
        <f t="shared" si="99"/>
        <v>1.9615561155435013</v>
      </c>
      <c r="N468" s="1759"/>
    </row>
    <row r="469" spans="1:14">
      <c r="A469" s="76" t="s">
        <v>30</v>
      </c>
      <c r="B469" s="1431">
        <f>CVWD!N60</f>
        <v>10</v>
      </c>
      <c r="C469" s="1422"/>
      <c r="D469" s="1444">
        <f t="shared" si="97"/>
        <v>1059015.75</v>
      </c>
      <c r="E469" s="1422"/>
      <c r="F469" s="1449">
        <f>0.325*B469</f>
        <v>3.25</v>
      </c>
      <c r="G469" s="1450"/>
      <c r="H469" s="957">
        <f>F469*10</f>
        <v>32.5</v>
      </c>
      <c r="I469" s="131">
        <v>0</v>
      </c>
      <c r="J469" s="131">
        <f>0*B469</f>
        <v>0</v>
      </c>
      <c r="K469" s="131">
        <f>669*B469</f>
        <v>6690</v>
      </c>
      <c r="L469" s="132">
        <f t="shared" si="98"/>
        <v>6690</v>
      </c>
      <c r="M469" s="1539">
        <f t="shared" si="99"/>
        <v>4.1293110099529358</v>
      </c>
      <c r="N469" s="1759"/>
    </row>
    <row r="470" spans="1:14">
      <c r="A470" s="33" t="s">
        <v>53</v>
      </c>
      <c r="B470" s="1431">
        <f>CVWD!N61</f>
        <v>0</v>
      </c>
      <c r="C470" s="1422"/>
      <c r="D470" s="1444">
        <f t="shared" si="97"/>
        <v>0</v>
      </c>
      <c r="E470" s="1422"/>
      <c r="F470" s="1449">
        <f>0.00014*B470</f>
        <v>0</v>
      </c>
      <c r="G470" s="1450"/>
      <c r="H470" s="957">
        <f>F470*10</f>
        <v>0</v>
      </c>
      <c r="I470" s="131">
        <v>0</v>
      </c>
      <c r="J470" s="131">
        <f>0.3*B470</f>
        <v>0</v>
      </c>
      <c r="K470" s="131">
        <f>0.3*B470</f>
        <v>0</v>
      </c>
      <c r="L470" s="132">
        <f t="shared" si="98"/>
        <v>0</v>
      </c>
      <c r="M470" s="1539">
        <v>0</v>
      </c>
      <c r="N470" s="1759"/>
    </row>
    <row r="471" spans="1:14">
      <c r="A471" s="33" t="s">
        <v>56</v>
      </c>
      <c r="B471" s="1431">
        <f>CVWD!N62</f>
        <v>0</v>
      </c>
      <c r="C471" s="1422"/>
      <c r="D471" s="1444">
        <f>F471*325851</f>
        <v>0</v>
      </c>
      <c r="E471" s="1422"/>
      <c r="F471" s="1449">
        <f>0.004*B471</f>
        <v>0</v>
      </c>
      <c r="G471" s="1450"/>
      <c r="H471" s="957">
        <f>F471*5</f>
        <v>0</v>
      </c>
      <c r="I471" s="131">
        <v>0</v>
      </c>
      <c r="J471" s="131">
        <f>0*B471</f>
        <v>0</v>
      </c>
      <c r="K471" s="131">
        <f>4*B471</f>
        <v>0</v>
      </c>
      <c r="L471" s="132">
        <f t="shared" si="98"/>
        <v>0</v>
      </c>
      <c r="M471" s="1539">
        <v>0</v>
      </c>
      <c r="N471" s="1759"/>
    </row>
    <row r="472" spans="1:14">
      <c r="A472" s="76" t="s">
        <v>122</v>
      </c>
      <c r="B472" s="1431">
        <f>CVWD!N63</f>
        <v>0</v>
      </c>
      <c r="C472" s="1422"/>
      <c r="D472" s="1444">
        <f>F472*325851</f>
        <v>0</v>
      </c>
      <c r="E472" s="1422"/>
      <c r="F472" s="1449">
        <f>0.018*B472</f>
        <v>0</v>
      </c>
      <c r="G472" s="1450"/>
      <c r="H472" s="957">
        <f>F472*10</f>
        <v>0</v>
      </c>
      <c r="I472" s="131">
        <v>0</v>
      </c>
      <c r="J472" s="131">
        <f>0*B472</f>
        <v>0</v>
      </c>
      <c r="K472" s="131">
        <f>13*B472</f>
        <v>0</v>
      </c>
      <c r="L472" s="132">
        <f>SUM(I472:K472)</f>
        <v>0</v>
      </c>
      <c r="M472" s="1539">
        <v>0</v>
      </c>
      <c r="N472" s="1759"/>
    </row>
    <row r="473" spans="1:14" ht="14" thickBot="1">
      <c r="A473" s="47" t="s">
        <v>102</v>
      </c>
      <c r="B473" s="1431">
        <f>CVWD!N64</f>
        <v>0</v>
      </c>
      <c r="C473" s="1422"/>
      <c r="D473" s="1444">
        <f>F473*325851</f>
        <v>0</v>
      </c>
      <c r="E473" s="1422"/>
      <c r="F473" s="1886">
        <f>0.153*B473</f>
        <v>0</v>
      </c>
      <c r="G473" s="1887"/>
      <c r="H473" s="957">
        <f>F473*5</f>
        <v>0</v>
      </c>
      <c r="I473" s="131">
        <v>0</v>
      </c>
      <c r="J473" s="131">
        <f>0*B473</f>
        <v>0</v>
      </c>
      <c r="K473" s="131">
        <f>60*B473</f>
        <v>0</v>
      </c>
      <c r="L473" s="132">
        <f>SUM(I473:K473)</f>
        <v>0</v>
      </c>
      <c r="M473" s="1539">
        <v>0</v>
      </c>
      <c r="N473" s="1759"/>
    </row>
    <row r="474" spans="1:14" s="91" customFormat="1" ht="17" thickBot="1">
      <c r="A474" s="53" t="s">
        <v>60</v>
      </c>
      <c r="B474" s="1438">
        <f>SUM(B462:C473)</f>
        <v>770</v>
      </c>
      <c r="C474" s="1609"/>
      <c r="D474" s="1440">
        <f>SUM(D462:E473)</f>
        <v>16693933.2618</v>
      </c>
      <c r="E474" s="1609"/>
      <c r="F474" s="1440">
        <f>SUM(F462:G473)</f>
        <v>51.231800000000007</v>
      </c>
      <c r="G474" s="1439"/>
      <c r="H474" s="707">
        <f>SUM(H462:H473)</f>
        <v>945.7650000000001</v>
      </c>
      <c r="I474" s="136">
        <f>SUM(I462:I473)</f>
        <v>0</v>
      </c>
      <c r="J474" s="143">
        <f>SUM(J462:J473)</f>
        <v>79720</v>
      </c>
      <c r="K474" s="143">
        <f>SUM(K462:K473)</f>
        <v>171595</v>
      </c>
      <c r="L474" s="136">
        <f>SUM(L462:L473)</f>
        <v>251315</v>
      </c>
      <c r="M474" s="1610"/>
      <c r="N474" s="1611"/>
    </row>
    <row r="475" spans="1:14" s="1168" customFormat="1" ht="17" thickBot="1">
      <c r="A475" s="108" t="s">
        <v>54</v>
      </c>
      <c r="B475" s="1457"/>
      <c r="C475" s="1913"/>
      <c r="D475" s="1141"/>
      <c r="E475" s="1142"/>
      <c r="F475" s="1141"/>
      <c r="G475" s="1142"/>
      <c r="H475" s="1142"/>
      <c r="I475" s="161"/>
      <c r="J475" s="161"/>
      <c r="K475" s="161"/>
      <c r="L475" s="162"/>
      <c r="M475" s="1154"/>
      <c r="N475" s="1155"/>
    </row>
    <row r="476" spans="1:14">
      <c r="A476" s="36" t="s">
        <v>29</v>
      </c>
      <c r="B476" s="1444">
        <f>CVWD!N67</f>
        <v>0</v>
      </c>
      <c r="C476" s="1422"/>
      <c r="D476" s="1444">
        <f t="shared" ref="D476:D481" si="100">F476*325851</f>
        <v>0</v>
      </c>
      <c r="E476" s="1422"/>
      <c r="F476" s="1449">
        <f>0.0425*B476</f>
        <v>0</v>
      </c>
      <c r="G476" s="1450"/>
      <c r="H476" s="957">
        <f>F476*20</f>
        <v>0</v>
      </c>
      <c r="I476" s="131">
        <v>0</v>
      </c>
      <c r="J476" s="131">
        <f>35.66*B476</f>
        <v>0</v>
      </c>
      <c r="K476" s="131">
        <f>0*B476</f>
        <v>0</v>
      </c>
      <c r="L476" s="132">
        <f t="shared" ref="L476:L481" si="101">SUM(I476:K476)</f>
        <v>0</v>
      </c>
      <c r="M476" s="1539">
        <v>0</v>
      </c>
      <c r="N476" s="1759"/>
    </row>
    <row r="477" spans="1:14">
      <c r="A477" s="34" t="s">
        <v>51</v>
      </c>
      <c r="B477" s="1444">
        <f>CVWD!N68</f>
        <v>0</v>
      </c>
      <c r="C477" s="1422"/>
      <c r="D477" s="1444">
        <f t="shared" si="100"/>
        <v>0</v>
      </c>
      <c r="E477" s="1422"/>
      <c r="F477" s="1871">
        <f>0.125*B477</f>
        <v>0</v>
      </c>
      <c r="G477" s="1450"/>
      <c r="H477" s="957">
        <f>F477*20</f>
        <v>0</v>
      </c>
      <c r="I477" s="131">
        <v>0</v>
      </c>
      <c r="J477" s="131">
        <f>0*B477</f>
        <v>0</v>
      </c>
      <c r="K477" s="131">
        <f>0*B477</f>
        <v>0</v>
      </c>
      <c r="L477" s="132">
        <f t="shared" si="101"/>
        <v>0</v>
      </c>
      <c r="M477" s="1539">
        <v>0</v>
      </c>
      <c r="N477" s="1759"/>
    </row>
    <row r="478" spans="1:14" s="363" customFormat="1">
      <c r="A478" s="34" t="s">
        <v>15</v>
      </c>
      <c r="B478" s="1444">
        <f>CVWD!N69</f>
        <v>16</v>
      </c>
      <c r="C478" s="1422"/>
      <c r="D478" s="1444">
        <f t="shared" si="100"/>
        <v>799768.69440000004</v>
      </c>
      <c r="E478" s="1422"/>
      <c r="F478" s="1871">
        <f>0.1534*B478</f>
        <v>2.4544000000000001</v>
      </c>
      <c r="G478" s="1450"/>
      <c r="H478" s="957">
        <f>F478*5</f>
        <v>12.272</v>
      </c>
      <c r="I478" s="131">
        <v>0</v>
      </c>
      <c r="J478" s="131">
        <f>0*B478</f>
        <v>0</v>
      </c>
      <c r="K478" s="131">
        <f>350.19*B478</f>
        <v>5603.04</v>
      </c>
      <c r="L478" s="132">
        <f t="shared" si="101"/>
        <v>5603.04</v>
      </c>
      <c r="M478" s="1539">
        <f>L478/(F478*498.5)</f>
        <v>4.5794489073478575</v>
      </c>
      <c r="N478" s="1759"/>
    </row>
    <row r="479" spans="1:14">
      <c r="A479" s="34" t="s">
        <v>30</v>
      </c>
      <c r="B479" s="1444">
        <f>CVWD!N70</f>
        <v>22</v>
      </c>
      <c r="C479" s="1422"/>
      <c r="D479" s="1444">
        <f t="shared" si="100"/>
        <v>4365751.6979999999</v>
      </c>
      <c r="E479" s="1422"/>
      <c r="F479" s="1871">
        <f>0.609*B479</f>
        <v>13.398</v>
      </c>
      <c r="G479" s="1450"/>
      <c r="H479" s="957">
        <f>F479*10</f>
        <v>133.97999999999999</v>
      </c>
      <c r="I479" s="131">
        <v>0</v>
      </c>
      <c r="J479" s="131">
        <f>0*B479</f>
        <v>0</v>
      </c>
      <c r="K479" s="131">
        <f>1660.85*B479</f>
        <v>36538.699999999997</v>
      </c>
      <c r="L479" s="132">
        <f t="shared" si="101"/>
        <v>36538.699999999997</v>
      </c>
      <c r="M479" s="1539">
        <f>L479/(F479*498.5)</f>
        <v>5.4707636867910789</v>
      </c>
      <c r="N479" s="1759"/>
    </row>
    <row r="480" spans="1:14">
      <c r="A480" s="34" t="s">
        <v>55</v>
      </c>
      <c r="B480" s="1444">
        <f>CVWD!N71</f>
        <v>25</v>
      </c>
      <c r="C480" s="1422"/>
      <c r="D480" s="1431">
        <f t="shared" si="100"/>
        <v>8081104.7999999998</v>
      </c>
      <c r="E480" s="1422"/>
      <c r="F480" s="1876">
        <f>0.992*B480</f>
        <v>24.8</v>
      </c>
      <c r="G480" s="1877"/>
      <c r="H480" s="957">
        <f>F480*10</f>
        <v>248</v>
      </c>
      <c r="I480" s="131">
        <v>0</v>
      </c>
      <c r="J480" s="131">
        <f>0*B480</f>
        <v>0</v>
      </c>
      <c r="K480" s="131">
        <f>4395.21*B480</f>
        <v>109880.25</v>
      </c>
      <c r="L480" s="132">
        <f t="shared" si="101"/>
        <v>109880.25</v>
      </c>
      <c r="M480" s="1539">
        <f>L480/(F480*498.5)</f>
        <v>8.8879744070922442</v>
      </c>
      <c r="N480" s="1759"/>
    </row>
    <row r="481" spans="1:14" ht="14" thickBot="1">
      <c r="A481" s="47" t="s">
        <v>53</v>
      </c>
      <c r="B481" s="1444">
        <f>CVWD!N72</f>
        <v>0</v>
      </c>
      <c r="C481" s="1422"/>
      <c r="D481" s="1431">
        <f t="shared" si="100"/>
        <v>0</v>
      </c>
      <c r="E481" s="1422"/>
      <c r="F481" s="1871">
        <f>0.00014*B481</f>
        <v>0</v>
      </c>
      <c r="G481" s="1450"/>
      <c r="H481" s="957">
        <f>F481*10</f>
        <v>0</v>
      </c>
      <c r="I481" s="131">
        <v>0</v>
      </c>
      <c r="J481" s="131">
        <f>0.3*B481</f>
        <v>0</v>
      </c>
      <c r="K481" s="131">
        <f>0.75*B481</f>
        <v>0</v>
      </c>
      <c r="L481" s="132">
        <f t="shared" si="101"/>
        <v>0</v>
      </c>
      <c r="M481" s="1539">
        <v>0</v>
      </c>
      <c r="N481" s="1759"/>
    </row>
    <row r="482" spans="1:14" s="91" customFormat="1" ht="17" thickBot="1">
      <c r="A482" s="53" t="s">
        <v>60</v>
      </c>
      <c r="B482" s="1440">
        <f>SUM(B476:C481)</f>
        <v>63</v>
      </c>
      <c r="C482" s="1621"/>
      <c r="D482" s="1441">
        <f>SUM(D476:E481)</f>
        <v>13246625.192400001</v>
      </c>
      <c r="E482" s="1609"/>
      <c r="F482" s="1440">
        <f>SUM(F476:G481)</f>
        <v>40.6524</v>
      </c>
      <c r="G482" s="1439"/>
      <c r="H482" s="482">
        <f>SUM(H476:H481)</f>
        <v>394.25199999999995</v>
      </c>
      <c r="I482" s="136">
        <f>SUM(I476:I481)</f>
        <v>0</v>
      </c>
      <c r="J482" s="136">
        <f>SUM(J476:J481)</f>
        <v>0</v>
      </c>
      <c r="K482" s="136">
        <f>SUM(K476:K481)</f>
        <v>152021.99</v>
      </c>
      <c r="L482" s="136">
        <f>SUM(L476:L481)</f>
        <v>152021.99</v>
      </c>
      <c r="M482" s="1610"/>
      <c r="N482" s="1611"/>
    </row>
    <row r="483" spans="1:14" s="1168" customFormat="1" ht="17" thickBot="1">
      <c r="A483" s="1182" t="s">
        <v>17</v>
      </c>
      <c r="B483" s="1416">
        <f>SUM(B457+B460+B474+B482)</f>
        <v>2127</v>
      </c>
      <c r="C483" s="1415"/>
      <c r="D483" s="1416">
        <f>SUM(D457+D460+D474+D482)</f>
        <v>42835642.55376</v>
      </c>
      <c r="E483" s="1415"/>
      <c r="F483" s="1416">
        <f>SUM(F457+F460+F474+F482)</f>
        <v>131.45776000000001</v>
      </c>
      <c r="G483" s="1415"/>
      <c r="H483" s="1164">
        <f>SUM(H457+H460+H474+H482)</f>
        <v>1896.1886</v>
      </c>
      <c r="I483" s="1169">
        <f>SUM(I457+I460+I474+I482)</f>
        <v>0</v>
      </c>
      <c r="J483" s="1169">
        <f>SUM(J457+J460+J474+J482)</f>
        <v>178437.1</v>
      </c>
      <c r="K483" s="1169">
        <f>SUM(K457+K460+K474+K482)</f>
        <v>421748.08999999997</v>
      </c>
      <c r="L483" s="1169">
        <f>SUM(L457+L460+L474+L482)</f>
        <v>600185.18999999994</v>
      </c>
      <c r="M483" s="1631"/>
      <c r="N483" s="1640"/>
    </row>
    <row r="484" spans="1:14" ht="16">
      <c r="A484" s="60"/>
      <c r="B484" s="61"/>
      <c r="C484" s="61"/>
      <c r="D484" s="61"/>
      <c r="E484" s="61"/>
      <c r="F484" s="441"/>
      <c r="G484" s="441"/>
      <c r="H484" s="441"/>
      <c r="I484" s="62"/>
      <c r="J484" s="62"/>
      <c r="K484" s="62"/>
      <c r="L484" s="62"/>
      <c r="M484" s="64"/>
      <c r="N484" s="65"/>
    </row>
    <row r="485" spans="1:14" ht="16">
      <c r="A485" s="9" t="s">
        <v>18</v>
      </c>
      <c r="B485" s="1419" t="s">
        <v>59</v>
      </c>
      <c r="C485" s="1419"/>
      <c r="D485" s="1419"/>
      <c r="E485" s="1419"/>
      <c r="F485" s="441"/>
      <c r="G485" s="441"/>
      <c r="H485" s="441"/>
      <c r="I485" s="62"/>
      <c r="J485" s="62"/>
      <c r="K485" s="62"/>
      <c r="L485" s="62"/>
      <c r="M485" s="64"/>
      <c r="N485" s="65"/>
    </row>
    <row r="486" spans="1:14" ht="16">
      <c r="A486" s="57"/>
      <c r="B486" s="1420" t="s">
        <v>19</v>
      </c>
      <c r="C486" s="1420"/>
      <c r="D486" s="1420"/>
      <c r="E486" s="1420"/>
      <c r="F486" s="441"/>
      <c r="G486" s="441"/>
      <c r="H486" s="441"/>
      <c r="I486" s="62"/>
      <c r="J486" s="62"/>
      <c r="K486" s="62"/>
      <c r="L486" s="62"/>
      <c r="M486" s="64"/>
      <c r="N486" s="65"/>
    </row>
    <row r="487" spans="1:14" ht="17" thickBot="1">
      <c r="A487" s="985"/>
      <c r="B487" s="943"/>
      <c r="C487" s="943"/>
      <c r="D487" s="943"/>
      <c r="E487" s="943"/>
      <c r="F487" s="441"/>
      <c r="G487" s="441"/>
      <c r="H487" s="441"/>
      <c r="I487" s="62"/>
      <c r="J487" s="62"/>
      <c r="K487" s="62"/>
      <c r="L487" s="62"/>
      <c r="M487" s="64"/>
      <c r="N487" s="65"/>
    </row>
    <row r="488" spans="1:14" ht="16">
      <c r="A488" s="98"/>
      <c r="B488" s="99"/>
      <c r="C488" s="99"/>
      <c r="D488" s="99"/>
      <c r="E488" s="99"/>
      <c r="F488" s="421"/>
      <c r="G488" s="421"/>
      <c r="H488" s="421"/>
      <c r="I488" s="1468" t="s">
        <v>0</v>
      </c>
      <c r="J488" s="1468"/>
      <c r="K488" s="1468"/>
      <c r="L488" s="1468"/>
      <c r="M488" s="99"/>
      <c r="N488" s="101"/>
    </row>
    <row r="489" spans="1:14" s="91" customFormat="1" ht="16">
      <c r="A489" s="97"/>
      <c r="B489" s="1469" t="s">
        <v>1</v>
      </c>
      <c r="C489" s="1469"/>
      <c r="D489" s="1469" t="s">
        <v>2</v>
      </c>
      <c r="E489" s="1469"/>
      <c r="F489" s="1470" t="s">
        <v>3</v>
      </c>
      <c r="G489" s="1470"/>
      <c r="H489" s="931" t="s">
        <v>3</v>
      </c>
      <c r="I489" s="127" t="s">
        <v>197</v>
      </c>
      <c r="J489" s="102"/>
      <c r="K489" s="102"/>
      <c r="L489" s="128"/>
      <c r="M489" s="1469" t="s">
        <v>4</v>
      </c>
      <c r="N489" s="1526"/>
    </row>
    <row r="490" spans="1:14" ht="19" thickBot="1">
      <c r="A490" s="103" t="s">
        <v>5</v>
      </c>
      <c r="B490" s="1473" t="s">
        <v>6</v>
      </c>
      <c r="C490" s="1473"/>
      <c r="D490" s="1473" t="s">
        <v>7</v>
      </c>
      <c r="E490" s="1473"/>
      <c r="F490" s="1474" t="s">
        <v>7</v>
      </c>
      <c r="G490" s="1474"/>
      <c r="H490" s="933" t="s">
        <v>58</v>
      </c>
      <c r="I490" s="937" t="s">
        <v>198</v>
      </c>
      <c r="J490" s="932" t="s">
        <v>8</v>
      </c>
      <c r="K490" s="932" t="s">
        <v>9</v>
      </c>
      <c r="L490" s="401" t="s">
        <v>10</v>
      </c>
      <c r="M490" s="1473" t="s">
        <v>145</v>
      </c>
      <c r="N490" s="1475"/>
    </row>
    <row r="491" spans="1:14" ht="24" thickBot="1">
      <c r="A491" s="88" t="s">
        <v>132</v>
      </c>
      <c r="B491" s="1764"/>
      <c r="C491" s="1477"/>
      <c r="D491" s="1478"/>
      <c r="E491" s="1479"/>
      <c r="F491" s="1480"/>
      <c r="G491" s="1481"/>
      <c r="H491" s="945"/>
      <c r="I491" s="7"/>
      <c r="J491" s="7"/>
      <c r="K491" s="7"/>
      <c r="L491" s="8"/>
      <c r="M491" s="1764"/>
      <c r="N491" s="1765"/>
    </row>
    <row r="492" spans="1:14" s="1161" customFormat="1" ht="17" thickBot="1">
      <c r="A492" s="108" t="s">
        <v>48</v>
      </c>
      <c r="B492" s="1567"/>
      <c r="C492" s="1586"/>
      <c r="D492" s="1567"/>
      <c r="E492" s="1586"/>
      <c r="F492" s="1587"/>
      <c r="G492" s="1588"/>
      <c r="H492" s="1145"/>
      <c r="I492" s="109"/>
      <c r="J492" s="109"/>
      <c r="K492" s="109"/>
      <c r="L492" s="1141"/>
      <c r="M492" s="1617"/>
      <c r="N492" s="1486"/>
    </row>
    <row r="493" spans="1:14">
      <c r="A493" s="32" t="s">
        <v>28</v>
      </c>
      <c r="B493" s="1431">
        <f>CVWD!N6</f>
        <v>49</v>
      </c>
      <c r="C493" s="1422"/>
      <c r="D493" s="1431">
        <f t="shared" ref="D493:D499" si="102">F493*325851</f>
        <v>605137.89210000006</v>
      </c>
      <c r="E493" s="1422"/>
      <c r="F493" s="1756">
        <f>0.0379*B493</f>
        <v>1.8571000000000002</v>
      </c>
      <c r="G493" s="1757"/>
      <c r="H493" s="941">
        <f>F493*20</f>
        <v>37.142000000000003</v>
      </c>
      <c r="I493" s="131">
        <v>0</v>
      </c>
      <c r="J493" s="131">
        <f>0*B493</f>
        <v>0</v>
      </c>
      <c r="K493" s="131">
        <f>60*B493</f>
        <v>2940</v>
      </c>
      <c r="L493" s="132">
        <f t="shared" ref="L493:L499" si="103">I493+J493+K493</f>
        <v>2940</v>
      </c>
      <c r="M493" s="1758">
        <f t="shared" ref="M493:M499" si="104">L493/(F493*427)</f>
        <v>3.7075256591671661</v>
      </c>
      <c r="N493" s="1759"/>
    </row>
    <row r="494" spans="1:14">
      <c r="A494" s="32" t="s">
        <v>29</v>
      </c>
      <c r="B494" s="1431">
        <f>CVWD!N7</f>
        <v>45</v>
      </c>
      <c r="C494" s="1422"/>
      <c r="D494" s="1431">
        <f t="shared" si="102"/>
        <v>623190.03749999998</v>
      </c>
      <c r="E494" s="1422"/>
      <c r="F494" s="1756">
        <f>0.0425*B494</f>
        <v>1.9125000000000001</v>
      </c>
      <c r="G494" s="1757"/>
      <c r="H494" s="941">
        <f>F494*20</f>
        <v>38.25</v>
      </c>
      <c r="I494" s="131">
        <v>0</v>
      </c>
      <c r="J494" s="131">
        <f>0*B494</f>
        <v>0</v>
      </c>
      <c r="K494" s="131">
        <f>B494*165</f>
        <v>7425</v>
      </c>
      <c r="L494" s="132">
        <f t="shared" si="103"/>
        <v>7425</v>
      </c>
      <c r="M494" s="1758">
        <f t="shared" si="104"/>
        <v>9.0921614547458329</v>
      </c>
      <c r="N494" s="1759"/>
    </row>
    <row r="495" spans="1:14">
      <c r="A495" s="32" t="s">
        <v>33</v>
      </c>
      <c r="B495" s="1431">
        <f>CVWD!N8</f>
        <v>457</v>
      </c>
      <c r="C495" s="1422"/>
      <c r="D495" s="1431">
        <f t="shared" si="102"/>
        <v>4110023.8331999998</v>
      </c>
      <c r="E495" s="1422"/>
      <c r="F495" s="1756">
        <f>0.0276*B495</f>
        <v>12.613199999999999</v>
      </c>
      <c r="G495" s="1757"/>
      <c r="H495" s="941">
        <f>F495*15</f>
        <v>189.19799999999998</v>
      </c>
      <c r="I495" s="131">
        <f>0*B495</f>
        <v>0</v>
      </c>
      <c r="J495" s="131">
        <f>0*B495</f>
        <v>0</v>
      </c>
      <c r="K495" s="131">
        <f>B495*110</f>
        <v>50270</v>
      </c>
      <c r="L495" s="132">
        <f t="shared" si="103"/>
        <v>50270</v>
      </c>
      <c r="M495" s="1758">
        <f t="shared" si="104"/>
        <v>9.3337406238332843</v>
      </c>
      <c r="N495" s="1759"/>
    </row>
    <row r="496" spans="1:14">
      <c r="A496" s="32" t="s">
        <v>56</v>
      </c>
      <c r="B496" s="1431">
        <f>CVWD!N9</f>
        <v>616</v>
      </c>
      <c r="C496" s="1422"/>
      <c r="D496" s="1431">
        <f>F496*325851</f>
        <v>802896.86399999994</v>
      </c>
      <c r="E496" s="1422"/>
      <c r="F496" s="1756">
        <f>0.004*B496</f>
        <v>2.464</v>
      </c>
      <c r="G496" s="1757"/>
      <c r="H496" s="941">
        <f>F496*5</f>
        <v>12.32</v>
      </c>
      <c r="I496" s="131">
        <f>0*B496</f>
        <v>0</v>
      </c>
      <c r="J496" s="131">
        <f>0*B496</f>
        <v>0</v>
      </c>
      <c r="K496" s="131">
        <f>B496*4</f>
        <v>2464</v>
      </c>
      <c r="L496" s="132">
        <f>I496+J496+K496</f>
        <v>2464</v>
      </c>
      <c r="M496" s="1758">
        <f>L496/(F496*427)</f>
        <v>2.3419203747072603</v>
      </c>
      <c r="N496" s="1759"/>
    </row>
    <row r="497" spans="1:14">
      <c r="A497" s="78" t="s">
        <v>30</v>
      </c>
      <c r="B497" s="1431">
        <f>CVWD!N10</f>
        <v>15</v>
      </c>
      <c r="C497" s="1422"/>
      <c r="D497" s="1431">
        <f t="shared" si="102"/>
        <v>1588523.625</v>
      </c>
      <c r="E497" s="1422"/>
      <c r="F497" s="1756">
        <f>0.325*B497</f>
        <v>4.875</v>
      </c>
      <c r="G497" s="1757"/>
      <c r="H497" s="941">
        <f>F497*10</f>
        <v>48.75</v>
      </c>
      <c r="I497" s="131">
        <v>0</v>
      </c>
      <c r="J497" s="131">
        <f>160*B497</f>
        <v>2400</v>
      </c>
      <c r="K497" s="131">
        <f>B497*80</f>
        <v>1200</v>
      </c>
      <c r="L497" s="132">
        <f t="shared" si="103"/>
        <v>3600</v>
      </c>
      <c r="M497" s="1758">
        <f t="shared" si="104"/>
        <v>1.7294181228607459</v>
      </c>
      <c r="N497" s="1759"/>
    </row>
    <row r="498" spans="1:14">
      <c r="A498" s="33" t="s">
        <v>95</v>
      </c>
      <c r="B498" s="1431">
        <f>CVWD!N11</f>
        <v>6</v>
      </c>
      <c r="C498" s="1422"/>
      <c r="D498" s="1444">
        <f t="shared" si="102"/>
        <v>374031.32885999995</v>
      </c>
      <c r="E498" s="1422"/>
      <c r="F498" s="1771">
        <f>0.00014*8199</f>
        <v>1.1478599999999999</v>
      </c>
      <c r="G498" s="1719"/>
      <c r="H498" s="941">
        <f>F498*10</f>
        <v>11.478599999999998</v>
      </c>
      <c r="I498" s="131">
        <v>0</v>
      </c>
      <c r="J498" s="131">
        <f>2*8199</f>
        <v>16398</v>
      </c>
      <c r="K498" s="131">
        <f>B498*0</f>
        <v>0</v>
      </c>
      <c r="L498" s="132">
        <f t="shared" si="103"/>
        <v>16398</v>
      </c>
      <c r="M498" s="1758">
        <f t="shared" si="104"/>
        <v>33.456005352960865</v>
      </c>
      <c r="N498" s="1759"/>
    </row>
    <row r="499" spans="1:14" ht="14" thickBot="1">
      <c r="A499" s="33" t="s">
        <v>96</v>
      </c>
      <c r="B499" s="1431">
        <f>CVWD!N12</f>
        <v>34</v>
      </c>
      <c r="C499" s="1422"/>
      <c r="D499" s="1444">
        <f t="shared" si="102"/>
        <v>1509400.4851800001</v>
      </c>
      <c r="E499" s="1422"/>
      <c r="F499" s="1760">
        <f>0.00014*33087</f>
        <v>4.63218</v>
      </c>
      <c r="G499" s="1757"/>
      <c r="H499" s="941">
        <f>F499*10</f>
        <v>46.321799999999996</v>
      </c>
      <c r="I499" s="131">
        <v>0</v>
      </c>
      <c r="J499" s="131">
        <f>0.3*33087</f>
        <v>9926.1</v>
      </c>
      <c r="K499" s="131">
        <f>0.3*33087</f>
        <v>9926.1</v>
      </c>
      <c r="L499" s="132">
        <f t="shared" si="103"/>
        <v>19852.2</v>
      </c>
      <c r="M499" s="1758">
        <f t="shared" si="104"/>
        <v>10.036801605888257</v>
      </c>
      <c r="N499" s="1759"/>
    </row>
    <row r="500" spans="1:14" s="91" customFormat="1" ht="17" thickBot="1">
      <c r="A500" s="53" t="s">
        <v>60</v>
      </c>
      <c r="B500" s="1438">
        <f>SUM(B493:C499)</f>
        <v>1222</v>
      </c>
      <c r="C500" s="1609"/>
      <c r="D500" s="1440">
        <f>SUM(D493:E499)</f>
        <v>9613204.0658400003</v>
      </c>
      <c r="E500" s="1609"/>
      <c r="F500" s="1512">
        <f>SUM(F493:G499)</f>
        <v>29.501840000000001</v>
      </c>
      <c r="G500" s="1575"/>
      <c r="H500" s="704">
        <f>SUM(H493:H499)</f>
        <v>383.46039999999994</v>
      </c>
      <c r="I500" s="143">
        <f>SUM(I493:I499)</f>
        <v>0</v>
      </c>
      <c r="J500" s="143">
        <f>SUM(J493:J499)</f>
        <v>28724.1</v>
      </c>
      <c r="K500" s="143">
        <f>SUM(K493:K499)</f>
        <v>74225.100000000006</v>
      </c>
      <c r="L500" s="152">
        <f>SUM(L493:L499)</f>
        <v>102949.2</v>
      </c>
      <c r="M500" s="1657"/>
      <c r="N500" s="1622"/>
    </row>
    <row r="501" spans="1:14" s="1168" customFormat="1" ht="17" thickBot="1">
      <c r="A501" s="108" t="s">
        <v>147</v>
      </c>
      <c r="B501" s="1567"/>
      <c r="C501" s="1586"/>
      <c r="D501" s="1457"/>
      <c r="E501" s="1586"/>
      <c r="F501" s="1484"/>
      <c r="G501" s="1588"/>
      <c r="H501" s="1145"/>
      <c r="I501" s="161"/>
      <c r="J501" s="161"/>
      <c r="K501" s="161"/>
      <c r="L501" s="162"/>
      <c r="M501" s="1617"/>
      <c r="N501" s="1486"/>
    </row>
    <row r="502" spans="1:14" ht="14" thickBot="1">
      <c r="A502" s="76" t="s">
        <v>147</v>
      </c>
      <c r="B502" s="1431">
        <f>CVWD!N15</f>
        <v>1034</v>
      </c>
      <c r="C502" s="1422"/>
      <c r="D502" s="1444">
        <f>F502*325851</f>
        <v>12769644.498600001</v>
      </c>
      <c r="E502" s="1422"/>
      <c r="F502" s="1760">
        <f>0.0379*B502</f>
        <v>39.188600000000001</v>
      </c>
      <c r="G502" s="1757"/>
      <c r="H502" s="941">
        <f>F502*20</f>
        <v>783.77200000000005</v>
      </c>
      <c r="I502" s="131">
        <f>73.34*B502</f>
        <v>75833.56</v>
      </c>
      <c r="J502" s="131">
        <f>35.66*B502</f>
        <v>36872.439999999995</v>
      </c>
      <c r="K502" s="131">
        <f>B502*60</f>
        <v>62040</v>
      </c>
      <c r="L502" s="132">
        <f>I502+J502+K502</f>
        <v>174746</v>
      </c>
      <c r="M502" s="1758">
        <f>L502/(F502*427)</f>
        <v>10.442863939987516</v>
      </c>
      <c r="N502" s="1759"/>
    </row>
    <row r="503" spans="1:14" ht="14" thickBot="1">
      <c r="A503" s="53" t="s">
        <v>60</v>
      </c>
      <c r="B503" s="1438">
        <f>SUM(B502)</f>
        <v>1034</v>
      </c>
      <c r="C503" s="1609"/>
      <c r="D503" s="1440">
        <f>SUM(D502)</f>
        <v>12769644.498600001</v>
      </c>
      <c r="E503" s="1609"/>
      <c r="F503" s="1512">
        <f>SUM(F502)</f>
        <v>39.188600000000001</v>
      </c>
      <c r="G503" s="1575"/>
      <c r="H503" s="704">
        <f>SUM(H502)</f>
        <v>783.77200000000005</v>
      </c>
      <c r="I503" s="136">
        <f>SUM(I502)</f>
        <v>75833.56</v>
      </c>
      <c r="J503" s="136">
        <f>SUM(J502)</f>
        <v>36872.439999999995</v>
      </c>
      <c r="K503" s="136">
        <f>SUM(K502)</f>
        <v>62040</v>
      </c>
      <c r="L503" s="136">
        <f>SUM(L502)</f>
        <v>174746</v>
      </c>
      <c r="M503" s="1657"/>
      <c r="N503" s="1622"/>
    </row>
    <row r="504" spans="1:14" s="1161" customFormat="1" ht="17" thickBot="1">
      <c r="A504" s="108" t="s">
        <v>50</v>
      </c>
      <c r="B504" s="1567"/>
      <c r="C504" s="1586"/>
      <c r="D504" s="1457"/>
      <c r="E504" s="1586"/>
      <c r="F504" s="1484"/>
      <c r="G504" s="1588"/>
      <c r="H504" s="1145"/>
      <c r="I504" s="161"/>
      <c r="J504" s="161"/>
      <c r="K504" s="161"/>
      <c r="L504" s="162"/>
      <c r="M504" s="1617"/>
      <c r="N504" s="1486"/>
    </row>
    <row r="505" spans="1:14">
      <c r="A505" s="34" t="s">
        <v>26</v>
      </c>
      <c r="B505" s="1431">
        <f>CVWD!N18</f>
        <v>0</v>
      </c>
      <c r="C505" s="1422"/>
      <c r="D505" s="1444">
        <f t="shared" ref="D505:D513" si="105">F505*325851</f>
        <v>0</v>
      </c>
      <c r="E505" s="1422"/>
      <c r="F505" s="1760">
        <f>0.0379*B505</f>
        <v>0</v>
      </c>
      <c r="G505" s="1757"/>
      <c r="H505" s="941">
        <f>F505*20</f>
        <v>0</v>
      </c>
      <c r="I505" s="131">
        <v>0</v>
      </c>
      <c r="J505" s="131">
        <f>35.66*B505</f>
        <v>0</v>
      </c>
      <c r="K505" s="131">
        <f>135*B505</f>
        <v>0</v>
      </c>
      <c r="L505" s="132">
        <f>SUM(I505:K505)</f>
        <v>0</v>
      </c>
      <c r="M505" s="1758">
        <v>0</v>
      </c>
      <c r="N505" s="1759"/>
    </row>
    <row r="506" spans="1:14">
      <c r="A506" s="34" t="s">
        <v>25</v>
      </c>
      <c r="B506" s="1431">
        <f>CVWD!N19</f>
        <v>0</v>
      </c>
      <c r="C506" s="1422"/>
      <c r="D506" s="1444">
        <f t="shared" si="105"/>
        <v>0</v>
      </c>
      <c r="E506" s="1422"/>
      <c r="F506" s="1760">
        <f>0.0379*B506</f>
        <v>0</v>
      </c>
      <c r="G506" s="1757"/>
      <c r="H506" s="941">
        <f>F506*20</f>
        <v>0</v>
      </c>
      <c r="I506" s="131">
        <v>0</v>
      </c>
      <c r="J506" s="131">
        <f>0*B506</f>
        <v>0</v>
      </c>
      <c r="K506" s="131">
        <f>135*B506</f>
        <v>0</v>
      </c>
      <c r="L506" s="132">
        <f t="shared" ref="L506:L521" si="106">SUM(I506:K506)</f>
        <v>0</v>
      </c>
      <c r="M506" s="1758">
        <v>0</v>
      </c>
      <c r="N506" s="1759"/>
    </row>
    <row r="507" spans="1:14">
      <c r="A507" s="32" t="s">
        <v>29</v>
      </c>
      <c r="B507" s="1431">
        <f>CVWD!N20</f>
        <v>0</v>
      </c>
      <c r="C507" s="1422"/>
      <c r="D507" s="1444">
        <f t="shared" si="105"/>
        <v>0</v>
      </c>
      <c r="E507" s="1422"/>
      <c r="F507" s="1760">
        <f>0.0425*B507</f>
        <v>0</v>
      </c>
      <c r="G507" s="1757"/>
      <c r="H507" s="941">
        <f>F507*20</f>
        <v>0</v>
      </c>
      <c r="I507" s="131">
        <v>0</v>
      </c>
      <c r="J507" s="131">
        <f>135*B507</f>
        <v>0</v>
      </c>
      <c r="K507" s="131">
        <f>165*B507</f>
        <v>0</v>
      </c>
      <c r="L507" s="132">
        <f t="shared" si="106"/>
        <v>0</v>
      </c>
      <c r="M507" s="1758">
        <v>0</v>
      </c>
      <c r="N507" s="1759"/>
    </row>
    <row r="508" spans="1:14">
      <c r="A508" s="32" t="s">
        <v>51</v>
      </c>
      <c r="B508" s="1431">
        <f>CVWD!N21</f>
        <v>206</v>
      </c>
      <c r="C508" s="1422"/>
      <c r="D508" s="1444">
        <f t="shared" si="105"/>
        <v>8236275.0461999997</v>
      </c>
      <c r="E508" s="1422"/>
      <c r="F508" s="1760">
        <f>0.1227*B508</f>
        <v>25.276199999999999</v>
      </c>
      <c r="G508" s="1757"/>
      <c r="H508" s="941">
        <f>F508*20</f>
        <v>505.524</v>
      </c>
      <c r="I508" s="131">
        <v>0</v>
      </c>
      <c r="J508" s="131">
        <f>0*B508</f>
        <v>0</v>
      </c>
      <c r="K508" s="131">
        <f>400*B508</f>
        <v>82400</v>
      </c>
      <c r="L508" s="132">
        <f t="shared" si="106"/>
        <v>82400</v>
      </c>
      <c r="M508" s="1758">
        <f>L508/(F508*427)</f>
        <v>7.6346222484344262</v>
      </c>
      <c r="N508" s="1759"/>
    </row>
    <row r="509" spans="1:14">
      <c r="A509" s="34" t="s">
        <v>20</v>
      </c>
      <c r="B509" s="1431">
        <f>CVWD!N22</f>
        <v>1</v>
      </c>
      <c r="C509" s="1422"/>
      <c r="D509" s="1444">
        <f t="shared" si="105"/>
        <v>209848.04399999999</v>
      </c>
      <c r="E509" s="1422"/>
      <c r="F509" s="1760">
        <f>0.644*B509</f>
        <v>0.64400000000000002</v>
      </c>
      <c r="G509" s="1757"/>
      <c r="H509" s="941">
        <f>F509*5</f>
        <v>3.22</v>
      </c>
      <c r="I509" s="131">
        <v>0</v>
      </c>
      <c r="J509" s="131">
        <f>175*B509</f>
        <v>175</v>
      </c>
      <c r="K509" s="131">
        <f>625*B509</f>
        <v>625</v>
      </c>
      <c r="L509" s="132">
        <f t="shared" si="106"/>
        <v>800</v>
      </c>
      <c r="M509" s="1758">
        <f>L509/(F509*427)</f>
        <v>2.9092178567792049</v>
      </c>
      <c r="N509" s="1759"/>
    </row>
    <row r="510" spans="1:14">
      <c r="A510" s="34" t="s">
        <v>13</v>
      </c>
      <c r="B510" s="1431">
        <f>CVWD!N23</f>
        <v>0</v>
      </c>
      <c r="C510" s="1422"/>
      <c r="D510" s="1444">
        <f t="shared" si="105"/>
        <v>0</v>
      </c>
      <c r="E510" s="1422"/>
      <c r="F510" s="1760">
        <f>0.0276*B510</f>
        <v>0</v>
      </c>
      <c r="G510" s="1757"/>
      <c r="H510" s="941">
        <f>F510*15</f>
        <v>0</v>
      </c>
      <c r="I510" s="131">
        <v>0</v>
      </c>
      <c r="J510" s="131">
        <f>290*B510</f>
        <v>0</v>
      </c>
      <c r="K510" s="131">
        <f>130*B510</f>
        <v>0</v>
      </c>
      <c r="L510" s="132">
        <f t="shared" si="106"/>
        <v>0</v>
      </c>
      <c r="M510" s="1758">
        <v>0</v>
      </c>
      <c r="N510" s="1759"/>
    </row>
    <row r="511" spans="1:14" s="91" customFormat="1" ht="16">
      <c r="A511" s="35" t="s">
        <v>47</v>
      </c>
      <c r="B511" s="1431">
        <f>CVWD!N24</f>
        <v>0</v>
      </c>
      <c r="C511" s="1422"/>
      <c r="D511" s="1444">
        <f t="shared" si="105"/>
        <v>0</v>
      </c>
      <c r="E511" s="1422"/>
      <c r="F511" s="1760">
        <f>0.1534*B511</f>
        <v>0</v>
      </c>
      <c r="G511" s="1757"/>
      <c r="H511" s="941">
        <f>F511*5</f>
        <v>0</v>
      </c>
      <c r="I511" s="131">
        <v>0</v>
      </c>
      <c r="J511" s="131">
        <f>0*B511</f>
        <v>0</v>
      </c>
      <c r="K511" s="131">
        <f>150*B511</f>
        <v>0</v>
      </c>
      <c r="L511" s="132">
        <f t="shared" si="106"/>
        <v>0</v>
      </c>
      <c r="M511" s="1758">
        <v>0</v>
      </c>
      <c r="N511" s="1759"/>
    </row>
    <row r="512" spans="1:14">
      <c r="A512" s="76" t="s">
        <v>30</v>
      </c>
      <c r="B512" s="1431">
        <f>CVWD!N25</f>
        <v>3</v>
      </c>
      <c r="C512" s="1422"/>
      <c r="D512" s="1444">
        <f t="shared" si="105"/>
        <v>317704.72500000003</v>
      </c>
      <c r="E512" s="1422"/>
      <c r="F512" s="1760">
        <f>0.325*B512</f>
        <v>0.97500000000000009</v>
      </c>
      <c r="G512" s="1757"/>
      <c r="H512" s="941">
        <f>F512*10</f>
        <v>9.75</v>
      </c>
      <c r="I512" s="131">
        <v>0</v>
      </c>
      <c r="J512" s="131">
        <f>0*B512</f>
        <v>0</v>
      </c>
      <c r="K512" s="131">
        <f>630*B512</f>
        <v>1890</v>
      </c>
      <c r="L512" s="132">
        <f t="shared" si="106"/>
        <v>1890</v>
      </c>
      <c r="M512" s="1758">
        <f>L512/(F512*427)</f>
        <v>4.539722572509457</v>
      </c>
      <c r="N512" s="1759"/>
    </row>
    <row r="513" spans="1:14">
      <c r="A513" s="33" t="s">
        <v>53</v>
      </c>
      <c r="B513" s="1431">
        <f>CVWD!N26</f>
        <v>0</v>
      </c>
      <c r="C513" s="1422"/>
      <c r="D513" s="1444">
        <f t="shared" si="105"/>
        <v>0</v>
      </c>
      <c r="E513" s="1422"/>
      <c r="F513" s="1760">
        <f>0.00014*B513</f>
        <v>0</v>
      </c>
      <c r="G513" s="1757"/>
      <c r="H513" s="941">
        <f>F513*10</f>
        <v>0</v>
      </c>
      <c r="I513" s="131">
        <v>0</v>
      </c>
      <c r="J513" s="131">
        <f>0.3*B513</f>
        <v>0</v>
      </c>
      <c r="K513" s="131">
        <f>0.3*B513</f>
        <v>0</v>
      </c>
      <c r="L513" s="132">
        <f t="shared" si="106"/>
        <v>0</v>
      </c>
      <c r="M513" s="1758">
        <v>0</v>
      </c>
      <c r="N513" s="1759"/>
    </row>
    <row r="514" spans="1:14" s="91" customFormat="1" ht="17" thickBot="1">
      <c r="A514" s="47" t="s">
        <v>56</v>
      </c>
      <c r="B514" s="1431">
        <f>CVWD!N29</f>
        <v>0</v>
      </c>
      <c r="C514" s="1422"/>
      <c r="D514" s="1444">
        <f>F514*325851</f>
        <v>0</v>
      </c>
      <c r="E514" s="1422"/>
      <c r="F514" s="1760">
        <f>0.004*B514</f>
        <v>0</v>
      </c>
      <c r="G514" s="1757"/>
      <c r="H514" s="941">
        <f>F514*5</f>
        <v>0</v>
      </c>
      <c r="I514" s="131">
        <v>0</v>
      </c>
      <c r="J514" s="131">
        <f>0*B514</f>
        <v>0</v>
      </c>
      <c r="K514" s="131">
        <f>4*B514</f>
        <v>0</v>
      </c>
      <c r="L514" s="132">
        <f t="shared" si="106"/>
        <v>0</v>
      </c>
      <c r="M514" s="1758">
        <v>0</v>
      </c>
      <c r="N514" s="1759"/>
    </row>
    <row r="515" spans="1:14" ht="14" thickBot="1">
      <c r="A515" s="53" t="s">
        <v>60</v>
      </c>
      <c r="B515" s="1438">
        <f>SUM(B505:C514)</f>
        <v>210</v>
      </c>
      <c r="C515" s="1609"/>
      <c r="D515" s="1440">
        <f>SUM(D505:E514)</f>
        <v>8763827.8151999991</v>
      </c>
      <c r="E515" s="1609"/>
      <c r="F515" s="1512">
        <f>SUM(F505:G514)</f>
        <v>26.895199999999999</v>
      </c>
      <c r="G515" s="1575"/>
      <c r="H515" s="704">
        <f>SUM(H505:H514)</f>
        <v>518.49400000000003</v>
      </c>
      <c r="I515" s="136">
        <f>SUM(I505:I514)</f>
        <v>0</v>
      </c>
      <c r="J515" s="136">
        <f>SUM(J505:J514)</f>
        <v>175</v>
      </c>
      <c r="K515" s="136">
        <f>SUM(K505:K514)</f>
        <v>84915</v>
      </c>
      <c r="L515" s="136">
        <f>SUM(L505:L514)</f>
        <v>85090</v>
      </c>
      <c r="M515" s="1657"/>
      <c r="N515" s="1622"/>
    </row>
    <row r="516" spans="1:14" s="1168" customFormat="1" ht="17" thickBot="1">
      <c r="A516" s="108" t="s">
        <v>54</v>
      </c>
      <c r="B516" s="1457"/>
      <c r="C516" s="1913"/>
      <c r="D516" s="1141"/>
      <c r="E516" s="1142"/>
      <c r="F516" s="1158"/>
      <c r="G516" s="1145"/>
      <c r="H516" s="1145"/>
      <c r="I516" s="161"/>
      <c r="J516" s="161"/>
      <c r="K516" s="161"/>
      <c r="L516" s="162"/>
      <c r="M516" s="1154"/>
      <c r="N516" s="1155"/>
    </row>
    <row r="517" spans="1:14">
      <c r="A517" s="36" t="s">
        <v>29</v>
      </c>
      <c r="B517" s="1767">
        <f>CVWD!N30</f>
        <v>0</v>
      </c>
      <c r="C517" s="1915"/>
      <c r="D517" s="1444">
        <f>F517*325851</f>
        <v>0</v>
      </c>
      <c r="E517" s="1422"/>
      <c r="F517" s="1760">
        <f>0.0425*B517</f>
        <v>0</v>
      </c>
      <c r="G517" s="1757"/>
      <c r="H517" s="941">
        <f>F517*20</f>
        <v>0</v>
      </c>
      <c r="I517" s="131">
        <v>0</v>
      </c>
      <c r="J517" s="131">
        <f>35.66*B517</f>
        <v>0</v>
      </c>
      <c r="K517" s="131">
        <f>630*B517</f>
        <v>0</v>
      </c>
      <c r="L517" s="132">
        <f t="shared" si="106"/>
        <v>0</v>
      </c>
      <c r="M517" s="1758">
        <v>0</v>
      </c>
      <c r="N517" s="1759"/>
    </row>
    <row r="518" spans="1:14">
      <c r="A518" s="34" t="s">
        <v>51</v>
      </c>
      <c r="B518" s="1444">
        <f>CVWD!N31</f>
        <v>0</v>
      </c>
      <c r="C518" s="1422"/>
      <c r="D518" s="1444">
        <f>F518*325851</f>
        <v>0</v>
      </c>
      <c r="E518" s="1422"/>
      <c r="F518" s="1760">
        <f>0.1227*B518</f>
        <v>0</v>
      </c>
      <c r="G518" s="1757"/>
      <c r="H518" s="941">
        <f>F518*20</f>
        <v>0</v>
      </c>
      <c r="I518" s="131">
        <v>0</v>
      </c>
      <c r="J518" s="131">
        <f>0*B518</f>
        <v>0</v>
      </c>
      <c r="K518" s="131">
        <f>1225*B518</f>
        <v>0</v>
      </c>
      <c r="L518" s="132">
        <f t="shared" si="106"/>
        <v>0</v>
      </c>
      <c r="M518" s="1758">
        <v>0</v>
      </c>
      <c r="N518" s="1759"/>
    </row>
    <row r="519" spans="1:14">
      <c r="A519" s="34" t="s">
        <v>15</v>
      </c>
      <c r="B519" s="1444">
        <f>CVWD!N32</f>
        <v>0</v>
      </c>
      <c r="C519" s="1422"/>
      <c r="D519" s="1444">
        <f>F519*325851</f>
        <v>0</v>
      </c>
      <c r="E519" s="1422"/>
      <c r="F519" s="1760">
        <f>0.1534*B519</f>
        <v>0</v>
      </c>
      <c r="G519" s="1757"/>
      <c r="H519" s="941">
        <f>F519*5</f>
        <v>0</v>
      </c>
      <c r="I519" s="131">
        <v>0</v>
      </c>
      <c r="J519" s="131">
        <f>0*B519</f>
        <v>0</v>
      </c>
      <c r="K519" s="131">
        <f>380*B519</f>
        <v>0</v>
      </c>
      <c r="L519" s="132">
        <f t="shared" si="106"/>
        <v>0</v>
      </c>
      <c r="M519" s="1758">
        <v>0</v>
      </c>
      <c r="N519" s="1759"/>
    </row>
    <row r="520" spans="1:14">
      <c r="A520" s="34" t="s">
        <v>30</v>
      </c>
      <c r="B520" s="1444">
        <f>CVWD!N33</f>
        <v>42</v>
      </c>
      <c r="C520" s="1422"/>
      <c r="D520" s="1444">
        <f>F520*325851</f>
        <v>6377555.7720000008</v>
      </c>
      <c r="E520" s="1422"/>
      <c r="F520" s="1760">
        <f>0.466*B520</f>
        <v>19.572000000000003</v>
      </c>
      <c r="G520" s="1757"/>
      <c r="H520" s="941">
        <f>F520*10</f>
        <v>195.72000000000003</v>
      </c>
      <c r="I520" s="131">
        <v>0</v>
      </c>
      <c r="J520" s="131">
        <f>0*B520</f>
        <v>0</v>
      </c>
      <c r="K520" s="131">
        <f>1004*B520</f>
        <v>42168</v>
      </c>
      <c r="L520" s="132">
        <f t="shared" si="106"/>
        <v>42168</v>
      </c>
      <c r="M520" s="1758">
        <f>L520/(F520*427)</f>
        <v>5.0456825240474013</v>
      </c>
      <c r="N520" s="1759"/>
    </row>
    <row r="521" spans="1:14" ht="14" thickBot="1">
      <c r="A521" s="34" t="s">
        <v>55</v>
      </c>
      <c r="B521" s="1444">
        <f>CVWD!N34</f>
        <v>36</v>
      </c>
      <c r="C521" s="1422"/>
      <c r="D521" s="1444">
        <f>F521*325851</f>
        <v>9654313.4279999994</v>
      </c>
      <c r="E521" s="1422"/>
      <c r="F521" s="1771">
        <f>0.823*B521</f>
        <v>29.628</v>
      </c>
      <c r="G521" s="1719"/>
      <c r="H521" s="941">
        <f>F521*10</f>
        <v>296.27999999999997</v>
      </c>
      <c r="I521" s="131">
        <v>0</v>
      </c>
      <c r="J521" s="131">
        <f>0*B521</f>
        <v>0</v>
      </c>
      <c r="K521" s="131">
        <f>3124*B521</f>
        <v>112464</v>
      </c>
      <c r="L521" s="132">
        <f t="shared" si="106"/>
        <v>112464</v>
      </c>
      <c r="M521" s="1758">
        <f>L521/(F521*427)</f>
        <v>8.8896224186943851</v>
      </c>
      <c r="N521" s="1759"/>
    </row>
    <row r="522" spans="1:14" ht="14" thickBot="1">
      <c r="A522" s="53" t="s">
        <v>60</v>
      </c>
      <c r="B522" s="1440">
        <f>SUM(B517:C521)</f>
        <v>78</v>
      </c>
      <c r="C522" s="1609"/>
      <c r="D522" s="1440">
        <f>SUM(D517:E521)</f>
        <v>16031869.199999999</v>
      </c>
      <c r="E522" s="1609"/>
      <c r="F522" s="1512">
        <f>SUM(F517:G521)</f>
        <v>49.2</v>
      </c>
      <c r="G522" s="1575"/>
      <c r="H522" s="167">
        <f>SUM(H517:H521)</f>
        <v>492</v>
      </c>
      <c r="I522" s="136">
        <f>SUM(I517:I521)</f>
        <v>0</v>
      </c>
      <c r="J522" s="136">
        <f>SUM(J517:J521)</f>
        <v>0</v>
      </c>
      <c r="K522" s="136">
        <f>SUM(K517:K521)</f>
        <v>154632</v>
      </c>
      <c r="L522" s="136">
        <f>SUM(L517:L521)</f>
        <v>154632</v>
      </c>
      <c r="M522" s="1657"/>
      <c r="N522" s="1622"/>
    </row>
    <row r="523" spans="1:14" s="1161" customFormat="1" ht="17" thickBot="1">
      <c r="A523" s="1182" t="s">
        <v>17</v>
      </c>
      <c r="B523" s="1416">
        <f>SUM(B500+B503+B515+B522)</f>
        <v>2544</v>
      </c>
      <c r="C523" s="1415"/>
      <c r="D523" s="1416">
        <f>SUM(D500+D503+D515+D522)</f>
        <v>47178545.579640001</v>
      </c>
      <c r="E523" s="1415"/>
      <c r="F523" s="1487">
        <f>SUM(F500+F503+F515+F522)</f>
        <v>144.78564</v>
      </c>
      <c r="G523" s="1488"/>
      <c r="H523" s="1164">
        <f>SUM(H500+H503+H515+H522)</f>
        <v>2177.7264</v>
      </c>
      <c r="I523" s="1169">
        <f>SUM(I500+I503+I515+I522)</f>
        <v>75833.56</v>
      </c>
      <c r="J523" s="1169">
        <f>SUM(J500+J503+J515+J522)</f>
        <v>65771.539999999994</v>
      </c>
      <c r="K523" s="1169">
        <f>SUM(K500+K503+K515+K522)</f>
        <v>375812.1</v>
      </c>
      <c r="L523" s="1169">
        <f>SUM(L500+L503+L515+L522)</f>
        <v>517417.2</v>
      </c>
      <c r="M523" s="1631"/>
      <c r="N523" s="1640"/>
    </row>
    <row r="524" spans="1:14" ht="16">
      <c r="A524" s="60"/>
      <c r="B524" s="61"/>
      <c r="C524" s="61"/>
      <c r="D524" s="61"/>
      <c r="E524" s="61"/>
      <c r="F524" s="441"/>
      <c r="G524" s="441"/>
      <c r="H524" s="441"/>
      <c r="I524" s="62"/>
      <c r="J524" s="62"/>
      <c r="K524" s="62"/>
      <c r="L524" s="62"/>
      <c r="M524" s="64"/>
      <c r="N524" s="65"/>
    </row>
    <row r="525" spans="1:14" ht="16">
      <c r="A525" s="9" t="s">
        <v>18</v>
      </c>
      <c r="B525" s="1419" t="s">
        <v>59</v>
      </c>
      <c r="C525" s="1419"/>
      <c r="D525" s="1419"/>
      <c r="E525" s="1419"/>
      <c r="F525" s="441"/>
      <c r="G525" s="441"/>
      <c r="H525" s="441"/>
      <c r="I525" s="62"/>
      <c r="J525" s="62"/>
      <c r="K525" s="62"/>
      <c r="L525" s="62"/>
      <c r="M525" s="64"/>
      <c r="N525" s="65"/>
    </row>
    <row r="526" spans="1:14" ht="16">
      <c r="A526" s="57"/>
      <c r="B526" s="1420" t="s">
        <v>19</v>
      </c>
      <c r="C526" s="1420"/>
      <c r="D526" s="1420"/>
      <c r="E526" s="1420"/>
      <c r="F526" s="441"/>
      <c r="G526" s="441"/>
      <c r="H526" s="441"/>
      <c r="I526" s="62"/>
      <c r="J526" s="62"/>
      <c r="K526" s="62"/>
      <c r="L526" s="62"/>
      <c r="M526" s="64"/>
      <c r="N526" s="65"/>
    </row>
    <row r="527" spans="1:14" s="363" customFormat="1" ht="17" thickBot="1">
      <c r="A527" s="57"/>
      <c r="B527" s="943"/>
      <c r="C527" s="943"/>
      <c r="D527" s="943"/>
      <c r="E527" s="943"/>
      <c r="F527" s="441"/>
      <c r="G527" s="441"/>
      <c r="H527" s="441"/>
      <c r="I527" s="62"/>
      <c r="J527" s="62"/>
      <c r="K527" s="62"/>
      <c r="L527" s="62"/>
      <c r="M527" s="64"/>
      <c r="N527" s="65"/>
    </row>
    <row r="528" spans="1:14" ht="16">
      <c r="A528" s="98"/>
      <c r="B528" s="99"/>
      <c r="C528" s="99"/>
      <c r="D528" s="99"/>
      <c r="E528" s="99"/>
      <c r="F528" s="421"/>
      <c r="G528" s="421"/>
      <c r="H528" s="421"/>
      <c r="I528" s="1468" t="s">
        <v>0</v>
      </c>
      <c r="J528" s="1468"/>
      <c r="K528" s="1468"/>
      <c r="L528" s="1468"/>
      <c r="M528" s="99"/>
      <c r="N528" s="101"/>
    </row>
    <row r="529" spans="1:14" ht="16">
      <c r="A529" s="97"/>
      <c r="B529" s="1469" t="s">
        <v>1</v>
      </c>
      <c r="C529" s="1469"/>
      <c r="D529" s="1469" t="s">
        <v>2</v>
      </c>
      <c r="E529" s="1469"/>
      <c r="F529" s="1470" t="s">
        <v>3</v>
      </c>
      <c r="G529" s="1470"/>
      <c r="H529" s="931" t="s">
        <v>3</v>
      </c>
      <c r="I529" s="127" t="s">
        <v>197</v>
      </c>
      <c r="J529" s="102"/>
      <c r="K529" s="102"/>
      <c r="L529" s="128"/>
      <c r="M529" s="1469" t="s">
        <v>4</v>
      </c>
      <c r="N529" s="1526"/>
    </row>
    <row r="530" spans="1:14" ht="19" thickBot="1">
      <c r="A530" s="103" t="s">
        <v>5</v>
      </c>
      <c r="B530" s="1473" t="s">
        <v>6</v>
      </c>
      <c r="C530" s="1473"/>
      <c r="D530" s="1473" t="s">
        <v>7</v>
      </c>
      <c r="E530" s="1473"/>
      <c r="F530" s="1474" t="s">
        <v>7</v>
      </c>
      <c r="G530" s="1474"/>
      <c r="H530" s="933" t="s">
        <v>58</v>
      </c>
      <c r="I530" s="937" t="s">
        <v>198</v>
      </c>
      <c r="J530" s="932" t="s">
        <v>8</v>
      </c>
      <c r="K530" s="932" t="s">
        <v>9</v>
      </c>
      <c r="L530" s="401" t="s">
        <v>10</v>
      </c>
      <c r="M530" s="1473" t="s">
        <v>145</v>
      </c>
      <c r="N530" s="1475"/>
    </row>
    <row r="531" spans="1:14" s="91" customFormat="1" ht="24" thickBot="1">
      <c r="A531" s="88" t="s">
        <v>133</v>
      </c>
      <c r="B531" s="1920"/>
      <c r="C531" s="1923"/>
      <c r="D531" s="1924"/>
      <c r="E531" s="1925"/>
      <c r="F531" s="2124"/>
      <c r="G531" s="2125"/>
      <c r="H531" s="964"/>
      <c r="I531" s="58"/>
      <c r="J531" s="58"/>
      <c r="K531" s="58"/>
      <c r="L531" s="59"/>
      <c r="M531" s="1920"/>
      <c r="N531" s="1921"/>
    </row>
    <row r="532" spans="1:14" s="1168" customFormat="1" ht="17" thickBot="1">
      <c r="A532" s="108" t="s">
        <v>61</v>
      </c>
      <c r="B532" s="1567"/>
      <c r="C532" s="1586"/>
      <c r="D532" s="1567"/>
      <c r="E532" s="1586"/>
      <c r="F532" s="1587"/>
      <c r="G532" s="1588"/>
      <c r="H532" s="1145"/>
      <c r="I532" s="109"/>
      <c r="J532" s="109"/>
      <c r="K532" s="109"/>
      <c r="L532" s="1141"/>
      <c r="M532" s="1617"/>
      <c r="N532" s="1486"/>
    </row>
    <row r="533" spans="1:14">
      <c r="A533" s="2" t="s">
        <v>28</v>
      </c>
      <c r="B533" s="1731">
        <f>[1]CVWD!$N$4</f>
        <v>56</v>
      </c>
      <c r="C533" s="1732"/>
      <c r="D533" s="1855">
        <f>F533*325851</f>
        <v>633193.66320000007</v>
      </c>
      <c r="E533" s="1732"/>
      <c r="F533" s="2122">
        <f>0.0347*B533</f>
        <v>1.9432</v>
      </c>
      <c r="G533" s="2123"/>
      <c r="H533" s="979">
        <f>F533*20</f>
        <v>38.864000000000004</v>
      </c>
      <c r="I533" s="147">
        <f>B533*0</f>
        <v>0</v>
      </c>
      <c r="J533" s="147">
        <f>B533*0</f>
        <v>0</v>
      </c>
      <c r="K533" s="147">
        <f>B533*60</f>
        <v>3360</v>
      </c>
      <c r="L533" s="670">
        <f>K533+J533+I533</f>
        <v>3360</v>
      </c>
      <c r="M533" s="1792">
        <f t="shared" ref="M533:M538" si="107">L533/(F533*427)</f>
        <v>4.0494300427214869</v>
      </c>
      <c r="N533" s="1793"/>
    </row>
    <row r="534" spans="1:14">
      <c r="A534" s="2" t="s">
        <v>29</v>
      </c>
      <c r="B534" s="1421">
        <f>[1]CVWD!$N$5</f>
        <v>4</v>
      </c>
      <c r="C534" s="1422"/>
      <c r="D534" s="1431">
        <f t="shared" ref="D534:D551" si="108">F534*325851</f>
        <v>55394.670000000006</v>
      </c>
      <c r="E534" s="1422"/>
      <c r="F534" s="1756">
        <f>0.0425*B534</f>
        <v>0.17</v>
      </c>
      <c r="G534" s="1757"/>
      <c r="H534" s="941">
        <f>F534*20</f>
        <v>3.4000000000000004</v>
      </c>
      <c r="I534" s="131">
        <v>0</v>
      </c>
      <c r="J534" s="131">
        <f>B534*0</f>
        <v>0</v>
      </c>
      <c r="K534" s="131">
        <f>B534*265</f>
        <v>1060</v>
      </c>
      <c r="L534" s="132">
        <f>K534+J534+I534</f>
        <v>1060</v>
      </c>
      <c r="M534" s="1758">
        <f t="shared" si="107"/>
        <v>14.602562336409973</v>
      </c>
      <c r="N534" s="1759"/>
    </row>
    <row r="535" spans="1:14">
      <c r="A535" s="2" t="s">
        <v>33</v>
      </c>
      <c r="B535" s="1421">
        <f>[1]CVWD!$N$7</f>
        <v>426</v>
      </c>
      <c r="C535" s="1422"/>
      <c r="D535" s="1431">
        <f>F535*325851</f>
        <v>3831225.7176000001</v>
      </c>
      <c r="E535" s="1422"/>
      <c r="F535" s="1756">
        <f>0.0276*B535</f>
        <v>11.7576</v>
      </c>
      <c r="G535" s="1757"/>
      <c r="H535" s="941">
        <f>F535*15</f>
        <v>176.364</v>
      </c>
      <c r="I535" s="131">
        <v>0</v>
      </c>
      <c r="J535" s="131">
        <f>B535*0</f>
        <v>0</v>
      </c>
      <c r="K535" s="131">
        <f>B535*110</f>
        <v>46860</v>
      </c>
      <c r="L535" s="132">
        <f>I535+J535+K535</f>
        <v>46860</v>
      </c>
      <c r="M535" s="1758">
        <f t="shared" si="107"/>
        <v>9.3337406238332825</v>
      </c>
      <c r="N535" s="1759"/>
    </row>
    <row r="536" spans="1:14">
      <c r="A536" s="5" t="s">
        <v>24</v>
      </c>
      <c r="B536" s="1421">
        <f>[1]CVWD!$N$8</f>
        <v>158</v>
      </c>
      <c r="C536" s="1422"/>
      <c r="D536" s="1431">
        <f>F536*325851</f>
        <v>205937.83199999999</v>
      </c>
      <c r="E536" s="1422"/>
      <c r="F536" s="1756">
        <f>0.004*B536</f>
        <v>0.63200000000000001</v>
      </c>
      <c r="G536" s="1757"/>
      <c r="H536" s="941">
        <f>F536*5</f>
        <v>3.16</v>
      </c>
      <c r="I536" s="131">
        <f>B536*0</f>
        <v>0</v>
      </c>
      <c r="J536" s="131">
        <f>B536*0</f>
        <v>0</v>
      </c>
      <c r="K536" s="131">
        <f>B536*4</f>
        <v>632</v>
      </c>
      <c r="L536" s="132">
        <f>K536+J536+I536</f>
        <v>632</v>
      </c>
      <c r="M536" s="1758">
        <f t="shared" si="107"/>
        <v>2.3419203747072603</v>
      </c>
      <c r="N536" s="1759"/>
    </row>
    <row r="537" spans="1:14">
      <c r="A537" s="69" t="s">
        <v>72</v>
      </c>
      <c r="B537" s="1421">
        <f>[1]CVWD!$N$10</f>
        <v>15</v>
      </c>
      <c r="C537" s="1422"/>
      <c r="D537" s="1444">
        <f>F537*325851</f>
        <v>3177047.25</v>
      </c>
      <c r="E537" s="1422"/>
      <c r="F537" s="1756">
        <f>0.65*B537</f>
        <v>9.75</v>
      </c>
      <c r="G537" s="1757"/>
      <c r="H537" s="941">
        <f>F537*10</f>
        <v>97.5</v>
      </c>
      <c r="I537" s="131">
        <f>B537*0</f>
        <v>0</v>
      </c>
      <c r="J537" s="131">
        <f>B537*160</f>
        <v>2400</v>
      </c>
      <c r="K537" s="131">
        <f>B537*80</f>
        <v>1200</v>
      </c>
      <c r="L537" s="132">
        <f>SUM(I537:K537)</f>
        <v>3600</v>
      </c>
      <c r="M537" s="1758">
        <f t="shared" si="107"/>
        <v>0.86470906143037296</v>
      </c>
      <c r="N537" s="1759"/>
    </row>
    <row r="538" spans="1:14" s="91" customFormat="1" ht="17" thickBot="1">
      <c r="A538" s="69" t="s">
        <v>73</v>
      </c>
      <c r="B538" s="1421">
        <f>[1]CVWD!$N$11</f>
        <v>119</v>
      </c>
      <c r="C538" s="1422"/>
      <c r="D538" s="1431">
        <f>F538*325851</f>
        <v>25204574.850000001</v>
      </c>
      <c r="E538" s="1422"/>
      <c r="F538" s="1760">
        <f>0.65*B538</f>
        <v>77.350000000000009</v>
      </c>
      <c r="G538" s="1757"/>
      <c r="H538" s="941">
        <f>F538*10</f>
        <v>773.50000000000011</v>
      </c>
      <c r="I538" s="131">
        <f>B538*0</f>
        <v>0</v>
      </c>
      <c r="J538" s="131">
        <f>B538*0</f>
        <v>0</v>
      </c>
      <c r="K538" s="131">
        <f>B538*240</f>
        <v>28560</v>
      </c>
      <c r="L538" s="132">
        <f>SUM(I538:K538)</f>
        <v>28560</v>
      </c>
      <c r="M538" s="1758">
        <f t="shared" si="107"/>
        <v>0.86470906143037274</v>
      </c>
      <c r="N538" s="1759"/>
    </row>
    <row r="539" spans="1:14" ht="14" thickBot="1">
      <c r="A539" s="256" t="s">
        <v>60</v>
      </c>
      <c r="B539" s="1438">
        <f>SUM(B533:C538)</f>
        <v>778</v>
      </c>
      <c r="C539" s="1609"/>
      <c r="D539" s="1441">
        <f>SUM(D533:E538)</f>
        <v>33107373.982800003</v>
      </c>
      <c r="E539" s="1609"/>
      <c r="F539" s="1512">
        <f>SUM(F533:G538)</f>
        <v>101.6028</v>
      </c>
      <c r="G539" s="1575"/>
      <c r="H539" s="704">
        <f>SUM(H533:H538)</f>
        <v>1092.788</v>
      </c>
      <c r="I539" s="143">
        <f>SUM(I533:I538)</f>
        <v>0</v>
      </c>
      <c r="J539" s="143">
        <f>SUM(J533:J538)</f>
        <v>2400</v>
      </c>
      <c r="K539" s="143">
        <f>SUM(K533:K538)</f>
        <v>81672</v>
      </c>
      <c r="L539" s="152">
        <f>SUM(L533:L538)</f>
        <v>84072</v>
      </c>
      <c r="M539" s="1657"/>
      <c r="N539" s="1622"/>
    </row>
    <row r="540" spans="1:14" s="1168" customFormat="1" ht="17" thickBot="1">
      <c r="A540" s="110" t="s">
        <v>147</v>
      </c>
      <c r="B540" s="1456"/>
      <c r="C540" s="1586"/>
      <c r="D540" s="1567"/>
      <c r="E540" s="1586"/>
      <c r="F540" s="1484"/>
      <c r="G540" s="1588"/>
      <c r="H540" s="1145"/>
      <c r="I540" s="161"/>
      <c r="J540" s="161"/>
      <c r="K540" s="161"/>
      <c r="L540" s="162"/>
      <c r="M540" s="1617"/>
      <c r="N540" s="1486"/>
    </row>
    <row r="541" spans="1:14" s="91" customFormat="1" ht="17" thickBot="1">
      <c r="A541" s="2" t="s">
        <v>31</v>
      </c>
      <c r="B541" s="1421">
        <f>[1]CVWD!$N$6</f>
        <v>4053</v>
      </c>
      <c r="C541" s="1422"/>
      <c r="D541" s="1431">
        <f t="shared" si="108"/>
        <v>45827391.374100007</v>
      </c>
      <c r="E541" s="1422"/>
      <c r="F541" s="1760">
        <f>0.0347*B541</f>
        <v>140.63910000000001</v>
      </c>
      <c r="G541" s="1757"/>
      <c r="H541" s="941">
        <f>F541*20</f>
        <v>2812.7820000000002</v>
      </c>
      <c r="I541" s="131">
        <f>B541*73.34</f>
        <v>297247.02</v>
      </c>
      <c r="J541" s="131">
        <f>B541*35.66</f>
        <v>144529.97999999998</v>
      </c>
      <c r="K541" s="131">
        <f>B541*60</f>
        <v>243180</v>
      </c>
      <c r="L541" s="132">
        <f>I541+J541+K541</f>
        <v>684957</v>
      </c>
      <c r="M541" s="1758">
        <f>L541/(F541*427)</f>
        <v>11.405894620332187</v>
      </c>
      <c r="N541" s="1759"/>
    </row>
    <row r="542" spans="1:14" ht="14" thickBot="1">
      <c r="A542" s="256" t="s">
        <v>60</v>
      </c>
      <c r="B542" s="1438">
        <f>SUM(B541)</f>
        <v>4053</v>
      </c>
      <c r="C542" s="1609"/>
      <c r="D542" s="1441">
        <f>SUM(D541)</f>
        <v>45827391.374100007</v>
      </c>
      <c r="E542" s="1609"/>
      <c r="F542" s="1512">
        <f>SUM(F541)</f>
        <v>140.63910000000001</v>
      </c>
      <c r="G542" s="1575"/>
      <c r="H542" s="704">
        <f>SUM(H541)</f>
        <v>2812.7820000000002</v>
      </c>
      <c r="I542" s="136">
        <f>SUM(I541)</f>
        <v>297247.02</v>
      </c>
      <c r="J542" s="136">
        <f>SUM(J541)</f>
        <v>144529.97999999998</v>
      </c>
      <c r="K542" s="136">
        <f>SUM(K541)</f>
        <v>243180</v>
      </c>
      <c r="L542" s="136">
        <f>SUM(L541)</f>
        <v>684957</v>
      </c>
      <c r="M542" s="1657"/>
      <c r="N542" s="1622"/>
    </row>
    <row r="543" spans="1:14" s="1168" customFormat="1" ht="17" thickBot="1">
      <c r="A543" s="110" t="s">
        <v>50</v>
      </c>
      <c r="B543" s="1456"/>
      <c r="C543" s="1586"/>
      <c r="D543" s="1567"/>
      <c r="E543" s="1586"/>
      <c r="F543" s="1484"/>
      <c r="G543" s="1588"/>
      <c r="H543" s="1145"/>
      <c r="I543" s="161"/>
      <c r="J543" s="161"/>
      <c r="K543" s="161"/>
      <c r="L543" s="162"/>
      <c r="M543" s="1617"/>
      <c r="N543" s="1486"/>
    </row>
    <row r="544" spans="1:14">
      <c r="A544" s="2" t="s">
        <v>26</v>
      </c>
      <c r="B544" s="1421">
        <f>[1]CVWD!$N$13</f>
        <v>0</v>
      </c>
      <c r="C544" s="1422"/>
      <c r="D544" s="1431">
        <f t="shared" si="108"/>
        <v>0</v>
      </c>
      <c r="E544" s="1422"/>
      <c r="F544" s="1760">
        <f>0.0278*B544</f>
        <v>0</v>
      </c>
      <c r="G544" s="1757"/>
      <c r="H544" s="941">
        <f>F544*20</f>
        <v>0</v>
      </c>
      <c r="I544" s="131">
        <v>0</v>
      </c>
      <c r="J544" s="131">
        <f>15*B544</f>
        <v>0</v>
      </c>
      <c r="K544" s="131">
        <f>135*B544</f>
        <v>0</v>
      </c>
      <c r="L544" s="132">
        <f>SUM(I544:K544)</f>
        <v>0</v>
      </c>
      <c r="M544" s="2178">
        <v>0</v>
      </c>
      <c r="N544" s="2179"/>
    </row>
    <row r="545" spans="1:14">
      <c r="A545" s="2" t="s">
        <v>25</v>
      </c>
      <c r="B545" s="1421">
        <f>[1]CVWD!$N$14</f>
        <v>0</v>
      </c>
      <c r="C545" s="1422"/>
      <c r="D545" s="1431">
        <f t="shared" si="108"/>
        <v>0</v>
      </c>
      <c r="E545" s="1422"/>
      <c r="F545" s="1760">
        <f>0.0347*B545</f>
        <v>0</v>
      </c>
      <c r="G545" s="1757"/>
      <c r="H545" s="941">
        <f>F545*20</f>
        <v>0</v>
      </c>
      <c r="I545" s="131">
        <v>0</v>
      </c>
      <c r="J545" s="131">
        <f>15*B545</f>
        <v>0</v>
      </c>
      <c r="K545" s="131">
        <f>135*B545</f>
        <v>0</v>
      </c>
      <c r="L545" s="132">
        <f t="shared" ref="L545:L551" si="109">SUM(I545:K545)</f>
        <v>0</v>
      </c>
      <c r="M545" s="2178">
        <v>0</v>
      </c>
      <c r="N545" s="2179"/>
    </row>
    <row r="546" spans="1:14">
      <c r="A546" s="2" t="s">
        <v>32</v>
      </c>
      <c r="B546" s="1421">
        <f>[1]CVWD!$N$15</f>
        <v>0</v>
      </c>
      <c r="C546" s="1422"/>
      <c r="D546" s="1431">
        <f t="shared" si="108"/>
        <v>0</v>
      </c>
      <c r="E546" s="1422"/>
      <c r="F546" s="1760">
        <f>0.0425*B546</f>
        <v>0</v>
      </c>
      <c r="G546" s="1757"/>
      <c r="H546" s="941">
        <f>F546*20</f>
        <v>0</v>
      </c>
      <c r="I546" s="131">
        <v>0</v>
      </c>
      <c r="J546" s="131">
        <f>45*B546</f>
        <v>0</v>
      </c>
      <c r="K546" s="131">
        <f>165*B546</f>
        <v>0</v>
      </c>
      <c r="L546" s="132">
        <f t="shared" si="109"/>
        <v>0</v>
      </c>
      <c r="M546" s="2178">
        <v>0</v>
      </c>
      <c r="N546" s="2179"/>
    </row>
    <row r="547" spans="1:14" s="91" customFormat="1" ht="16">
      <c r="A547" s="2" t="s">
        <v>27</v>
      </c>
      <c r="B547" s="1421">
        <f>[1]CVWD!$N$16</f>
        <v>49</v>
      </c>
      <c r="C547" s="1422"/>
      <c r="D547" s="1431">
        <f t="shared" si="108"/>
        <v>1955920.6274999999</v>
      </c>
      <c r="E547" s="1422"/>
      <c r="F547" s="1760">
        <f>0.1225*B547</f>
        <v>6.0024999999999995</v>
      </c>
      <c r="G547" s="1757"/>
      <c r="H547" s="941">
        <f>F547*20</f>
        <v>120.04999999999998</v>
      </c>
      <c r="I547" s="131">
        <v>0</v>
      </c>
      <c r="J547" s="131">
        <v>0</v>
      </c>
      <c r="K547" s="131">
        <f>400*B547</f>
        <v>19600</v>
      </c>
      <c r="L547" s="132">
        <f t="shared" si="109"/>
        <v>19600</v>
      </c>
      <c r="M547" s="1758">
        <f>L547/(F547*427)</f>
        <v>7.6470869378196253</v>
      </c>
      <c r="N547" s="1759"/>
    </row>
    <row r="548" spans="1:14">
      <c r="A548" s="2" t="s">
        <v>20</v>
      </c>
      <c r="B548" s="1421">
        <f>[1]CVWD!$N$17</f>
        <v>0</v>
      </c>
      <c r="C548" s="1422"/>
      <c r="D548" s="1431">
        <f t="shared" si="108"/>
        <v>0</v>
      </c>
      <c r="E548" s="1422"/>
      <c r="F548" s="1760">
        <f>0.644*B548</f>
        <v>0</v>
      </c>
      <c r="G548" s="1757"/>
      <c r="H548" s="941">
        <f>F548*5</f>
        <v>0</v>
      </c>
      <c r="I548" s="131">
        <v>0</v>
      </c>
      <c r="J548" s="131">
        <v>0</v>
      </c>
      <c r="K548" s="131">
        <f>625*B548</f>
        <v>0</v>
      </c>
      <c r="L548" s="132">
        <f t="shared" si="109"/>
        <v>0</v>
      </c>
      <c r="M548" s="1758">
        <v>0</v>
      </c>
      <c r="N548" s="1759"/>
    </row>
    <row r="549" spans="1:14">
      <c r="A549" s="2" t="s">
        <v>33</v>
      </c>
      <c r="B549" s="1421">
        <f>[1]CVWD!$N$18</f>
        <v>0</v>
      </c>
      <c r="C549" s="1422"/>
      <c r="D549" s="1431">
        <f t="shared" si="108"/>
        <v>0</v>
      </c>
      <c r="E549" s="1422"/>
      <c r="F549" s="1760">
        <f>0.0276*B549</f>
        <v>0</v>
      </c>
      <c r="G549" s="1757"/>
      <c r="H549" s="941">
        <f>F549*15</f>
        <v>0</v>
      </c>
      <c r="I549" s="131">
        <v>0</v>
      </c>
      <c r="J549" s="131">
        <f>70*B549</f>
        <v>0</v>
      </c>
      <c r="K549" s="131">
        <f>130*B549</f>
        <v>0</v>
      </c>
      <c r="L549" s="132">
        <f t="shared" si="109"/>
        <v>0</v>
      </c>
      <c r="M549" s="1758">
        <v>0</v>
      </c>
      <c r="N549" s="1759"/>
    </row>
    <row r="550" spans="1:14">
      <c r="A550" s="5" t="s">
        <v>15</v>
      </c>
      <c r="B550" s="1421">
        <f>[1]CVWD!$N$19</f>
        <v>0</v>
      </c>
      <c r="C550" s="1422"/>
      <c r="D550" s="1431">
        <f t="shared" si="108"/>
        <v>0</v>
      </c>
      <c r="E550" s="1422"/>
      <c r="F550" s="1760">
        <f>0.1534*B550</f>
        <v>0</v>
      </c>
      <c r="G550" s="1757"/>
      <c r="H550" s="941">
        <f>F550*5</f>
        <v>0</v>
      </c>
      <c r="I550" s="131">
        <v>0</v>
      </c>
      <c r="J550" s="131">
        <v>0</v>
      </c>
      <c r="K550" s="131">
        <f>150*B550</f>
        <v>0</v>
      </c>
      <c r="L550" s="132">
        <f t="shared" si="109"/>
        <v>0</v>
      </c>
      <c r="M550" s="1758">
        <v>0</v>
      </c>
      <c r="N550" s="1759"/>
    </row>
    <row r="551" spans="1:14" s="91" customFormat="1" ht="17" thickBot="1">
      <c r="A551" s="69" t="s">
        <v>89</v>
      </c>
      <c r="B551" s="1429">
        <f>[1]CVWD!$N$20</f>
        <v>0</v>
      </c>
      <c r="C551" s="1430"/>
      <c r="D551" s="1734">
        <f t="shared" si="108"/>
        <v>0</v>
      </c>
      <c r="E551" s="1430"/>
      <c r="F551" s="1766">
        <f>0.65*B551</f>
        <v>0</v>
      </c>
      <c r="G551" s="1763"/>
      <c r="H551" s="941">
        <f>F551*10</f>
        <v>0</v>
      </c>
      <c r="I551" s="131">
        <v>0</v>
      </c>
      <c r="J551" s="131">
        <v>0</v>
      </c>
      <c r="K551" s="131">
        <f>630*B551</f>
        <v>0</v>
      </c>
      <c r="L551" s="132">
        <f t="shared" si="109"/>
        <v>0</v>
      </c>
      <c r="M551" s="1758">
        <v>0</v>
      </c>
      <c r="N551" s="1759"/>
    </row>
    <row r="552" spans="1:14" ht="14" thickBot="1">
      <c r="A552" s="256" t="s">
        <v>60</v>
      </c>
      <c r="B552" s="1438">
        <f>SUM(B544:C551)</f>
        <v>49</v>
      </c>
      <c r="C552" s="1609"/>
      <c r="D552" s="1441">
        <f>SUM(D544:E551)</f>
        <v>1955920.6274999999</v>
      </c>
      <c r="E552" s="1609"/>
      <c r="F552" s="1512">
        <f>SUM(F544:G551)</f>
        <v>6.0024999999999995</v>
      </c>
      <c r="G552" s="1575"/>
      <c r="H552" s="619">
        <f>SUM(H544:H551)</f>
        <v>120.04999999999998</v>
      </c>
      <c r="I552" s="136">
        <f>SUM(I544:I551)</f>
        <v>0</v>
      </c>
      <c r="J552" s="136">
        <f>SUM(J544:J551)</f>
        <v>0</v>
      </c>
      <c r="K552" s="136">
        <f>SUM(K544:K551)</f>
        <v>19600</v>
      </c>
      <c r="L552" s="136">
        <f>SUM(L544:L551)</f>
        <v>19600</v>
      </c>
      <c r="M552" s="1657"/>
      <c r="N552" s="1622"/>
    </row>
    <row r="553" spans="1:14" s="1168" customFormat="1" ht="17" thickBot="1">
      <c r="A553" s="1183" t="s">
        <v>17</v>
      </c>
      <c r="B553" s="1665">
        <f>SUM(B552,B542,B539)</f>
        <v>4880</v>
      </c>
      <c r="C553" s="1664"/>
      <c r="D553" s="1665">
        <f>SUM(D552,D542,D539)</f>
        <v>80890685.984400004</v>
      </c>
      <c r="E553" s="1664"/>
      <c r="F553" s="1666">
        <f>SUM(F552,F542,F539)</f>
        <v>248.24440000000001</v>
      </c>
      <c r="G553" s="1667"/>
      <c r="H553" s="1187">
        <f>SUM(H552,H542,H539)</f>
        <v>4025.6200000000003</v>
      </c>
      <c r="I553" s="1185">
        <f>SUM(I552,I542,I539)</f>
        <v>297247.02</v>
      </c>
      <c r="J553" s="1185">
        <f>SUM(J552,J542,J539)</f>
        <v>146929.97999999998</v>
      </c>
      <c r="K553" s="1185">
        <f>SUM(K552,K542,K539)</f>
        <v>344452</v>
      </c>
      <c r="L553" s="1185">
        <f>SUM(L552,L542,L539)</f>
        <v>788629</v>
      </c>
      <c r="M553" s="1668"/>
      <c r="N553" s="1669"/>
    </row>
    <row r="555" spans="1:14" ht="15">
      <c r="A555" s="9" t="s">
        <v>18</v>
      </c>
      <c r="B555" s="1419" t="s">
        <v>59</v>
      </c>
      <c r="C555" s="1489"/>
      <c r="D555" s="1489"/>
      <c r="E555" s="1733"/>
    </row>
    <row r="556" spans="1:14">
      <c r="B556" s="1420" t="s">
        <v>19</v>
      </c>
      <c r="C556" s="1420"/>
      <c r="D556" s="1420"/>
      <c r="E556" s="1420"/>
    </row>
    <row r="557" spans="1:14" ht="14" thickBot="1">
      <c r="B557" s="943"/>
      <c r="C557" s="943"/>
      <c r="D557" s="943"/>
      <c r="E557" s="943"/>
    </row>
    <row r="558" spans="1:14" s="91" customFormat="1" ht="16">
      <c r="A558" s="98"/>
      <c r="B558" s="99"/>
      <c r="C558" s="99"/>
      <c r="D558" s="99"/>
      <c r="E558" s="99"/>
      <c r="F558" s="421"/>
      <c r="G558" s="421"/>
      <c r="H558" s="421"/>
      <c r="I558" s="1468" t="s">
        <v>0</v>
      </c>
      <c r="J558" s="1468"/>
      <c r="K558" s="1468"/>
      <c r="L558" s="1468"/>
      <c r="M558" s="99"/>
      <c r="N558" s="101"/>
    </row>
    <row r="559" spans="1:14" ht="16">
      <c r="A559" s="97"/>
      <c r="B559" s="1469" t="s">
        <v>1</v>
      </c>
      <c r="C559" s="1469"/>
      <c r="D559" s="1469" t="s">
        <v>2</v>
      </c>
      <c r="E559" s="1469"/>
      <c r="F559" s="1470" t="s">
        <v>3</v>
      </c>
      <c r="G559" s="1470"/>
      <c r="H559" s="931" t="s">
        <v>3</v>
      </c>
      <c r="I559" s="127" t="s">
        <v>197</v>
      </c>
      <c r="J559" s="102"/>
      <c r="K559" s="102"/>
      <c r="L559" s="128"/>
      <c r="M559" s="1469" t="s">
        <v>4</v>
      </c>
      <c r="N559" s="1526"/>
    </row>
    <row r="560" spans="1:14" ht="19" thickBot="1">
      <c r="A560" s="103" t="s">
        <v>5</v>
      </c>
      <c r="B560" s="1473" t="s">
        <v>6</v>
      </c>
      <c r="C560" s="1473"/>
      <c r="D560" s="1473" t="s">
        <v>7</v>
      </c>
      <c r="E560" s="1473"/>
      <c r="F560" s="1474" t="s">
        <v>7</v>
      </c>
      <c r="G560" s="1474"/>
      <c r="H560" s="933" t="s">
        <v>58</v>
      </c>
      <c r="I560" s="937" t="s">
        <v>198</v>
      </c>
      <c r="J560" s="932" t="s">
        <v>8</v>
      </c>
      <c r="K560" s="932" t="s">
        <v>9</v>
      </c>
      <c r="L560" s="401" t="s">
        <v>10</v>
      </c>
      <c r="M560" s="1473" t="s">
        <v>145</v>
      </c>
      <c r="N560" s="1475"/>
    </row>
    <row r="561" spans="1:14" s="91" customFormat="1" ht="24" thickBot="1">
      <c r="A561" s="88" t="s">
        <v>134</v>
      </c>
      <c r="B561" s="1764"/>
      <c r="C561" s="1477"/>
      <c r="D561" s="1478"/>
      <c r="E561" s="1479"/>
      <c r="F561" s="1480"/>
      <c r="G561" s="1481"/>
      <c r="H561" s="945"/>
      <c r="I561" s="7"/>
      <c r="J561" s="7"/>
      <c r="K561" s="7"/>
      <c r="L561" s="8"/>
      <c r="M561" s="1764"/>
      <c r="N561" s="1765"/>
    </row>
    <row r="562" spans="1:14" s="1168" customFormat="1" ht="17" thickBot="1">
      <c r="A562" s="108" t="s">
        <v>61</v>
      </c>
      <c r="B562" s="1567"/>
      <c r="C562" s="1586"/>
      <c r="D562" s="1567"/>
      <c r="E562" s="1586"/>
      <c r="F562" s="1587"/>
      <c r="G562" s="1588"/>
      <c r="H562" s="1145"/>
      <c r="I562" s="109"/>
      <c r="J562" s="109"/>
      <c r="K562" s="109"/>
      <c r="L562" s="1141"/>
      <c r="M562" s="1617"/>
      <c r="N562" s="1486"/>
    </row>
    <row r="563" spans="1:14">
      <c r="A563" s="68" t="s">
        <v>62</v>
      </c>
      <c r="B563" s="2126">
        <v>0</v>
      </c>
      <c r="C563" s="2121"/>
      <c r="D563" s="1855">
        <f>F563*325851</f>
        <v>0</v>
      </c>
      <c r="E563" s="1732"/>
      <c r="F563" s="2122">
        <f>0.0347*B563</f>
        <v>0</v>
      </c>
      <c r="G563" s="2123"/>
      <c r="H563" s="980">
        <f>F563*20</f>
        <v>0</v>
      </c>
      <c r="I563" s="147">
        <v>0</v>
      </c>
      <c r="J563" s="147">
        <f>B563*6.5</f>
        <v>0</v>
      </c>
      <c r="K563" s="147">
        <f>B563*60</f>
        <v>0</v>
      </c>
      <c r="L563" s="670">
        <f>I563+J563+K563</f>
        <v>0</v>
      </c>
      <c r="M563" s="1792">
        <v>0</v>
      </c>
      <c r="N563" s="1793"/>
    </row>
    <row r="564" spans="1:14">
      <c r="A564" s="68" t="s">
        <v>63</v>
      </c>
      <c r="B564" s="2000">
        <v>0</v>
      </c>
      <c r="C564" s="1696"/>
      <c r="D564" s="1431">
        <f>F564*325851</f>
        <v>0</v>
      </c>
      <c r="E564" s="1422"/>
      <c r="F564" s="1756">
        <f>0.0347*B564</f>
        <v>0</v>
      </c>
      <c r="G564" s="1757"/>
      <c r="H564" s="895">
        <f>F564*20</f>
        <v>0</v>
      </c>
      <c r="I564" s="131">
        <v>0</v>
      </c>
      <c r="J564" s="131">
        <f>B564*11</f>
        <v>0</v>
      </c>
      <c r="K564" s="131">
        <f>B564*60</f>
        <v>0</v>
      </c>
      <c r="L564" s="132">
        <f>I564+J564+K564</f>
        <v>0</v>
      </c>
      <c r="M564" s="1758">
        <v>0</v>
      </c>
      <c r="N564" s="1759"/>
    </row>
    <row r="565" spans="1:14">
      <c r="A565" s="68" t="s">
        <v>64</v>
      </c>
      <c r="B565" s="2000">
        <v>150</v>
      </c>
      <c r="C565" s="1696"/>
      <c r="D565" s="1431">
        <f>F565*325851</f>
        <v>1696054.4550000001</v>
      </c>
      <c r="E565" s="1422"/>
      <c r="F565" s="1756">
        <f>0.0347*B565</f>
        <v>5.2050000000000001</v>
      </c>
      <c r="G565" s="1757"/>
      <c r="H565" s="895">
        <f>F565*20</f>
        <v>104.1</v>
      </c>
      <c r="I565" s="131">
        <v>0</v>
      </c>
      <c r="J565" s="131">
        <f>B565*1</f>
        <v>150</v>
      </c>
      <c r="K565" s="131">
        <f>B565*60</f>
        <v>9000</v>
      </c>
      <c r="L565" s="132">
        <f>I565+J565+K565</f>
        <v>9150</v>
      </c>
      <c r="M565" s="1758">
        <f>L565/(F565*427)</f>
        <v>4.1169205434335119</v>
      </c>
      <c r="N565" s="1759"/>
    </row>
    <row r="566" spans="1:14" ht="14" thickBot="1">
      <c r="A566" s="2" t="s">
        <v>13</v>
      </c>
      <c r="B566" s="2000">
        <v>389</v>
      </c>
      <c r="C566" s="1696"/>
      <c r="D566" s="1431">
        <f>F566*325851</f>
        <v>3498466.6763999998</v>
      </c>
      <c r="E566" s="1422"/>
      <c r="F566" s="1756">
        <f>0.0276*B566</f>
        <v>10.7364</v>
      </c>
      <c r="G566" s="1757"/>
      <c r="H566" s="895">
        <f>F566*15</f>
        <v>161.04599999999999</v>
      </c>
      <c r="I566" s="131">
        <v>0</v>
      </c>
      <c r="J566" s="131">
        <f>B566*1</f>
        <v>389</v>
      </c>
      <c r="K566" s="131">
        <f>B566*110</f>
        <v>42790</v>
      </c>
      <c r="L566" s="132">
        <f>I566+J566+K566</f>
        <v>43179</v>
      </c>
      <c r="M566" s="1758">
        <f>L566/(F566*427)</f>
        <v>9.4185928113226769</v>
      </c>
      <c r="N566" s="1759"/>
    </row>
    <row r="567" spans="1:14" ht="14" thickBot="1">
      <c r="A567" s="256" t="s">
        <v>60</v>
      </c>
      <c r="B567" s="1438">
        <f>SUM(B563:C566)</f>
        <v>539</v>
      </c>
      <c r="C567" s="1621"/>
      <c r="D567" s="1441">
        <f>SUM(D563:E566)</f>
        <v>5194521.1314000003</v>
      </c>
      <c r="E567" s="1609"/>
      <c r="F567" s="1511">
        <f>SUM(F563:G566)</f>
        <v>15.9414</v>
      </c>
      <c r="G567" s="1575"/>
      <c r="H567" s="448">
        <f>SUM(H563:H566)</f>
        <v>265.14599999999996</v>
      </c>
      <c r="I567" s="143">
        <f>SUM(I563:I566)</f>
        <v>0</v>
      </c>
      <c r="J567" s="143">
        <f>SUM(J563:J566)</f>
        <v>539</v>
      </c>
      <c r="K567" s="143">
        <f>SUM(K563:K566)</f>
        <v>51790</v>
      </c>
      <c r="L567" s="136">
        <f>SUM(L563:L566)</f>
        <v>52329</v>
      </c>
      <c r="M567" s="1657"/>
      <c r="N567" s="1622"/>
    </row>
    <row r="568" spans="1:14" s="1168" customFormat="1" ht="17" thickBot="1">
      <c r="A568" s="110" t="s">
        <v>147</v>
      </c>
      <c r="B568" s="1456"/>
      <c r="C568" s="1457"/>
      <c r="D568" s="1567"/>
      <c r="E568" s="1586"/>
      <c r="F568" s="1587"/>
      <c r="G568" s="1588"/>
      <c r="H568" s="447"/>
      <c r="I568" s="161"/>
      <c r="J568" s="161"/>
      <c r="K568" s="161"/>
      <c r="L568" s="162"/>
      <c r="M568" s="1617"/>
      <c r="N568" s="1486"/>
    </row>
    <row r="569" spans="1:14" s="91" customFormat="1" ht="17" thickBot="1">
      <c r="A569" s="2" t="s">
        <v>11</v>
      </c>
      <c r="B569" s="2000">
        <v>343</v>
      </c>
      <c r="C569" s="1696"/>
      <c r="D569" s="1431">
        <f>F569*325851</f>
        <v>3878311.1871000002</v>
      </c>
      <c r="E569" s="1422"/>
      <c r="F569" s="1756">
        <f>0.0347*B569</f>
        <v>11.902100000000001</v>
      </c>
      <c r="G569" s="1757"/>
      <c r="H569" s="895">
        <f>F569*20</f>
        <v>238.04200000000003</v>
      </c>
      <c r="I569" s="131">
        <v>0</v>
      </c>
      <c r="J569" s="131">
        <f>B569*105</f>
        <v>36015</v>
      </c>
      <c r="K569" s="131">
        <f>B569*60</f>
        <v>20580</v>
      </c>
      <c r="L569" s="132">
        <f>I569+J569+K569</f>
        <v>56595</v>
      </c>
      <c r="M569" s="1758">
        <f>L569/(F569*427)</f>
        <v>11.135932617484087</v>
      </c>
      <c r="N569" s="1759"/>
    </row>
    <row r="570" spans="1:14" ht="14" thickBot="1">
      <c r="A570" s="256" t="s">
        <v>60</v>
      </c>
      <c r="B570" s="1438">
        <f>SUM(B569)</f>
        <v>343</v>
      </c>
      <c r="C570" s="1621"/>
      <c r="D570" s="1441">
        <f>SUM(D569)</f>
        <v>3878311.1871000002</v>
      </c>
      <c r="E570" s="1609"/>
      <c r="F570" s="1511">
        <f>SUM(F569)</f>
        <v>11.902100000000001</v>
      </c>
      <c r="G570" s="1575"/>
      <c r="H570" s="448">
        <f>SUM(H569)</f>
        <v>238.04200000000003</v>
      </c>
      <c r="I570" s="143">
        <f>SUM(I569)</f>
        <v>0</v>
      </c>
      <c r="J570" s="143">
        <f>SUM(J569)</f>
        <v>36015</v>
      </c>
      <c r="K570" s="143">
        <f>SUM(K569)</f>
        <v>20580</v>
      </c>
      <c r="L570" s="136">
        <f>SUM(L569)</f>
        <v>56595</v>
      </c>
      <c r="M570" s="1657"/>
      <c r="N570" s="1622"/>
    </row>
    <row r="571" spans="1:14" s="1168" customFormat="1" ht="17" thickBot="1">
      <c r="A571" s="110" t="s">
        <v>50</v>
      </c>
      <c r="B571" s="1456"/>
      <c r="C571" s="1457"/>
      <c r="D571" s="1567"/>
      <c r="E571" s="1586"/>
      <c r="F571" s="1587"/>
      <c r="G571" s="1588"/>
      <c r="H571" s="447"/>
      <c r="I571" s="161"/>
      <c r="J571" s="161"/>
      <c r="K571" s="161"/>
      <c r="L571" s="162"/>
      <c r="M571" s="1617"/>
      <c r="N571" s="1486"/>
    </row>
    <row r="572" spans="1:14">
      <c r="A572" s="2" t="s">
        <v>66</v>
      </c>
      <c r="B572" s="2000">
        <v>219</v>
      </c>
      <c r="C572" s="1696"/>
      <c r="D572" s="1431">
        <f t="shared" ref="D572:D577" si="110">F572*325851</f>
        <v>2476239.5043000001</v>
      </c>
      <c r="E572" s="1422"/>
      <c r="F572" s="1720">
        <f>0.0347*B572</f>
        <v>7.5993000000000004</v>
      </c>
      <c r="G572" s="1721"/>
      <c r="H572" s="444">
        <f>F572*20</f>
        <v>151.98600000000002</v>
      </c>
      <c r="I572" s="131">
        <v>0</v>
      </c>
      <c r="J572" s="131">
        <v>0</v>
      </c>
      <c r="K572" s="131">
        <f>B572*60</f>
        <v>13140</v>
      </c>
      <c r="L572" s="132">
        <f t="shared" ref="L572:L577" si="111">I572+J572+K572</f>
        <v>13140</v>
      </c>
      <c r="M572" s="1758">
        <f>L572/(F572*427)</f>
        <v>4.0494300427214869</v>
      </c>
      <c r="N572" s="1759"/>
    </row>
    <row r="573" spans="1:14">
      <c r="A573" s="2" t="s">
        <v>20</v>
      </c>
      <c r="B573" s="2000">
        <v>0</v>
      </c>
      <c r="C573" s="1696"/>
      <c r="D573" s="1431">
        <f t="shared" si="110"/>
        <v>0</v>
      </c>
      <c r="E573" s="1422"/>
      <c r="F573" s="1756">
        <f>0.644*B573</f>
        <v>0</v>
      </c>
      <c r="G573" s="1757"/>
      <c r="H573" s="895">
        <f>F573*5</f>
        <v>0</v>
      </c>
      <c r="I573" s="131">
        <v>0</v>
      </c>
      <c r="J573" s="131">
        <v>0</v>
      </c>
      <c r="K573" s="131">
        <v>0</v>
      </c>
      <c r="L573" s="132">
        <f t="shared" si="111"/>
        <v>0</v>
      </c>
      <c r="M573" s="1758">
        <v>0</v>
      </c>
      <c r="N573" s="1759"/>
    </row>
    <row r="574" spans="1:14">
      <c r="A574" s="2" t="s">
        <v>13</v>
      </c>
      <c r="B574" s="2000">
        <v>0</v>
      </c>
      <c r="C574" s="1696"/>
      <c r="D574" s="1431">
        <f t="shared" si="110"/>
        <v>0</v>
      </c>
      <c r="E574" s="1422"/>
      <c r="F574" s="1756">
        <f>0.0276*B574</f>
        <v>0</v>
      </c>
      <c r="G574" s="1757"/>
      <c r="H574" s="895">
        <f>F574*15</f>
        <v>0</v>
      </c>
      <c r="I574" s="131">
        <v>0</v>
      </c>
      <c r="J574" s="131">
        <v>0</v>
      </c>
      <c r="K574" s="131">
        <v>0</v>
      </c>
      <c r="L574" s="132">
        <f t="shared" si="111"/>
        <v>0</v>
      </c>
      <c r="M574" s="1758">
        <v>0</v>
      </c>
      <c r="N574" s="1759"/>
    </row>
    <row r="575" spans="1:14">
      <c r="A575" s="5" t="s">
        <v>15</v>
      </c>
      <c r="B575" s="2000">
        <v>1</v>
      </c>
      <c r="C575" s="1696"/>
      <c r="D575" s="1431">
        <f t="shared" si="110"/>
        <v>49985.543400000002</v>
      </c>
      <c r="E575" s="1422"/>
      <c r="F575" s="1756">
        <f>0.1534*B575</f>
        <v>0.15340000000000001</v>
      </c>
      <c r="G575" s="1757"/>
      <c r="H575" s="895">
        <f>F575*5</f>
        <v>0.76700000000000002</v>
      </c>
      <c r="I575" s="131">
        <v>0</v>
      </c>
      <c r="J575" s="131">
        <v>0</v>
      </c>
      <c r="K575" s="131">
        <f>B575*100</f>
        <v>100</v>
      </c>
      <c r="L575" s="132">
        <f t="shared" si="111"/>
        <v>100</v>
      </c>
      <c r="M575" s="1758">
        <f>L575/(F575*427)</f>
        <v>1.5266756028078616</v>
      </c>
      <c r="N575" s="1759"/>
    </row>
    <row r="576" spans="1:14">
      <c r="A576" s="5" t="s">
        <v>16</v>
      </c>
      <c r="B576" s="2000">
        <v>0</v>
      </c>
      <c r="C576" s="1696"/>
      <c r="D576" s="1431">
        <f t="shared" si="110"/>
        <v>0</v>
      </c>
      <c r="E576" s="1422"/>
      <c r="F576" s="1756">
        <f>0.004*B576</f>
        <v>0</v>
      </c>
      <c r="G576" s="1757"/>
      <c r="H576" s="895">
        <f>F576*5</f>
        <v>0</v>
      </c>
      <c r="I576" s="131">
        <v>0</v>
      </c>
      <c r="J576" s="131">
        <v>0</v>
      </c>
      <c r="K576" s="131">
        <v>0</v>
      </c>
      <c r="L576" s="132">
        <f t="shared" si="111"/>
        <v>0</v>
      </c>
      <c r="M576" s="1758">
        <v>0</v>
      </c>
      <c r="N576" s="1759"/>
    </row>
    <row r="577" spans="1:14" ht="14" thickBot="1">
      <c r="A577" s="69" t="s">
        <v>89</v>
      </c>
      <c r="B577" s="2000">
        <v>9</v>
      </c>
      <c r="C577" s="1696"/>
      <c r="D577" s="1431">
        <f t="shared" si="110"/>
        <v>1906228.35</v>
      </c>
      <c r="E577" s="1422"/>
      <c r="F577" s="2118">
        <f>0.65*B577</f>
        <v>5.8500000000000005</v>
      </c>
      <c r="G577" s="1763"/>
      <c r="H577" s="895">
        <f>F577*10</f>
        <v>58.500000000000007</v>
      </c>
      <c r="I577" s="131">
        <v>0</v>
      </c>
      <c r="J577" s="131">
        <v>0</v>
      </c>
      <c r="K577" s="131">
        <v>0</v>
      </c>
      <c r="L577" s="132">
        <f t="shared" si="111"/>
        <v>0</v>
      </c>
      <c r="M577" s="1758">
        <v>0</v>
      </c>
      <c r="N577" s="1759"/>
    </row>
    <row r="578" spans="1:14" ht="14" thickBot="1">
      <c r="A578" s="256" t="s">
        <v>60</v>
      </c>
      <c r="B578" s="1438">
        <f>SUM(B572:C577)</f>
        <v>229</v>
      </c>
      <c r="C578" s="1621"/>
      <c r="D578" s="1441">
        <f>SUM(D572:E577)</f>
        <v>4432453.3977000006</v>
      </c>
      <c r="E578" s="1609"/>
      <c r="F578" s="1511">
        <f>SUM(F572:G577)</f>
        <v>13.602700000000002</v>
      </c>
      <c r="G578" s="1575"/>
      <c r="H578" s="448">
        <f>SUM(H572:H577)</f>
        <v>211.25300000000001</v>
      </c>
      <c r="I578" s="143">
        <f>SUM(I572:I577)</f>
        <v>0</v>
      </c>
      <c r="J578" s="143">
        <f>SUM(J572:J577)</f>
        <v>0</v>
      </c>
      <c r="K578" s="143">
        <f>SUM(K572:K577)</f>
        <v>13240</v>
      </c>
      <c r="L578" s="152">
        <f>SUM(L572:L577)</f>
        <v>13240</v>
      </c>
      <c r="M578" s="1657"/>
      <c r="N578" s="1622"/>
    </row>
    <row r="579" spans="1:14" s="1168" customFormat="1" ht="17" thickBot="1">
      <c r="A579" s="1163" t="s">
        <v>17</v>
      </c>
      <c r="B579" s="1663">
        <f>SUM(B578,B570,B567)</f>
        <v>1111</v>
      </c>
      <c r="C579" s="1684"/>
      <c r="D579" s="1665">
        <f>SUM(D578,D570,D567)</f>
        <v>13505285.716200002</v>
      </c>
      <c r="E579" s="1684"/>
      <c r="F579" s="1666">
        <f>SUM(F578,F570,F567)</f>
        <v>41.446200000000005</v>
      </c>
      <c r="G579" s="1667"/>
      <c r="H579" s="1254">
        <f>SUM(H578,H570,H567)</f>
        <v>714.44100000000003</v>
      </c>
      <c r="I579" s="1188">
        <f>I567+I570+I578</f>
        <v>0</v>
      </c>
      <c r="J579" s="1188">
        <f>SUM(J578,J570,J567)</f>
        <v>36554</v>
      </c>
      <c r="K579" s="1188">
        <f>SUM(K578,K570,K567)</f>
        <v>85610</v>
      </c>
      <c r="L579" s="1188">
        <f>SUM(L578,L570,L567)</f>
        <v>122164</v>
      </c>
      <c r="M579" s="1668"/>
      <c r="N579" s="1669"/>
    </row>
    <row r="581" spans="1:14" ht="14" thickBot="1"/>
    <row r="582" spans="1:14" ht="24" thickBot="1">
      <c r="A582" s="88" t="s">
        <v>135</v>
      </c>
      <c r="B582" s="1764"/>
      <c r="C582" s="1477"/>
      <c r="D582" s="1478"/>
      <c r="E582" s="1479"/>
      <c r="F582" s="1480"/>
      <c r="G582" s="1481"/>
      <c r="H582" s="434"/>
      <c r="I582" s="7"/>
      <c r="J582" s="7"/>
      <c r="K582" s="7"/>
      <c r="L582" s="8"/>
      <c r="M582" s="1764"/>
      <c r="N582" s="1765"/>
    </row>
    <row r="583" spans="1:14" s="1168" customFormat="1" ht="17" thickBot="1">
      <c r="A583" s="108" t="s">
        <v>61</v>
      </c>
      <c r="B583" s="2026"/>
      <c r="C583" s="1648"/>
      <c r="D583" s="2026"/>
      <c r="E583" s="1648"/>
      <c r="F583" s="2167"/>
      <c r="G583" s="2168"/>
      <c r="H583" s="1255"/>
      <c r="I583" s="1210"/>
      <c r="J583" s="1210"/>
      <c r="K583" s="1210"/>
      <c r="L583" s="1160"/>
      <c r="M583" s="2029"/>
      <c r="N583" s="2030"/>
    </row>
    <row r="584" spans="1:14">
      <c r="A584" s="68" t="s">
        <v>62</v>
      </c>
      <c r="B584" s="2126">
        <v>0</v>
      </c>
      <c r="C584" s="1915"/>
      <c r="D584" s="1767">
        <f>F584*325851</f>
        <v>0</v>
      </c>
      <c r="E584" s="1767"/>
      <c r="F584" s="2122">
        <f>0.0347*B584</f>
        <v>0</v>
      </c>
      <c r="G584" s="2123"/>
      <c r="H584" s="981">
        <f>F584*20</f>
        <v>0</v>
      </c>
      <c r="I584" s="147">
        <v>0</v>
      </c>
      <c r="J584" s="670">
        <f>B584*6.5</f>
        <v>0</v>
      </c>
      <c r="K584" s="147">
        <f>B584*60</f>
        <v>0</v>
      </c>
      <c r="L584" s="670">
        <f>I584+J584+K584</f>
        <v>0</v>
      </c>
      <c r="M584" s="1792">
        <v>0</v>
      </c>
      <c r="N584" s="1793"/>
    </row>
    <row r="585" spans="1:14">
      <c r="A585" s="68" t="s">
        <v>63</v>
      </c>
      <c r="B585" s="2000">
        <v>24</v>
      </c>
      <c r="C585" s="1743"/>
      <c r="D585" s="1444">
        <f>F585*325851</f>
        <v>271368.71279999998</v>
      </c>
      <c r="E585" s="1444"/>
      <c r="F585" s="1756">
        <f>0.0347*B585</f>
        <v>0.83279999999999998</v>
      </c>
      <c r="G585" s="1757"/>
      <c r="H585" s="940">
        <f>F585*20</f>
        <v>16.655999999999999</v>
      </c>
      <c r="I585" s="131">
        <v>0</v>
      </c>
      <c r="J585" s="132">
        <f>B585*11</f>
        <v>264</v>
      </c>
      <c r="K585" s="131">
        <f>B585*60</f>
        <v>1440</v>
      </c>
      <c r="L585" s="132">
        <f>I585+J585+K585</f>
        <v>1704</v>
      </c>
      <c r="M585" s="1758">
        <f>L585/(F585*427)</f>
        <v>4.7918255505537601</v>
      </c>
      <c r="N585" s="1759"/>
    </row>
    <row r="586" spans="1:14">
      <c r="A586" s="68" t="s">
        <v>64</v>
      </c>
      <c r="B586" s="2000">
        <v>201</v>
      </c>
      <c r="C586" s="1743"/>
      <c r="D586" s="1444">
        <f>F586*325851</f>
        <v>2272712.9697000002</v>
      </c>
      <c r="E586" s="1444"/>
      <c r="F586" s="1756">
        <f>0.0347*B586</f>
        <v>6.9747000000000003</v>
      </c>
      <c r="G586" s="1757"/>
      <c r="H586" s="940">
        <f>F586*20</f>
        <v>139.494</v>
      </c>
      <c r="I586" s="131">
        <v>0</v>
      </c>
      <c r="J586" s="132">
        <f>B586*1</f>
        <v>201</v>
      </c>
      <c r="K586" s="131">
        <f>B586*60</f>
        <v>12060</v>
      </c>
      <c r="L586" s="132">
        <f>I586+J586+K586</f>
        <v>12261</v>
      </c>
      <c r="M586" s="1758">
        <f>L586/(F586*427)</f>
        <v>4.116920543433511</v>
      </c>
      <c r="N586" s="1759"/>
    </row>
    <row r="587" spans="1:14">
      <c r="A587" s="2" t="s">
        <v>13</v>
      </c>
      <c r="B587" s="2000">
        <v>542</v>
      </c>
      <c r="C587" s="1743"/>
      <c r="D587" s="1444">
        <f>F587*325851</f>
        <v>4874470.2791999998</v>
      </c>
      <c r="E587" s="1444"/>
      <c r="F587" s="1756">
        <f>0.0276*B587</f>
        <v>14.959199999999999</v>
      </c>
      <c r="G587" s="1757"/>
      <c r="H587" s="940">
        <f>F587*15</f>
        <v>224.38799999999998</v>
      </c>
      <c r="I587" s="131">
        <v>0</v>
      </c>
      <c r="J587" s="132">
        <f>B587*1</f>
        <v>542</v>
      </c>
      <c r="K587" s="131">
        <f>B587*110</f>
        <v>59620</v>
      </c>
      <c r="L587" s="132">
        <f>I587+J587+K587</f>
        <v>60162</v>
      </c>
      <c r="M587" s="1758">
        <f>L587/(F587*427)</f>
        <v>9.4185928113226769</v>
      </c>
      <c r="N587" s="1759"/>
    </row>
    <row r="588" spans="1:14" ht="14" thickBot="1">
      <c r="A588" s="5" t="s">
        <v>14</v>
      </c>
      <c r="B588" s="2000">
        <v>19</v>
      </c>
      <c r="C588" s="1743"/>
      <c r="D588" s="1444">
        <f>46.8*B588*365</f>
        <v>324558</v>
      </c>
      <c r="E588" s="1444"/>
      <c r="F588" s="1756">
        <f>D588/325900</f>
        <v>0.99588217244553545</v>
      </c>
      <c r="G588" s="1757"/>
      <c r="H588" s="940">
        <f>F588*5</f>
        <v>4.9794108622276774</v>
      </c>
      <c r="I588" s="131">
        <v>0</v>
      </c>
      <c r="J588" s="132">
        <f>B588*53</f>
        <v>1007</v>
      </c>
      <c r="K588" s="131">
        <v>0</v>
      </c>
      <c r="L588" s="132">
        <f>I588+J588+K588</f>
        <v>1007</v>
      </c>
      <c r="M588" s="1758">
        <f>L588/(F588*427)</f>
        <v>2.3680651010540972</v>
      </c>
      <c r="N588" s="1759"/>
    </row>
    <row r="589" spans="1:14" ht="14" thickBot="1">
      <c r="A589" s="256" t="s">
        <v>60</v>
      </c>
      <c r="B589" s="1438">
        <f>SUM(B584:C588)</f>
        <v>786</v>
      </c>
      <c r="C589" s="1609"/>
      <c r="D589" s="1440">
        <f>SUM(D584:E588)</f>
        <v>7743109.9616999999</v>
      </c>
      <c r="E589" s="1621"/>
      <c r="F589" s="1511">
        <f>SUM(F584:G588)</f>
        <v>23.762582172445537</v>
      </c>
      <c r="G589" s="1575"/>
      <c r="H589" s="703">
        <f>SUM(H584:H588)</f>
        <v>385.51741086222768</v>
      </c>
      <c r="I589" s="143">
        <f>SUM(I584:I588)</f>
        <v>0</v>
      </c>
      <c r="J589" s="152">
        <f>SUM(J584:J588)</f>
        <v>2014</v>
      </c>
      <c r="K589" s="143">
        <f>SUM(K584:K588)</f>
        <v>73120</v>
      </c>
      <c r="L589" s="136">
        <f>SUM(L584:L588)</f>
        <v>75134</v>
      </c>
      <c r="M589" s="1657"/>
      <c r="N589" s="1622"/>
    </row>
    <row r="590" spans="1:14" s="1168" customFormat="1" ht="17" thickBot="1">
      <c r="A590" s="110" t="s">
        <v>147</v>
      </c>
      <c r="B590" s="1456"/>
      <c r="C590" s="1586"/>
      <c r="D590" s="1457"/>
      <c r="E590" s="1457"/>
      <c r="F590" s="1587"/>
      <c r="G590" s="1588"/>
      <c r="H590" s="1158"/>
      <c r="I590" s="161"/>
      <c r="J590" s="162"/>
      <c r="K590" s="161"/>
      <c r="L590" s="162"/>
      <c r="M590" s="1617"/>
      <c r="N590" s="1486"/>
    </row>
    <row r="591" spans="1:14" ht="14" thickBot="1">
      <c r="A591" s="2" t="s">
        <v>11</v>
      </c>
      <c r="B591" s="2000">
        <v>520</v>
      </c>
      <c r="C591" s="1743"/>
      <c r="D591" s="1444">
        <f>F591*325851</f>
        <v>5879655.4440000001</v>
      </c>
      <c r="E591" s="1444"/>
      <c r="F591" s="1756">
        <f>0.0347*B591</f>
        <v>18.044</v>
      </c>
      <c r="G591" s="1757"/>
      <c r="H591" s="940">
        <f>F591*20</f>
        <v>360.88</v>
      </c>
      <c r="I591" s="131">
        <v>0</v>
      </c>
      <c r="J591" s="132">
        <f>B591*105</f>
        <v>54600</v>
      </c>
      <c r="K591" s="131">
        <f>B591*60</f>
        <v>31200</v>
      </c>
      <c r="L591" s="132">
        <f>I591+J591+K591</f>
        <v>85800</v>
      </c>
      <c r="M591" s="1758">
        <f>L591/(F591*427)</f>
        <v>11.135932617484089</v>
      </c>
      <c r="N591" s="1759"/>
    </row>
    <row r="592" spans="1:14" ht="14" thickBot="1">
      <c r="A592" s="256" t="s">
        <v>60</v>
      </c>
      <c r="B592" s="1438">
        <f>SUM(B591)</f>
        <v>520</v>
      </c>
      <c r="C592" s="1609"/>
      <c r="D592" s="1440">
        <f>SUM(D591)</f>
        <v>5879655.4440000001</v>
      </c>
      <c r="E592" s="1621"/>
      <c r="F592" s="1511">
        <f>SUM(F591)</f>
        <v>18.044</v>
      </c>
      <c r="G592" s="1575"/>
      <c r="H592" s="703">
        <f>SUM(H591)</f>
        <v>360.88</v>
      </c>
      <c r="I592" s="143">
        <f>SUM(I591)</f>
        <v>0</v>
      </c>
      <c r="J592" s="152">
        <f>SUM(J591)</f>
        <v>54600</v>
      </c>
      <c r="K592" s="143">
        <f>SUM(K591)</f>
        <v>31200</v>
      </c>
      <c r="L592" s="136">
        <f>SUM(L591)</f>
        <v>85800</v>
      </c>
      <c r="M592" s="1657"/>
      <c r="N592" s="1622"/>
    </row>
    <row r="593" spans="1:14" s="1168" customFormat="1" ht="17" thickBot="1">
      <c r="A593" s="110" t="s">
        <v>50</v>
      </c>
      <c r="B593" s="1456"/>
      <c r="C593" s="1586"/>
      <c r="D593" s="1457"/>
      <c r="E593" s="1457"/>
      <c r="F593" s="1587"/>
      <c r="G593" s="1588"/>
      <c r="H593" s="1158"/>
      <c r="I593" s="161"/>
      <c r="J593" s="162"/>
      <c r="K593" s="161"/>
      <c r="L593" s="162"/>
      <c r="M593" s="1617"/>
      <c r="N593" s="1486"/>
    </row>
    <row r="594" spans="1:14">
      <c r="A594" s="2" t="s">
        <v>66</v>
      </c>
      <c r="B594" s="2000">
        <v>0</v>
      </c>
      <c r="C594" s="1743"/>
      <c r="D594" s="1444">
        <f t="shared" ref="D594:D599" si="112">F594*325851</f>
        <v>0</v>
      </c>
      <c r="E594" s="1444"/>
      <c r="F594" s="1756">
        <f>0.0347*B594</f>
        <v>0</v>
      </c>
      <c r="G594" s="1757"/>
      <c r="H594" s="940">
        <f>F594*20</f>
        <v>0</v>
      </c>
      <c r="I594" s="131">
        <v>0</v>
      </c>
      <c r="J594" s="132">
        <v>0</v>
      </c>
      <c r="K594" s="131">
        <f>B594*60</f>
        <v>0</v>
      </c>
      <c r="L594" s="132">
        <v>0</v>
      </c>
      <c r="M594" s="1758">
        <v>0</v>
      </c>
      <c r="N594" s="1759"/>
    </row>
    <row r="595" spans="1:14">
      <c r="A595" s="2" t="s">
        <v>68</v>
      </c>
      <c r="B595" s="2000">
        <v>0</v>
      </c>
      <c r="C595" s="1743"/>
      <c r="D595" s="1444">
        <f t="shared" si="112"/>
        <v>0</v>
      </c>
      <c r="E595" s="1444"/>
      <c r="F595" s="1756">
        <f>0.644*B595</f>
        <v>0</v>
      </c>
      <c r="G595" s="1757"/>
      <c r="H595" s="940">
        <f>F595*5</f>
        <v>0</v>
      </c>
      <c r="I595" s="131">
        <v>0</v>
      </c>
      <c r="J595" s="132">
        <v>0</v>
      </c>
      <c r="K595" s="131">
        <v>0</v>
      </c>
      <c r="L595" s="132">
        <v>0</v>
      </c>
      <c r="M595" s="1758">
        <v>0</v>
      </c>
      <c r="N595" s="1759"/>
    </row>
    <row r="596" spans="1:14">
      <c r="A596" s="2" t="s">
        <v>13</v>
      </c>
      <c r="B596" s="2000">
        <v>0</v>
      </c>
      <c r="C596" s="1743"/>
      <c r="D596" s="1444">
        <f t="shared" si="112"/>
        <v>0</v>
      </c>
      <c r="E596" s="1444"/>
      <c r="F596" s="1756">
        <f>0.0276*B596</f>
        <v>0</v>
      </c>
      <c r="G596" s="1757"/>
      <c r="H596" s="940">
        <f>F596*15</f>
        <v>0</v>
      </c>
      <c r="I596" s="131">
        <v>0</v>
      </c>
      <c r="J596" s="132">
        <v>0</v>
      </c>
      <c r="K596" s="131">
        <v>0</v>
      </c>
      <c r="L596" s="132">
        <f>I596+J596+K596</f>
        <v>0</v>
      </c>
      <c r="M596" s="1758">
        <v>0</v>
      </c>
      <c r="N596" s="1759"/>
    </row>
    <row r="597" spans="1:14">
      <c r="A597" s="5" t="s">
        <v>15</v>
      </c>
      <c r="B597" s="2000">
        <v>0</v>
      </c>
      <c r="C597" s="1743"/>
      <c r="D597" s="1444">
        <f t="shared" si="112"/>
        <v>0</v>
      </c>
      <c r="E597" s="1444"/>
      <c r="F597" s="1756">
        <f>0.1534*B597</f>
        <v>0</v>
      </c>
      <c r="G597" s="1757"/>
      <c r="H597" s="940">
        <f>F597*5</f>
        <v>0</v>
      </c>
      <c r="I597" s="131">
        <v>0</v>
      </c>
      <c r="J597" s="132">
        <v>0</v>
      </c>
      <c r="K597" s="131">
        <v>0</v>
      </c>
      <c r="L597" s="132">
        <f>I597+J597+K597</f>
        <v>0</v>
      </c>
      <c r="M597" s="1758">
        <v>0</v>
      </c>
      <c r="N597" s="1759"/>
    </row>
    <row r="598" spans="1:14">
      <c r="A598" s="5" t="s">
        <v>16</v>
      </c>
      <c r="B598" s="2000">
        <v>1</v>
      </c>
      <c r="C598" s="1743"/>
      <c r="D598" s="1444">
        <f t="shared" si="112"/>
        <v>1303.404</v>
      </c>
      <c r="E598" s="1444"/>
      <c r="F598" s="1756">
        <f>0.004*B598</f>
        <v>4.0000000000000001E-3</v>
      </c>
      <c r="G598" s="1757"/>
      <c r="H598" s="940">
        <f>F598*5</f>
        <v>0.02</v>
      </c>
      <c r="I598" s="131">
        <v>0</v>
      </c>
      <c r="J598" s="132">
        <v>0</v>
      </c>
      <c r="K598" s="131">
        <v>50</v>
      </c>
      <c r="L598" s="132">
        <f>I598+J598+K598</f>
        <v>50</v>
      </c>
      <c r="M598" s="1758">
        <f>L598/(F598*427)</f>
        <v>29.274004683840751</v>
      </c>
      <c r="N598" s="1759"/>
    </row>
    <row r="599" spans="1:14" ht="14" thickBot="1">
      <c r="A599" s="2" t="s">
        <v>12</v>
      </c>
      <c r="B599" s="2000">
        <v>2</v>
      </c>
      <c r="C599" s="1743"/>
      <c r="D599" s="1444">
        <f t="shared" si="112"/>
        <v>2085446.4000000001</v>
      </c>
      <c r="E599" s="1444"/>
      <c r="F599" s="1756">
        <f>3.2*B599</f>
        <v>6.4</v>
      </c>
      <c r="G599" s="1757"/>
      <c r="H599" s="940">
        <f>F599*5</f>
        <v>32</v>
      </c>
      <c r="I599" s="131">
        <v>0</v>
      </c>
      <c r="J599" s="132">
        <v>0</v>
      </c>
      <c r="K599" s="131">
        <f>B599*2000</f>
        <v>4000</v>
      </c>
      <c r="L599" s="132">
        <f>SUM(J599:K599)</f>
        <v>4000</v>
      </c>
      <c r="M599" s="1758">
        <f>L599/(F599*427)</f>
        <v>1.4637002341920373</v>
      </c>
      <c r="N599" s="1759"/>
    </row>
    <row r="600" spans="1:14" ht="14" thickBot="1">
      <c r="A600" s="256" t="s">
        <v>60</v>
      </c>
      <c r="B600" s="1438">
        <f>SUM(B593:C599)</f>
        <v>3</v>
      </c>
      <c r="C600" s="1609"/>
      <c r="D600" s="1440">
        <f>SUM(D593:E599)</f>
        <v>2086749.8040000002</v>
      </c>
      <c r="E600" s="1621"/>
      <c r="F600" s="1511">
        <f>SUM(F593:G599)</f>
        <v>6.4039999999999999</v>
      </c>
      <c r="G600" s="1575"/>
      <c r="H600" s="671">
        <f>F600*5</f>
        <v>32.019999999999996</v>
      </c>
      <c r="I600" s="143">
        <f>SUM(I593:I599)</f>
        <v>0</v>
      </c>
      <c r="J600" s="152">
        <f>SUM(J593:J599)</f>
        <v>0</v>
      </c>
      <c r="K600" s="143">
        <f>SUM(K593:K599)</f>
        <v>4050</v>
      </c>
      <c r="L600" s="152">
        <f>SUM(L593:L599)</f>
        <v>4050</v>
      </c>
      <c r="M600" s="1657"/>
      <c r="N600" s="1622"/>
    </row>
    <row r="601" spans="1:14" s="1168" customFormat="1" ht="17" thickBot="1">
      <c r="A601" s="1163" t="s">
        <v>17</v>
      </c>
      <c r="B601" s="1663">
        <f>SUM(B600,B592,B589)</f>
        <v>1309</v>
      </c>
      <c r="C601" s="1684"/>
      <c r="D601" s="1665">
        <f>SUM(D600,D592,D589)</f>
        <v>15709515.2097</v>
      </c>
      <c r="E601" s="1684"/>
      <c r="F601" s="1666">
        <f>SUM(F600,F592,F589)</f>
        <v>48.210582172445541</v>
      </c>
      <c r="G601" s="1667"/>
      <c r="H601" s="1254">
        <f>SUM(H589,H592,H600)</f>
        <v>778.4174108622276</v>
      </c>
      <c r="I601" s="1188">
        <f>I588+I591+I600</f>
        <v>0</v>
      </c>
      <c r="J601" s="1188">
        <f>SUM(J600,J592,J589)</f>
        <v>56614</v>
      </c>
      <c r="K601" s="1188">
        <f>SUM(K600,K592,K589)</f>
        <v>108370</v>
      </c>
      <c r="L601" s="1188">
        <f>SUM(L600,L592,L589)</f>
        <v>164984</v>
      </c>
      <c r="M601" s="1668"/>
      <c r="N601" s="1669"/>
    </row>
    <row r="603" spans="1:14" ht="15">
      <c r="A603" s="9" t="s">
        <v>18</v>
      </c>
      <c r="B603" s="1419" t="s">
        <v>59</v>
      </c>
      <c r="C603" s="1489"/>
      <c r="D603" s="1489"/>
      <c r="E603" s="1733"/>
    </row>
    <row r="604" spans="1:14">
      <c r="B604" s="1420" t="s">
        <v>19</v>
      </c>
      <c r="C604" s="1420"/>
      <c r="D604" s="1420"/>
      <c r="E604" s="1420"/>
    </row>
    <row r="605" spans="1:14" ht="14" thickBot="1">
      <c r="B605" s="943"/>
      <c r="C605" s="943"/>
      <c r="D605" s="943"/>
      <c r="E605" s="943"/>
    </row>
    <row r="606" spans="1:14" ht="16">
      <c r="A606" s="98"/>
      <c r="B606" s="99"/>
      <c r="C606" s="99"/>
      <c r="D606" s="99"/>
      <c r="E606" s="99"/>
      <c r="F606" s="421"/>
      <c r="G606" s="421"/>
      <c r="H606" s="421"/>
      <c r="I606" s="1468" t="s">
        <v>0</v>
      </c>
      <c r="J606" s="1468"/>
      <c r="K606" s="1468"/>
      <c r="L606" s="1468"/>
      <c r="M606" s="99"/>
      <c r="N606" s="101"/>
    </row>
    <row r="607" spans="1:14" ht="16">
      <c r="A607" s="97"/>
      <c r="B607" s="1469" t="s">
        <v>1</v>
      </c>
      <c r="C607" s="1469"/>
      <c r="D607" s="1469" t="s">
        <v>2</v>
      </c>
      <c r="E607" s="1469"/>
      <c r="F607" s="1470" t="s">
        <v>3</v>
      </c>
      <c r="G607" s="1470"/>
      <c r="H607" s="931" t="s">
        <v>3</v>
      </c>
      <c r="I607" s="127" t="s">
        <v>197</v>
      </c>
      <c r="J607" s="102"/>
      <c r="K607" s="102"/>
      <c r="L607" s="128"/>
      <c r="M607" s="1469" t="s">
        <v>4</v>
      </c>
      <c r="N607" s="1526"/>
    </row>
    <row r="608" spans="1:14" ht="19" thickBot="1">
      <c r="A608" s="103" t="s">
        <v>5</v>
      </c>
      <c r="B608" s="1473" t="s">
        <v>6</v>
      </c>
      <c r="C608" s="1473"/>
      <c r="D608" s="1473" t="s">
        <v>7</v>
      </c>
      <c r="E608" s="1473"/>
      <c r="F608" s="1474" t="s">
        <v>7</v>
      </c>
      <c r="G608" s="1474"/>
      <c r="H608" s="933" t="s">
        <v>58</v>
      </c>
      <c r="I608" s="937" t="s">
        <v>198</v>
      </c>
      <c r="J608" s="932" t="s">
        <v>8</v>
      </c>
      <c r="K608" s="932" t="s">
        <v>9</v>
      </c>
      <c r="L608" s="401" t="s">
        <v>10</v>
      </c>
      <c r="M608" s="1473" t="s">
        <v>145</v>
      </c>
      <c r="N608" s="1475"/>
    </row>
    <row r="609" spans="1:14" ht="24" thickBot="1">
      <c r="A609" s="88" t="s">
        <v>136</v>
      </c>
      <c r="B609" s="1764"/>
      <c r="C609" s="1477"/>
      <c r="D609" s="1478"/>
      <c r="E609" s="1479"/>
      <c r="F609" s="1480"/>
      <c r="G609" s="1481"/>
      <c r="H609" s="945"/>
      <c r="I609" s="7"/>
      <c r="J609" s="7"/>
      <c r="K609" s="7"/>
      <c r="L609" s="8"/>
      <c r="M609" s="1764"/>
      <c r="N609" s="1765"/>
    </row>
    <row r="610" spans="1:14" s="1168" customFormat="1" ht="17" thickBot="1">
      <c r="A610" s="108" t="s">
        <v>61</v>
      </c>
      <c r="B610" s="1567"/>
      <c r="C610" s="1586"/>
      <c r="D610" s="1567"/>
      <c r="E610" s="1586"/>
      <c r="F610" s="1587"/>
      <c r="G610" s="1588"/>
      <c r="H610" s="1145"/>
      <c r="I610" s="109"/>
      <c r="J610" s="109"/>
      <c r="K610" s="109"/>
      <c r="L610" s="1141"/>
      <c r="M610" s="1617"/>
      <c r="N610" s="1486"/>
    </row>
    <row r="611" spans="1:14">
      <c r="A611" s="672" t="s">
        <v>62</v>
      </c>
      <c r="B611" s="2126">
        <v>288</v>
      </c>
      <c r="C611" s="1915"/>
      <c r="D611" s="1767">
        <f>F611*325851</f>
        <v>3256424.5536000002</v>
      </c>
      <c r="E611" s="1767"/>
      <c r="F611" s="2122">
        <f>0.0347*B611</f>
        <v>9.9936000000000007</v>
      </c>
      <c r="G611" s="2123"/>
      <c r="H611" s="981">
        <f>F611*20</f>
        <v>199.87200000000001</v>
      </c>
      <c r="I611" s="147">
        <v>0</v>
      </c>
      <c r="J611" s="670">
        <v>576</v>
      </c>
      <c r="K611" s="147">
        <v>17200</v>
      </c>
      <c r="L611" s="670">
        <f>I611+J611+K611</f>
        <v>17776</v>
      </c>
      <c r="M611" s="2169">
        <v>4.7</v>
      </c>
      <c r="N611" s="2170"/>
    </row>
    <row r="612" spans="1:14">
      <c r="A612" s="68" t="s">
        <v>63</v>
      </c>
      <c r="B612" s="2000">
        <v>49</v>
      </c>
      <c r="C612" s="1743"/>
      <c r="D612" s="1444">
        <f>F612*325851</f>
        <v>554044.45530000003</v>
      </c>
      <c r="E612" s="1444"/>
      <c r="F612" s="1756">
        <f>0.0347*B612</f>
        <v>1.7003000000000001</v>
      </c>
      <c r="G612" s="1757"/>
      <c r="H612" s="940">
        <f>F612*20</f>
        <v>34.006</v>
      </c>
      <c r="I612" s="131">
        <v>0</v>
      </c>
      <c r="J612" s="132">
        <v>539</v>
      </c>
      <c r="K612" s="131">
        <v>2940</v>
      </c>
      <c r="L612" s="132">
        <f>I612+J612+K612</f>
        <v>3479</v>
      </c>
      <c r="M612" s="1788">
        <v>5.5</v>
      </c>
      <c r="N612" s="1789"/>
    </row>
    <row r="613" spans="1:14">
      <c r="A613" s="68" t="s">
        <v>64</v>
      </c>
      <c r="B613" s="2000">
        <v>432</v>
      </c>
      <c r="C613" s="1743"/>
      <c r="D613" s="1444">
        <f>F613*325851</f>
        <v>4884636.8304000003</v>
      </c>
      <c r="E613" s="1444"/>
      <c r="F613" s="1756">
        <f>0.0347*B613</f>
        <v>14.990400000000001</v>
      </c>
      <c r="G613" s="1757"/>
      <c r="H613" s="940">
        <f>F613*20</f>
        <v>299.80799999999999</v>
      </c>
      <c r="I613" s="131">
        <v>0</v>
      </c>
      <c r="J613" s="132">
        <v>432</v>
      </c>
      <c r="K613" s="131">
        <v>25920</v>
      </c>
      <c r="L613" s="132">
        <f>I613+J613+K613</f>
        <v>26352</v>
      </c>
      <c r="M613" s="1788">
        <v>4.5999999999999996</v>
      </c>
      <c r="N613" s="1789"/>
    </row>
    <row r="614" spans="1:14">
      <c r="A614" s="2" t="s">
        <v>13</v>
      </c>
      <c r="B614" s="2000">
        <v>594</v>
      </c>
      <c r="C614" s="1743"/>
      <c r="D614" s="1444">
        <f>F614*325851</f>
        <v>5342131.6343999999</v>
      </c>
      <c r="E614" s="1444"/>
      <c r="F614" s="1756">
        <f>0.0276*B614</f>
        <v>16.394400000000001</v>
      </c>
      <c r="G614" s="1757"/>
      <c r="H614" s="940">
        <f>F614*15</f>
        <v>245.91600000000003</v>
      </c>
      <c r="I614" s="131">
        <v>0</v>
      </c>
      <c r="J614" s="132">
        <v>594</v>
      </c>
      <c r="K614" s="131">
        <v>65340</v>
      </c>
      <c r="L614" s="132">
        <f>I614+J614+K614</f>
        <v>65934</v>
      </c>
      <c r="M614" s="1788">
        <v>5.7</v>
      </c>
      <c r="N614" s="1789"/>
    </row>
    <row r="615" spans="1:14" ht="14" thickBot="1">
      <c r="A615" s="673" t="s">
        <v>14</v>
      </c>
      <c r="B615" s="2000">
        <v>47</v>
      </c>
      <c r="C615" s="1743"/>
      <c r="D615" s="1444">
        <v>802854</v>
      </c>
      <c r="E615" s="1444"/>
      <c r="F615" s="1756">
        <v>2.46</v>
      </c>
      <c r="G615" s="1757"/>
      <c r="H615" s="940">
        <f>F615*5</f>
        <v>12.3</v>
      </c>
      <c r="I615" s="131">
        <v>0</v>
      </c>
      <c r="J615" s="132">
        <v>2491</v>
      </c>
      <c r="K615" s="131">
        <v>0</v>
      </c>
      <c r="L615" s="132">
        <f>I615+J615+K615</f>
        <v>2491</v>
      </c>
      <c r="M615" s="1788">
        <v>2.4</v>
      </c>
      <c r="N615" s="1789"/>
    </row>
    <row r="616" spans="1:14" ht="14" thickBot="1">
      <c r="A616" s="256" t="s">
        <v>60</v>
      </c>
      <c r="B616" s="1438">
        <f>SUM(B611:C615)</f>
        <v>1410</v>
      </c>
      <c r="C616" s="1609"/>
      <c r="D616" s="1440">
        <f>SUM(D611:E615)</f>
        <v>14840091.473700002</v>
      </c>
      <c r="E616" s="1621"/>
      <c r="F616" s="1511">
        <f>SUM(F611:G615)</f>
        <v>45.538699999999999</v>
      </c>
      <c r="G616" s="1575"/>
      <c r="H616" s="703">
        <f>SUM(H611:H615)</f>
        <v>791.90200000000004</v>
      </c>
      <c r="I616" s="143">
        <f>SUM(I611:I615)</f>
        <v>0</v>
      </c>
      <c r="J616" s="152">
        <f>SUM(J611:J615)</f>
        <v>4632</v>
      </c>
      <c r="K616" s="143">
        <f>SUM(K611:K615)</f>
        <v>111400</v>
      </c>
      <c r="L616" s="136">
        <f>SUM(L611:L615)</f>
        <v>116032</v>
      </c>
      <c r="M616" s="1657"/>
      <c r="N616" s="1622"/>
    </row>
    <row r="617" spans="1:14" s="1168" customFormat="1" ht="17" thickBot="1">
      <c r="A617" s="110" t="s">
        <v>147</v>
      </c>
      <c r="B617" s="1456"/>
      <c r="C617" s="1586"/>
      <c r="D617" s="1457"/>
      <c r="E617" s="1457"/>
      <c r="F617" s="1587"/>
      <c r="G617" s="1588"/>
      <c r="H617" s="1158"/>
      <c r="I617" s="161"/>
      <c r="J617" s="162"/>
      <c r="K617" s="161"/>
      <c r="L617" s="162"/>
      <c r="M617" s="1617"/>
      <c r="N617" s="1486"/>
    </row>
    <row r="618" spans="1:14" ht="14" thickBot="1">
      <c r="A618" s="2" t="s">
        <v>11</v>
      </c>
      <c r="B618" s="2000">
        <v>96</v>
      </c>
      <c r="C618" s="1743"/>
      <c r="D618" s="1444">
        <f>F618*325851</f>
        <v>1085474.8511999999</v>
      </c>
      <c r="E618" s="1444"/>
      <c r="F618" s="1756">
        <f>0.0347*B618</f>
        <v>3.3311999999999999</v>
      </c>
      <c r="G618" s="1757"/>
      <c r="H618" s="940">
        <f>F618*20</f>
        <v>66.623999999999995</v>
      </c>
      <c r="I618" s="131">
        <v>0</v>
      </c>
      <c r="J618" s="132">
        <v>3264</v>
      </c>
      <c r="K618" s="131">
        <v>5760</v>
      </c>
      <c r="L618" s="132">
        <f>I618+J618+K618</f>
        <v>9024</v>
      </c>
      <c r="M618" s="1788">
        <v>4.0999999999999996</v>
      </c>
      <c r="N618" s="1789"/>
    </row>
    <row r="619" spans="1:14" ht="14" thickBot="1">
      <c r="A619" s="256" t="s">
        <v>60</v>
      </c>
      <c r="B619" s="1438">
        <f>SUM(B618)</f>
        <v>96</v>
      </c>
      <c r="C619" s="1439"/>
      <c r="D619" s="1440">
        <f>SUM(D618)</f>
        <v>1085474.8511999999</v>
      </c>
      <c r="E619" s="1440"/>
      <c r="F619" s="1511">
        <f>SUM(F618)</f>
        <v>3.3311999999999999</v>
      </c>
      <c r="G619" s="1575"/>
      <c r="H619" s="703">
        <f>SUM(H618)</f>
        <v>66.623999999999995</v>
      </c>
      <c r="I619" s="143">
        <f>SUM(I618)</f>
        <v>0</v>
      </c>
      <c r="J619" s="152">
        <f>SUM(J618)</f>
        <v>3264</v>
      </c>
      <c r="K619" s="143">
        <f>SUM(K618)</f>
        <v>5760</v>
      </c>
      <c r="L619" s="136">
        <f>SUM(L618)</f>
        <v>9024</v>
      </c>
      <c r="M619" s="1657"/>
      <c r="N619" s="1790"/>
    </row>
    <row r="620" spans="1:14" s="1168" customFormat="1" ht="17" thickBot="1">
      <c r="A620" s="110" t="s">
        <v>50</v>
      </c>
      <c r="B620" s="1456"/>
      <c r="C620" s="1586"/>
      <c r="D620" s="1457"/>
      <c r="E620" s="1457"/>
      <c r="F620" s="1587"/>
      <c r="G620" s="1588"/>
      <c r="H620" s="1158"/>
      <c r="I620" s="161"/>
      <c r="J620" s="162"/>
      <c r="K620" s="161"/>
      <c r="L620" s="162"/>
      <c r="M620" s="1617"/>
      <c r="N620" s="1486"/>
    </row>
    <row r="621" spans="1:14">
      <c r="A621" s="1" t="s">
        <v>13</v>
      </c>
      <c r="B621" s="2000">
        <v>0</v>
      </c>
      <c r="C621" s="1743"/>
      <c r="D621" s="1444">
        <f>F621*325851</f>
        <v>0</v>
      </c>
      <c r="E621" s="1444"/>
      <c r="F621" s="1756">
        <f>0.0276*B621</f>
        <v>0</v>
      </c>
      <c r="G621" s="1757"/>
      <c r="H621" s="940">
        <f>F621*15</f>
        <v>0</v>
      </c>
      <c r="I621" s="131">
        <v>0</v>
      </c>
      <c r="J621" s="132">
        <v>0</v>
      </c>
      <c r="K621" s="131">
        <v>0</v>
      </c>
      <c r="L621" s="132">
        <f>I621+J621+K621</f>
        <v>0</v>
      </c>
      <c r="M621" s="1758">
        <v>0</v>
      </c>
      <c r="N621" s="1759"/>
    </row>
    <row r="622" spans="1:14">
      <c r="A622" s="5" t="s">
        <v>75</v>
      </c>
      <c r="B622" s="2000">
        <v>43</v>
      </c>
      <c r="C622" s="1743"/>
      <c r="D622" s="1444">
        <f>F622*325851</f>
        <v>2149378.3662</v>
      </c>
      <c r="E622" s="1444"/>
      <c r="F622" s="1756">
        <f>0.1534*B622</f>
        <v>6.5962000000000005</v>
      </c>
      <c r="G622" s="1757"/>
      <c r="H622" s="940">
        <f>F622*5</f>
        <v>32.981000000000002</v>
      </c>
      <c r="I622" s="131">
        <v>0</v>
      </c>
      <c r="J622" s="132">
        <v>4300</v>
      </c>
      <c r="K622" s="131">
        <v>4300</v>
      </c>
      <c r="L622" s="132">
        <f>I622+J622+K622</f>
        <v>8600</v>
      </c>
      <c r="M622" s="1788">
        <v>3.1</v>
      </c>
      <c r="N622" s="1789"/>
    </row>
    <row r="623" spans="1:14">
      <c r="A623" s="5" t="s">
        <v>71</v>
      </c>
      <c r="B623" s="2000">
        <v>1</v>
      </c>
      <c r="C623" s="1743"/>
      <c r="D623" s="1444">
        <f>F623*325851</f>
        <v>49985.543400000002</v>
      </c>
      <c r="E623" s="1444"/>
      <c r="F623" s="1756">
        <f>0.1534*B623</f>
        <v>0.15340000000000001</v>
      </c>
      <c r="G623" s="1757"/>
      <c r="H623" s="940">
        <f>F623*5</f>
        <v>0.76700000000000002</v>
      </c>
      <c r="I623" s="131">
        <v>0</v>
      </c>
      <c r="J623" s="132">
        <v>0</v>
      </c>
      <c r="K623" s="131">
        <v>100</v>
      </c>
      <c r="L623" s="132">
        <f>I623+J623+K623</f>
        <v>100</v>
      </c>
      <c r="M623" s="1788">
        <v>1.2</v>
      </c>
      <c r="N623" s="1789"/>
    </row>
    <row r="624" spans="1:14" ht="14" thickBot="1">
      <c r="A624" s="673" t="s">
        <v>16</v>
      </c>
      <c r="B624" s="2000">
        <v>0</v>
      </c>
      <c r="C624" s="1743"/>
      <c r="D624" s="1444">
        <f>F624*325851</f>
        <v>0</v>
      </c>
      <c r="E624" s="1444"/>
      <c r="F624" s="1756">
        <f>0.004*B624</f>
        <v>0</v>
      </c>
      <c r="G624" s="1757"/>
      <c r="H624" s="940">
        <f>F624*5</f>
        <v>0</v>
      </c>
      <c r="I624" s="131">
        <v>0</v>
      </c>
      <c r="J624" s="132">
        <v>0</v>
      </c>
      <c r="K624" s="131">
        <v>0</v>
      </c>
      <c r="L624" s="132">
        <f>I624+J624+K624</f>
        <v>0</v>
      </c>
      <c r="M624" s="1758">
        <v>0</v>
      </c>
      <c r="N624" s="1759"/>
    </row>
    <row r="625" spans="1:14" ht="14" thickBot="1">
      <c r="A625" s="256" t="s">
        <v>60</v>
      </c>
      <c r="B625" s="1438">
        <f>SUM(B621:C624)</f>
        <v>44</v>
      </c>
      <c r="C625" s="1609"/>
      <c r="D625" s="1440">
        <f>SUM(D621:E624)</f>
        <v>2199363.9095999999</v>
      </c>
      <c r="E625" s="1621"/>
      <c r="F625" s="1511">
        <f>SUM(F621:G624)</f>
        <v>6.7496000000000009</v>
      </c>
      <c r="G625" s="1575"/>
      <c r="H625" s="611">
        <f>SUM(H621:H624)</f>
        <v>33.748000000000005</v>
      </c>
      <c r="I625" s="143">
        <f>SUM(I621:I624)</f>
        <v>0</v>
      </c>
      <c r="J625" s="152">
        <f>SUM(J621:J624)</f>
        <v>4300</v>
      </c>
      <c r="K625" s="143">
        <f>SUM(K621:K624)</f>
        <v>4400</v>
      </c>
      <c r="L625" s="152">
        <f>SUM(L621:L624)</f>
        <v>8700</v>
      </c>
      <c r="M625" s="1657"/>
      <c r="N625" s="1622"/>
    </row>
    <row r="626" spans="1:14" s="1168" customFormat="1" ht="17" thickBot="1">
      <c r="A626" s="1183" t="s">
        <v>17</v>
      </c>
      <c r="B626" s="1665">
        <f>SUM(B625,B619,B616)</f>
        <v>1550</v>
      </c>
      <c r="C626" s="1684"/>
      <c r="D626" s="1665">
        <f>SUM(D625,D619,D616)</f>
        <v>18124930.234500002</v>
      </c>
      <c r="E626" s="1684"/>
      <c r="F626" s="1666">
        <f>SUM(F625,F619,F616)</f>
        <v>55.619500000000002</v>
      </c>
      <c r="G626" s="1667"/>
      <c r="H626" s="1254">
        <f>SUM(H625,H619,H616)</f>
        <v>892.274</v>
      </c>
      <c r="I626" s="1188">
        <f>I616+I619+I625</f>
        <v>0</v>
      </c>
      <c r="J626" s="1188">
        <f>SUM(J625,J619,J616)</f>
        <v>12196</v>
      </c>
      <c r="K626" s="1188">
        <f>SUM(K625,K619,K616)</f>
        <v>121560</v>
      </c>
      <c r="L626" s="1188">
        <f>SUM(L625,L619,L616)</f>
        <v>133756</v>
      </c>
      <c r="M626" s="1668"/>
      <c r="N626" s="1669"/>
    </row>
    <row r="628" spans="1:14" ht="14" thickBot="1"/>
    <row r="629" spans="1:14" ht="24" thickBot="1">
      <c r="A629" s="88" t="s">
        <v>137</v>
      </c>
      <c r="B629" s="675"/>
      <c r="C629" s="676"/>
      <c r="D629" s="675"/>
      <c r="E629" s="676"/>
      <c r="F629" s="677"/>
      <c r="G629" s="678"/>
      <c r="H629" s="678"/>
      <c r="I629" s="679"/>
      <c r="J629" s="679"/>
      <c r="K629" s="679"/>
      <c r="L629" s="679"/>
      <c r="M629" s="680"/>
      <c r="N629" s="681"/>
    </row>
    <row r="630" spans="1:14" s="1168" customFormat="1" ht="17" thickBot="1">
      <c r="A630" s="110" t="s">
        <v>74</v>
      </c>
      <c r="B630" s="1647"/>
      <c r="C630" s="1648"/>
      <c r="D630" s="1989"/>
      <c r="E630" s="1648"/>
      <c r="F630" s="2167"/>
      <c r="G630" s="2168"/>
      <c r="H630" s="1255"/>
      <c r="I630" s="1210"/>
      <c r="J630" s="1210"/>
      <c r="K630" s="1210"/>
      <c r="L630" s="1160"/>
      <c r="M630" s="2029"/>
      <c r="N630" s="2030"/>
    </row>
    <row r="631" spans="1:14">
      <c r="A631" s="672" t="s">
        <v>62</v>
      </c>
      <c r="B631" s="2126">
        <v>393</v>
      </c>
      <c r="C631" s="1915"/>
      <c r="D631" s="1767">
        <f>F631*325851</f>
        <v>4443662.6721000001</v>
      </c>
      <c r="E631" s="1767"/>
      <c r="F631" s="2122">
        <f>0.0347*B631</f>
        <v>13.6371</v>
      </c>
      <c r="G631" s="2123"/>
      <c r="H631" s="979">
        <f>F631*20</f>
        <v>272.74200000000002</v>
      </c>
      <c r="I631" s="147">
        <v>0</v>
      </c>
      <c r="J631" s="147">
        <v>786</v>
      </c>
      <c r="K631" s="147">
        <v>23580</v>
      </c>
      <c r="L631" s="147">
        <f>SUM(I631:K631)</f>
        <v>24366</v>
      </c>
      <c r="M631" s="2169">
        <v>4.7</v>
      </c>
      <c r="N631" s="2170"/>
    </row>
    <row r="632" spans="1:14">
      <c r="A632" s="68" t="s">
        <v>63</v>
      </c>
      <c r="B632" s="2000">
        <v>66</v>
      </c>
      <c r="C632" s="1743"/>
      <c r="D632" s="1444">
        <f>F632*325851</f>
        <v>746263.96019999997</v>
      </c>
      <c r="E632" s="1444"/>
      <c r="F632" s="1756">
        <f>0.0347*B632</f>
        <v>2.2902</v>
      </c>
      <c r="G632" s="1757"/>
      <c r="H632" s="941">
        <f>F632*20</f>
        <v>45.804000000000002</v>
      </c>
      <c r="I632" s="131">
        <v>0</v>
      </c>
      <c r="J632" s="131">
        <v>726</v>
      </c>
      <c r="K632" s="131">
        <v>3960</v>
      </c>
      <c r="L632" s="131">
        <f>SUM(I632:K632)</f>
        <v>4686</v>
      </c>
      <c r="M632" s="1788">
        <v>5.3</v>
      </c>
      <c r="N632" s="1789"/>
    </row>
    <row r="633" spans="1:14">
      <c r="A633" s="68" t="s">
        <v>64</v>
      </c>
      <c r="B633" s="2000">
        <v>84</v>
      </c>
      <c r="C633" s="1743"/>
      <c r="D633" s="1444">
        <f>F633*325851</f>
        <v>949790.49479999999</v>
      </c>
      <c r="E633" s="1444"/>
      <c r="F633" s="1756">
        <f>0.0347*B633</f>
        <v>2.9148000000000001</v>
      </c>
      <c r="G633" s="1757"/>
      <c r="H633" s="941">
        <f>F633*20</f>
        <v>58.295999999999999</v>
      </c>
      <c r="I633" s="131">
        <v>0</v>
      </c>
      <c r="J633" s="131">
        <v>84</v>
      </c>
      <c r="K633" s="131">
        <v>5040</v>
      </c>
      <c r="L633" s="131">
        <f>SUM(I633:K633)</f>
        <v>5124</v>
      </c>
      <c r="M633" s="1788">
        <v>4.7</v>
      </c>
      <c r="N633" s="1789"/>
    </row>
    <row r="634" spans="1:14">
      <c r="A634" s="2" t="s">
        <v>13</v>
      </c>
      <c r="B634" s="2000">
        <v>435</v>
      </c>
      <c r="C634" s="1743"/>
      <c r="D634" s="1444">
        <f>F634*325851</f>
        <v>3912167.1060000001</v>
      </c>
      <c r="E634" s="1444"/>
      <c r="F634" s="1756">
        <f>0.0276*B634</f>
        <v>12.006</v>
      </c>
      <c r="G634" s="1757"/>
      <c r="H634" s="941">
        <f>F634*15</f>
        <v>180.09</v>
      </c>
      <c r="I634" s="131">
        <v>0</v>
      </c>
      <c r="J634" s="131">
        <v>435</v>
      </c>
      <c r="K634" s="131">
        <v>47850</v>
      </c>
      <c r="L634" s="131">
        <f>I634+J634+K634</f>
        <v>48285</v>
      </c>
      <c r="M634" s="1788">
        <v>5.7</v>
      </c>
      <c r="N634" s="1789"/>
    </row>
    <row r="635" spans="1:14" ht="14" thickBot="1">
      <c r="A635" s="674" t="s">
        <v>14</v>
      </c>
      <c r="B635" s="2000">
        <v>73</v>
      </c>
      <c r="C635" s="1743"/>
      <c r="D635" s="1444">
        <v>1246986</v>
      </c>
      <c r="E635" s="1444"/>
      <c r="F635" s="1756">
        <v>3.83</v>
      </c>
      <c r="G635" s="1757"/>
      <c r="H635" s="941">
        <f>F635*5</f>
        <v>19.149999999999999</v>
      </c>
      <c r="I635" s="131">
        <v>0</v>
      </c>
      <c r="J635" s="131">
        <v>3869</v>
      </c>
      <c r="K635" s="131">
        <v>0</v>
      </c>
      <c r="L635" s="131">
        <f>I635+J635+K635</f>
        <v>3869</v>
      </c>
      <c r="M635" s="1788">
        <v>2.4</v>
      </c>
      <c r="N635" s="1789"/>
    </row>
    <row r="636" spans="1:14" ht="14" thickBot="1">
      <c r="A636" s="256" t="s">
        <v>60</v>
      </c>
      <c r="B636" s="1438">
        <f>SUM(B631:C635)</f>
        <v>1051</v>
      </c>
      <c r="C636" s="1609"/>
      <c r="D636" s="1440">
        <f>SUM(D631:E635)</f>
        <v>11298870.233100001</v>
      </c>
      <c r="E636" s="1621"/>
      <c r="F636" s="1511">
        <f>SUM(F631:G635)</f>
        <v>34.678100000000001</v>
      </c>
      <c r="G636" s="1575"/>
      <c r="H636" s="704">
        <f>SUM(H631:H635)</f>
        <v>576.08199999999999</v>
      </c>
      <c r="I636" s="136">
        <f>SUM(I631:I635)</f>
        <v>0</v>
      </c>
      <c r="J636" s="136">
        <f>SUM(J631:J635)</f>
        <v>5900</v>
      </c>
      <c r="K636" s="136">
        <f>SUM(K631:K635)</f>
        <v>80430</v>
      </c>
      <c r="L636" s="136">
        <f>SUM(L631:L635)</f>
        <v>86330</v>
      </c>
      <c r="M636" s="1657"/>
      <c r="N636" s="1622"/>
    </row>
    <row r="637" spans="1:14" s="1168" customFormat="1" ht="17" thickBot="1">
      <c r="A637" s="110" t="s">
        <v>147</v>
      </c>
      <c r="B637" s="1456"/>
      <c r="C637" s="1586"/>
      <c r="D637" s="1457"/>
      <c r="E637" s="1457"/>
      <c r="F637" s="1587"/>
      <c r="G637" s="1588"/>
      <c r="H637" s="1145"/>
      <c r="I637" s="161"/>
      <c r="J637" s="161"/>
      <c r="K637" s="161"/>
      <c r="L637" s="162"/>
      <c r="M637" s="1617"/>
      <c r="N637" s="1486"/>
    </row>
    <row r="638" spans="1:14" ht="14" thickBot="1">
      <c r="A638" s="2" t="s">
        <v>11</v>
      </c>
      <c r="B638" s="2000">
        <v>3</v>
      </c>
      <c r="C638" s="1743"/>
      <c r="D638" s="1444">
        <f>F638*325851</f>
        <v>33921.089099999997</v>
      </c>
      <c r="E638" s="1444"/>
      <c r="F638" s="2119">
        <f>0.0347*B638</f>
        <v>0.1041</v>
      </c>
      <c r="G638" s="2120"/>
      <c r="H638" s="970">
        <f>F638*20</f>
        <v>2.0819999999999999</v>
      </c>
      <c r="I638" s="131">
        <v>0</v>
      </c>
      <c r="J638" s="131">
        <v>102</v>
      </c>
      <c r="K638" s="131">
        <v>180</v>
      </c>
      <c r="L638" s="131">
        <f>SUM(I638:K638)</f>
        <v>282</v>
      </c>
      <c r="M638" s="1788">
        <v>3.3</v>
      </c>
      <c r="N638" s="1789"/>
    </row>
    <row r="639" spans="1:14" ht="14" thickBot="1">
      <c r="A639" s="256" t="s">
        <v>60</v>
      </c>
      <c r="B639" s="1438">
        <f>SUM(B638)</f>
        <v>3</v>
      </c>
      <c r="C639" s="1609"/>
      <c r="D639" s="1440">
        <f>SUM(D638)</f>
        <v>33921.089099999997</v>
      </c>
      <c r="E639" s="1621"/>
      <c r="F639" s="2171">
        <f>F638</f>
        <v>0.1041</v>
      </c>
      <c r="G639" s="1858"/>
      <c r="H639" s="704">
        <f>SUM(H638)</f>
        <v>2.0819999999999999</v>
      </c>
      <c r="I639" s="136">
        <f>SUM(I638)</f>
        <v>0</v>
      </c>
      <c r="J639" s="136">
        <f>SUM(J638)</f>
        <v>102</v>
      </c>
      <c r="K639" s="136">
        <f>SUM(K638)</f>
        <v>180</v>
      </c>
      <c r="L639" s="136">
        <f>SUM(L638)</f>
        <v>282</v>
      </c>
      <c r="M639" s="1657"/>
      <c r="N639" s="1622"/>
    </row>
    <row r="640" spans="1:14" s="1168" customFormat="1" ht="17" thickBot="1">
      <c r="A640" s="110" t="s">
        <v>50</v>
      </c>
      <c r="B640" s="1456"/>
      <c r="C640" s="1586"/>
      <c r="D640" s="1457"/>
      <c r="E640" s="1457"/>
      <c r="F640" s="1587"/>
      <c r="G640" s="1588"/>
      <c r="H640" s="1145"/>
      <c r="I640" s="161"/>
      <c r="J640" s="161"/>
      <c r="K640" s="161"/>
      <c r="L640" s="162"/>
      <c r="M640" s="1617"/>
      <c r="N640" s="1486"/>
    </row>
    <row r="641" spans="1:14">
      <c r="A641" s="1" t="s">
        <v>13</v>
      </c>
      <c r="B641" s="2160">
        <v>9</v>
      </c>
      <c r="C641" s="1786"/>
      <c r="D641" s="1444">
        <f>F641*325851</f>
        <v>80941.388399999996</v>
      </c>
      <c r="E641" s="1444"/>
      <c r="F641" s="1756">
        <f>0.0276*B641</f>
        <v>0.24840000000000001</v>
      </c>
      <c r="G641" s="1757"/>
      <c r="H641" s="941">
        <f>F641*15</f>
        <v>3.726</v>
      </c>
      <c r="I641" s="175">
        <v>0</v>
      </c>
      <c r="J641" s="175">
        <v>0</v>
      </c>
      <c r="K641" s="175">
        <v>2250</v>
      </c>
      <c r="L641" s="131">
        <f>I641+J641+K641</f>
        <v>2250</v>
      </c>
      <c r="M641" s="1928">
        <v>4.9000000000000004</v>
      </c>
      <c r="N641" s="1929"/>
    </row>
    <row r="642" spans="1:14">
      <c r="A642" s="2" t="s">
        <v>15</v>
      </c>
      <c r="B642" s="2000">
        <v>9</v>
      </c>
      <c r="C642" s="1743"/>
      <c r="D642" s="1444">
        <f>F642*325851</f>
        <v>449869.89060000004</v>
      </c>
      <c r="E642" s="1444"/>
      <c r="F642" s="1756">
        <f>0.1534*B642</f>
        <v>1.3806</v>
      </c>
      <c r="G642" s="1757"/>
      <c r="H642" s="941">
        <f>F642*5</f>
        <v>6.9030000000000005</v>
      </c>
      <c r="I642" s="131">
        <v>0</v>
      </c>
      <c r="J642" s="131">
        <v>900</v>
      </c>
      <c r="K642" s="131">
        <v>900</v>
      </c>
      <c r="L642" s="131">
        <f>I642+J642+K642</f>
        <v>1800</v>
      </c>
      <c r="M642" s="1788">
        <v>3.1</v>
      </c>
      <c r="N642" s="1789"/>
    </row>
    <row r="643" spans="1:14">
      <c r="A643" s="5" t="s">
        <v>16</v>
      </c>
      <c r="B643" s="2160">
        <v>75</v>
      </c>
      <c r="C643" s="1786"/>
      <c r="D643" s="1444">
        <f>F643*325851</f>
        <v>97755.3</v>
      </c>
      <c r="E643" s="1444"/>
      <c r="F643" s="1756">
        <f>0.004*B643</f>
        <v>0.3</v>
      </c>
      <c r="G643" s="1757"/>
      <c r="H643" s="941">
        <f>F643*5</f>
        <v>1.5</v>
      </c>
      <c r="I643" s="175">
        <v>0</v>
      </c>
      <c r="J643" s="175">
        <v>0</v>
      </c>
      <c r="K643" s="175">
        <v>3750</v>
      </c>
      <c r="L643" s="131">
        <f>I643+J643+K643</f>
        <v>3750</v>
      </c>
      <c r="M643" s="1926">
        <v>0.5</v>
      </c>
      <c r="N643" s="1927"/>
    </row>
    <row r="644" spans="1:14">
      <c r="A644" s="5" t="s">
        <v>12</v>
      </c>
      <c r="B644" s="2000">
        <v>3</v>
      </c>
      <c r="C644" s="1743"/>
      <c r="D644" s="1444">
        <f>F644*325851</f>
        <v>3128169.6000000006</v>
      </c>
      <c r="E644" s="1444"/>
      <c r="F644" s="1756">
        <f>3.2*B644</f>
        <v>9.6000000000000014</v>
      </c>
      <c r="G644" s="1757"/>
      <c r="H644" s="941">
        <f>F644*5</f>
        <v>48.000000000000007</v>
      </c>
      <c r="I644" s="131">
        <v>0</v>
      </c>
      <c r="J644" s="131">
        <v>0</v>
      </c>
      <c r="K644" s="131">
        <v>6000</v>
      </c>
      <c r="L644" s="132">
        <f>I644+J644+K644</f>
        <v>6000</v>
      </c>
      <c r="M644" s="1788">
        <v>1.5</v>
      </c>
      <c r="N644" s="1789"/>
    </row>
    <row r="645" spans="1:14" ht="14" thickBot="1">
      <c r="A645" s="674" t="s">
        <v>21</v>
      </c>
      <c r="B645" s="2172" t="s">
        <v>22</v>
      </c>
      <c r="C645" s="1745"/>
      <c r="D645" s="1768" t="s">
        <v>22</v>
      </c>
      <c r="E645" s="1768"/>
      <c r="F645" s="2118" t="s">
        <v>22</v>
      </c>
      <c r="G645" s="1763"/>
      <c r="H645" s="965" t="s">
        <v>22</v>
      </c>
      <c r="I645" s="148" t="s">
        <v>22</v>
      </c>
      <c r="J645" s="148" t="s">
        <v>22</v>
      </c>
      <c r="K645" s="148" t="s">
        <v>22</v>
      </c>
      <c r="L645" s="148" t="s">
        <v>22</v>
      </c>
      <c r="M645" s="2177" t="s">
        <v>22</v>
      </c>
      <c r="N645" s="1818"/>
    </row>
    <row r="646" spans="1:14" ht="14" thickBot="1">
      <c r="A646" s="256" t="s">
        <v>60</v>
      </c>
      <c r="B646" s="2180">
        <f>SUM(B641:C645)</f>
        <v>96</v>
      </c>
      <c r="C646" s="2181"/>
      <c r="D646" s="2180">
        <f>SUM(D641:E645)</f>
        <v>3756736.1790000005</v>
      </c>
      <c r="E646" s="2182"/>
      <c r="F646" s="2173">
        <f>SUM(F641:G645)</f>
        <v>11.529000000000002</v>
      </c>
      <c r="G646" s="2174"/>
      <c r="H646" s="635">
        <f>SUM(H641:H645)</f>
        <v>60.129000000000005</v>
      </c>
      <c r="I646" s="682">
        <f>SUM(I641:I645)</f>
        <v>0</v>
      </c>
      <c r="J646" s="682">
        <f>SUM(J641:J645)</f>
        <v>900</v>
      </c>
      <c r="K646" s="682">
        <f>SUM(K641:K645)</f>
        <v>12900</v>
      </c>
      <c r="L646" s="682">
        <f>SUM(L641:L645)</f>
        <v>13800</v>
      </c>
      <c r="M646" s="2175"/>
      <c r="N646" s="2176"/>
    </row>
    <row r="647" spans="1:14" s="1168" customFormat="1" ht="17" thickBot="1">
      <c r="A647" s="1183" t="s">
        <v>17</v>
      </c>
      <c r="B647" s="1665">
        <f>SUM(B646,B639,B636)</f>
        <v>1150</v>
      </c>
      <c r="C647" s="1664"/>
      <c r="D647" s="1665">
        <f>SUM(D646,D639,D636)</f>
        <v>15089527.501200002</v>
      </c>
      <c r="E647" s="1664"/>
      <c r="F647" s="1666">
        <f>SUM(F646,F639,F636)</f>
        <v>46.311199999999999</v>
      </c>
      <c r="G647" s="1667"/>
      <c r="H647" s="1254">
        <f>SUM(H646,H639,H636)</f>
        <v>638.29300000000001</v>
      </c>
      <c r="I647" s="1188">
        <f>I635+I638+I646</f>
        <v>0</v>
      </c>
      <c r="J647" s="1188">
        <f>SUM(J646,J639,J636)</f>
        <v>6902</v>
      </c>
      <c r="K647" s="1188">
        <f>SUM(K646,K639,K636)</f>
        <v>93510</v>
      </c>
      <c r="L647" s="1188">
        <f>SUM(L646,L639,L636)</f>
        <v>100412</v>
      </c>
      <c r="M647" s="1668"/>
      <c r="N647" s="1669"/>
    </row>
    <row r="649" spans="1:14" ht="15">
      <c r="A649" s="9" t="s">
        <v>18</v>
      </c>
      <c r="B649" s="1695" t="s">
        <v>59</v>
      </c>
      <c r="C649" s="1566"/>
      <c r="D649" s="1566"/>
      <c r="E649" s="1821"/>
    </row>
    <row r="650" spans="1:14">
      <c r="B650" s="1420" t="s">
        <v>19</v>
      </c>
      <c r="C650" s="1420"/>
      <c r="D650" s="1420"/>
      <c r="E650" s="1420"/>
    </row>
  </sheetData>
  <mergeCells count="2295">
    <mergeCell ref="B37:C37"/>
    <mergeCell ref="D37:E37"/>
    <mergeCell ref="F37:G37"/>
    <mergeCell ref="M37:N37"/>
    <mergeCell ref="B39:E39"/>
    <mergeCell ref="B40:E40"/>
    <mergeCell ref="B32:C32"/>
    <mergeCell ref="D32:E32"/>
    <mergeCell ref="F32:G32"/>
    <mergeCell ref="M32:N32"/>
    <mergeCell ref="B33:C33"/>
    <mergeCell ref="D33:E33"/>
    <mergeCell ref="F33:G33"/>
    <mergeCell ref="M33:N33"/>
    <mergeCell ref="B34:C34"/>
    <mergeCell ref="D34:E34"/>
    <mergeCell ref="F34:G34"/>
    <mergeCell ref="B35:C35"/>
    <mergeCell ref="D35:E35"/>
    <mergeCell ref="F35:G35"/>
    <mergeCell ref="M35:N35"/>
    <mergeCell ref="B36:C36"/>
    <mergeCell ref="D36:E36"/>
    <mergeCell ref="F36:G36"/>
    <mergeCell ref="M36:N36"/>
    <mergeCell ref="B27:C27"/>
    <mergeCell ref="D27:E27"/>
    <mergeCell ref="F27:G27"/>
    <mergeCell ref="M27:N27"/>
    <mergeCell ref="B28:C28"/>
    <mergeCell ref="D28:E28"/>
    <mergeCell ref="F28:G28"/>
    <mergeCell ref="M28:N28"/>
    <mergeCell ref="B29:C29"/>
    <mergeCell ref="D29:E29"/>
    <mergeCell ref="F29:G29"/>
    <mergeCell ref="M29:N29"/>
    <mergeCell ref="B30:C30"/>
    <mergeCell ref="D30:E30"/>
    <mergeCell ref="F30:G30"/>
    <mergeCell ref="M30:N30"/>
    <mergeCell ref="B31:C31"/>
    <mergeCell ref="D31:E31"/>
    <mergeCell ref="F31:G31"/>
    <mergeCell ref="M31:N31"/>
    <mergeCell ref="B22:C22"/>
    <mergeCell ref="D22:E22"/>
    <mergeCell ref="F22:G22"/>
    <mergeCell ref="M22:N22"/>
    <mergeCell ref="B23:C23"/>
    <mergeCell ref="D23:E23"/>
    <mergeCell ref="F23:G23"/>
    <mergeCell ref="M23:N23"/>
    <mergeCell ref="B24:C24"/>
    <mergeCell ref="D24:E24"/>
    <mergeCell ref="F24:G24"/>
    <mergeCell ref="M24:N24"/>
    <mergeCell ref="B25:C25"/>
    <mergeCell ref="D25:E25"/>
    <mergeCell ref="F25:G25"/>
    <mergeCell ref="M25:N25"/>
    <mergeCell ref="B26:C26"/>
    <mergeCell ref="D26:E26"/>
    <mergeCell ref="F26:G26"/>
    <mergeCell ref="M26:N26"/>
    <mergeCell ref="B16:C16"/>
    <mergeCell ref="D16:E16"/>
    <mergeCell ref="F16:G16"/>
    <mergeCell ref="M16:N16"/>
    <mergeCell ref="B17:C17"/>
    <mergeCell ref="D17:E17"/>
    <mergeCell ref="F17:G17"/>
    <mergeCell ref="M17:N17"/>
    <mergeCell ref="B18:C18"/>
    <mergeCell ref="D18:E18"/>
    <mergeCell ref="F18:G18"/>
    <mergeCell ref="M18:N18"/>
    <mergeCell ref="B20:C20"/>
    <mergeCell ref="D20:E20"/>
    <mergeCell ref="F20:G20"/>
    <mergeCell ref="M20:N20"/>
    <mergeCell ref="B21:C21"/>
    <mergeCell ref="D21:E21"/>
    <mergeCell ref="F21:G21"/>
    <mergeCell ref="B19:C19"/>
    <mergeCell ref="D19:E19"/>
    <mergeCell ref="F19:G19"/>
    <mergeCell ref="M19:N19"/>
    <mergeCell ref="B11:C11"/>
    <mergeCell ref="D11:E11"/>
    <mergeCell ref="F11:G11"/>
    <mergeCell ref="M11:N11"/>
    <mergeCell ref="B12:C12"/>
    <mergeCell ref="D12:E12"/>
    <mergeCell ref="F12:G12"/>
    <mergeCell ref="M12:N12"/>
    <mergeCell ref="B13:C13"/>
    <mergeCell ref="D13:E13"/>
    <mergeCell ref="F13:G13"/>
    <mergeCell ref="M13:N13"/>
    <mergeCell ref="B14:C14"/>
    <mergeCell ref="D14:E14"/>
    <mergeCell ref="F14:G14"/>
    <mergeCell ref="B15:C15"/>
    <mergeCell ref="D15:E15"/>
    <mergeCell ref="F15:G15"/>
    <mergeCell ref="M15:N15"/>
    <mergeCell ref="B6:C6"/>
    <mergeCell ref="D6:E6"/>
    <mergeCell ref="F6:G6"/>
    <mergeCell ref="M6:N6"/>
    <mergeCell ref="B7:C7"/>
    <mergeCell ref="D7:E7"/>
    <mergeCell ref="F7:G7"/>
    <mergeCell ref="M7:N7"/>
    <mergeCell ref="B8:C8"/>
    <mergeCell ref="D8:E8"/>
    <mergeCell ref="F8:G8"/>
    <mergeCell ref="M8:N8"/>
    <mergeCell ref="B9:C9"/>
    <mergeCell ref="D9:E9"/>
    <mergeCell ref="F9:G9"/>
    <mergeCell ref="M9:N9"/>
    <mergeCell ref="B10:C10"/>
    <mergeCell ref="D10:E10"/>
    <mergeCell ref="F10:G10"/>
    <mergeCell ref="M10:N10"/>
    <mergeCell ref="I1:L1"/>
    <mergeCell ref="B2:C2"/>
    <mergeCell ref="D2:E2"/>
    <mergeCell ref="F2:G2"/>
    <mergeCell ref="M2:N2"/>
    <mergeCell ref="B3:C3"/>
    <mergeCell ref="D3:E3"/>
    <mergeCell ref="F3:G3"/>
    <mergeCell ref="M3:N3"/>
    <mergeCell ref="B4:C4"/>
    <mergeCell ref="D4:E4"/>
    <mergeCell ref="F4:G4"/>
    <mergeCell ref="M4:N4"/>
    <mergeCell ref="B5:C5"/>
    <mergeCell ref="D5:E5"/>
    <mergeCell ref="F5:G5"/>
    <mergeCell ref="M5:N5"/>
    <mergeCell ref="B76:C76"/>
    <mergeCell ref="D76:E76"/>
    <mergeCell ref="F76:G76"/>
    <mergeCell ref="M76:N76"/>
    <mergeCell ref="B78:E78"/>
    <mergeCell ref="B79:E79"/>
    <mergeCell ref="B71:C71"/>
    <mergeCell ref="D71:E71"/>
    <mergeCell ref="F71:G71"/>
    <mergeCell ref="M71:N71"/>
    <mergeCell ref="B72:C72"/>
    <mergeCell ref="D72:E72"/>
    <mergeCell ref="F72:G72"/>
    <mergeCell ref="M72:N72"/>
    <mergeCell ref="B73:C73"/>
    <mergeCell ref="D73:E73"/>
    <mergeCell ref="F73:G73"/>
    <mergeCell ref="B74:C74"/>
    <mergeCell ref="D74:E74"/>
    <mergeCell ref="F74:G74"/>
    <mergeCell ref="M74:N74"/>
    <mergeCell ref="B75:C75"/>
    <mergeCell ref="D75:E75"/>
    <mergeCell ref="F75:G75"/>
    <mergeCell ref="M75:N75"/>
    <mergeCell ref="B66:C66"/>
    <mergeCell ref="D66:E66"/>
    <mergeCell ref="F66:G66"/>
    <mergeCell ref="M66:N66"/>
    <mergeCell ref="B67:C67"/>
    <mergeCell ref="D67:E67"/>
    <mergeCell ref="F67:G67"/>
    <mergeCell ref="M67:N67"/>
    <mergeCell ref="B68:C68"/>
    <mergeCell ref="D68:E68"/>
    <mergeCell ref="F68:G68"/>
    <mergeCell ref="M68:N68"/>
    <mergeCell ref="B69:C69"/>
    <mergeCell ref="D69:E69"/>
    <mergeCell ref="F69:G69"/>
    <mergeCell ref="M69:N69"/>
    <mergeCell ref="B70:C70"/>
    <mergeCell ref="D70:E70"/>
    <mergeCell ref="F70:G70"/>
    <mergeCell ref="M70:N70"/>
    <mergeCell ref="B61:C61"/>
    <mergeCell ref="D61:E61"/>
    <mergeCell ref="F61:G61"/>
    <mergeCell ref="M61:N61"/>
    <mergeCell ref="B62:C62"/>
    <mergeCell ref="D62:E62"/>
    <mergeCell ref="F62:G62"/>
    <mergeCell ref="M62:N62"/>
    <mergeCell ref="B63:C63"/>
    <mergeCell ref="D63:E63"/>
    <mergeCell ref="F63:G63"/>
    <mergeCell ref="M63:N63"/>
    <mergeCell ref="B64:C64"/>
    <mergeCell ref="D64:E64"/>
    <mergeCell ref="F64:G64"/>
    <mergeCell ref="M64:N64"/>
    <mergeCell ref="B65:C65"/>
    <mergeCell ref="D65:E65"/>
    <mergeCell ref="F65:G65"/>
    <mergeCell ref="M65:N65"/>
    <mergeCell ref="B56:C56"/>
    <mergeCell ref="D56:E56"/>
    <mergeCell ref="F56:G56"/>
    <mergeCell ref="M56:N56"/>
    <mergeCell ref="B57:C57"/>
    <mergeCell ref="D57:E57"/>
    <mergeCell ref="F57:G57"/>
    <mergeCell ref="M57:N57"/>
    <mergeCell ref="B58:C58"/>
    <mergeCell ref="D58:E58"/>
    <mergeCell ref="F58:G58"/>
    <mergeCell ref="M58:N58"/>
    <mergeCell ref="B59:C59"/>
    <mergeCell ref="D59:E59"/>
    <mergeCell ref="F59:G59"/>
    <mergeCell ref="M59:N59"/>
    <mergeCell ref="B60:C60"/>
    <mergeCell ref="D60:E60"/>
    <mergeCell ref="F60:G60"/>
    <mergeCell ref="B51:C51"/>
    <mergeCell ref="D51:E51"/>
    <mergeCell ref="F51:G51"/>
    <mergeCell ref="M51:N51"/>
    <mergeCell ref="B52:C52"/>
    <mergeCell ref="D52:E52"/>
    <mergeCell ref="F52:G52"/>
    <mergeCell ref="M52:N52"/>
    <mergeCell ref="B53:C53"/>
    <mergeCell ref="D53:E53"/>
    <mergeCell ref="F53:G53"/>
    <mergeCell ref="M53:N53"/>
    <mergeCell ref="B54:C54"/>
    <mergeCell ref="D54:E54"/>
    <mergeCell ref="F54:G54"/>
    <mergeCell ref="B55:C55"/>
    <mergeCell ref="D55:E55"/>
    <mergeCell ref="F55:G55"/>
    <mergeCell ref="M55:N55"/>
    <mergeCell ref="B46:C46"/>
    <mergeCell ref="D46:E46"/>
    <mergeCell ref="F46:G46"/>
    <mergeCell ref="M46:N46"/>
    <mergeCell ref="B47:C47"/>
    <mergeCell ref="D47:E47"/>
    <mergeCell ref="F47:G47"/>
    <mergeCell ref="M47:N47"/>
    <mergeCell ref="B48:C48"/>
    <mergeCell ref="D48:E48"/>
    <mergeCell ref="F48:G48"/>
    <mergeCell ref="M48:N48"/>
    <mergeCell ref="B49:C49"/>
    <mergeCell ref="D49:E49"/>
    <mergeCell ref="F49:G49"/>
    <mergeCell ref="M49:N49"/>
    <mergeCell ref="B50:C50"/>
    <mergeCell ref="D50:E50"/>
    <mergeCell ref="F50:G50"/>
    <mergeCell ref="M50:N50"/>
    <mergeCell ref="I41:L41"/>
    <mergeCell ref="B42:C42"/>
    <mergeCell ref="D42:E42"/>
    <mergeCell ref="F42:G42"/>
    <mergeCell ref="M42:N42"/>
    <mergeCell ref="B43:C43"/>
    <mergeCell ref="D43:E43"/>
    <mergeCell ref="F43:G43"/>
    <mergeCell ref="M43:N43"/>
    <mergeCell ref="B44:C44"/>
    <mergeCell ref="D44:E44"/>
    <mergeCell ref="F44:G44"/>
    <mergeCell ref="M44:N44"/>
    <mergeCell ref="B45:C45"/>
    <mergeCell ref="D45:E45"/>
    <mergeCell ref="F45:G45"/>
    <mergeCell ref="M45:N45"/>
    <mergeCell ref="B137:C137"/>
    <mergeCell ref="D137:E137"/>
    <mergeCell ref="F137:G137"/>
    <mergeCell ref="M137:N137"/>
    <mergeCell ref="B328:E328"/>
    <mergeCell ref="B329:E329"/>
    <mergeCell ref="B319:C319"/>
    <mergeCell ref="D319:E319"/>
    <mergeCell ref="F319:G319"/>
    <mergeCell ref="M319:N319"/>
    <mergeCell ref="B320:C320"/>
    <mergeCell ref="D320:E320"/>
    <mergeCell ref="F320:G320"/>
    <mergeCell ref="M320:N320"/>
    <mergeCell ref="B325:C325"/>
    <mergeCell ref="D325:E325"/>
    <mergeCell ref="F325:G325"/>
    <mergeCell ref="M325:N325"/>
    <mergeCell ref="B326:C326"/>
    <mergeCell ref="D326:E326"/>
    <mergeCell ref="F326:G326"/>
    <mergeCell ref="M326:N326"/>
    <mergeCell ref="B324:C324"/>
    <mergeCell ref="D324:E324"/>
    <mergeCell ref="F324:G324"/>
    <mergeCell ref="M324:N324"/>
    <mergeCell ref="B321:C321"/>
    <mergeCell ref="D321:E321"/>
    <mergeCell ref="B323:C323"/>
    <mergeCell ref="D323:E323"/>
    <mergeCell ref="F323:G323"/>
    <mergeCell ref="M323:N323"/>
    <mergeCell ref="B177:C177"/>
    <mergeCell ref="D177:E177"/>
    <mergeCell ref="F177:G177"/>
    <mergeCell ref="M177:N177"/>
    <mergeCell ref="M219:N219"/>
    <mergeCell ref="F219:G219"/>
    <mergeCell ref="D219:E219"/>
    <mergeCell ref="B219:C219"/>
    <mergeCell ref="M218:N218"/>
    <mergeCell ref="F218:G218"/>
    <mergeCell ref="D218:E218"/>
    <mergeCell ref="B218:C218"/>
    <mergeCell ref="M217:N217"/>
    <mergeCell ref="F217:G217"/>
    <mergeCell ref="D217:E217"/>
    <mergeCell ref="B217:C217"/>
    <mergeCell ref="B314:C314"/>
    <mergeCell ref="D314:E314"/>
    <mergeCell ref="F314:G314"/>
    <mergeCell ref="M314:N314"/>
    <mergeCell ref="M216:N216"/>
    <mergeCell ref="F216:G216"/>
    <mergeCell ref="D216:E216"/>
    <mergeCell ref="B216:C216"/>
    <mergeCell ref="B310:C310"/>
    <mergeCell ref="D310:E310"/>
    <mergeCell ref="F310:G310"/>
    <mergeCell ref="M310:N310"/>
    <mergeCell ref="B311:C311"/>
    <mergeCell ref="D311:E311"/>
    <mergeCell ref="F311:G311"/>
    <mergeCell ref="M311:N311"/>
    <mergeCell ref="B315:C315"/>
    <mergeCell ref="D315:E315"/>
    <mergeCell ref="F315:G315"/>
    <mergeCell ref="M315:N315"/>
    <mergeCell ref="B322:C322"/>
    <mergeCell ref="D322:E322"/>
    <mergeCell ref="F322:G322"/>
    <mergeCell ref="M322:N322"/>
    <mergeCell ref="B312:C312"/>
    <mergeCell ref="D312:E312"/>
    <mergeCell ref="F312:G312"/>
    <mergeCell ref="M312:N312"/>
    <mergeCell ref="B313:C313"/>
    <mergeCell ref="D313:E313"/>
    <mergeCell ref="F313:G313"/>
    <mergeCell ref="M313:N313"/>
    <mergeCell ref="F321:G321"/>
    <mergeCell ref="M321:N321"/>
    <mergeCell ref="B318:C318"/>
    <mergeCell ref="D318:E318"/>
    <mergeCell ref="F318:G318"/>
    <mergeCell ref="M318:N318"/>
    <mergeCell ref="B316:C316"/>
    <mergeCell ref="D316:E316"/>
    <mergeCell ref="F316:G316"/>
    <mergeCell ref="M316:N316"/>
    <mergeCell ref="B317:C317"/>
    <mergeCell ref="D317:E317"/>
    <mergeCell ref="F317:G317"/>
    <mergeCell ref="M317:N317"/>
    <mergeCell ref="B308:C308"/>
    <mergeCell ref="D308:E308"/>
    <mergeCell ref="F308:G308"/>
    <mergeCell ref="M308:N308"/>
    <mergeCell ref="B309:C309"/>
    <mergeCell ref="D309:E309"/>
    <mergeCell ref="F309:G309"/>
    <mergeCell ref="M309:N309"/>
    <mergeCell ref="B306:C306"/>
    <mergeCell ref="D306:E306"/>
    <mergeCell ref="F306:G306"/>
    <mergeCell ref="M306:N306"/>
    <mergeCell ref="B307:C307"/>
    <mergeCell ref="D307:E307"/>
    <mergeCell ref="F307:G307"/>
    <mergeCell ref="M307:N307"/>
    <mergeCell ref="B304:C304"/>
    <mergeCell ref="D304:E304"/>
    <mergeCell ref="F304:G304"/>
    <mergeCell ref="M304:N304"/>
    <mergeCell ref="B305:C305"/>
    <mergeCell ref="D305:E305"/>
    <mergeCell ref="F305:G305"/>
    <mergeCell ref="M305:N305"/>
    <mergeCell ref="B301:C301"/>
    <mergeCell ref="D301:E301"/>
    <mergeCell ref="F301:G301"/>
    <mergeCell ref="M301:N301"/>
    <mergeCell ref="B303:C303"/>
    <mergeCell ref="D303:E303"/>
    <mergeCell ref="F303:G303"/>
    <mergeCell ref="M303:N303"/>
    <mergeCell ref="B302:C302"/>
    <mergeCell ref="D302:E302"/>
    <mergeCell ref="F302:G302"/>
    <mergeCell ref="M302:N302"/>
    <mergeCell ref="B298:C298"/>
    <mergeCell ref="D298:E298"/>
    <mergeCell ref="F298:G298"/>
    <mergeCell ref="M298:N298"/>
    <mergeCell ref="B300:C300"/>
    <mergeCell ref="D300:E300"/>
    <mergeCell ref="F300:G300"/>
    <mergeCell ref="M300:N300"/>
    <mergeCell ref="B296:C296"/>
    <mergeCell ref="D296:E296"/>
    <mergeCell ref="F296:G296"/>
    <mergeCell ref="M296:N296"/>
    <mergeCell ref="B297:C297"/>
    <mergeCell ref="D297:E297"/>
    <mergeCell ref="F297:G297"/>
    <mergeCell ref="M297:N297"/>
    <mergeCell ref="B294:C294"/>
    <mergeCell ref="D294:E294"/>
    <mergeCell ref="F294:G294"/>
    <mergeCell ref="M294:N294"/>
    <mergeCell ref="B295:C295"/>
    <mergeCell ref="D295:E295"/>
    <mergeCell ref="F295:G295"/>
    <mergeCell ref="M295:N295"/>
    <mergeCell ref="B299:C299"/>
    <mergeCell ref="D299:E299"/>
    <mergeCell ref="F299:G299"/>
    <mergeCell ref="M299:N299"/>
    <mergeCell ref="B292:C292"/>
    <mergeCell ref="D292:E292"/>
    <mergeCell ref="F292:G292"/>
    <mergeCell ref="M292:N292"/>
    <mergeCell ref="B293:C293"/>
    <mergeCell ref="D293:E293"/>
    <mergeCell ref="F293:G293"/>
    <mergeCell ref="M293:N293"/>
    <mergeCell ref="I289:L289"/>
    <mergeCell ref="B290:C290"/>
    <mergeCell ref="D290:E290"/>
    <mergeCell ref="F290:G290"/>
    <mergeCell ref="M290:N290"/>
    <mergeCell ref="B291:C291"/>
    <mergeCell ref="D291:E291"/>
    <mergeCell ref="F291:G291"/>
    <mergeCell ref="M291:N291"/>
    <mergeCell ref="B397:C397"/>
    <mergeCell ref="D397:E397"/>
    <mergeCell ref="F397:G397"/>
    <mergeCell ref="M397:N397"/>
    <mergeCell ref="F393:G393"/>
    <mergeCell ref="M393:N393"/>
    <mergeCell ref="B399:E399"/>
    <mergeCell ref="B400:E400"/>
    <mergeCell ref="B378:C378"/>
    <mergeCell ref="M378:N378"/>
    <mergeCell ref="B396:C396"/>
    <mergeCell ref="D396:E396"/>
    <mergeCell ref="F396:G396"/>
    <mergeCell ref="M396:N396"/>
    <mergeCell ref="B393:C393"/>
    <mergeCell ref="D393:E393"/>
    <mergeCell ref="B394:C394"/>
    <mergeCell ref="D394:E394"/>
    <mergeCell ref="F394:G394"/>
    <mergeCell ref="M394:N394"/>
    <mergeCell ref="B391:C391"/>
    <mergeCell ref="D391:E391"/>
    <mergeCell ref="F391:G391"/>
    <mergeCell ref="M391:N391"/>
    <mergeCell ref="B392:C392"/>
    <mergeCell ref="D392:E392"/>
    <mergeCell ref="F392:G392"/>
    <mergeCell ref="M392:N392"/>
    <mergeCell ref="B389:C389"/>
    <mergeCell ref="D389:E389"/>
    <mergeCell ref="F389:G389"/>
    <mergeCell ref="M389:N389"/>
    <mergeCell ref="B390:C390"/>
    <mergeCell ref="D390:E390"/>
    <mergeCell ref="F390:G390"/>
    <mergeCell ref="M390:N390"/>
    <mergeCell ref="B387:C387"/>
    <mergeCell ref="D387:E387"/>
    <mergeCell ref="F387:G387"/>
    <mergeCell ref="M387:N387"/>
    <mergeCell ref="B388:C388"/>
    <mergeCell ref="D388:E388"/>
    <mergeCell ref="F388:G388"/>
    <mergeCell ref="M388:N388"/>
    <mergeCell ref="B385:C385"/>
    <mergeCell ref="D385:E385"/>
    <mergeCell ref="F385:G385"/>
    <mergeCell ref="M385:N385"/>
    <mergeCell ref="B386:C386"/>
    <mergeCell ref="D386:E386"/>
    <mergeCell ref="F386:G386"/>
    <mergeCell ref="M386:N386"/>
    <mergeCell ref="B384:C384"/>
    <mergeCell ref="D384:E384"/>
    <mergeCell ref="F384:G384"/>
    <mergeCell ref="M384:N384"/>
    <mergeCell ref="B381:C381"/>
    <mergeCell ref="D381:E381"/>
    <mergeCell ref="F381:G381"/>
    <mergeCell ref="M381:N381"/>
    <mergeCell ref="B382:C382"/>
    <mergeCell ref="D382:E382"/>
    <mergeCell ref="F382:G382"/>
    <mergeCell ref="M382:N382"/>
    <mergeCell ref="B377:C377"/>
    <mergeCell ref="D377:E377"/>
    <mergeCell ref="F377:G377"/>
    <mergeCell ref="M377:N377"/>
    <mergeCell ref="B380:C380"/>
    <mergeCell ref="D380:E380"/>
    <mergeCell ref="F380:G380"/>
    <mergeCell ref="M380:N380"/>
    <mergeCell ref="D378:E378"/>
    <mergeCell ref="F378:G378"/>
    <mergeCell ref="B379:C379"/>
    <mergeCell ref="D379:E379"/>
    <mergeCell ref="F379:G379"/>
    <mergeCell ref="M379:N379"/>
    <mergeCell ref="F375:G375"/>
    <mergeCell ref="M375:N375"/>
    <mergeCell ref="B373:C373"/>
    <mergeCell ref="D373:E373"/>
    <mergeCell ref="F373:G373"/>
    <mergeCell ref="M373:N373"/>
    <mergeCell ref="B371:C371"/>
    <mergeCell ref="D371:E371"/>
    <mergeCell ref="F371:G371"/>
    <mergeCell ref="M371:N371"/>
    <mergeCell ref="B372:C372"/>
    <mergeCell ref="D372:E372"/>
    <mergeCell ref="F372:G372"/>
    <mergeCell ref="M372:N372"/>
    <mergeCell ref="B383:C383"/>
    <mergeCell ref="D383:E383"/>
    <mergeCell ref="F383:G383"/>
    <mergeCell ref="M383:N383"/>
    <mergeCell ref="B485:E485"/>
    <mergeCell ref="D479:E479"/>
    <mergeCell ref="M479:N479"/>
    <mergeCell ref="B480:C480"/>
    <mergeCell ref="D480:E480"/>
    <mergeCell ref="B475:C475"/>
    <mergeCell ref="B476:C476"/>
    <mergeCell ref="D476:E476"/>
    <mergeCell ref="F476:G476"/>
    <mergeCell ref="M476:N476"/>
    <mergeCell ref="B477:C477"/>
    <mergeCell ref="D477:E477"/>
    <mergeCell ref="F477:G477"/>
    <mergeCell ref="M477:N477"/>
    <mergeCell ref="B470:C470"/>
    <mergeCell ref="D470:E470"/>
    <mergeCell ref="F470:G470"/>
    <mergeCell ref="M470:N470"/>
    <mergeCell ref="F480:G480"/>
    <mergeCell ref="M480:N480"/>
    <mergeCell ref="B483:C483"/>
    <mergeCell ref="D483:E483"/>
    <mergeCell ref="F483:G483"/>
    <mergeCell ref="M483:N483"/>
    <mergeCell ref="B481:C481"/>
    <mergeCell ref="F481:G481"/>
    <mergeCell ref="I368:L368"/>
    <mergeCell ref="B369:C369"/>
    <mergeCell ref="D369:E369"/>
    <mergeCell ref="F369:G369"/>
    <mergeCell ref="M369:N369"/>
    <mergeCell ref="B370:C370"/>
    <mergeCell ref="D370:E370"/>
    <mergeCell ref="F370:G370"/>
    <mergeCell ref="M370:N370"/>
    <mergeCell ref="B472:C472"/>
    <mergeCell ref="D472:E472"/>
    <mergeCell ref="F472:G472"/>
    <mergeCell ref="M472:N472"/>
    <mergeCell ref="M481:N481"/>
    <mergeCell ref="B376:C376"/>
    <mergeCell ref="D376:E376"/>
    <mergeCell ref="F376:G376"/>
    <mergeCell ref="M376:N376"/>
    <mergeCell ref="B374:C374"/>
    <mergeCell ref="D374:E374"/>
    <mergeCell ref="F374:G374"/>
    <mergeCell ref="M374:N374"/>
    <mergeCell ref="B375:C375"/>
    <mergeCell ref="D375:E375"/>
    <mergeCell ref="B474:C474"/>
    <mergeCell ref="D474:E474"/>
    <mergeCell ref="F474:G474"/>
    <mergeCell ref="M474:N474"/>
    <mergeCell ref="B467:C467"/>
    <mergeCell ref="D467:E467"/>
    <mergeCell ref="F467:G467"/>
    <mergeCell ref="M467:N467"/>
    <mergeCell ref="B468:C468"/>
    <mergeCell ref="D468:E468"/>
    <mergeCell ref="F468:G468"/>
    <mergeCell ref="M468:N468"/>
    <mergeCell ref="B469:C469"/>
    <mergeCell ref="D469:E469"/>
    <mergeCell ref="F469:G469"/>
    <mergeCell ref="M469:N469"/>
    <mergeCell ref="B473:C473"/>
    <mergeCell ref="D473:E473"/>
    <mergeCell ref="F473:G473"/>
    <mergeCell ref="M473:N473"/>
    <mergeCell ref="B464:C464"/>
    <mergeCell ref="D464:E464"/>
    <mergeCell ref="F464:G464"/>
    <mergeCell ref="M464:N464"/>
    <mergeCell ref="B463:C463"/>
    <mergeCell ref="D463:E463"/>
    <mergeCell ref="F463:G463"/>
    <mergeCell ref="M463:N463"/>
    <mergeCell ref="B466:C466"/>
    <mergeCell ref="D466:E466"/>
    <mergeCell ref="F466:G466"/>
    <mergeCell ref="M466:N466"/>
    <mergeCell ref="B465:C465"/>
    <mergeCell ref="D465:E465"/>
    <mergeCell ref="M465:N465"/>
    <mergeCell ref="B471:C471"/>
    <mergeCell ref="D471:E471"/>
    <mergeCell ref="F471:G471"/>
    <mergeCell ref="M471:N471"/>
    <mergeCell ref="B459:C459"/>
    <mergeCell ref="D459:E459"/>
    <mergeCell ref="F459:G459"/>
    <mergeCell ref="M459:N459"/>
    <mergeCell ref="F462:G462"/>
    <mergeCell ref="M462:N462"/>
    <mergeCell ref="B461:C461"/>
    <mergeCell ref="D461:E461"/>
    <mergeCell ref="F461:G461"/>
    <mergeCell ref="B455:C455"/>
    <mergeCell ref="D455:E455"/>
    <mergeCell ref="F455:G455"/>
    <mergeCell ref="M455:N455"/>
    <mergeCell ref="B456:C456"/>
    <mergeCell ref="D456:E456"/>
    <mergeCell ref="M456:N456"/>
    <mergeCell ref="B457:C457"/>
    <mergeCell ref="D457:E457"/>
    <mergeCell ref="F457:G457"/>
    <mergeCell ref="M457:N457"/>
    <mergeCell ref="B460:C460"/>
    <mergeCell ref="D460:E460"/>
    <mergeCell ref="F460:G460"/>
    <mergeCell ref="M460:N460"/>
    <mergeCell ref="B458:C458"/>
    <mergeCell ref="D458:E458"/>
    <mergeCell ref="M461:N461"/>
    <mergeCell ref="B462:C462"/>
    <mergeCell ref="D462:E462"/>
    <mergeCell ref="B452:C452"/>
    <mergeCell ref="D452:E452"/>
    <mergeCell ref="F452:G452"/>
    <mergeCell ref="M452:N452"/>
    <mergeCell ref="B453:C453"/>
    <mergeCell ref="D453:E453"/>
    <mergeCell ref="F453:G453"/>
    <mergeCell ref="M453:N453"/>
    <mergeCell ref="B454:C454"/>
    <mergeCell ref="D454:E454"/>
    <mergeCell ref="F454:G454"/>
    <mergeCell ref="M454:N454"/>
    <mergeCell ref="M449:N449"/>
    <mergeCell ref="B450:C450"/>
    <mergeCell ref="D450:E450"/>
    <mergeCell ref="F450:G450"/>
    <mergeCell ref="M450:N450"/>
    <mergeCell ref="B449:C449"/>
    <mergeCell ref="I445:L445"/>
    <mergeCell ref="B446:C446"/>
    <mergeCell ref="D446:E446"/>
    <mergeCell ref="F446:G446"/>
    <mergeCell ref="M446:N446"/>
    <mergeCell ref="D451:E451"/>
    <mergeCell ref="F451:G451"/>
    <mergeCell ref="M451:N451"/>
    <mergeCell ref="B451:C451"/>
    <mergeCell ref="B447:C447"/>
    <mergeCell ref="D447:E447"/>
    <mergeCell ref="F447:G447"/>
    <mergeCell ref="M447:N447"/>
    <mergeCell ref="B448:C448"/>
    <mergeCell ref="D448:E448"/>
    <mergeCell ref="F448:G448"/>
    <mergeCell ref="M448:N448"/>
    <mergeCell ref="F593:G593"/>
    <mergeCell ref="M593:N593"/>
    <mergeCell ref="M565:N565"/>
    <mergeCell ref="F570:G570"/>
    <mergeCell ref="M570:N570"/>
    <mergeCell ref="B568:C568"/>
    <mergeCell ref="D584:E584"/>
    <mergeCell ref="M583:N583"/>
    <mergeCell ref="M636:N636"/>
    <mergeCell ref="D625:E625"/>
    <mergeCell ref="M590:N590"/>
    <mergeCell ref="M567:N567"/>
    <mergeCell ref="M640:N640"/>
    <mergeCell ref="M617:N617"/>
    <mergeCell ref="D579:E579"/>
    <mergeCell ref="D573:E573"/>
    <mergeCell ref="F589:G589"/>
    <mergeCell ref="D571:E571"/>
    <mergeCell ref="B620:C620"/>
    <mergeCell ref="D620:E620"/>
    <mergeCell ref="F620:G620"/>
    <mergeCell ref="M620:N620"/>
    <mergeCell ref="B625:C625"/>
    <mergeCell ref="F579:G579"/>
    <mergeCell ref="M579:N579"/>
    <mergeCell ref="B589:C589"/>
    <mergeCell ref="D589:E589"/>
    <mergeCell ref="F578:G578"/>
    <mergeCell ref="B579:C579"/>
    <mergeCell ref="B587:C587"/>
    <mergeCell ref="D587:E587"/>
    <mergeCell ref="B567:C567"/>
    <mergeCell ref="D532:E532"/>
    <mergeCell ref="D535:E535"/>
    <mergeCell ref="D569:E569"/>
    <mergeCell ref="D553:E553"/>
    <mergeCell ref="D449:E449"/>
    <mergeCell ref="F449:G449"/>
    <mergeCell ref="D530:E530"/>
    <mergeCell ref="F456:G456"/>
    <mergeCell ref="F458:G458"/>
    <mergeCell ref="F465:G465"/>
    <mergeCell ref="F479:G479"/>
    <mergeCell ref="D481:E481"/>
    <mergeCell ref="M529:N529"/>
    <mergeCell ref="D567:E567"/>
    <mergeCell ref="F567:G567"/>
    <mergeCell ref="M530:N530"/>
    <mergeCell ref="M542:N542"/>
    <mergeCell ref="M523:N523"/>
    <mergeCell ref="M537:N537"/>
    <mergeCell ref="M552:N552"/>
    <mergeCell ref="M514:N514"/>
    <mergeCell ref="M458:N458"/>
    <mergeCell ref="B486:E486"/>
    <mergeCell ref="B482:C482"/>
    <mergeCell ref="D482:E482"/>
    <mergeCell ref="F482:G482"/>
    <mergeCell ref="M482:N482"/>
    <mergeCell ref="B478:C478"/>
    <mergeCell ref="D478:E478"/>
    <mergeCell ref="F478:G478"/>
    <mergeCell ref="M478:N478"/>
    <mergeCell ref="B479:C479"/>
    <mergeCell ref="B529:C529"/>
    <mergeCell ref="D529:E529"/>
    <mergeCell ref="F529:G529"/>
    <mergeCell ref="F513:G513"/>
    <mergeCell ref="B508:C508"/>
    <mergeCell ref="D508:E508"/>
    <mergeCell ref="B509:C509"/>
    <mergeCell ref="D509:E509"/>
    <mergeCell ref="B530:C530"/>
    <mergeCell ref="B542:C542"/>
    <mergeCell ref="F542:G542"/>
    <mergeCell ref="F515:G515"/>
    <mergeCell ref="B523:C523"/>
    <mergeCell ref="D523:E523"/>
    <mergeCell ref="F523:G523"/>
    <mergeCell ref="D538:E538"/>
    <mergeCell ref="D537:E537"/>
    <mergeCell ref="B520:C520"/>
    <mergeCell ref="D520:E520"/>
    <mergeCell ref="B519:C519"/>
    <mergeCell ref="D519:E519"/>
    <mergeCell ref="F514:G514"/>
    <mergeCell ref="B536:C536"/>
    <mergeCell ref="D536:E536"/>
    <mergeCell ref="F536:G536"/>
    <mergeCell ref="F539:G539"/>
    <mergeCell ref="B525:E525"/>
    <mergeCell ref="B526:E526"/>
    <mergeCell ref="D540:E540"/>
    <mergeCell ref="F540:G540"/>
    <mergeCell ref="F530:G530"/>
    <mergeCell ref="F541:G541"/>
    <mergeCell ref="M536:N536"/>
    <mergeCell ref="B538:C538"/>
    <mergeCell ref="M505:N505"/>
    <mergeCell ref="F508:G508"/>
    <mergeCell ref="M508:N508"/>
    <mergeCell ref="B507:C507"/>
    <mergeCell ref="D507:E507"/>
    <mergeCell ref="F507:G507"/>
    <mergeCell ref="M506:N506"/>
    <mergeCell ref="M513:N513"/>
    <mergeCell ref="B516:C516"/>
    <mergeCell ref="B517:C517"/>
    <mergeCell ref="D517:E517"/>
    <mergeCell ref="F517:G517"/>
    <mergeCell ref="M517:N517"/>
    <mergeCell ref="B514:C514"/>
    <mergeCell ref="B515:C515"/>
    <mergeCell ref="D515:E515"/>
    <mergeCell ref="D518:E518"/>
    <mergeCell ref="F510:G510"/>
    <mergeCell ref="M510:N510"/>
    <mergeCell ref="B511:C511"/>
    <mergeCell ref="M511:N511"/>
    <mergeCell ref="D514:E514"/>
    <mergeCell ref="F511:G511"/>
    <mergeCell ref="B510:C510"/>
    <mergeCell ref="D510:E510"/>
    <mergeCell ref="B518:C518"/>
    <mergeCell ref="F521:G521"/>
    <mergeCell ref="M521:N521"/>
    <mergeCell ref="I528:L528"/>
    <mergeCell ref="F535:G535"/>
    <mergeCell ref="M493:N493"/>
    <mergeCell ref="B493:C493"/>
    <mergeCell ref="D493:E493"/>
    <mergeCell ref="F493:G493"/>
    <mergeCell ref="B498:C498"/>
    <mergeCell ref="D498:E498"/>
    <mergeCell ref="F498:G498"/>
    <mergeCell ref="M498:N498"/>
    <mergeCell ref="B499:C499"/>
    <mergeCell ref="D499:E499"/>
    <mergeCell ref="B504:C504"/>
    <mergeCell ref="D504:E504"/>
    <mergeCell ref="F504:G504"/>
    <mergeCell ref="F499:G499"/>
    <mergeCell ref="M499:N499"/>
    <mergeCell ref="B502:C502"/>
    <mergeCell ref="D502:E502"/>
    <mergeCell ref="F502:G502"/>
    <mergeCell ref="M502:N502"/>
    <mergeCell ref="B501:C501"/>
    <mergeCell ref="D501:E501"/>
    <mergeCell ref="B500:C500"/>
    <mergeCell ref="D500:E500"/>
    <mergeCell ref="M504:N504"/>
    <mergeCell ref="F500:G500"/>
    <mergeCell ref="M500:N500"/>
    <mergeCell ref="B503:C503"/>
    <mergeCell ref="D646:E646"/>
    <mergeCell ref="B596:C596"/>
    <mergeCell ref="D596:E596"/>
    <mergeCell ref="B623:C623"/>
    <mergeCell ref="D623:E623"/>
    <mergeCell ref="B618:C618"/>
    <mergeCell ref="B644:C644"/>
    <mergeCell ref="F547:G547"/>
    <mergeCell ref="B549:C549"/>
    <mergeCell ref="F496:G496"/>
    <mergeCell ref="M496:N496"/>
    <mergeCell ref="B494:C494"/>
    <mergeCell ref="D494:E494"/>
    <mergeCell ref="F494:G494"/>
    <mergeCell ref="M494:N494"/>
    <mergeCell ref="B495:C495"/>
    <mergeCell ref="D495:E495"/>
    <mergeCell ref="F495:G495"/>
    <mergeCell ref="M495:N495"/>
    <mergeCell ref="F509:G509"/>
    <mergeCell ref="M509:N509"/>
    <mergeCell ref="M507:N507"/>
    <mergeCell ref="B512:C512"/>
    <mergeCell ref="D512:E512"/>
    <mergeCell ref="F512:G512"/>
    <mergeCell ref="M512:N512"/>
    <mergeCell ref="D511:E511"/>
    <mergeCell ref="B505:C505"/>
    <mergeCell ref="D505:E505"/>
    <mergeCell ref="F505:G505"/>
    <mergeCell ref="B513:C513"/>
    <mergeCell ref="D513:E513"/>
    <mergeCell ref="B649:E649"/>
    <mergeCell ref="B650:E650"/>
    <mergeCell ref="B555:E555"/>
    <mergeCell ref="B556:E556"/>
    <mergeCell ref="B603:E603"/>
    <mergeCell ref="B604:E604"/>
    <mergeCell ref="B570:C570"/>
    <mergeCell ref="D570:E570"/>
    <mergeCell ref="D644:E644"/>
    <mergeCell ref="B575:C575"/>
    <mergeCell ref="D575:E575"/>
    <mergeCell ref="B593:C593"/>
    <mergeCell ref="D593:E593"/>
    <mergeCell ref="B576:C576"/>
    <mergeCell ref="D576:E576"/>
    <mergeCell ref="B590:C590"/>
    <mergeCell ref="D590:E590"/>
    <mergeCell ref="B577:C577"/>
    <mergeCell ref="D577:E577"/>
    <mergeCell ref="B624:C624"/>
    <mergeCell ref="D624:E624"/>
    <mergeCell ref="B578:C578"/>
    <mergeCell ref="D578:E578"/>
    <mergeCell ref="B571:C571"/>
    <mergeCell ref="B569:C569"/>
    <mergeCell ref="B561:C561"/>
    <mergeCell ref="D561:E561"/>
    <mergeCell ref="B647:C647"/>
    <mergeCell ref="D647:E647"/>
    <mergeCell ref="B610:C610"/>
    <mergeCell ref="D610:E610"/>
    <mergeCell ref="B646:C646"/>
    <mergeCell ref="B540:C540"/>
    <mergeCell ref="D591:E591"/>
    <mergeCell ref="B552:C552"/>
    <mergeCell ref="B553:C553"/>
    <mergeCell ref="D552:E552"/>
    <mergeCell ref="F552:G552"/>
    <mergeCell ref="F553:G553"/>
    <mergeCell ref="M553:N553"/>
    <mergeCell ref="B546:C546"/>
    <mergeCell ref="D546:E546"/>
    <mergeCell ref="F546:G546"/>
    <mergeCell ref="B550:C550"/>
    <mergeCell ref="D543:E543"/>
    <mergeCell ref="F543:G543"/>
    <mergeCell ref="D549:E549"/>
    <mergeCell ref="F549:G549"/>
    <mergeCell ref="D547:E547"/>
    <mergeCell ref="B548:C548"/>
    <mergeCell ref="M543:N543"/>
    <mergeCell ref="M540:N540"/>
    <mergeCell ref="M541:N541"/>
    <mergeCell ref="F566:G566"/>
    <mergeCell ref="M566:N566"/>
    <mergeCell ref="M569:N569"/>
    <mergeCell ref="F590:G590"/>
    <mergeCell ref="F577:G577"/>
    <mergeCell ref="M577:N577"/>
    <mergeCell ref="I488:L488"/>
    <mergeCell ref="B489:C489"/>
    <mergeCell ref="D489:E489"/>
    <mergeCell ref="F489:G489"/>
    <mergeCell ref="M489:N489"/>
    <mergeCell ref="B490:C490"/>
    <mergeCell ref="D490:E490"/>
    <mergeCell ref="F490:G490"/>
    <mergeCell ref="M490:N490"/>
    <mergeCell ref="B533:C533"/>
    <mergeCell ref="D533:E533"/>
    <mergeCell ref="F533:G533"/>
    <mergeCell ref="M533:N533"/>
    <mergeCell ref="B531:C531"/>
    <mergeCell ref="D531:E531"/>
    <mergeCell ref="F531:G531"/>
    <mergeCell ref="M531:N531"/>
    <mergeCell ref="B532:C532"/>
    <mergeCell ref="B497:C497"/>
    <mergeCell ref="D497:E497"/>
    <mergeCell ref="F497:G497"/>
    <mergeCell ref="B496:C496"/>
    <mergeCell ref="D496:E496"/>
    <mergeCell ref="M497:N497"/>
    <mergeCell ref="B491:C491"/>
    <mergeCell ref="D491:E491"/>
    <mergeCell ref="F491:G491"/>
    <mergeCell ref="M491:N491"/>
    <mergeCell ref="B492:C492"/>
    <mergeCell ref="D492:E492"/>
    <mergeCell ref="F492:G492"/>
    <mergeCell ref="M492:N492"/>
    <mergeCell ref="F532:G532"/>
    <mergeCell ref="M532:N532"/>
    <mergeCell ref="F562:G562"/>
    <mergeCell ref="M562:N562"/>
    <mergeCell ref="F563:G563"/>
    <mergeCell ref="M535:N535"/>
    <mergeCell ref="F544:G544"/>
    <mergeCell ref="M544:N544"/>
    <mergeCell ref="F545:G545"/>
    <mergeCell ref="B573:C573"/>
    <mergeCell ref="D566:E566"/>
    <mergeCell ref="M546:N546"/>
    <mergeCell ref="M545:N545"/>
    <mergeCell ref="F538:G538"/>
    <mergeCell ref="M538:N538"/>
    <mergeCell ref="B545:C545"/>
    <mergeCell ref="B541:C541"/>
    <mergeCell ref="D541:E541"/>
    <mergeCell ref="B551:C551"/>
    <mergeCell ref="D551:E551"/>
    <mergeCell ref="M551:N551"/>
    <mergeCell ref="D548:E548"/>
    <mergeCell ref="F548:G548"/>
    <mergeCell ref="M548:N548"/>
    <mergeCell ref="B547:C547"/>
    <mergeCell ref="D550:E550"/>
    <mergeCell ref="F550:G550"/>
    <mergeCell ref="M550:N550"/>
    <mergeCell ref="M549:N549"/>
    <mergeCell ref="B544:C544"/>
    <mergeCell ref="D544:E544"/>
    <mergeCell ref="D539:E539"/>
    <mergeCell ref="B534:C534"/>
    <mergeCell ref="D534:E534"/>
    <mergeCell ref="F534:G534"/>
    <mergeCell ref="M534:N534"/>
    <mergeCell ref="B535:C535"/>
    <mergeCell ref="F575:G575"/>
    <mergeCell ref="M575:N575"/>
    <mergeCell ref="B574:C574"/>
    <mergeCell ref="D574:E574"/>
    <mergeCell ref="F574:G574"/>
    <mergeCell ref="M574:N574"/>
    <mergeCell ref="F568:G568"/>
    <mergeCell ref="M568:N568"/>
    <mergeCell ref="F569:G569"/>
    <mergeCell ref="D568:E568"/>
    <mergeCell ref="B566:C566"/>
    <mergeCell ref="B572:C572"/>
    <mergeCell ref="F572:G572"/>
    <mergeCell ref="M572:N572"/>
    <mergeCell ref="F561:G561"/>
    <mergeCell ref="M561:N561"/>
    <mergeCell ref="B564:C564"/>
    <mergeCell ref="D564:E564"/>
    <mergeCell ref="B563:C563"/>
    <mergeCell ref="D563:E563"/>
    <mergeCell ref="B565:C565"/>
    <mergeCell ref="D565:E565"/>
    <mergeCell ref="F565:G565"/>
    <mergeCell ref="B537:C537"/>
    <mergeCell ref="F537:G537"/>
    <mergeCell ref="B543:C543"/>
    <mergeCell ref="D542:E542"/>
    <mergeCell ref="F634:G634"/>
    <mergeCell ref="M634:N634"/>
    <mergeCell ref="M641:N641"/>
    <mergeCell ref="F592:G592"/>
    <mergeCell ref="M592:N592"/>
    <mergeCell ref="M622:N622"/>
    <mergeCell ref="M619:N619"/>
    <mergeCell ref="M609:N609"/>
    <mergeCell ref="F615:G615"/>
    <mergeCell ref="B559:C559"/>
    <mergeCell ref="D559:E559"/>
    <mergeCell ref="F559:G559"/>
    <mergeCell ref="B560:C560"/>
    <mergeCell ref="D560:E560"/>
    <mergeCell ref="B582:C582"/>
    <mergeCell ref="D582:E582"/>
    <mergeCell ref="D572:E572"/>
    <mergeCell ref="F564:G564"/>
    <mergeCell ref="D562:E562"/>
    <mergeCell ref="D617:E617"/>
    <mergeCell ref="B562:C562"/>
    <mergeCell ref="M618:N618"/>
    <mergeCell ref="M582:N582"/>
    <mergeCell ref="B585:C585"/>
    <mergeCell ref="D585:E585"/>
    <mergeCell ref="F585:G585"/>
    <mergeCell ref="M585:N585"/>
    <mergeCell ref="B584:C584"/>
    <mergeCell ref="F583:G583"/>
    <mergeCell ref="B621:C621"/>
    <mergeCell ref="M621:N621"/>
    <mergeCell ref="M584:N584"/>
    <mergeCell ref="M635:N635"/>
    <mergeCell ref="B635:C635"/>
    <mergeCell ref="D634:E634"/>
    <mergeCell ref="F647:G647"/>
    <mergeCell ref="M647:N647"/>
    <mergeCell ref="B645:C645"/>
    <mergeCell ref="D645:E645"/>
    <mergeCell ref="F646:G646"/>
    <mergeCell ref="M646:N646"/>
    <mergeCell ref="B611:C611"/>
    <mergeCell ref="F617:G617"/>
    <mergeCell ref="B615:C615"/>
    <mergeCell ref="F645:G645"/>
    <mergeCell ref="M645:N645"/>
    <mergeCell ref="M611:N611"/>
    <mergeCell ref="F644:G644"/>
    <mergeCell ref="M644:N644"/>
    <mergeCell ref="F636:G636"/>
    <mergeCell ref="B641:C641"/>
    <mergeCell ref="B643:C643"/>
    <mergeCell ref="D643:E643"/>
    <mergeCell ref="F643:G643"/>
    <mergeCell ref="M643:N643"/>
    <mergeCell ref="B636:C636"/>
    <mergeCell ref="D636:E636"/>
    <mergeCell ref="F624:G624"/>
    <mergeCell ref="M624:N624"/>
    <mergeCell ref="F625:G625"/>
    <mergeCell ref="M625:N625"/>
    <mergeCell ref="F637:G637"/>
    <mergeCell ref="M637:N637"/>
    <mergeCell ref="M626:N626"/>
    <mergeCell ref="B642:C642"/>
    <mergeCell ref="D642:E642"/>
    <mergeCell ref="D641:E641"/>
    <mergeCell ref="B639:C639"/>
    <mergeCell ref="D639:E639"/>
    <mergeCell ref="B633:C633"/>
    <mergeCell ref="D633:E633"/>
    <mergeCell ref="F633:G633"/>
    <mergeCell ref="M633:N633"/>
    <mergeCell ref="B632:C632"/>
    <mergeCell ref="B638:C638"/>
    <mergeCell ref="D638:E638"/>
    <mergeCell ref="F638:G638"/>
    <mergeCell ref="M638:N638"/>
    <mergeCell ref="B634:C634"/>
    <mergeCell ref="M632:N632"/>
    <mergeCell ref="B631:C631"/>
    <mergeCell ref="D631:E631"/>
    <mergeCell ref="F631:G631"/>
    <mergeCell ref="M631:N631"/>
    <mergeCell ref="F642:G642"/>
    <mergeCell ref="M642:N642"/>
    <mergeCell ref="B637:C637"/>
    <mergeCell ref="D637:E637"/>
    <mergeCell ref="D640:E640"/>
    <mergeCell ref="F640:G640"/>
    <mergeCell ref="F639:G639"/>
    <mergeCell ref="B640:C640"/>
    <mergeCell ref="F641:G641"/>
    <mergeCell ref="M639:N639"/>
    <mergeCell ref="D635:E635"/>
    <mergeCell ref="F635:G635"/>
    <mergeCell ref="D632:E632"/>
    <mergeCell ref="F632:G632"/>
    <mergeCell ref="D622:E622"/>
    <mergeCell ref="F622:G622"/>
    <mergeCell ref="D618:E618"/>
    <mergeCell ref="F618:G618"/>
    <mergeCell ref="D621:E621"/>
    <mergeCell ref="F621:G621"/>
    <mergeCell ref="F626:G626"/>
    <mergeCell ref="B626:C626"/>
    <mergeCell ref="D626:E626"/>
    <mergeCell ref="B614:C614"/>
    <mergeCell ref="D614:E614"/>
    <mergeCell ref="F614:G614"/>
    <mergeCell ref="M614:N614"/>
    <mergeCell ref="F616:G616"/>
    <mergeCell ref="M616:N616"/>
    <mergeCell ref="B619:C619"/>
    <mergeCell ref="D615:E615"/>
    <mergeCell ref="M615:N615"/>
    <mergeCell ref="B617:C617"/>
    <mergeCell ref="D619:E619"/>
    <mergeCell ref="F619:G619"/>
    <mergeCell ref="B616:C616"/>
    <mergeCell ref="F623:G623"/>
    <mergeCell ref="M623:N623"/>
    <mergeCell ref="D616:E616"/>
    <mergeCell ref="B622:C622"/>
    <mergeCell ref="F598:G598"/>
    <mergeCell ref="M598:N598"/>
    <mergeCell ref="B601:C601"/>
    <mergeCell ref="D601:E601"/>
    <mergeCell ref="F601:G601"/>
    <mergeCell ref="M601:N601"/>
    <mergeCell ref="B598:C598"/>
    <mergeCell ref="D598:E598"/>
    <mergeCell ref="B599:C599"/>
    <mergeCell ref="D599:E599"/>
    <mergeCell ref="M595:N595"/>
    <mergeCell ref="B630:C630"/>
    <mergeCell ref="D630:E630"/>
    <mergeCell ref="F630:G630"/>
    <mergeCell ref="M630:N630"/>
    <mergeCell ref="D612:E612"/>
    <mergeCell ref="F612:G612"/>
    <mergeCell ref="D611:E611"/>
    <mergeCell ref="F611:G611"/>
    <mergeCell ref="F610:G610"/>
    <mergeCell ref="M610:N610"/>
    <mergeCell ref="B613:C613"/>
    <mergeCell ref="D613:E613"/>
    <mergeCell ref="F613:G613"/>
    <mergeCell ref="B612:C612"/>
    <mergeCell ref="M612:N612"/>
    <mergeCell ref="M613:N613"/>
    <mergeCell ref="D595:E595"/>
    <mergeCell ref="B609:C609"/>
    <mergeCell ref="D609:E609"/>
    <mergeCell ref="F609:G609"/>
    <mergeCell ref="B608:C608"/>
    <mergeCell ref="D608:E608"/>
    <mergeCell ref="F608:G608"/>
    <mergeCell ref="M608:N608"/>
    <mergeCell ref="I606:L606"/>
    <mergeCell ref="B607:C607"/>
    <mergeCell ref="D607:E607"/>
    <mergeCell ref="F607:G607"/>
    <mergeCell ref="M607:N607"/>
    <mergeCell ref="F599:G599"/>
    <mergeCell ref="M599:N599"/>
    <mergeCell ref="B600:C600"/>
    <mergeCell ref="D600:E600"/>
    <mergeCell ref="F600:G600"/>
    <mergeCell ref="M600:N600"/>
    <mergeCell ref="M539:N539"/>
    <mergeCell ref="I558:L558"/>
    <mergeCell ref="M547:N547"/>
    <mergeCell ref="D545:E545"/>
    <mergeCell ref="B539:C539"/>
    <mergeCell ref="F551:G551"/>
    <mergeCell ref="B583:C583"/>
    <mergeCell ref="D583:E583"/>
    <mergeCell ref="M559:N559"/>
    <mergeCell ref="F560:G560"/>
    <mergeCell ref="M560:N560"/>
    <mergeCell ref="D594:E594"/>
    <mergeCell ref="B588:C588"/>
    <mergeCell ref="M563:N563"/>
    <mergeCell ref="M564:N564"/>
    <mergeCell ref="F588:G588"/>
    <mergeCell ref="B586:C586"/>
    <mergeCell ref="B597:C597"/>
    <mergeCell ref="B506:C506"/>
    <mergeCell ref="D506:E506"/>
    <mergeCell ref="D503:E503"/>
    <mergeCell ref="F503:G503"/>
    <mergeCell ref="M503:N503"/>
    <mergeCell ref="F501:G501"/>
    <mergeCell ref="M501:N501"/>
    <mergeCell ref="M515:N515"/>
    <mergeCell ref="F506:G506"/>
    <mergeCell ref="B522:C522"/>
    <mergeCell ref="D522:E522"/>
    <mergeCell ref="F522:G522"/>
    <mergeCell ref="M522:N522"/>
    <mergeCell ref="F518:G518"/>
    <mergeCell ref="M518:N518"/>
    <mergeCell ref="B521:C521"/>
    <mergeCell ref="D521:E521"/>
    <mergeCell ref="F520:G520"/>
    <mergeCell ref="M520:N520"/>
    <mergeCell ref="F519:G519"/>
    <mergeCell ref="M519:N519"/>
    <mergeCell ref="D597:E597"/>
    <mergeCell ref="F597:G597"/>
    <mergeCell ref="M597:N597"/>
    <mergeCell ref="B594:C594"/>
    <mergeCell ref="M596:N596"/>
    <mergeCell ref="F594:G594"/>
    <mergeCell ref="B592:C592"/>
    <mergeCell ref="M589:N589"/>
    <mergeCell ref="B591:C591"/>
    <mergeCell ref="F591:G591"/>
    <mergeCell ref="M591:N591"/>
    <mergeCell ref="D586:E586"/>
    <mergeCell ref="F586:G586"/>
    <mergeCell ref="D588:E588"/>
    <mergeCell ref="F571:G571"/>
    <mergeCell ref="M571:N571"/>
    <mergeCell ref="B595:C595"/>
    <mergeCell ref="F596:G596"/>
    <mergeCell ref="F587:G587"/>
    <mergeCell ref="M587:N587"/>
    <mergeCell ref="M594:N594"/>
    <mergeCell ref="M588:N588"/>
    <mergeCell ref="D592:E592"/>
    <mergeCell ref="F582:G582"/>
    <mergeCell ref="F584:G584"/>
    <mergeCell ref="F573:G573"/>
    <mergeCell ref="M573:N573"/>
    <mergeCell ref="F595:G595"/>
    <mergeCell ref="M586:N586"/>
    <mergeCell ref="F576:G576"/>
    <mergeCell ref="M576:N576"/>
    <mergeCell ref="M578:N578"/>
    <mergeCell ref="I402:L402"/>
    <mergeCell ref="B403:C403"/>
    <mergeCell ref="D403:E403"/>
    <mergeCell ref="F403:G403"/>
    <mergeCell ref="M403:N403"/>
    <mergeCell ref="B404:C404"/>
    <mergeCell ref="D404:E404"/>
    <mergeCell ref="F404:G404"/>
    <mergeCell ref="M404:N404"/>
    <mergeCell ref="B405:C405"/>
    <mergeCell ref="D405:E405"/>
    <mergeCell ref="F405:G405"/>
    <mergeCell ref="M405:N405"/>
    <mergeCell ref="B406:C406"/>
    <mergeCell ref="D406:E406"/>
    <mergeCell ref="F406:G406"/>
    <mergeCell ref="M406:N406"/>
    <mergeCell ref="B407:C407"/>
    <mergeCell ref="D407:E407"/>
    <mergeCell ref="F407:G407"/>
    <mergeCell ref="M407:N407"/>
    <mergeCell ref="B408:C408"/>
    <mergeCell ref="D408:E408"/>
    <mergeCell ref="F408:G408"/>
    <mergeCell ref="M408:N408"/>
    <mergeCell ref="B409:C409"/>
    <mergeCell ref="D409:E409"/>
    <mergeCell ref="F409:G409"/>
    <mergeCell ref="M409:N409"/>
    <mergeCell ref="B410:C410"/>
    <mergeCell ref="D410:E410"/>
    <mergeCell ref="F410:G410"/>
    <mergeCell ref="M410:N410"/>
    <mergeCell ref="B411:C411"/>
    <mergeCell ref="D411:E411"/>
    <mergeCell ref="F411:G411"/>
    <mergeCell ref="M411:N411"/>
    <mergeCell ref="B412:C412"/>
    <mergeCell ref="D412:E412"/>
    <mergeCell ref="F412:G412"/>
    <mergeCell ref="M412:N412"/>
    <mergeCell ref="B413:C413"/>
    <mergeCell ref="D413:E413"/>
    <mergeCell ref="F413:G413"/>
    <mergeCell ref="M413:N413"/>
    <mergeCell ref="B414:C414"/>
    <mergeCell ref="D414:E414"/>
    <mergeCell ref="F414:G414"/>
    <mergeCell ref="M414:N414"/>
    <mergeCell ref="B415:C415"/>
    <mergeCell ref="D415:E415"/>
    <mergeCell ref="F415:G415"/>
    <mergeCell ref="M415:N415"/>
    <mergeCell ref="B416:C416"/>
    <mergeCell ref="D416:E416"/>
    <mergeCell ref="F416:G416"/>
    <mergeCell ref="M416:N416"/>
    <mergeCell ref="B417:C417"/>
    <mergeCell ref="D417:E417"/>
    <mergeCell ref="F417:G417"/>
    <mergeCell ref="M417:N417"/>
    <mergeCell ref="B418:C418"/>
    <mergeCell ref="D418:E418"/>
    <mergeCell ref="F418:G418"/>
    <mergeCell ref="M418:N418"/>
    <mergeCell ref="B419:C419"/>
    <mergeCell ref="D419:E419"/>
    <mergeCell ref="F419:G419"/>
    <mergeCell ref="M419:N419"/>
    <mergeCell ref="B420:C420"/>
    <mergeCell ref="D420:E420"/>
    <mergeCell ref="F420:G420"/>
    <mergeCell ref="M420:N420"/>
    <mergeCell ref="B421:C421"/>
    <mergeCell ref="D421:E421"/>
    <mergeCell ref="F421:G421"/>
    <mergeCell ref="M421:N421"/>
    <mergeCell ref="B422:C422"/>
    <mergeCell ref="D422:E422"/>
    <mergeCell ref="F422:G422"/>
    <mergeCell ref="M422:N422"/>
    <mergeCell ref="B423:C423"/>
    <mergeCell ref="D423:E423"/>
    <mergeCell ref="F423:G423"/>
    <mergeCell ref="M423:N423"/>
    <mergeCell ref="B424:C424"/>
    <mergeCell ref="D424:E424"/>
    <mergeCell ref="F424:G424"/>
    <mergeCell ref="M424:N424"/>
    <mergeCell ref="B425:C425"/>
    <mergeCell ref="D425:E425"/>
    <mergeCell ref="F425:G425"/>
    <mergeCell ref="M425:N425"/>
    <mergeCell ref="B426:C426"/>
    <mergeCell ref="D426:E426"/>
    <mergeCell ref="F426:G426"/>
    <mergeCell ref="M426:N426"/>
    <mergeCell ref="B427:C427"/>
    <mergeCell ref="D427:E427"/>
    <mergeCell ref="F427:G427"/>
    <mergeCell ref="M427:N427"/>
    <mergeCell ref="B428:C428"/>
    <mergeCell ref="D428:E428"/>
    <mergeCell ref="F428:G428"/>
    <mergeCell ref="M428:N428"/>
    <mergeCell ref="B429:C429"/>
    <mergeCell ref="D429:E429"/>
    <mergeCell ref="F429:G429"/>
    <mergeCell ref="M429:N429"/>
    <mergeCell ref="B430:C430"/>
    <mergeCell ref="D430:E430"/>
    <mergeCell ref="F430:G430"/>
    <mergeCell ref="M430:N430"/>
    <mergeCell ref="B431:C431"/>
    <mergeCell ref="D431:E431"/>
    <mergeCell ref="F431:G431"/>
    <mergeCell ref="M431:N431"/>
    <mergeCell ref="B432:C432"/>
    <mergeCell ref="B433:C433"/>
    <mergeCell ref="D433:E433"/>
    <mergeCell ref="F433:G433"/>
    <mergeCell ref="M433:N433"/>
    <mergeCell ref="B434:C434"/>
    <mergeCell ref="D434:E434"/>
    <mergeCell ref="F434:G434"/>
    <mergeCell ref="M434:N434"/>
    <mergeCell ref="B435:C435"/>
    <mergeCell ref="D435:E435"/>
    <mergeCell ref="F435:G435"/>
    <mergeCell ref="M435:N435"/>
    <mergeCell ref="B436:C436"/>
    <mergeCell ref="D436:E436"/>
    <mergeCell ref="F436:G436"/>
    <mergeCell ref="M436:N436"/>
    <mergeCell ref="B437:C437"/>
    <mergeCell ref="D437:E437"/>
    <mergeCell ref="F437:G437"/>
    <mergeCell ref="M437:N437"/>
    <mergeCell ref="B438:C438"/>
    <mergeCell ref="D438:E438"/>
    <mergeCell ref="F438:G438"/>
    <mergeCell ref="M438:N438"/>
    <mergeCell ref="B439:C439"/>
    <mergeCell ref="D439:E439"/>
    <mergeCell ref="F439:G439"/>
    <mergeCell ref="M439:N439"/>
    <mergeCell ref="B440:C440"/>
    <mergeCell ref="D440:E440"/>
    <mergeCell ref="F440:G440"/>
    <mergeCell ref="M440:N440"/>
    <mergeCell ref="B442:E442"/>
    <mergeCell ref="B443:E443"/>
    <mergeCell ref="I331:L331"/>
    <mergeCell ref="B332:C332"/>
    <mergeCell ref="D332:E332"/>
    <mergeCell ref="F332:G332"/>
    <mergeCell ref="M332:N332"/>
    <mergeCell ref="B333:C333"/>
    <mergeCell ref="D333:E333"/>
    <mergeCell ref="F333:G333"/>
    <mergeCell ref="M333:N333"/>
    <mergeCell ref="B334:C334"/>
    <mergeCell ref="D334:E334"/>
    <mergeCell ref="F334:G334"/>
    <mergeCell ref="M334:N334"/>
    <mergeCell ref="B335:C335"/>
    <mergeCell ref="D335:E335"/>
    <mergeCell ref="F335:G335"/>
    <mergeCell ref="M335:N335"/>
    <mergeCell ref="B336:C336"/>
    <mergeCell ref="D336:E336"/>
    <mergeCell ref="F336:G336"/>
    <mergeCell ref="M336:N336"/>
    <mergeCell ref="B337:C337"/>
    <mergeCell ref="D337:E337"/>
    <mergeCell ref="F337:G337"/>
    <mergeCell ref="M337:N337"/>
    <mergeCell ref="B338:C338"/>
    <mergeCell ref="D338:E338"/>
    <mergeCell ref="F338:G338"/>
    <mergeCell ref="M338:N338"/>
    <mergeCell ref="B339:C339"/>
    <mergeCell ref="D339:E339"/>
    <mergeCell ref="F339:G339"/>
    <mergeCell ref="M339:N339"/>
    <mergeCell ref="B340:C340"/>
    <mergeCell ref="D340:E340"/>
    <mergeCell ref="F340:G340"/>
    <mergeCell ref="M340:N340"/>
    <mergeCell ref="B341:C341"/>
    <mergeCell ref="D341:E341"/>
    <mergeCell ref="F341:G341"/>
    <mergeCell ref="M341:N341"/>
    <mergeCell ref="B343:C343"/>
    <mergeCell ref="D343:E343"/>
    <mergeCell ref="F343:G343"/>
    <mergeCell ref="M343:N343"/>
    <mergeCell ref="B344:C344"/>
    <mergeCell ref="D344:E344"/>
    <mergeCell ref="F344:G344"/>
    <mergeCell ref="M344:N344"/>
    <mergeCell ref="B342:C342"/>
    <mergeCell ref="D342:E342"/>
    <mergeCell ref="F342:G342"/>
    <mergeCell ref="M342:N342"/>
    <mergeCell ref="B345:C345"/>
    <mergeCell ref="D345:E345"/>
    <mergeCell ref="F345:G345"/>
    <mergeCell ref="M345:N345"/>
    <mergeCell ref="B347:C347"/>
    <mergeCell ref="D347:E347"/>
    <mergeCell ref="F347:G347"/>
    <mergeCell ref="M347:N347"/>
    <mergeCell ref="B346:C346"/>
    <mergeCell ref="D346:E346"/>
    <mergeCell ref="B348:C348"/>
    <mergeCell ref="D348:E348"/>
    <mergeCell ref="F348:G348"/>
    <mergeCell ref="M348:N348"/>
    <mergeCell ref="B349:C349"/>
    <mergeCell ref="D349:E349"/>
    <mergeCell ref="F349:G349"/>
    <mergeCell ref="M349:N349"/>
    <mergeCell ref="F346:G346"/>
    <mergeCell ref="M346:N346"/>
    <mergeCell ref="F363:G363"/>
    <mergeCell ref="M363:N363"/>
    <mergeCell ref="B356:C356"/>
    <mergeCell ref="D356:E356"/>
    <mergeCell ref="F356:G356"/>
    <mergeCell ref="M356:N356"/>
    <mergeCell ref="F361:G361"/>
    <mergeCell ref="M361:N361"/>
    <mergeCell ref="B350:C350"/>
    <mergeCell ref="D350:E350"/>
    <mergeCell ref="F350:G350"/>
    <mergeCell ref="M350:N350"/>
    <mergeCell ref="B351:C351"/>
    <mergeCell ref="D351:E351"/>
    <mergeCell ref="F351:G351"/>
    <mergeCell ref="M351:N351"/>
    <mergeCell ref="F355:G355"/>
    <mergeCell ref="M355:N355"/>
    <mergeCell ref="B352:C352"/>
    <mergeCell ref="D352:E352"/>
    <mergeCell ref="F352:G352"/>
    <mergeCell ref="M352:N352"/>
    <mergeCell ref="B353:C353"/>
    <mergeCell ref="D353:E353"/>
    <mergeCell ref="F353:G353"/>
    <mergeCell ref="M353:N353"/>
    <mergeCell ref="B360:C360"/>
    <mergeCell ref="D360:E360"/>
    <mergeCell ref="F360:G360"/>
    <mergeCell ref="M360:N360"/>
    <mergeCell ref="B395:C395"/>
    <mergeCell ref="D395:E395"/>
    <mergeCell ref="F395:G395"/>
    <mergeCell ref="M395:N395"/>
    <mergeCell ref="B359:C359"/>
    <mergeCell ref="D359:E359"/>
    <mergeCell ref="F359:G359"/>
    <mergeCell ref="M359:N359"/>
    <mergeCell ref="B361:C361"/>
    <mergeCell ref="D361:E361"/>
    <mergeCell ref="B357:C357"/>
    <mergeCell ref="D357:E357"/>
    <mergeCell ref="F357:G357"/>
    <mergeCell ref="M357:N357"/>
    <mergeCell ref="B354:C354"/>
    <mergeCell ref="D354:E354"/>
    <mergeCell ref="F354:G354"/>
    <mergeCell ref="M354:N354"/>
    <mergeCell ref="B355:C355"/>
    <mergeCell ref="D355:E355"/>
    <mergeCell ref="B365:E365"/>
    <mergeCell ref="B366:E366"/>
    <mergeCell ref="B358:C358"/>
    <mergeCell ref="D358:E358"/>
    <mergeCell ref="F358:G358"/>
    <mergeCell ref="M358:N358"/>
    <mergeCell ref="B362:C362"/>
    <mergeCell ref="D362:E362"/>
    <mergeCell ref="F362:G362"/>
    <mergeCell ref="M362:N362"/>
    <mergeCell ref="B363:C363"/>
    <mergeCell ref="D363:E363"/>
    <mergeCell ref="I245:L245"/>
    <mergeCell ref="B246:C246"/>
    <mergeCell ref="D246:E246"/>
    <mergeCell ref="F246:G246"/>
    <mergeCell ref="M246:N246"/>
    <mergeCell ref="B247:C247"/>
    <mergeCell ref="D247:E247"/>
    <mergeCell ref="F247:G247"/>
    <mergeCell ref="M247:N247"/>
    <mergeCell ref="B248:C248"/>
    <mergeCell ref="D248:E248"/>
    <mergeCell ref="F248:G248"/>
    <mergeCell ref="M248:N248"/>
    <mergeCell ref="B249:C249"/>
    <mergeCell ref="D249:E249"/>
    <mergeCell ref="F249:G249"/>
    <mergeCell ref="M249:N249"/>
    <mergeCell ref="B250:C250"/>
    <mergeCell ref="D250:E250"/>
    <mergeCell ref="F250:G250"/>
    <mergeCell ref="M250:N250"/>
    <mergeCell ref="B251:C251"/>
    <mergeCell ref="D251:E251"/>
    <mergeCell ref="F251:G251"/>
    <mergeCell ref="M251:N251"/>
    <mergeCell ref="B252:C252"/>
    <mergeCell ref="D252:E252"/>
    <mergeCell ref="F252:G252"/>
    <mergeCell ref="M252:N252"/>
    <mergeCell ref="B253:C253"/>
    <mergeCell ref="D253:E253"/>
    <mergeCell ref="F253:G253"/>
    <mergeCell ref="M253:N253"/>
    <mergeCell ref="B254:C254"/>
    <mergeCell ref="D254:E254"/>
    <mergeCell ref="F254:G254"/>
    <mergeCell ref="M254:N254"/>
    <mergeCell ref="B256:C256"/>
    <mergeCell ref="D256:E256"/>
    <mergeCell ref="F256:G256"/>
    <mergeCell ref="M256:N256"/>
    <mergeCell ref="B257:C257"/>
    <mergeCell ref="D257:E257"/>
    <mergeCell ref="F257:G257"/>
    <mergeCell ref="M257:N257"/>
    <mergeCell ref="B258:C258"/>
    <mergeCell ref="D258:E258"/>
    <mergeCell ref="F258:G258"/>
    <mergeCell ref="M258:N258"/>
    <mergeCell ref="B259:C259"/>
    <mergeCell ref="D259:E259"/>
    <mergeCell ref="F259:G259"/>
    <mergeCell ref="M259:N259"/>
    <mergeCell ref="B260:C260"/>
    <mergeCell ref="D260:E260"/>
    <mergeCell ref="F260:G260"/>
    <mergeCell ref="M260:N260"/>
    <mergeCell ref="B261:C261"/>
    <mergeCell ref="D261:E261"/>
    <mergeCell ref="F261:G261"/>
    <mergeCell ref="M261:N261"/>
    <mergeCell ref="B262:C262"/>
    <mergeCell ref="D262:E262"/>
    <mergeCell ref="F262:G262"/>
    <mergeCell ref="M262:N262"/>
    <mergeCell ref="B263:C263"/>
    <mergeCell ref="D263:E263"/>
    <mergeCell ref="F263:G263"/>
    <mergeCell ref="M263:N263"/>
    <mergeCell ref="B264:C264"/>
    <mergeCell ref="D264:E264"/>
    <mergeCell ref="F264:G264"/>
    <mergeCell ref="M264:N264"/>
    <mergeCell ref="B265:C265"/>
    <mergeCell ref="D265:E265"/>
    <mergeCell ref="F265:G265"/>
    <mergeCell ref="M265:N265"/>
    <mergeCell ref="B266:C266"/>
    <mergeCell ref="D266:E266"/>
    <mergeCell ref="F266:G266"/>
    <mergeCell ref="M266:N266"/>
    <mergeCell ref="B267:C267"/>
    <mergeCell ref="D267:E267"/>
    <mergeCell ref="F267:G267"/>
    <mergeCell ref="M267:N267"/>
    <mergeCell ref="B268:C268"/>
    <mergeCell ref="D268:E268"/>
    <mergeCell ref="F268:G268"/>
    <mergeCell ref="M268:N268"/>
    <mergeCell ref="B269:C269"/>
    <mergeCell ref="D269:E269"/>
    <mergeCell ref="F269:G269"/>
    <mergeCell ref="M269:N269"/>
    <mergeCell ref="B270:C270"/>
    <mergeCell ref="D270:E270"/>
    <mergeCell ref="F270:G270"/>
    <mergeCell ref="M270:N270"/>
    <mergeCell ref="F278:G278"/>
    <mergeCell ref="M278:N278"/>
    <mergeCell ref="B280:C280"/>
    <mergeCell ref="D280:E280"/>
    <mergeCell ref="F280:G280"/>
    <mergeCell ref="M280:N280"/>
    <mergeCell ref="B281:C281"/>
    <mergeCell ref="D281:E281"/>
    <mergeCell ref="F281:G281"/>
    <mergeCell ref="M281:N281"/>
    <mergeCell ref="B271:C271"/>
    <mergeCell ref="D271:E271"/>
    <mergeCell ref="F271:G271"/>
    <mergeCell ref="M271:N271"/>
    <mergeCell ref="B272:C272"/>
    <mergeCell ref="D272:E272"/>
    <mergeCell ref="F272:G272"/>
    <mergeCell ref="M272:N272"/>
    <mergeCell ref="B273:C273"/>
    <mergeCell ref="D273:E273"/>
    <mergeCell ref="F273:G273"/>
    <mergeCell ref="M273:N273"/>
    <mergeCell ref="B274:C274"/>
    <mergeCell ref="D274:E274"/>
    <mergeCell ref="F274:G274"/>
    <mergeCell ref="M274:N274"/>
    <mergeCell ref="B275:C275"/>
    <mergeCell ref="D275:E275"/>
    <mergeCell ref="F275:G275"/>
    <mergeCell ref="M275:N275"/>
    <mergeCell ref="B282:C282"/>
    <mergeCell ref="D282:E282"/>
    <mergeCell ref="F282:G282"/>
    <mergeCell ref="M282:N282"/>
    <mergeCell ref="B283:C283"/>
    <mergeCell ref="D283:E283"/>
    <mergeCell ref="F283:G283"/>
    <mergeCell ref="M283:N283"/>
    <mergeCell ref="B284:C284"/>
    <mergeCell ref="D284:E284"/>
    <mergeCell ref="F284:G284"/>
    <mergeCell ref="M284:N284"/>
    <mergeCell ref="B286:E286"/>
    <mergeCell ref="B287:E287"/>
    <mergeCell ref="B255:C255"/>
    <mergeCell ref="D255:E255"/>
    <mergeCell ref="F255:G255"/>
    <mergeCell ref="M255:N255"/>
    <mergeCell ref="B279:C279"/>
    <mergeCell ref="D279:E279"/>
    <mergeCell ref="F279:G279"/>
    <mergeCell ref="M279:N279"/>
    <mergeCell ref="B276:C276"/>
    <mergeCell ref="D276:E276"/>
    <mergeCell ref="F276:G276"/>
    <mergeCell ref="M276:N276"/>
    <mergeCell ref="B277:C277"/>
    <mergeCell ref="D277:E277"/>
    <mergeCell ref="F277:G277"/>
    <mergeCell ref="M277:N277"/>
    <mergeCell ref="B278:C278"/>
    <mergeCell ref="D278:E278"/>
    <mergeCell ref="I200:L200"/>
    <mergeCell ref="B201:C201"/>
    <mergeCell ref="D201:E201"/>
    <mergeCell ref="F201:G201"/>
    <mergeCell ref="M201:N201"/>
    <mergeCell ref="B202:C202"/>
    <mergeCell ref="D202:E202"/>
    <mergeCell ref="F202:G202"/>
    <mergeCell ref="M202:N202"/>
    <mergeCell ref="B203:C203"/>
    <mergeCell ref="D203:E203"/>
    <mergeCell ref="F203:G203"/>
    <mergeCell ref="M203:N203"/>
    <mergeCell ref="B204:C204"/>
    <mergeCell ref="D204:E204"/>
    <mergeCell ref="F204:G204"/>
    <mergeCell ref="M204:N204"/>
    <mergeCell ref="B205:C205"/>
    <mergeCell ref="D205:E205"/>
    <mergeCell ref="F205:G205"/>
    <mergeCell ref="M205:N205"/>
    <mergeCell ref="B206:C206"/>
    <mergeCell ref="D206:E206"/>
    <mergeCell ref="F206:G206"/>
    <mergeCell ref="M206:N206"/>
    <mergeCell ref="B207:C207"/>
    <mergeCell ref="D207:E207"/>
    <mergeCell ref="F207:G207"/>
    <mergeCell ref="M207:N207"/>
    <mergeCell ref="B208:C208"/>
    <mergeCell ref="D208:E208"/>
    <mergeCell ref="F208:G208"/>
    <mergeCell ref="M208:N208"/>
    <mergeCell ref="B209:C209"/>
    <mergeCell ref="D209:E209"/>
    <mergeCell ref="F209:G209"/>
    <mergeCell ref="M209:N209"/>
    <mergeCell ref="B210:C210"/>
    <mergeCell ref="D210:E210"/>
    <mergeCell ref="F210:G210"/>
    <mergeCell ref="M210:N210"/>
    <mergeCell ref="B211:C211"/>
    <mergeCell ref="D211:E211"/>
    <mergeCell ref="F211:G211"/>
    <mergeCell ref="M211:N211"/>
    <mergeCell ref="B212:C212"/>
    <mergeCell ref="D212:E212"/>
    <mergeCell ref="F212:G212"/>
    <mergeCell ref="M212:N212"/>
    <mergeCell ref="B213:C213"/>
    <mergeCell ref="D213:E213"/>
    <mergeCell ref="F213:G213"/>
    <mergeCell ref="M213:N213"/>
    <mergeCell ref="B214:C214"/>
    <mergeCell ref="D214:E214"/>
    <mergeCell ref="F214:G214"/>
    <mergeCell ref="M214:N214"/>
    <mergeCell ref="B215:C215"/>
    <mergeCell ref="D215:E215"/>
    <mergeCell ref="F215:G215"/>
    <mergeCell ref="M215:N215"/>
    <mergeCell ref="B220:C220"/>
    <mergeCell ref="D220:E220"/>
    <mergeCell ref="F220:G220"/>
    <mergeCell ref="M220:N220"/>
    <mergeCell ref="B221:C221"/>
    <mergeCell ref="D221:E221"/>
    <mergeCell ref="F221:G221"/>
    <mergeCell ref="M221:N221"/>
    <mergeCell ref="B222:C222"/>
    <mergeCell ref="D222:E222"/>
    <mergeCell ref="F222:G222"/>
    <mergeCell ref="M222:N222"/>
    <mergeCell ref="B223:C223"/>
    <mergeCell ref="D223:E223"/>
    <mergeCell ref="F223:G223"/>
    <mergeCell ref="M223:N223"/>
    <mergeCell ref="B224:C224"/>
    <mergeCell ref="D224:E224"/>
    <mergeCell ref="F224:G224"/>
    <mergeCell ref="M224:N224"/>
    <mergeCell ref="B225:C225"/>
    <mergeCell ref="D225:E225"/>
    <mergeCell ref="F225:G225"/>
    <mergeCell ref="M225:N225"/>
    <mergeCell ref="B226:C226"/>
    <mergeCell ref="D226:E226"/>
    <mergeCell ref="F226:G226"/>
    <mergeCell ref="M226:N226"/>
    <mergeCell ref="B227:C227"/>
    <mergeCell ref="D227:E227"/>
    <mergeCell ref="F227:G227"/>
    <mergeCell ref="M227:N227"/>
    <mergeCell ref="B228:C228"/>
    <mergeCell ref="D228:E228"/>
    <mergeCell ref="F228:G228"/>
    <mergeCell ref="M228:N228"/>
    <mergeCell ref="B229:C229"/>
    <mergeCell ref="D229:E229"/>
    <mergeCell ref="F229:G229"/>
    <mergeCell ref="M229:N229"/>
    <mergeCell ref="B230:C230"/>
    <mergeCell ref="D230:E230"/>
    <mergeCell ref="F230:G230"/>
    <mergeCell ref="M230:N230"/>
    <mergeCell ref="B231:C231"/>
    <mergeCell ref="D231:E231"/>
    <mergeCell ref="F231:G231"/>
    <mergeCell ref="M231:N231"/>
    <mergeCell ref="B232:C232"/>
    <mergeCell ref="D232:E232"/>
    <mergeCell ref="F232:G232"/>
    <mergeCell ref="M232:N232"/>
    <mergeCell ref="B233:C233"/>
    <mergeCell ref="D233:E233"/>
    <mergeCell ref="F233:G233"/>
    <mergeCell ref="M233:N233"/>
    <mergeCell ref="B234:C234"/>
    <mergeCell ref="D234:E234"/>
    <mergeCell ref="F234:G234"/>
    <mergeCell ref="M234:N234"/>
    <mergeCell ref="B242:E242"/>
    <mergeCell ref="B243:E243"/>
    <mergeCell ref="B236:C236"/>
    <mergeCell ref="D236:E236"/>
    <mergeCell ref="F236:G236"/>
    <mergeCell ref="M236:N236"/>
    <mergeCell ref="B237:C237"/>
    <mergeCell ref="D237:E237"/>
    <mergeCell ref="F237:G237"/>
    <mergeCell ref="M237:N237"/>
    <mergeCell ref="B238:C238"/>
    <mergeCell ref="D238:E238"/>
    <mergeCell ref="F238:G238"/>
    <mergeCell ref="M238:N238"/>
    <mergeCell ref="B239:C239"/>
    <mergeCell ref="D239:E239"/>
    <mergeCell ref="F239:G239"/>
    <mergeCell ref="M239:N239"/>
    <mergeCell ref="B240:C240"/>
    <mergeCell ref="D240:E240"/>
    <mergeCell ref="F240:G240"/>
    <mergeCell ref="M240:N240"/>
    <mergeCell ref="B235:C235"/>
    <mergeCell ref="D235:E235"/>
    <mergeCell ref="F235:G235"/>
    <mergeCell ref="M235:N235"/>
    <mergeCell ref="I161:L161"/>
    <mergeCell ref="B162:C162"/>
    <mergeCell ref="D162:E162"/>
    <mergeCell ref="F162:G162"/>
    <mergeCell ref="M162:N162"/>
    <mergeCell ref="B163:C163"/>
    <mergeCell ref="D163:E163"/>
    <mergeCell ref="F163:G163"/>
    <mergeCell ref="M163:N163"/>
    <mergeCell ref="B164:C164"/>
    <mergeCell ref="D164:E164"/>
    <mergeCell ref="F164:G164"/>
    <mergeCell ref="M164:N164"/>
    <mergeCell ref="B165:C165"/>
    <mergeCell ref="D165:E165"/>
    <mergeCell ref="F165:G165"/>
    <mergeCell ref="M165:N165"/>
    <mergeCell ref="F172:G172"/>
    <mergeCell ref="M172:N172"/>
    <mergeCell ref="B166:C166"/>
    <mergeCell ref="D166:E166"/>
    <mergeCell ref="F166:G166"/>
    <mergeCell ref="M166:N166"/>
    <mergeCell ref="B167:C167"/>
    <mergeCell ref="D167:E167"/>
    <mergeCell ref="F167:G167"/>
    <mergeCell ref="M167:N167"/>
    <mergeCell ref="B168:C168"/>
    <mergeCell ref="D168:E168"/>
    <mergeCell ref="F168:G168"/>
    <mergeCell ref="M168:N168"/>
    <mergeCell ref="B169:C169"/>
    <mergeCell ref="D169:E169"/>
    <mergeCell ref="F169:G169"/>
    <mergeCell ref="M169:N169"/>
    <mergeCell ref="B170:C170"/>
    <mergeCell ref="D170:E170"/>
    <mergeCell ref="F170:G170"/>
    <mergeCell ref="M170:N170"/>
    <mergeCell ref="B183:C183"/>
    <mergeCell ref="D183:E183"/>
    <mergeCell ref="F183:G183"/>
    <mergeCell ref="M183:N183"/>
    <mergeCell ref="B184:C184"/>
    <mergeCell ref="D184:E184"/>
    <mergeCell ref="F184:G184"/>
    <mergeCell ref="M184:N184"/>
    <mergeCell ref="B185:C185"/>
    <mergeCell ref="D185:E185"/>
    <mergeCell ref="B171:C171"/>
    <mergeCell ref="D171:E171"/>
    <mergeCell ref="F171:G171"/>
    <mergeCell ref="M171:N171"/>
    <mergeCell ref="B173:C173"/>
    <mergeCell ref="D173:E173"/>
    <mergeCell ref="F173:G173"/>
    <mergeCell ref="M173:N173"/>
    <mergeCell ref="B174:C174"/>
    <mergeCell ref="D174:E174"/>
    <mergeCell ref="F174:G174"/>
    <mergeCell ref="M174:N174"/>
    <mergeCell ref="B175:C175"/>
    <mergeCell ref="D175:E175"/>
    <mergeCell ref="F175:G175"/>
    <mergeCell ref="M175:N175"/>
    <mergeCell ref="B176:C176"/>
    <mergeCell ref="D176:E176"/>
    <mergeCell ref="F176:G176"/>
    <mergeCell ref="M176:N176"/>
    <mergeCell ref="B172:C172"/>
    <mergeCell ref="D172:E172"/>
    <mergeCell ref="F190:G190"/>
    <mergeCell ref="F191:G191"/>
    <mergeCell ref="B194:C194"/>
    <mergeCell ref="D194:E194"/>
    <mergeCell ref="F194:G194"/>
    <mergeCell ref="M194:N194"/>
    <mergeCell ref="B190:C190"/>
    <mergeCell ref="D190:E190"/>
    <mergeCell ref="B191:C191"/>
    <mergeCell ref="D191:E191"/>
    <mergeCell ref="M191:N191"/>
    <mergeCell ref="M190:N190"/>
    <mergeCell ref="B178:C178"/>
    <mergeCell ref="D178:E178"/>
    <mergeCell ref="F178:G178"/>
    <mergeCell ref="M178:N178"/>
    <mergeCell ref="B179:C179"/>
    <mergeCell ref="D179:E179"/>
    <mergeCell ref="F179:G179"/>
    <mergeCell ref="M179:N179"/>
    <mergeCell ref="B180:C180"/>
    <mergeCell ref="D180:E180"/>
    <mergeCell ref="F180:G180"/>
    <mergeCell ref="M180:N180"/>
    <mergeCell ref="B181:C181"/>
    <mergeCell ref="D181:E181"/>
    <mergeCell ref="F181:G181"/>
    <mergeCell ref="M181:N181"/>
    <mergeCell ref="B182:C182"/>
    <mergeCell ref="D182:E182"/>
    <mergeCell ref="F182:G182"/>
    <mergeCell ref="M182:N182"/>
    <mergeCell ref="F185:G185"/>
    <mergeCell ref="M185:N185"/>
    <mergeCell ref="B186:C186"/>
    <mergeCell ref="D186:E186"/>
    <mergeCell ref="F186:G186"/>
    <mergeCell ref="M186:N186"/>
    <mergeCell ref="B187:C187"/>
    <mergeCell ref="D187:E187"/>
    <mergeCell ref="F187:G187"/>
    <mergeCell ref="M187:N187"/>
    <mergeCell ref="B195:C195"/>
    <mergeCell ref="D195:E195"/>
    <mergeCell ref="F195:G195"/>
    <mergeCell ref="M195:N195"/>
    <mergeCell ref="B197:E197"/>
    <mergeCell ref="B198:E198"/>
    <mergeCell ref="B188:C188"/>
    <mergeCell ref="D188:E188"/>
    <mergeCell ref="F188:G188"/>
    <mergeCell ref="M188:N188"/>
    <mergeCell ref="B189:C189"/>
    <mergeCell ref="D189:E189"/>
    <mergeCell ref="F189:G189"/>
    <mergeCell ref="M189:N189"/>
    <mergeCell ref="B192:C192"/>
    <mergeCell ref="D192:E192"/>
    <mergeCell ref="F192:G192"/>
    <mergeCell ref="M192:N192"/>
    <mergeCell ref="B193:C193"/>
    <mergeCell ref="D193:E193"/>
    <mergeCell ref="F193:G193"/>
    <mergeCell ref="M193:N193"/>
    <mergeCell ref="I121:L121"/>
    <mergeCell ref="B122:C122"/>
    <mergeCell ref="D122:E122"/>
    <mergeCell ref="F122:G122"/>
    <mergeCell ref="M122:N122"/>
    <mergeCell ref="B123:C123"/>
    <mergeCell ref="D123:E123"/>
    <mergeCell ref="F123:G123"/>
    <mergeCell ref="M123:N123"/>
    <mergeCell ref="B124:C124"/>
    <mergeCell ref="D124:E124"/>
    <mergeCell ref="F124:G124"/>
    <mergeCell ref="M124:N124"/>
    <mergeCell ref="B125:C125"/>
    <mergeCell ref="D125:E125"/>
    <mergeCell ref="F125:G125"/>
    <mergeCell ref="M125:N125"/>
    <mergeCell ref="F136:G136"/>
    <mergeCell ref="M136:N136"/>
    <mergeCell ref="B126:C126"/>
    <mergeCell ref="D126:E126"/>
    <mergeCell ref="F126:G126"/>
    <mergeCell ref="M126:N126"/>
    <mergeCell ref="B127:C127"/>
    <mergeCell ref="D127:E127"/>
    <mergeCell ref="F127:G127"/>
    <mergeCell ref="M127:N127"/>
    <mergeCell ref="B128:C128"/>
    <mergeCell ref="D128:E128"/>
    <mergeCell ref="F128:G128"/>
    <mergeCell ref="M128:N128"/>
    <mergeCell ref="B129:C129"/>
    <mergeCell ref="D129:E129"/>
    <mergeCell ref="F129:G129"/>
    <mergeCell ref="M129:N129"/>
    <mergeCell ref="B130:C130"/>
    <mergeCell ref="D130:E130"/>
    <mergeCell ref="F130:G130"/>
    <mergeCell ref="M130:N130"/>
    <mergeCell ref="B132:C132"/>
    <mergeCell ref="D132:E132"/>
    <mergeCell ref="F132:G132"/>
    <mergeCell ref="M132:N132"/>
    <mergeCell ref="B138:C138"/>
    <mergeCell ref="D138:E138"/>
    <mergeCell ref="F138:G138"/>
    <mergeCell ref="M138:N138"/>
    <mergeCell ref="B139:C139"/>
    <mergeCell ref="D139:E139"/>
    <mergeCell ref="F139:G139"/>
    <mergeCell ref="M139:N139"/>
    <mergeCell ref="B140:C140"/>
    <mergeCell ref="D140:E140"/>
    <mergeCell ref="F140:G140"/>
    <mergeCell ref="B141:C141"/>
    <mergeCell ref="D141:E141"/>
    <mergeCell ref="F141:G141"/>
    <mergeCell ref="M141:N141"/>
    <mergeCell ref="B131:C131"/>
    <mergeCell ref="D131:E131"/>
    <mergeCell ref="F131:G131"/>
    <mergeCell ref="M131:N131"/>
    <mergeCell ref="B133:C133"/>
    <mergeCell ref="D133:E133"/>
    <mergeCell ref="F133:G133"/>
    <mergeCell ref="M133:N133"/>
    <mergeCell ref="B134:C134"/>
    <mergeCell ref="D134:E134"/>
    <mergeCell ref="F134:G134"/>
    <mergeCell ref="B135:C135"/>
    <mergeCell ref="D135:E135"/>
    <mergeCell ref="F135:G135"/>
    <mergeCell ref="M135:N135"/>
    <mergeCell ref="B136:C136"/>
    <mergeCell ref="D136:E136"/>
    <mergeCell ref="B142:C142"/>
    <mergeCell ref="D142:E142"/>
    <mergeCell ref="F142:G142"/>
    <mergeCell ref="M142:N142"/>
    <mergeCell ref="B143:C143"/>
    <mergeCell ref="D143:E143"/>
    <mergeCell ref="F143:G143"/>
    <mergeCell ref="M143:N143"/>
    <mergeCell ref="B144:C144"/>
    <mergeCell ref="D144:E144"/>
    <mergeCell ref="F144:G144"/>
    <mergeCell ref="M144:N144"/>
    <mergeCell ref="B145:C145"/>
    <mergeCell ref="D145:E145"/>
    <mergeCell ref="F145:G145"/>
    <mergeCell ref="M145:N145"/>
    <mergeCell ref="B146:C146"/>
    <mergeCell ref="D146:E146"/>
    <mergeCell ref="F146:G146"/>
    <mergeCell ref="M146:N146"/>
    <mergeCell ref="B147:C147"/>
    <mergeCell ref="D147:E147"/>
    <mergeCell ref="F147:G147"/>
    <mergeCell ref="M147:N147"/>
    <mergeCell ref="B148:C148"/>
    <mergeCell ref="D148:E148"/>
    <mergeCell ref="F148:G148"/>
    <mergeCell ref="M148:N148"/>
    <mergeCell ref="B149:C149"/>
    <mergeCell ref="D149:E149"/>
    <mergeCell ref="F149:G149"/>
    <mergeCell ref="M149:N149"/>
    <mergeCell ref="B150:C150"/>
    <mergeCell ref="D150:E150"/>
    <mergeCell ref="F150:G150"/>
    <mergeCell ref="M150:N150"/>
    <mergeCell ref="B151:C151"/>
    <mergeCell ref="D151:E151"/>
    <mergeCell ref="F151:G151"/>
    <mergeCell ref="M151:N151"/>
    <mergeCell ref="B158:E158"/>
    <mergeCell ref="B159:E159"/>
    <mergeCell ref="B152:C152"/>
    <mergeCell ref="D152:E152"/>
    <mergeCell ref="F152:G152"/>
    <mergeCell ref="M152:N152"/>
    <mergeCell ref="B153:C153"/>
    <mergeCell ref="D153:E153"/>
    <mergeCell ref="F153:G153"/>
    <mergeCell ref="B154:C154"/>
    <mergeCell ref="D154:E154"/>
    <mergeCell ref="F154:G154"/>
    <mergeCell ref="M154:N154"/>
    <mergeCell ref="B155:C155"/>
    <mergeCell ref="D155:E155"/>
    <mergeCell ref="F155:G155"/>
    <mergeCell ref="M155:N155"/>
    <mergeCell ref="B156:C156"/>
    <mergeCell ref="D156:E156"/>
    <mergeCell ref="F156:G156"/>
    <mergeCell ref="M156:N156"/>
    <mergeCell ref="I81:L81"/>
    <mergeCell ref="B82:C82"/>
    <mergeCell ref="D82:E82"/>
    <mergeCell ref="F82:G82"/>
    <mergeCell ref="M82:N82"/>
    <mergeCell ref="B83:C83"/>
    <mergeCell ref="D83:E83"/>
    <mergeCell ref="F83:G83"/>
    <mergeCell ref="M83:N83"/>
    <mergeCell ref="B84:C84"/>
    <mergeCell ref="D84:E84"/>
    <mergeCell ref="F84:G84"/>
    <mergeCell ref="M84:N84"/>
    <mergeCell ref="B85:C85"/>
    <mergeCell ref="D85:E85"/>
    <mergeCell ref="F85:G85"/>
    <mergeCell ref="M85:N85"/>
    <mergeCell ref="B86:C86"/>
    <mergeCell ref="D86:E86"/>
    <mergeCell ref="F86:G86"/>
    <mergeCell ref="M86:N86"/>
    <mergeCell ref="B87:C87"/>
    <mergeCell ref="D87:E87"/>
    <mergeCell ref="F87:G87"/>
    <mergeCell ref="M87:N87"/>
    <mergeCell ref="B88:C88"/>
    <mergeCell ref="D88:E88"/>
    <mergeCell ref="F88:G88"/>
    <mergeCell ref="M88:N88"/>
    <mergeCell ref="B89:C89"/>
    <mergeCell ref="D89:E89"/>
    <mergeCell ref="F89:G89"/>
    <mergeCell ref="M89:N89"/>
    <mergeCell ref="B90:C90"/>
    <mergeCell ref="D90:E90"/>
    <mergeCell ref="F90:G90"/>
    <mergeCell ref="M90:N90"/>
    <mergeCell ref="B91:C91"/>
    <mergeCell ref="D91:E91"/>
    <mergeCell ref="F91:G91"/>
    <mergeCell ref="M91:N91"/>
    <mergeCell ref="B92:C92"/>
    <mergeCell ref="D92:E92"/>
    <mergeCell ref="F92:G92"/>
    <mergeCell ref="M92:N92"/>
    <mergeCell ref="B93:C93"/>
    <mergeCell ref="D93:E93"/>
    <mergeCell ref="F93:G93"/>
    <mergeCell ref="M93:N93"/>
    <mergeCell ref="B94:C94"/>
    <mergeCell ref="D94:E94"/>
    <mergeCell ref="F94:G94"/>
    <mergeCell ref="B95:C95"/>
    <mergeCell ref="D95:E95"/>
    <mergeCell ref="F95:G95"/>
    <mergeCell ref="M95:N95"/>
    <mergeCell ref="B96:C96"/>
    <mergeCell ref="D96:E96"/>
    <mergeCell ref="F96:G96"/>
    <mergeCell ref="M96:N96"/>
    <mergeCell ref="B97:C97"/>
    <mergeCell ref="D97:E97"/>
    <mergeCell ref="F97:G97"/>
    <mergeCell ref="M97:N97"/>
    <mergeCell ref="B98:C98"/>
    <mergeCell ref="D98:E98"/>
    <mergeCell ref="F98:G98"/>
    <mergeCell ref="M98:N98"/>
    <mergeCell ref="B99:C99"/>
    <mergeCell ref="D99:E99"/>
    <mergeCell ref="F99:G99"/>
    <mergeCell ref="M99:N99"/>
    <mergeCell ref="B100:C100"/>
    <mergeCell ref="D100:E100"/>
    <mergeCell ref="F100:G100"/>
    <mergeCell ref="B101:C101"/>
    <mergeCell ref="D101:E101"/>
    <mergeCell ref="F101:G101"/>
    <mergeCell ref="M101:N101"/>
    <mergeCell ref="B102:C102"/>
    <mergeCell ref="D102:E102"/>
    <mergeCell ref="F102:G102"/>
    <mergeCell ref="M102:N102"/>
    <mergeCell ref="B103:C103"/>
    <mergeCell ref="D103:E103"/>
    <mergeCell ref="F103:G103"/>
    <mergeCell ref="M103:N103"/>
    <mergeCell ref="B104:C104"/>
    <mergeCell ref="D104:E104"/>
    <mergeCell ref="F104:G104"/>
    <mergeCell ref="M104:N104"/>
    <mergeCell ref="B105:C105"/>
    <mergeCell ref="D105:E105"/>
    <mergeCell ref="F105:G105"/>
    <mergeCell ref="M105:N105"/>
    <mergeCell ref="B106:C106"/>
    <mergeCell ref="D106:E106"/>
    <mergeCell ref="F106:G106"/>
    <mergeCell ref="M106:N106"/>
    <mergeCell ref="B107:C107"/>
    <mergeCell ref="D107:E107"/>
    <mergeCell ref="F107:G107"/>
    <mergeCell ref="M107:N107"/>
    <mergeCell ref="B108:C108"/>
    <mergeCell ref="D108:E108"/>
    <mergeCell ref="F108:G108"/>
    <mergeCell ref="M108:N108"/>
    <mergeCell ref="B109:C109"/>
    <mergeCell ref="D109:E109"/>
    <mergeCell ref="F109:G109"/>
    <mergeCell ref="M109:N109"/>
    <mergeCell ref="B110:C110"/>
    <mergeCell ref="D110:E110"/>
    <mergeCell ref="F110:G110"/>
    <mergeCell ref="M110:N110"/>
    <mergeCell ref="B116:C116"/>
    <mergeCell ref="D116:E116"/>
    <mergeCell ref="F116:G116"/>
    <mergeCell ref="M116:N116"/>
    <mergeCell ref="B118:E118"/>
    <mergeCell ref="B119:E119"/>
    <mergeCell ref="B111:C111"/>
    <mergeCell ref="D111:E111"/>
    <mergeCell ref="F111:G111"/>
    <mergeCell ref="M111:N111"/>
    <mergeCell ref="B112:C112"/>
    <mergeCell ref="D112:E112"/>
    <mergeCell ref="F112:G112"/>
    <mergeCell ref="M112:N112"/>
    <mergeCell ref="B113:C113"/>
    <mergeCell ref="D113:E113"/>
    <mergeCell ref="F113:G113"/>
    <mergeCell ref="B114:C114"/>
    <mergeCell ref="D114:E114"/>
    <mergeCell ref="F114:G114"/>
    <mergeCell ref="M114:N114"/>
    <mergeCell ref="B115:C115"/>
    <mergeCell ref="D115:E115"/>
    <mergeCell ref="F115:G115"/>
    <mergeCell ref="M115:N115"/>
  </mergeCells>
  <phoneticPr fontId="2" type="noConversion"/>
  <printOptions horizontalCentered="1"/>
  <pageMargins left="0.25" right="0.25" top="1.5" bottom="0" header="0.6" footer="0"/>
  <pageSetup scale="64" orientation="landscape" r:id="rId1"/>
  <headerFooter alignWithMargins="0">
    <oddHeader xml:space="preserve">&amp;C&amp;"Arial,Bold"&amp;22Cucamonga Valley Water District
IEUA Conservation Programs Annual Report&amp;"Arial,Regular"
</oddHeader>
  </headerFooter>
  <rowBreaks count="14" manualBreakCount="14">
    <brk id="79" max="16383" man="1"/>
    <brk id="119" max="13" man="1"/>
    <brk id="159" max="13" man="1"/>
    <brk id="198" max="13" man="1"/>
    <brk id="243" max="13" man="1"/>
    <brk id="287" max="13" man="1"/>
    <brk id="329" max="13" man="1"/>
    <brk id="366" max="13" man="1"/>
    <brk id="400" max="13" man="1"/>
    <brk id="443" max="13" man="1"/>
    <brk id="486" max="13" man="1"/>
    <brk id="526" max="13" man="1"/>
    <brk id="556" max="13" man="1"/>
    <brk id="604" max="13" man="1"/>
  </rowBreaks>
  <ignoredErrors>
    <ignoredError sqref="H29 H25 F33" formula="1"/>
  </ignoredError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9">
    <tabColor rgb="FF002060"/>
    <pageSetUpPr fitToPage="1"/>
  </sheetPr>
  <dimension ref="A1:O711"/>
  <sheetViews>
    <sheetView view="pageBreakPreview" topLeftCell="A325" zoomScale="75" zoomScaleNormal="90" zoomScaleSheetLayoutView="75" workbookViewId="0">
      <selection activeCell="L39" sqref="L39"/>
    </sheetView>
  </sheetViews>
  <sheetFormatPr baseColWidth="10" defaultColWidth="8.83203125" defaultRowHeight="13"/>
  <cols>
    <col min="1" max="1" width="61.1640625" bestFit="1" customWidth="1"/>
    <col min="6" max="7" width="9.1640625" style="424" customWidth="1"/>
    <col min="8" max="8" width="14.1640625" style="424" bestFit="1" customWidth="1"/>
    <col min="9" max="10" width="15.6640625" bestFit="1" customWidth="1"/>
    <col min="11" max="11" width="17.33203125" bestFit="1" customWidth="1"/>
    <col min="12" max="12" width="18" bestFit="1" customWidth="1"/>
    <col min="15" max="15" width="9.1640625" style="121"/>
  </cols>
  <sheetData>
    <row r="1" spans="1:15" ht="17" thickBot="1">
      <c r="A1" s="1137"/>
      <c r="B1" s="359"/>
      <c r="C1" s="359"/>
      <c r="D1" s="359"/>
      <c r="E1" s="359"/>
      <c r="F1" s="1138"/>
      <c r="G1" s="1138"/>
      <c r="H1" s="1138"/>
      <c r="I1" s="2199" t="s">
        <v>0</v>
      </c>
      <c r="J1" s="2199"/>
      <c r="K1" s="2199"/>
      <c r="L1" s="2199"/>
      <c r="M1" s="359"/>
      <c r="N1" s="1139"/>
    </row>
    <row r="2" spans="1:15" ht="16">
      <c r="A2" s="97"/>
      <c r="B2" s="1469" t="s">
        <v>1</v>
      </c>
      <c r="C2" s="1469"/>
      <c r="D2" s="1469" t="s">
        <v>2</v>
      </c>
      <c r="E2" s="1469"/>
      <c r="F2" s="1863" t="s">
        <v>3</v>
      </c>
      <c r="G2" s="1863"/>
      <c r="H2" s="1314" t="s">
        <v>3</v>
      </c>
      <c r="I2" s="1315" t="s">
        <v>195</v>
      </c>
      <c r="J2" s="102"/>
      <c r="K2" s="102"/>
      <c r="L2" s="1136"/>
      <c r="M2" s="1471" t="s">
        <v>469</v>
      </c>
      <c r="N2" s="1472"/>
    </row>
    <row r="3" spans="1:15" ht="19" thickBot="1">
      <c r="A3" s="103" t="s">
        <v>5</v>
      </c>
      <c r="B3" s="1469" t="s">
        <v>6</v>
      </c>
      <c r="C3" s="1469"/>
      <c r="D3" s="1473" t="s">
        <v>7</v>
      </c>
      <c r="E3" s="1473"/>
      <c r="F3" s="1864" t="s">
        <v>7</v>
      </c>
      <c r="G3" s="1864"/>
      <c r="H3" s="1317" t="s">
        <v>58</v>
      </c>
      <c r="I3" s="1318" t="s">
        <v>196</v>
      </c>
      <c r="J3" s="1316" t="s">
        <v>8</v>
      </c>
      <c r="K3" s="1316" t="s">
        <v>9</v>
      </c>
      <c r="L3" s="401" t="s">
        <v>10</v>
      </c>
      <c r="M3" s="1473" t="s">
        <v>470</v>
      </c>
      <c r="N3" s="1475"/>
    </row>
    <row r="4" spans="1:15" ht="24.75" customHeight="1" thickBot="1">
      <c r="A4" s="345" t="s">
        <v>435</v>
      </c>
      <c r="B4" s="1702"/>
      <c r="C4" s="1703"/>
      <c r="D4" s="2200"/>
      <c r="E4" s="2201"/>
      <c r="F4" s="2202"/>
      <c r="G4" s="2203"/>
      <c r="H4" s="432"/>
      <c r="I4" s="369"/>
      <c r="J4" s="369"/>
      <c r="K4" s="369"/>
      <c r="L4" s="370"/>
      <c r="M4" s="2204"/>
      <c r="N4" s="2205"/>
    </row>
    <row r="5" spans="1:15" s="1161" customFormat="1" ht="17" thickBot="1">
      <c r="A5" s="108" t="s">
        <v>189</v>
      </c>
      <c r="B5" s="1456"/>
      <c r="C5" s="1586"/>
      <c r="D5" s="1457"/>
      <c r="E5" s="1457"/>
      <c r="F5" s="1619"/>
      <c r="G5" s="1620"/>
      <c r="H5" s="1320"/>
      <c r="I5" s="109"/>
      <c r="J5" s="1319"/>
      <c r="K5" s="109"/>
      <c r="L5" s="1319"/>
      <c r="M5" s="2206"/>
      <c r="N5" s="2207"/>
      <c r="O5" s="274"/>
    </row>
    <row r="6" spans="1:15">
      <c r="A6" s="32" t="s">
        <v>29</v>
      </c>
      <c r="B6" s="1444">
        <f>SUM('Ontario Total'!B6:C6+'Chino Total'!B6:C6+'Chino Hills Total'!B6:C6+'MVWD Total '!B6:C6+'Upland Total'!B6:C6+'FWC Total'!B6:C6+'SAWC Total'!B6:C6+'CVWD Total'!B6:C6)</f>
        <v>521</v>
      </c>
      <c r="C6" s="1422"/>
      <c r="D6" s="1444">
        <f>SUM('Ontario Total'!D6:E6+'Chino Total'!D6:E6+'Chino Hills Total'!D6:E6+'MVWD Total '!D6:E6+'Upland Total'!D6:E6+'FWC Total'!D6:E6+'SAWC Total'!D6:E6+'CVWD Total'!D6:E6)</f>
        <v>4176929.94</v>
      </c>
      <c r="E6" s="1422"/>
      <c r="F6" s="1432">
        <f>SUM('Ontario Total'!F6:G6+'Chino Total'!F6:G6+'Chino Hills Total'!F6:G6+'MVWD Total '!F6:G6+'Upland Total'!F6:G6+'FWC Total'!F6:G6+'SAWC Total'!F6:G6+'CVWD Total'!F6:G6)</f>
        <v>12.816600000000001</v>
      </c>
      <c r="G6" s="1433"/>
      <c r="H6" s="1326">
        <f>SUM('Ontario Total'!H6+'Chino Total'!H6+'Chino Hills Total'!H6+'MVWD Total '!H6+'Upland Total'!H6+'FWC Total'!H6+'SAWC Total'!H6+'CVWD Total'!H6)</f>
        <v>256.33199999999999</v>
      </c>
      <c r="I6" s="1402">
        <f>SUM('Ontario Total'!I6+'Chino Total'!I6+'Chino Hills Total'!I6+'MVWD Total '!I6+'Upland Total'!I6+'FWC Total'!I6+'SAWC Total'!I6+'CVWD Total'!I6)</f>
        <v>0</v>
      </c>
      <c r="J6" s="1402">
        <f>SUM('Ontario Total'!J6+'Chino Total'!J6+'Chino Hills Total'!J6+'MVWD Total '!J6+'Upland Total'!J6+'FWC Total'!J6+'SAWC Total'!J6+'CVWD Total'!J6)</f>
        <v>31260</v>
      </c>
      <c r="K6" s="1402">
        <f>SUM('Ontario Total'!K6+'Chino Total'!K6+'Chino Hills Total'!K6+'MVWD Total '!K6+'Upland Total'!K6+'FWC Total'!K6+'SAWC Total'!K6+'CVWD Total'!K6)</f>
        <v>20840</v>
      </c>
      <c r="L6" s="1403">
        <f>SUM('Ontario Total'!L6+'Chino Total'!L6+'Chino Hills Total'!L6+'MVWD Total '!L6+'Upland Total'!L6+'FWC Total'!L6+'SAWC Total'!L6+'CVWD Total'!L6)</f>
        <v>52100</v>
      </c>
      <c r="M6" s="1427">
        <f>J6/(F6*830)</f>
        <v>2.9385836027034968</v>
      </c>
      <c r="N6" s="2193" t="e">
        <f>SUM('Ontario Total'!N1+'Chino Total'!N1+'Chino Hills Total'!N1+'MVWD Total '!N1+'Upland Total'!N1+'FWC Total'!N1+'SAWC Total'!N1+'CVWD Total'!#REF!)</f>
        <v>#REF!</v>
      </c>
    </row>
    <row r="7" spans="1:15">
      <c r="A7" s="32" t="s">
        <v>33</v>
      </c>
      <c r="B7" s="1444">
        <f>SUM('Ontario Total'!B7:C7+'Chino Total'!B7:C7+'Chino Hills Total'!B7:C7+'MVWD Total '!B7:C7+'Upland Total'!B7:C7+'FWC Total'!B7:C7+'SAWC Total'!B7:C7+'CVWD Total'!B7:C7)</f>
        <v>429</v>
      </c>
      <c r="C7" s="1422"/>
      <c r="D7" s="1444">
        <f>SUM('Ontario Total'!D7:E7+'Chino Total'!D7:E7+'Chino Hills Total'!D7:E7+'MVWD Total '!D7:E7+'Upland Total'!D7:E7+'FWC Total'!D7:E7+'SAWC Total'!D7:E7+'CVWD Total'!D7:E7)</f>
        <v>4823482.95</v>
      </c>
      <c r="E7" s="1422"/>
      <c r="F7" s="1432">
        <f>SUM('Ontario Total'!F7:G7+'Chino Total'!F7:G7+'Chino Hills Total'!F7:G7+'MVWD Total '!F7:G7+'Upland Total'!F7:G7+'FWC Total'!F7:G7+'SAWC Total'!F7:G7+'CVWD Total'!F7:G7)</f>
        <v>14.800500000000003</v>
      </c>
      <c r="G7" s="1433"/>
      <c r="H7" s="1377">
        <f>SUM('Ontario Total'!H7+'Chino Total'!H7+'Chino Hills Total'!H7+'MVWD Total '!H7+'Upland Total'!H7+'FWC Total'!H7+'SAWC Total'!H7+'CVWD Total'!H7)</f>
        <v>207.20700000000002</v>
      </c>
      <c r="I7" s="1402">
        <f>SUM('Ontario Total'!I7+'Chino Total'!I7+'Chino Hills Total'!I7+'MVWD Total '!I7+'Upland Total'!I7+'FWC Total'!I7+'SAWC Total'!I7+'CVWD Total'!I7)</f>
        <v>1580</v>
      </c>
      <c r="J7" s="1402">
        <f>SUM('Ontario Total'!J7+'Chino Total'!J7+'Chino Hills Total'!J7+'MVWD Total '!J7+'Upland Total'!J7+'FWC Total'!J7+'SAWC Total'!J7+'CVWD Total'!J7)</f>
        <v>32175</v>
      </c>
      <c r="K7" s="1402">
        <f>SUM('Ontario Total'!K7+'Chino Total'!K7+'Chino Hills Total'!K7+'MVWD Total '!K7+'Upland Total'!K7+'FWC Total'!K7+'SAWC Total'!K7+'CVWD Total'!K7)</f>
        <v>36465</v>
      </c>
      <c r="L7" s="1403">
        <f>SUM('Ontario Total'!L7+'Chino Total'!L7+'Chino Hills Total'!L7+'MVWD Total '!L7+'Upland Total'!L7+'FWC Total'!L7+'SAWC Total'!L7+'CVWD Total'!L7)</f>
        <v>70220</v>
      </c>
      <c r="M7" s="1427">
        <f>J7/(F7*830)</f>
        <v>2.6191723415400729</v>
      </c>
      <c r="N7" s="2193" t="e">
        <f>SUM('Ontario Total'!N2+'Chino Total'!N2+'Chino Hills Total'!N2+'MVWD Total '!N2+'Upland Total'!N2+'FWC Total'!N2+'SAWC Total'!N2+'CVWD Total'!#REF!)</f>
        <v>#REF!</v>
      </c>
    </row>
    <row r="8" spans="1:15">
      <c r="A8" s="78" t="s">
        <v>437</v>
      </c>
      <c r="B8" s="1444">
        <f>SUM('Ontario Total'!B8:C8+'Chino Total'!B8:C8+'Chino Hills Total'!B8:C8+'MVWD Total '!B8:C8+'Upland Total'!B8:C8+'FWC Total'!B8:C8+'SAWC Total'!B8:C8+'CVWD Total'!B8:C8)</f>
        <v>27</v>
      </c>
      <c r="C8" s="1422"/>
      <c r="D8" s="1444">
        <f>SUM('Ontario Total'!D8:E8+'Chino Total'!D8:E8+'Chino Hills Total'!D8:E8+'MVWD Total '!D8:E8+'Upland Total'!D8:E8+'FWC Total'!D8:E8+'SAWC Total'!D8:E8+'CVWD Total'!D8:E8)</f>
        <v>1828299.0000000002</v>
      </c>
      <c r="E8" s="1422"/>
      <c r="F8" s="1432">
        <f>SUM('Ontario Total'!F8:G8+'Chino Total'!F8:G8+'Chino Hills Total'!F8:G8+'MVWD Total '!F8:G8+'Upland Total'!F8:G8+'FWC Total'!F8:G8+'SAWC Total'!F8:G8+'CVWD Total'!F8:G8)</f>
        <v>5.61</v>
      </c>
      <c r="G8" s="1433"/>
      <c r="H8" s="1377">
        <f>SUM('Ontario Total'!H8+'Chino Total'!H8+'Chino Hills Total'!H8+'MVWD Total '!H8+'Upland Total'!H8+'FWC Total'!H8+'SAWC Total'!H8+'CVWD Total'!H8)</f>
        <v>28.05</v>
      </c>
      <c r="I8" s="1402">
        <f>SUM('Ontario Total'!I8+'Chino Total'!I8+'Chino Hills Total'!I8+'MVWD Total '!I8+'Upland Total'!I8+'FWC Total'!I8+'SAWC Total'!I8+'CVWD Total'!I8)</f>
        <v>0</v>
      </c>
      <c r="J8" s="1402">
        <f>SUM('Ontario Total'!J8+'Chino Total'!J8+'Chino Hills Total'!J8+'MVWD Total '!J8+'Upland Total'!J8+'FWC Total'!J8+'SAWC Total'!J8+'CVWD Total'!J8)</f>
        <v>3825</v>
      </c>
      <c r="K8" s="1402">
        <f>SUM('Ontario Total'!K8+'Chino Total'!K8+'Chino Hills Total'!K8+'MVWD Total '!K8+'Upland Total'!K8+'FWC Total'!K8+'SAWC Total'!K8+'CVWD Total'!K8)</f>
        <v>2550</v>
      </c>
      <c r="L8" s="1403">
        <f>SUM('Ontario Total'!L8+'Chino Total'!L8+'Chino Hills Total'!L8+'MVWD Total '!L8+'Upland Total'!L8+'FWC Total'!L8+'SAWC Total'!L8+'CVWD Total'!L8)</f>
        <v>6375</v>
      </c>
      <c r="M8" s="1427">
        <f t="shared" ref="M8:M11" si="0">J8/(F8*830)</f>
        <v>0.82146768893756839</v>
      </c>
      <c r="N8" s="2193" t="e">
        <f>SUM('Ontario Total'!N3+'Chino Total'!N3+'Chino Hills Total'!N3+'MVWD Total '!N3+'Upland Total'!N3+'FWC Total'!N3+'SAWC Total'!N3+'CVWD Total'!#REF!)</f>
        <v>#REF!</v>
      </c>
    </row>
    <row r="9" spans="1:15">
      <c r="A9" s="32" t="s">
        <v>52</v>
      </c>
      <c r="B9" s="1444">
        <f>SUM('Ontario Total'!B9:C9+'Chino Total'!B9:C9+'Chino Hills Total'!B9:C9+'MVWD Total '!B9:C9+'Upland Total'!B9:C9+'FWC Total'!B9:C9+'SAWC Total'!B9:C9+'CVWD Total'!B9:C9)</f>
        <v>578</v>
      </c>
      <c r="C9" s="1422"/>
      <c r="D9" s="1444">
        <f>SUM('Ontario Total'!D9:E9+'Chino Total'!D9:E9+'Chino Hills Total'!D9:E9+'MVWD Total '!D9:E9+'Upland Total'!D9:E9+'FWC Total'!D9:E9+'SAWC Total'!D9:E9+'CVWD Total'!D9:E9)</f>
        <v>7798526.2800000012</v>
      </c>
      <c r="E9" s="1422"/>
      <c r="F9" s="1432">
        <f>SUM('Ontario Total'!F9:G9+'Chino Total'!F9:G9+'Chino Hills Total'!F9:G9+'MVWD Total '!F9:G9+'Upland Total'!F9:G9+'FWC Total'!F9:G9+'SAWC Total'!F9:G9+'CVWD Total'!F9:G9)</f>
        <v>23.929200000000002</v>
      </c>
      <c r="G9" s="1433"/>
      <c r="H9" s="1377">
        <f>SUM('Ontario Total'!H9+'Chino Total'!H9+'Chino Hills Total'!H9+'MVWD Total '!H9+'Upland Total'!H9+'FWC Total'!H9+'SAWC Total'!H9+'CVWD Total'!H9)</f>
        <v>239.292</v>
      </c>
      <c r="I9" s="1402">
        <f>SUM('Ontario Total'!I9+'Chino Total'!I9+'Chino Hills Total'!I9+'MVWD Total '!I9+'Upland Total'!I9+'FWC Total'!I9+'SAWC Total'!I9+'CVWD Total'!I9)</f>
        <v>0</v>
      </c>
      <c r="J9" s="1402">
        <f>SUM('Ontario Total'!J9+'Chino Total'!J9+'Chino Hills Total'!J9+'MVWD Total '!J9+'Upland Total'!J9+'FWC Total'!J9+'SAWC Total'!J9+'CVWD Total'!J9)</f>
        <v>46240</v>
      </c>
      <c r="K9" s="1402">
        <f>SUM('Ontario Total'!K9+'Chino Total'!K9+'Chino Hills Total'!K9+'MVWD Total '!K9+'Upland Total'!K9+'FWC Total'!K9+'SAWC Total'!K9+'CVWD Total'!K9)</f>
        <v>46240</v>
      </c>
      <c r="L9" s="1403">
        <f>SUM('Ontario Total'!L9+'Chino Total'!L9+'Chino Hills Total'!L9+'MVWD Total '!L9+'Upland Total'!L9+'FWC Total'!L9+'SAWC Total'!L9+'CVWD Total'!L9)</f>
        <v>92480</v>
      </c>
      <c r="M9" s="1427">
        <f t="shared" si="0"/>
        <v>2.3281531924800651</v>
      </c>
      <c r="N9" s="2193" t="e">
        <f>SUM('Ontario Total'!N4+'Chino Total'!N4+'Chino Hills Total'!N4+'MVWD Total '!N4+'Upland Total'!N4+'FWC Total'!N4+'SAWC Total'!N4+'CVWD Total'!#REF!)</f>
        <v>#REF!</v>
      </c>
    </row>
    <row r="10" spans="1:15" ht="12.75" customHeight="1">
      <c r="A10" s="76" t="s">
        <v>459</v>
      </c>
      <c r="B10" s="1444">
        <f>SUM('Ontario Total'!B10:C10+'Chino Total'!B10:C10+'Chino Hills Total'!B10:C10+'MVWD Total '!B10:C10+'Upland Total'!B10:C10+'FWC Total'!B10:C10+'SAWC Total'!B10:C10+'CVWD Total'!B10:C10)</f>
        <v>123</v>
      </c>
      <c r="C10" s="1422"/>
      <c r="D10" s="1444">
        <f>SUM('Ontario Total'!D10:E10+'Chino Total'!D10:E10+'Chino Hills Total'!D10:E10+'MVWD Total '!D10:E10+'Upland Total'!D10:E10+'FWC Total'!D10:E10+'SAWC Total'!D10:E10+'CVWD Total'!D10:E10)</f>
        <v>7924298</v>
      </c>
      <c r="E10" s="1422"/>
      <c r="F10" s="1432">
        <f>SUM('Ontario Total'!F10:G10+'Chino Total'!F10:G10+'Chino Hills Total'!F10:G10+'MVWD Total '!F10:G10+'Upland Total'!F10:G10+'FWC Total'!F10:G10+'SAWC Total'!F10:G10+'CVWD Total'!F10:G10)</f>
        <v>24.315121202822951</v>
      </c>
      <c r="G10" s="1433"/>
      <c r="H10" s="1377">
        <f>SUM('Ontario Total'!H10+'Chino Total'!H10+'Chino Hills Total'!H10+'MVWD Total '!H10+'Upland Total'!H10+'FWC Total'!H10+'SAWC Total'!H10+'CVWD Total'!H10)</f>
        <v>243.15121202822951</v>
      </c>
      <c r="I10" s="1402">
        <f>SUM('Ontario Total'!I10+'Chino Total'!I10+'Chino Hills Total'!I10+'MVWD Total '!I10+'Upland Total'!I10+'FWC Total'!I10+'SAWC Total'!I10+'CVWD Total'!I10)</f>
        <v>18222.5</v>
      </c>
      <c r="J10" s="1402">
        <f>SUM('Ontario Total'!J10+'Chino Total'!J10+'Chino Hills Total'!J10+'MVWD Total '!J10+'Upland Total'!J10+'FWC Total'!J10+'SAWC Total'!J10+'CVWD Total'!J10)</f>
        <v>152332</v>
      </c>
      <c r="K10" s="1402">
        <f>SUM('Ontario Total'!K10+'Chino Total'!K10+'Chino Hills Total'!K10+'MVWD Total '!K10+'Upland Total'!K10+'FWC Total'!K10+'SAWC Total'!K10+'CVWD Total'!K10)</f>
        <v>360644</v>
      </c>
      <c r="L10" s="1403">
        <f>SUM('Ontario Total'!L10+'Chino Total'!L10+'Chino Hills Total'!L10+'MVWD Total '!L10+'Upland Total'!L10+'FWC Total'!L10+'SAWC Total'!L10+'CVWD Total'!L10)</f>
        <v>531198.5</v>
      </c>
      <c r="M10" s="1427">
        <f t="shared" si="0"/>
        <v>7.5480820592896762</v>
      </c>
      <c r="N10" s="2193" t="e">
        <f>SUM('Ontario Total'!N5+'Chino Total'!N5+'Chino Hills Total'!N5+'MVWD Total '!N5+'Upland Total'!N5+'FWC Total'!N5+'SAWC Total'!N5+'CVWD Total'!#REF!)</f>
        <v>#REF!</v>
      </c>
    </row>
    <row r="11" spans="1:15" ht="12.75" customHeight="1">
      <c r="A11" s="76" t="s">
        <v>214</v>
      </c>
      <c r="B11" s="1444">
        <f>SUM('Ontario Total'!B11:C11+'Chino Total'!B11:C11+'Chino Hills Total'!B11:C11+'MVWD Total '!B11:C11+'Upland Total'!B11:C11+'FWC Total'!B11:C11+'SAWC Total'!B11:C11+'CVWD Total'!B11:C11)</f>
        <v>9</v>
      </c>
      <c r="C11" s="1422"/>
      <c r="D11" s="1444">
        <f>SUM('Ontario Total'!D11:E11+'Chino Total'!D11:E11+'Chino Hills Total'!D11:E11+'MVWD Total '!D11:E11+'Upland Total'!D11:E11+'FWC Total'!D11:E11+'SAWC Total'!D11:E11+'CVWD Total'!D11:E11)</f>
        <v>5572.89</v>
      </c>
      <c r="E11" s="1422"/>
      <c r="F11" s="1432">
        <f>SUM('Ontario Total'!F11:G11+'Chino Total'!F11:G11+'Chino Hills Total'!F11:G11+'MVWD Total '!F11:G11+'Upland Total'!F11:G11+'FWC Total'!F11:G11+'SAWC Total'!F11:G11+'CVWD Total'!F11:G11)</f>
        <v>1.7100000000000001E-2</v>
      </c>
      <c r="G11" s="1433"/>
      <c r="H11" s="1377">
        <f>SUM('Ontario Total'!H11+'Chino Total'!H11+'Chino Hills Total'!H11+'MVWD Total '!H11+'Upland Total'!H11+'FWC Total'!H11+'SAWC Total'!H11+'CVWD Total'!H11)</f>
        <v>8.5499999999999993E-2</v>
      </c>
      <c r="I11" s="1402">
        <f>SUM('Ontario Total'!I11+'Chino Total'!I11+'Chino Hills Total'!I11+'MVWD Total '!I11+'Upland Total'!I11+'FWC Total'!I11+'SAWC Total'!I11+'CVWD Total'!I11)</f>
        <v>0</v>
      </c>
      <c r="J11" s="1402">
        <f>SUM('Ontario Total'!J11+'Chino Total'!J11+'Chino Hills Total'!J11+'MVWD Total '!J11+'Upland Total'!J11+'FWC Total'!J11+'SAWC Total'!J11+'CVWD Total'!J11)</f>
        <v>0</v>
      </c>
      <c r="K11" s="1402">
        <f>SUM('Ontario Total'!K11+'Chino Total'!K11+'Chino Hills Total'!K11+'MVWD Total '!K11+'Upland Total'!K11+'FWC Total'!K11+'SAWC Total'!K11+'CVWD Total'!K11)</f>
        <v>315</v>
      </c>
      <c r="L11" s="1403">
        <f>SUM('Ontario Total'!L11+'Chino Total'!L11+'Chino Hills Total'!L11+'MVWD Total '!L11+'Upland Total'!L11+'FWC Total'!L11+'SAWC Total'!L11+'CVWD Total'!L11)</f>
        <v>315</v>
      </c>
      <c r="M11" s="1427">
        <f t="shared" si="0"/>
        <v>0</v>
      </c>
      <c r="N11" s="2193" t="e">
        <f>SUM('Ontario Total'!N6+'Chino Total'!N6+'Chino Hills Total'!N6+'MVWD Total '!N6+'Upland Total'!N6+'FWC Total'!N6+'SAWC Total'!N6+'CVWD Total'!#REF!)</f>
        <v>#REF!</v>
      </c>
    </row>
    <row r="12" spans="1:15" ht="12.75" customHeight="1">
      <c r="A12" s="76" t="s">
        <v>331</v>
      </c>
      <c r="B12" s="1444">
        <f>SUM('Ontario Total'!B12:C12+'Chino Total'!B12:C12+'Chino Hills Total'!B12:C12+'MVWD Total '!B12:C12+'Upland Total'!B12:C12+'FWC Total'!B12:C12+'SAWC Total'!B12:C12+'CVWD Total'!B12:C12)</f>
        <v>0</v>
      </c>
      <c r="C12" s="1422"/>
      <c r="D12" s="1444">
        <f>SUM('Ontario Total'!D12:E12+'Chino Total'!D12:E12+'Chino Hills Total'!D12:E12+'MVWD Total '!D12:E12+'Upland Total'!D12:E12+'FWC Total'!D12:E12+'SAWC Total'!D12:E12+'CVWD Total'!D12:E12)</f>
        <v>0</v>
      </c>
      <c r="E12" s="1422"/>
      <c r="F12" s="1432">
        <f>SUM('Ontario Total'!F12:G12+'Chino Total'!F12:G12+'Chino Hills Total'!F12:G12+'MVWD Total '!F12:G12+'Upland Total'!F12:G12+'FWC Total'!F12:G12+'SAWC Total'!F12:G12+'CVWD Total'!F12:G12)</f>
        <v>0</v>
      </c>
      <c r="G12" s="1433"/>
      <c r="H12" s="1377">
        <f>SUM('Ontario Total'!H12+'Chino Total'!H12+'Chino Hills Total'!H12+'MVWD Total '!H12+'Upland Total'!H12+'FWC Total'!H12+'SAWC Total'!H12+'CVWD Total'!H12)</f>
        <v>0</v>
      </c>
      <c r="I12" s="1402">
        <f>SUM('Ontario Total'!I12+'Chino Total'!I12+'Chino Hills Total'!I12+'MVWD Total '!I12+'Upland Total'!I12+'FWC Total'!I12+'SAWC Total'!I12+'CVWD Total'!I12)</f>
        <v>0</v>
      </c>
      <c r="J12" s="1402">
        <f>SUM('Ontario Total'!J12+'Chino Total'!J12+'Chino Hills Total'!J12+'MVWD Total '!J12+'Upland Total'!J12+'FWC Total'!J12+'SAWC Total'!J12+'CVWD Total'!J12)</f>
        <v>0</v>
      </c>
      <c r="K12" s="1402">
        <f>SUM('Ontario Total'!K12+'Chino Total'!K12+'Chino Hills Total'!K12+'MVWD Total '!K12+'Upland Total'!K12+'FWC Total'!K12+'SAWC Total'!K12+'CVWD Total'!K12)</f>
        <v>0</v>
      </c>
      <c r="L12" s="1403">
        <f>SUM('Ontario Total'!L12+'Chino Total'!L12+'Chino Hills Total'!L12+'MVWD Total '!L12+'Upland Total'!L12+'FWC Total'!L12+'SAWC Total'!L12+'CVWD Total'!L12)</f>
        <v>0</v>
      </c>
      <c r="M12" s="1427">
        <v>0</v>
      </c>
      <c r="N12" s="2193" t="e">
        <f>SUM('Ontario Total'!N7+'Chino Total'!N7+'Chino Hills Total'!N7+'MVWD Total '!N7+'Upland Total'!N7+'FWC Total'!N7+'SAWC Total'!N7+'CVWD Total'!#REF!)</f>
        <v>#REF!</v>
      </c>
    </row>
    <row r="13" spans="1:15" ht="12.75" customHeight="1" thickBot="1">
      <c r="A13" s="107" t="s">
        <v>269</v>
      </c>
      <c r="B13" s="1444">
        <f>SUM('Ontario Total'!B13:C13+'Chino Total'!B13:C13+'Chino Hills Total'!B13:C13+'MVWD Total '!B13:C13+'Upland Total'!B13:C13+'FWC Total'!B13:C13+'SAWC Total'!B13:C13+'CVWD Total'!B13:C13)</f>
        <v>0</v>
      </c>
      <c r="C13" s="1422"/>
      <c r="D13" s="1444">
        <f>SUM('Ontario Total'!D13:E13+'Chino Total'!D13:E13+'Chino Hills Total'!D13:E13+'MVWD Total '!D13:E13+'Upland Total'!D13:E13+'FWC Total'!D13:E13+'SAWC Total'!D13:E13+'CVWD Total'!D13:E13)</f>
        <v>0</v>
      </c>
      <c r="E13" s="1422"/>
      <c r="F13" s="1432">
        <f>SUM('Ontario Total'!F13:G13+'Chino Total'!F13:G13+'Chino Hills Total'!F13:G13+'MVWD Total '!F13:G13+'Upland Total'!F13:G13+'FWC Total'!F13:G13+'SAWC Total'!F13:G13+'CVWD Total'!F13:G13)</f>
        <v>0</v>
      </c>
      <c r="G13" s="1433"/>
      <c r="H13" s="1377">
        <f>SUM('Ontario Total'!H13+'Chino Total'!H13+'Chino Hills Total'!H13+'MVWD Total '!H13+'Upland Total'!H13+'FWC Total'!H13+'SAWC Total'!H13+'CVWD Total'!H13)</f>
        <v>0</v>
      </c>
      <c r="I13" s="1402">
        <f>SUM('Ontario Total'!I13+'Chino Total'!I13+'Chino Hills Total'!I13+'MVWD Total '!I13+'Upland Total'!I13+'FWC Total'!I13+'SAWC Total'!I13+'CVWD Total'!I13)</f>
        <v>0</v>
      </c>
      <c r="J13" s="1402">
        <f>SUM('Ontario Total'!J13+'Chino Total'!J13+'Chino Hills Total'!J13+'MVWD Total '!J13+'Upland Total'!J13+'FWC Total'!J13+'SAWC Total'!J13+'CVWD Total'!J13)</f>
        <v>0</v>
      </c>
      <c r="K13" s="1402">
        <f>SUM('Ontario Total'!K13+'Chino Total'!K13+'Chino Hills Total'!K13+'MVWD Total '!K13+'Upland Total'!K13+'FWC Total'!K13+'SAWC Total'!K13+'CVWD Total'!K13)</f>
        <v>0</v>
      </c>
      <c r="L13" s="1403">
        <f>SUM('Ontario Total'!L13+'Chino Total'!L13+'Chino Hills Total'!L13+'MVWD Total '!L13+'Upland Total'!L13+'FWC Total'!L13+'SAWC Total'!L13+'CVWD Total'!L13)</f>
        <v>0</v>
      </c>
      <c r="M13" s="1427">
        <v>0</v>
      </c>
      <c r="N13" s="2193" t="e">
        <f>SUM('Ontario Total'!N8+'Chino Total'!N8+'Chino Hills Total'!N8+'MVWD Total '!N8+'Upland Total'!N8+'FWC Total'!N8+'SAWC Total'!N8+'CVWD Total'!#REF!)</f>
        <v>#REF!</v>
      </c>
    </row>
    <row r="14" spans="1:15" s="1161" customFormat="1" ht="17" thickBot="1">
      <c r="A14" s="108" t="s">
        <v>190</v>
      </c>
      <c r="B14" s="1456"/>
      <c r="C14" s="1457"/>
      <c r="D14" s="1457"/>
      <c r="E14" s="1457"/>
      <c r="F14" s="1567"/>
      <c r="G14" s="1586"/>
      <c r="H14" s="194"/>
      <c r="I14" s="194"/>
      <c r="J14" s="195"/>
      <c r="K14" s="194"/>
      <c r="L14" s="194"/>
      <c r="M14" s="1617"/>
      <c r="N14" s="1486"/>
      <c r="O14" s="274"/>
    </row>
    <row r="15" spans="1:15">
      <c r="A15" s="76" t="s">
        <v>393</v>
      </c>
      <c r="B15" s="1444">
        <f>SUM('Ontario Total'!B15:C15+'Chino Total'!B15:C15+'Chino Hills Total'!B15:C15+'MVWD Total '!B15:C15+'Upland Total'!B15:C15+'FWC Total'!B15:C15+'SAWC Total'!B15:C15+'CVWD Total'!B15:C15)</f>
        <v>450</v>
      </c>
      <c r="C15" s="1422"/>
      <c r="D15" s="1444">
        <f>SUM('Ontario Total'!D15:E15+'Chino Total'!D15:E15+'Chino Hills Total'!D15:E15+'MVWD Total '!D15:E15+'Upland Total'!D15:E15+'FWC Total'!D15:E15+'SAWC Total'!D15:E15+'CVWD Total'!D15:E15)</f>
        <v>34023960</v>
      </c>
      <c r="E15" s="1422"/>
      <c r="F15" s="1432">
        <f>SUM('Ontario Total'!F15:G15+'Chino Total'!F15:G15+'Chino Hills Total'!F15:G15+'MVWD Total '!F15:G15+'Upland Total'!F15:G15+'FWC Total'!F15:G15+'SAWC Total'!F15:G15+'CVWD Total'!F15:G15)</f>
        <v>104.4</v>
      </c>
      <c r="G15" s="1433"/>
      <c r="H15" s="1377">
        <f>SUM('Ontario Total'!H15+'Chino Total'!H15+'Chino Hills Total'!H15+'MVWD Total '!H15+'Upland Total'!H15+'FWC Total'!H15+'SAWC Total'!H15+'CVWD Total'!H15)</f>
        <v>208.8</v>
      </c>
      <c r="I15" s="169">
        <f>SUM('Ontario Total'!I15+'Chino Total'!I15+'Chino Hills Total'!I15+'MVWD Total '!I15+'Upland Total'!I15+'FWC Total'!I15+'SAWC Total'!I15+'CVWD Total'!I15)</f>
        <v>0</v>
      </c>
      <c r="J15" s="334">
        <f>SUM('Ontario Total'!J15+'Chino Total'!J15+'Chino Hills Total'!J15+'MVWD Total '!J15+'Upland Total'!J15+'FWC Total'!J15+'SAWC Total'!J15+'CVWD Total'!J15)</f>
        <v>94602.900000000009</v>
      </c>
      <c r="K15" s="334">
        <f>SUM('Ontario Total'!K15+'Chino Total'!K15+'Chino Hills Total'!K15+'MVWD Total '!K15+'Upland Total'!K15+'FWC Total'!K15+'SAWC Total'!K15+'CVWD Total'!K15)</f>
        <v>69785.600000000006</v>
      </c>
      <c r="L15" s="334">
        <f>SUM('Ontario Total'!L15+'Chino Total'!L15+'Chino Hills Total'!L15+'MVWD Total '!L15+'Upland Total'!L15+'FWC Total'!L15+'SAWC Total'!L15+'CVWD Total'!L15)</f>
        <v>164388.50000000003</v>
      </c>
      <c r="M15" s="1427">
        <f t="shared" ref="M15:M19" si="1">J15/(F15*830)</f>
        <v>1.091756681900014</v>
      </c>
      <c r="N15" s="2193" t="e">
        <f>SUM('Ontario Total'!N10+'Chino Total'!N10+'Chino Hills Total'!N10+'MVWD Total '!N10+'Upland Total'!N10+'FWC Total'!N10+'SAWC Total'!N10+'CVWD Total'!#REF!)</f>
        <v>#REF!</v>
      </c>
    </row>
    <row r="16" spans="1:15">
      <c r="A16" s="76" t="s">
        <v>463</v>
      </c>
      <c r="B16" s="1444">
        <f>SUM('Ontario Total'!B16:C16+'Chino Total'!B16:C16+'Chino Hills Total'!B16:C16+'MVWD Total '!B16:C16+'Upland Total'!B16:C16+'FWC Total'!B16:C16+'SAWC Total'!B16:C16+'CVWD Total'!B16:C16)</f>
        <v>183</v>
      </c>
      <c r="C16" s="1422"/>
      <c r="D16" s="1444">
        <f>SUM('Ontario Total'!D16:E16+'Chino Total'!D16:E16+'Chino Hills Total'!D16:E16+'MVWD Total '!D16:E16+'Upland Total'!D16:E16+'FWC Total'!D16:E16+'SAWC Total'!D16:E16+'CVWD Total'!D16:E16)</f>
        <v>3789174.1199999996</v>
      </c>
      <c r="E16" s="1422"/>
      <c r="F16" s="1432">
        <f>SUM('Ontario Total'!F16:G16+'Chino Total'!F16:G16+'Chino Hills Total'!F16:G16+'MVWD Total '!F16:G16+'Upland Total'!F16:G16+'FWC Total'!F16:G16+'SAWC Total'!F16:G16+'CVWD Total'!F16:G16)</f>
        <v>11.626799999999999</v>
      </c>
      <c r="G16" s="1433"/>
      <c r="H16" s="1377">
        <f>SUM('Ontario Total'!H16+'Chino Total'!H16+'Chino Hills Total'!H16+'MVWD Total '!H16+'Upland Total'!H16+'FWC Total'!H16+'SAWC Total'!H16+'CVWD Total'!H16)</f>
        <v>109.47000000000001</v>
      </c>
      <c r="I16" s="334">
        <f>SUM('Ontario Total'!I16+'Chino Total'!I16+'Chino Hills Total'!I16+'MVWD Total '!I16+'Upland Total'!I16+'FWC Total'!I16+'SAWC Total'!I16+'CVWD Total'!I16)</f>
        <v>2975.6000000000004</v>
      </c>
      <c r="J16" s="334">
        <f>SUM('Ontario Total'!J16+'Chino Total'!J16+'Chino Hills Total'!J16+'MVWD Total '!J16+'Upland Total'!J16+'FWC Total'!J16+'SAWC Total'!J16+'CVWD Total'!J16)</f>
        <v>71143.010000000009</v>
      </c>
      <c r="K16" s="334">
        <f>SUM('Ontario Total'!K16+'Chino Total'!K16+'Chino Hills Total'!K16+'MVWD Total '!K16+'Upland Total'!K16+'FWC Total'!K16+'SAWC Total'!K16+'CVWD Total'!K16)</f>
        <v>72210.25</v>
      </c>
      <c r="L16" s="334">
        <f>SUM('Ontario Total'!L16+'Chino Total'!L16+'Chino Hills Total'!L16+'MVWD Total '!L16+'Upland Total'!L16+'FWC Total'!L16+'SAWC Total'!L16+'CVWD Total'!L16)</f>
        <v>146328.86000000002</v>
      </c>
      <c r="M16" s="1427">
        <f t="shared" si="1"/>
        <v>7.3721462379604104</v>
      </c>
      <c r="N16" s="2193" t="e">
        <f>SUM('Ontario Total'!N11+'Chino Total'!N11+'Chino Hills Total'!N11+'MVWD Total '!N11+'Upland Total'!N11+'FWC Total'!N11+'SAWC Total'!N11+'CVWD Total'!#REF!)</f>
        <v>#REF!</v>
      </c>
    </row>
    <row r="17" spans="1:15">
      <c r="A17" s="76" t="s">
        <v>452</v>
      </c>
      <c r="B17" s="1444">
        <f>SUM('Ontario Total'!B17:C17+'Chino Total'!B17:C17+'Chino Hills Total'!B17:C17+'MVWD Total '!B17:C17+'Upland Total'!B17:C17+'FWC Total'!B17:C17+'SAWC Total'!B17:C17+'CVWD Total'!B17:C17)</f>
        <v>429</v>
      </c>
      <c r="C17" s="1422"/>
      <c r="D17" s="1444">
        <f>SUM('Ontario Total'!D17:E17+'Chino Total'!D17:E17+'Chino Hills Total'!D17:E17+'MVWD Total '!D17:E17+'Upland Total'!D17:E17+'FWC Total'!D17:E17+'SAWC Total'!D17:E17+'CVWD Total'!D17:E17)</f>
        <v>6395331.2399999993</v>
      </c>
      <c r="E17" s="1422"/>
      <c r="F17" s="1432">
        <f>SUM('Ontario Total'!F17:G17+'Chino Total'!F17:G17+'Chino Hills Total'!F17:G17+'MVWD Total '!F17:G17+'Upland Total'!F17:G17+'FWC Total'!F17:G17+'SAWC Total'!F17:G17+'CVWD Total'!F17:G17)</f>
        <v>19.6236</v>
      </c>
      <c r="G17" s="1433"/>
      <c r="H17" s="1377">
        <f>SUM('Ontario Total'!H17+'Chino Total'!H17+'Chino Hills Total'!H17+'MVWD Total '!H17+'Upland Total'!H17+'FWC Total'!H17+'SAWC Total'!H17+'CVWD Total'!H17)</f>
        <v>196.23599999999999</v>
      </c>
      <c r="I17" s="169">
        <f>SUM('Ontario Total'!I17+'Chino Total'!I17+'Chino Hills Total'!I17+'MVWD Total '!I17+'Upland Total'!I17+'FWC Total'!I17+'SAWC Total'!I17+'CVWD Total'!I17)</f>
        <v>0</v>
      </c>
      <c r="J17" s="334">
        <f>SUM('Ontario Total'!J17+'Chino Total'!J17+'Chino Hills Total'!J17+'MVWD Total '!J17+'Upland Total'!J17+'FWC Total'!J17+'SAWC Total'!J17+'CVWD Total'!J17)</f>
        <v>186170.60000000003</v>
      </c>
      <c r="K17" s="334">
        <f>SUM('Ontario Total'!K17+'Chino Total'!K17+'Chino Hills Total'!K17+'MVWD Total '!K17+'Upland Total'!K17+'FWC Total'!K17+'SAWC Total'!K17+'CVWD Total'!K17)</f>
        <v>96096.1</v>
      </c>
      <c r="L17" s="334">
        <f>SUM('Ontario Total'!L17+'Chino Total'!L17+'Chino Hills Total'!L17+'MVWD Total '!L17+'Upland Total'!L17+'FWC Total'!L17+'SAWC Total'!L17+'CVWD Total'!L17)</f>
        <v>282266.7</v>
      </c>
      <c r="M17" s="1427">
        <f t="shared" si="1"/>
        <v>11.430212994090963</v>
      </c>
      <c r="N17" s="2193" t="e">
        <f>SUM('Ontario Total'!N12+'Chino Total'!N12+'Chino Hills Total'!N12+'MVWD Total '!N12+'Upland Total'!N12+'FWC Total'!N12+'SAWC Total'!N12+'CVWD Total'!#REF!)</f>
        <v>#REF!</v>
      </c>
    </row>
    <row r="18" spans="1:15" s="121" customFormat="1">
      <c r="A18" s="76" t="s">
        <v>266</v>
      </c>
      <c r="B18" s="1444">
        <f>SUM('Ontario Total'!B18:C18+'Chino Total'!B18:C18+'Chino Hills Total'!B18:C18+'MVWD Total '!B18:C18+'Upland Total'!B18:C18+'FWC Total'!B18:C18+'SAWC Total'!B18:C18+'CVWD Total'!B18:C18)</f>
        <v>323</v>
      </c>
      <c r="C18" s="1422"/>
      <c r="D18" s="1444">
        <f>SUM('Ontario Total'!D18:E18+'Chino Total'!D18:E18+'Chino Hills Total'!D18:E18+'MVWD Total '!D18:E18+'Upland Total'!D18:E18+'FWC Total'!D18:E18+'SAWC Total'!D18:E18+'CVWD Total'!D18:E18)</f>
        <v>1452666.66</v>
      </c>
      <c r="E18" s="1422"/>
      <c r="F18" s="1432">
        <f>SUM('Ontario Total'!F18:G18+'Chino Total'!F18:G18+'Chino Hills Total'!F18:G18+'MVWD Total '!F18:G18+'Upland Total'!F18:G18+'FWC Total'!F18:G18+'SAWC Total'!F18:G18+'CVWD Total'!F18:G18)</f>
        <v>4.4573999999999998</v>
      </c>
      <c r="G18" s="1433"/>
      <c r="H18" s="1377">
        <f>SUM('Ontario Total'!H18+'Chino Total'!H18+'Chino Hills Total'!H18+'MVWD Total '!H18+'Upland Total'!H18+'FWC Total'!H18+'SAWC Total'!H18+'CVWD Total'!H18)</f>
        <v>44.573999999999998</v>
      </c>
      <c r="I18" s="169">
        <f>SUM('Ontario Total'!I18+'Chino Total'!I18+'Chino Hills Total'!I18+'MVWD Total '!I18+'Upland Total'!I18+'FWC Total'!I18+'SAWC Total'!I18+'CVWD Total'!I18)</f>
        <v>0</v>
      </c>
      <c r="J18" s="334">
        <f>SUM('Ontario Total'!J18+'Chino Total'!J18+'Chino Hills Total'!J18+'MVWD Total '!J18+'Upland Total'!J18+'FWC Total'!J18+'SAWC Total'!J18+'CVWD Total'!J18)</f>
        <v>99931.87</v>
      </c>
      <c r="K18" s="334">
        <f>SUM('Ontario Total'!K18+'Chino Total'!K18+'Chino Hills Total'!K18+'MVWD Total '!K18+'Upland Total'!K18+'FWC Total'!K18+'SAWC Total'!K18+'CVWD Total'!K18)</f>
        <v>77242.09</v>
      </c>
      <c r="L18" s="334">
        <f>SUM('Ontario Total'!L18+'Chino Total'!L18+'Chino Hills Total'!L18+'MVWD Total '!L18+'Upland Total'!L18+'FWC Total'!L18+'SAWC Total'!L18+'CVWD Total'!L18)</f>
        <v>177173.96</v>
      </c>
      <c r="M18" s="1427">
        <f t="shared" si="1"/>
        <v>27.011227032237173</v>
      </c>
      <c r="N18" s="2193" t="e">
        <f>SUM('Ontario Total'!N13+'Chino Total'!N13+'Chino Hills Total'!N13+'MVWD Total '!N13+'Upland Total'!N13+'FWC Total'!N13+'SAWC Total'!N13+'CVWD Total'!#REF!)</f>
        <v>#REF!</v>
      </c>
    </row>
    <row r="19" spans="1:15" s="121" customFormat="1" ht="14" thickBot="1">
      <c r="A19" s="76" t="s">
        <v>467</v>
      </c>
      <c r="B19" s="1444">
        <f>SUM('Ontario Total'!B19:C19+'Chino Total'!B19:C19+'Chino Hills Total'!B19:C19+'MVWD Total '!B19:C19+'Upland Total'!B19:C19+'FWC Total'!B19:C19+'SAWC Total'!B19:C19+'CVWD Total'!B19:C19)</f>
        <v>111</v>
      </c>
      <c r="C19" s="1422"/>
      <c r="D19" s="1444">
        <f>SUM('Ontario Total'!D19:E19+'Chino Total'!D19:E19+'Chino Hills Total'!D19:E19+'MVWD Total '!D19:E19+'Upland Total'!D19:E19+'FWC Total'!D19:E19+'SAWC Total'!D19:E19+'CVWD Total'!D19:E19)</f>
        <v>2713117.5</v>
      </c>
      <c r="E19" s="1422"/>
      <c r="F19" s="1432">
        <f>SUM('Ontario Total'!F19:G19+'Chino Total'!F19:G19+'Chino Hills Total'!F19:G19+'MVWD Total '!F19:G19+'Upland Total'!F19:G19+'FWC Total'!F19:G19+'SAWC Total'!F19:G19+'CVWD Total'!F19:G19)</f>
        <v>8.3250000000000011</v>
      </c>
      <c r="G19" s="1433"/>
      <c r="H19" s="1406">
        <f>SUM('Ontario Total'!H19+'Chino Total'!H19+'Chino Hills Total'!H19+'MVWD Total '!H19+'Upland Total'!H19+'FWC Total'!H19+'SAWC Total'!H19+'CVWD Total'!H19)</f>
        <v>83.25</v>
      </c>
      <c r="I19" s="169">
        <f>SUM('Ontario Total'!I19+'Chino Total'!I19+'Chino Hills Total'!I19+'MVWD Total '!I19+'Upland Total'!I19+'FWC Total'!I19+'SAWC Total'!I19+'CVWD Total'!I19)</f>
        <v>0</v>
      </c>
      <c r="J19" s="334">
        <f>SUM('Ontario Total'!J19+'Chino Total'!J19+'Chino Hills Total'!J19+'MVWD Total '!J19+'Upland Total'!J19+'FWC Total'!J19+'SAWC Total'!J19+'CVWD Total'!J19)</f>
        <v>19016.8</v>
      </c>
      <c r="K19" s="334">
        <f>SUM('Ontario Total'!K19+'Chino Total'!K19+'Chino Hills Total'!K19+'MVWD Total '!K19+'Upland Total'!K19+'FWC Total'!K19+'SAWC Total'!K19+'CVWD Total'!K19)</f>
        <v>0</v>
      </c>
      <c r="L19" s="334">
        <f>SUM('Ontario Total'!L19+'Chino Total'!L19+'Chino Hills Total'!L19+'MVWD Total '!L19+'Upland Total'!L19+'FWC Total'!L19+'SAWC Total'!L19+'CVWD Total'!L19)</f>
        <v>19016.8</v>
      </c>
      <c r="M19" s="1427">
        <f t="shared" si="1"/>
        <v>2.7521690365063853</v>
      </c>
      <c r="N19" s="2193" t="e">
        <f>SUM('Ontario Total'!N14+'Chino Total'!N14+'Chino Hills Total'!N14+'MVWD Total '!N14+'Upland Total'!N14+'FWC Total'!N14+'SAWC Total'!N14+'CVWD Total'!#REF!)</f>
        <v>#REF!</v>
      </c>
    </row>
    <row r="20" spans="1:15" ht="14" thickBot="1">
      <c r="A20" s="53" t="s">
        <v>60</v>
      </c>
      <c r="B20" s="1452">
        <f>SUM(B6:C19)</f>
        <v>3183</v>
      </c>
      <c r="C20" s="1453"/>
      <c r="D20" s="1452">
        <f>SUM(D6:E19)</f>
        <v>74931358.579999998</v>
      </c>
      <c r="E20" s="1453"/>
      <c r="F20" s="1452">
        <f>SUM(F6:G19)</f>
        <v>229.92132120282298</v>
      </c>
      <c r="G20" s="1453"/>
      <c r="H20" s="1045">
        <f>SUM(H6:H19)</f>
        <v>1616.4477120282295</v>
      </c>
      <c r="I20" s="1409">
        <f t="shared" ref="I20:K20" si="2">SUM(I6:I19)</f>
        <v>22778.1</v>
      </c>
      <c r="J20" s="1409">
        <f>SUM(J6:J19)</f>
        <v>736697.18</v>
      </c>
      <c r="K20" s="1409">
        <f t="shared" si="2"/>
        <v>782388.03999999992</v>
      </c>
      <c r="L20" s="1409">
        <f>SUM(L6:L19)</f>
        <v>1541863.32</v>
      </c>
      <c r="M20" s="1772"/>
      <c r="N20" s="2198"/>
    </row>
    <row r="21" spans="1:15" s="1161" customFormat="1" ht="17" thickBot="1">
      <c r="A21" s="108" t="s">
        <v>194</v>
      </c>
      <c r="B21" s="1567"/>
      <c r="C21" s="1457"/>
      <c r="D21" s="1567"/>
      <c r="E21" s="1457"/>
      <c r="F21" s="1567"/>
      <c r="G21" s="1586"/>
      <c r="H21" s="1162"/>
      <c r="I21" s="1162"/>
      <c r="J21" s="184"/>
      <c r="K21" s="184"/>
      <c r="L21" s="184"/>
      <c r="M21" s="1541"/>
      <c r="N21" s="1542"/>
      <c r="O21" s="274"/>
    </row>
    <row r="22" spans="1:15">
      <c r="A22" s="122" t="s">
        <v>29</v>
      </c>
      <c r="B22" s="1731">
        <f>SUM('Ontario Total'!B22:C22+'Chino Total'!B22:C22+'Chino Hills Total'!B22:C22+'MVWD Total '!B22:C22+'Upland Total'!B22:C22+'FWC Total'!B22:C22+'SAWC Total'!B22:C22+'CVWD Total'!B22:C22)</f>
        <v>1539</v>
      </c>
      <c r="C22" s="1732"/>
      <c r="D22" s="1767">
        <f>SUM('Ontario Total'!D22:E22+'Chino Total'!D22:E22+'Chino Hills Total'!D22:E22+'MVWD Total '!D22:E22+'Upland Total'!D22:E22+'FWC Total'!D22:E22+'SAWC Total'!D22:E22+'CVWD Total'!D22:E22)</f>
        <v>12338378.460000001</v>
      </c>
      <c r="E22" s="1732"/>
      <c r="F22" s="1794">
        <f>SUM('Ontario Total'!F22:G22+'Chino Total'!F22:G22+'Chino Hills Total'!F22:G22+'MVWD Total '!F22:G22+'Upland Total'!F22:G22+'FWC Total'!F22:G22+'SAWC Total'!F22:G22+'CVWD Total'!F22:G22)</f>
        <v>37.859400000000008</v>
      </c>
      <c r="G22" s="1466"/>
      <c r="H22" s="1377">
        <f>SUM('Ontario Total'!H22+'Chino Total'!H22+'Chino Hills Total'!H22+'MVWD Total '!H22+'Upland Total'!H22+'FWC Total'!H22+'SAWC Total'!H22+'CVWD Total'!H22)</f>
        <v>757.18799999999999</v>
      </c>
      <c r="I22" s="169">
        <f>SUM('Ontario Total'!I22+'Chino Total'!I22+'Chino Hills Total'!I22+'MVWD Total '!I22+'Upland Total'!I22+'FWC Total'!I22+'SAWC Total'!I22+'CVWD Total'!I22)</f>
        <v>0</v>
      </c>
      <c r="J22" s="169">
        <f>SUM('Ontario Total'!J22+'Chino Total'!J22+'Chino Hills Total'!J22+'MVWD Total '!J22+'Upland Total'!J22+'FWC Total'!J22+'SAWC Total'!J22+'CVWD Total'!J22)</f>
        <v>92340</v>
      </c>
      <c r="K22" s="169">
        <f>SUM('Ontario Total'!K22+'Chino Total'!K22+'Chino Hills Total'!K22+'MVWD Total '!K22+'Upland Total'!K22+'FWC Total'!K22+'SAWC Total'!K22+'CVWD Total'!K22)</f>
        <v>61560</v>
      </c>
      <c r="L22" s="169">
        <f>SUM('Ontario Total'!L22+'Chino Total'!L22+'Chino Hills Total'!L22+'MVWD Total '!L22+'Upland Total'!L22+'FWC Total'!L22+'SAWC Total'!L22+'CVWD Total'!L22)</f>
        <v>153900</v>
      </c>
      <c r="M22" s="1427">
        <f t="shared" ref="M22:M33" si="3">J22/(F22*830)</f>
        <v>2.9385836027034964</v>
      </c>
      <c r="N22" s="2193" t="e">
        <f>SUM('Ontario Total'!N17+'Chino Total'!N17+'Chino Hills Total'!N17+'MVWD Total '!N17+'Upland Total'!N17+'FWC Total'!N17+'SAWC Total'!N17+'CVWD Total'!#REF!)</f>
        <v>#REF!</v>
      </c>
    </row>
    <row r="23" spans="1:15">
      <c r="A23" s="32" t="s">
        <v>51</v>
      </c>
      <c r="B23" s="1421">
        <f>SUM('Ontario Total'!B23:C23+'Chino Total'!B23:C23+'Chino Hills Total'!B23:C23+'MVWD Total '!B23:C23+'Upland Total'!B23:C23+'FWC Total'!B23:C23+'SAWC Total'!B23:C23+'CVWD Total'!B23:C23)</f>
        <v>0</v>
      </c>
      <c r="C23" s="1422"/>
      <c r="D23" s="1431">
        <f>SUM('Ontario Total'!D23:E23+'Chino Total'!D23:E23+'Chino Hills Total'!D23:E23+'MVWD Total '!D23:E23+'Upland Total'!D23:E23+'FWC Total'!D23:E23+'SAWC Total'!D23:E23+'CVWD Total'!D23:E23)</f>
        <v>0</v>
      </c>
      <c r="E23" s="1422"/>
      <c r="F23" s="1467">
        <f>SUM('Ontario Total'!F23:G23+'Chino Total'!F23:G23+'Chino Hills Total'!F23:G23+'MVWD Total '!F23:G23+'Upland Total'!F23:G23+'FWC Total'!F23:G23+'SAWC Total'!F23:G23+'CVWD Total'!F23:G23)</f>
        <v>0</v>
      </c>
      <c r="G23" s="1433"/>
      <c r="H23" s="1377">
        <f>SUM('Ontario Total'!H23+'Chino Total'!H23+'Chino Hills Total'!H23+'MVWD Total '!H23+'Upland Total'!H23+'FWC Total'!H23+'SAWC Total'!H23+'CVWD Total'!H23)</f>
        <v>0</v>
      </c>
      <c r="I23" s="169">
        <f>SUM('Ontario Total'!I23+'Chino Total'!I23+'Chino Hills Total'!I23+'MVWD Total '!I23+'Upland Total'!I23+'FWC Total'!I23+'SAWC Total'!I23+'CVWD Total'!I23)</f>
        <v>0</v>
      </c>
      <c r="J23" s="169">
        <f>SUM('Ontario Total'!J23+'Chino Total'!J23+'Chino Hills Total'!J23+'MVWD Total '!J23+'Upland Total'!J23+'FWC Total'!J23+'SAWC Total'!J23+'CVWD Total'!J23)</f>
        <v>0</v>
      </c>
      <c r="K23" s="169">
        <f>SUM('Ontario Total'!K23+'Chino Total'!K23+'Chino Hills Total'!K23+'MVWD Total '!K23+'Upland Total'!K23+'FWC Total'!K23+'SAWC Total'!K23+'CVWD Total'!K23)</f>
        <v>0</v>
      </c>
      <c r="L23" s="169">
        <f>SUM('Ontario Total'!L23+'Chino Total'!L23+'Chino Hills Total'!L23+'MVWD Total '!L23+'Upland Total'!L23+'FWC Total'!L23+'SAWC Total'!L23+'CVWD Total'!L23)</f>
        <v>0</v>
      </c>
      <c r="M23" s="1427">
        <v>0</v>
      </c>
      <c r="N23" s="2193" t="e">
        <f>SUM('Ontario Total'!N18+'Chino Total'!N18+'Chino Hills Total'!N18+'MVWD Total '!N18+'Upland Total'!N18+'FWC Total'!N18+'SAWC Total'!N18+'CVWD Total'!#REF!)</f>
        <v>#REF!</v>
      </c>
    </row>
    <row r="24" spans="1:15">
      <c r="A24" s="34" t="s">
        <v>204</v>
      </c>
      <c r="B24" s="1421">
        <f>SUM('Ontario Total'!B24:C24+'Chino Total'!B24:C24+'Chino Hills Total'!B24:C24+'MVWD Total '!B24:C24+'Upland Total'!B24:C24+'FWC Total'!B24:C24+'SAWC Total'!B24:C24+'CVWD Total'!B24:C24)</f>
        <v>0</v>
      </c>
      <c r="C24" s="1422"/>
      <c r="D24" s="1431">
        <f>SUM('Ontario Total'!D24:E24+'Chino Total'!D24:E24+'Chino Hills Total'!D24:E24+'MVWD Total '!D24:E24+'Upland Total'!D24:E24+'FWC Total'!D24:E24+'SAWC Total'!D24:E24+'CVWD Total'!D24:E24)</f>
        <v>0</v>
      </c>
      <c r="E24" s="1422"/>
      <c r="F24" s="1467">
        <f>SUM('Ontario Total'!F24:G24+'Chino Total'!F24:G24+'Chino Hills Total'!F24:G24+'MVWD Total '!F24:G24+'Upland Total'!F24:G24+'FWC Total'!F24:G24+'SAWC Total'!F24:G24+'CVWD Total'!F24:G24)</f>
        <v>0</v>
      </c>
      <c r="G24" s="1433"/>
      <c r="H24" s="1377">
        <f>SUM('Ontario Total'!H24+'Chino Total'!H24+'Chino Hills Total'!H24+'MVWD Total '!H24+'Upland Total'!H24+'FWC Total'!H24+'SAWC Total'!H24+'CVWD Total'!H24)</f>
        <v>0</v>
      </c>
      <c r="I24" s="169">
        <f>SUM('Ontario Total'!I24+'Chino Total'!I24+'Chino Hills Total'!I24+'MVWD Total '!I24+'Upland Total'!I24+'FWC Total'!I24+'SAWC Total'!I24+'CVWD Total'!I24)</f>
        <v>0</v>
      </c>
      <c r="J24" s="169">
        <f>SUM('Ontario Total'!J24+'Chino Total'!J24+'Chino Hills Total'!J24+'MVWD Total '!J24+'Upland Total'!J24+'FWC Total'!J24+'SAWC Total'!J24+'CVWD Total'!J24)</f>
        <v>0</v>
      </c>
      <c r="K24" s="169">
        <f>SUM('Ontario Total'!K24+'Chino Total'!K24+'Chino Hills Total'!K24+'MVWD Total '!K24+'Upland Total'!K24+'FWC Total'!K24+'SAWC Total'!K24+'CVWD Total'!K24)</f>
        <v>0</v>
      </c>
      <c r="L24" s="169">
        <f>SUM('Ontario Total'!L24+'Chino Total'!L24+'Chino Hills Total'!L24+'MVWD Total '!L24+'Upland Total'!L24+'FWC Total'!L24+'SAWC Total'!L24+'CVWD Total'!L24)</f>
        <v>0</v>
      </c>
      <c r="M24" s="1427">
        <v>0</v>
      </c>
      <c r="N24" s="2193" t="e">
        <f>SUM('Ontario Total'!N19+'Chino Total'!N19+'Chino Hills Total'!N19+'MVWD Total '!N19+'Upland Total'!N19+'FWC Total'!N19+'SAWC Total'!N19+'CVWD Total'!#REF!)</f>
        <v>#REF!</v>
      </c>
    </row>
    <row r="25" spans="1:15">
      <c r="A25" s="76" t="s">
        <v>30</v>
      </c>
      <c r="B25" s="1421">
        <f>SUM('Ontario Total'!B25:C25+'Chino Total'!B25:C25+'Chino Hills Total'!B25:C25+'MVWD Total '!B25:C25+'Upland Total'!B25:C25+'FWC Total'!B25:C25+'SAWC Total'!B25:C25+'CVWD Total'!B25:C25)</f>
        <v>88</v>
      </c>
      <c r="C25" s="1422"/>
      <c r="D25" s="1431">
        <f>SUM('Ontario Total'!D25:E25+'Chino Total'!D25:E25+'Chino Hills Total'!D25:E25+'MVWD Total '!D25:E25+'Upland Total'!D25:E25+'FWC Total'!D25:E25+'SAWC Total'!D25:E25+'CVWD Total'!D25:E25)</f>
        <v>369961.68</v>
      </c>
      <c r="E25" s="1422"/>
      <c r="F25" s="1467">
        <f>SUM('Ontario Total'!F25:G25+'Chino Total'!F25:G25+'Chino Hills Total'!F25:G25+'MVWD Total '!F25:G25+'Upland Total'!F25:G25+'FWC Total'!F25:G25+'SAWC Total'!F25:G25+'CVWD Total'!F25:G25)</f>
        <v>1.1352</v>
      </c>
      <c r="G25" s="1433"/>
      <c r="H25" s="1377">
        <f>SUM('Ontario Total'!H25+'Chino Total'!H25+'Chino Hills Total'!H25+'MVWD Total '!H25+'Upland Total'!H25+'FWC Total'!H25+'SAWC Total'!H25+'CVWD Total'!H25)</f>
        <v>11.352</v>
      </c>
      <c r="I25" s="169">
        <f>SUM('Ontario Total'!I25+'Chino Total'!I25+'Chino Hills Total'!I25+'MVWD Total '!I25+'Upland Total'!I25+'FWC Total'!I25+'SAWC Total'!I25+'CVWD Total'!I25)</f>
        <v>0</v>
      </c>
      <c r="J25" s="169">
        <f>SUM('Ontario Total'!J25+'Chino Total'!J25+'Chino Hills Total'!J25+'MVWD Total '!J25+'Upland Total'!J25+'FWC Total'!J25+'SAWC Total'!J25+'CVWD Total'!J25)</f>
        <v>1320</v>
      </c>
      <c r="K25" s="169">
        <f>SUM('Ontario Total'!K25+'Chino Total'!K25+'Chino Hills Total'!K25+'MVWD Total '!K25+'Upland Total'!K25+'FWC Total'!K25+'SAWC Total'!K25+'CVWD Total'!K25)</f>
        <v>3080</v>
      </c>
      <c r="L25" s="169">
        <f>SUM('Ontario Total'!L25+'Chino Total'!L25+'Chino Hills Total'!L25+'MVWD Total '!L25+'Upland Total'!L25+'FWC Total'!L25+'SAWC Total'!L25+'CVWD Total'!L25)</f>
        <v>4400</v>
      </c>
      <c r="M25" s="1427">
        <f t="shared" si="3"/>
        <v>1.4009526478005043</v>
      </c>
      <c r="N25" s="2193" t="e">
        <f>SUM('Ontario Total'!N20+'Chino Total'!N20+'Chino Hills Total'!N20+'MVWD Total '!N20+'Upland Total'!N20+'FWC Total'!N20+'SAWC Total'!N20+'CVWD Total'!#REF!)</f>
        <v>#REF!</v>
      </c>
    </row>
    <row r="26" spans="1:15">
      <c r="A26" s="76" t="s">
        <v>363</v>
      </c>
      <c r="B26" s="1421">
        <f>SUM('Ontario Total'!B26:C26+'Chino Total'!B26:C26+'Chino Hills Total'!B26:C26+'MVWD Total '!B26:C26+'Upland Total'!B26:C26+'FWC Total'!B26:C26+'SAWC Total'!B26:C26+'CVWD Total'!B26:C26)</f>
        <v>0</v>
      </c>
      <c r="C26" s="1422"/>
      <c r="D26" s="1431">
        <f>SUM('Ontario Total'!D26:E26+'Chino Total'!D26:E26+'Chino Hills Total'!D26:E26+'MVWD Total '!D26:E26+'Upland Total'!D26:E26+'FWC Total'!D26:E26+'SAWC Total'!D26:E26+'CVWD Total'!D26:E26)</f>
        <v>0</v>
      </c>
      <c r="E26" s="1422"/>
      <c r="F26" s="1467">
        <f>SUM('Ontario Total'!F26:G26+'Chino Total'!F26:G26+'Chino Hills Total'!F26:G26+'MVWD Total '!F26:G26+'Upland Total'!F26:G26+'FWC Total'!F26:G26+'SAWC Total'!F26:G26+'CVWD Total'!F26:G26)</f>
        <v>0</v>
      </c>
      <c r="G26" s="1433"/>
      <c r="H26" s="1377">
        <f>SUM('Ontario Total'!H26+'Chino Total'!H26+'Chino Hills Total'!H26+'MVWD Total '!H26+'Upland Total'!H26+'FWC Total'!H26+'SAWC Total'!H26+'CVWD Total'!H26)</f>
        <v>0</v>
      </c>
      <c r="I26" s="169">
        <f>SUM('Ontario Total'!I26+'Chino Total'!I26+'Chino Hills Total'!I26+'MVWD Total '!I26+'Upland Total'!I26+'FWC Total'!I26+'SAWC Total'!I26+'CVWD Total'!I26)</f>
        <v>0</v>
      </c>
      <c r="J26" s="169">
        <f>SUM('Ontario Total'!J26+'Chino Total'!J26+'Chino Hills Total'!J26+'MVWD Total '!J26+'Upland Total'!J26+'FWC Total'!J26+'SAWC Total'!J26+'CVWD Total'!J26)</f>
        <v>0</v>
      </c>
      <c r="K26" s="169">
        <f>SUM('Ontario Total'!K26+'Chino Total'!K26+'Chino Hills Total'!K26+'MVWD Total '!K26+'Upland Total'!K26+'FWC Total'!K26+'SAWC Total'!K26+'CVWD Total'!K26)</f>
        <v>0</v>
      </c>
      <c r="L26" s="169">
        <f>SUM('Ontario Total'!L26+'Chino Total'!L26+'Chino Hills Total'!L26+'MVWD Total '!L26+'Upland Total'!L26+'FWC Total'!L26+'SAWC Total'!L26+'CVWD Total'!L26)</f>
        <v>0</v>
      </c>
      <c r="M26" s="1427">
        <v>0</v>
      </c>
      <c r="N26" s="2193" t="e">
        <f>SUM('Ontario Total'!N21+'Chino Total'!N21+'Chino Hills Total'!N21+'MVWD Total '!N21+'Upland Total'!N21+'FWC Total'!N21+'SAWC Total'!N21+'CVWD Total'!#REF!)</f>
        <v>#REF!</v>
      </c>
    </row>
    <row r="27" spans="1:15" ht="12.75" customHeight="1">
      <c r="A27" s="76" t="s">
        <v>122</v>
      </c>
      <c r="B27" s="1421">
        <f>SUM('Ontario Total'!B27:C27+'Chino Total'!B27:C27+'Chino Hills Total'!B27:C27+'MVWD Total '!B27:C27+'Upland Total'!B27:C27+'FWC Total'!B27:C27+'SAWC Total'!B27:C27+'CVWD Total'!B27:C27)</f>
        <v>0</v>
      </c>
      <c r="C27" s="1422"/>
      <c r="D27" s="1431">
        <f>SUM('Ontario Total'!D27:E27+'Chino Total'!D27:E27+'Chino Hills Total'!D27:E27+'MVWD Total '!D27:E27+'Upland Total'!D27:E27+'FWC Total'!D27:E27+'SAWC Total'!D27:E27+'CVWD Total'!D27:E27)</f>
        <v>0</v>
      </c>
      <c r="E27" s="1422"/>
      <c r="F27" s="1467">
        <f>SUM('Ontario Total'!F27:G27+'Chino Total'!F27:G27+'Chino Hills Total'!F27:G27+'MVWD Total '!F27:G27+'Upland Total'!F27:G27+'FWC Total'!F27:G27+'SAWC Total'!F27:G27+'CVWD Total'!F27:G27)</f>
        <v>0</v>
      </c>
      <c r="G27" s="1433"/>
      <c r="H27" s="1377">
        <f>SUM('Ontario Total'!H27+'Chino Total'!H27+'Chino Hills Total'!H27+'MVWD Total '!H27+'Upland Total'!H27+'FWC Total'!H27+'SAWC Total'!H27+'CVWD Total'!H27)</f>
        <v>0</v>
      </c>
      <c r="I27" s="169">
        <f>SUM('Ontario Total'!I27+'Chino Total'!I27+'Chino Hills Total'!I27+'MVWD Total '!I27+'Upland Total'!I27+'FWC Total'!I27+'SAWC Total'!I27+'CVWD Total'!I27)</f>
        <v>0</v>
      </c>
      <c r="J27" s="169">
        <f>SUM('Ontario Total'!J27+'Chino Total'!J27+'Chino Hills Total'!J27+'MVWD Total '!J27+'Upland Total'!J27+'FWC Total'!J27+'SAWC Total'!J27+'CVWD Total'!J27)</f>
        <v>0</v>
      </c>
      <c r="K27" s="169">
        <f>SUM('Ontario Total'!K27+'Chino Total'!K27+'Chino Hills Total'!K27+'MVWD Total '!K27+'Upland Total'!K27+'FWC Total'!K27+'SAWC Total'!K27+'CVWD Total'!K27)</f>
        <v>0</v>
      </c>
      <c r="L27" s="169">
        <f>SUM('Ontario Total'!L27+'Chino Total'!L27+'Chino Hills Total'!L27+'MVWD Total '!L27+'Upland Total'!L27+'FWC Total'!L27+'SAWC Total'!L27+'CVWD Total'!L27)</f>
        <v>0</v>
      </c>
      <c r="M27" s="1427">
        <v>0</v>
      </c>
      <c r="N27" s="2193" t="e">
        <f>SUM('Ontario Total'!N22+'Chino Total'!N22+'Chino Hills Total'!N22+'MVWD Total '!N22+'Upland Total'!N22+'FWC Total'!N22+'SAWC Total'!N22+'CVWD Total'!#REF!)</f>
        <v>#REF!</v>
      </c>
    </row>
    <row r="28" spans="1:15">
      <c r="A28" s="78" t="s">
        <v>184</v>
      </c>
      <c r="B28" s="1421">
        <f>SUM('Ontario Total'!B28:C28+'Chino Total'!B28:C28+'Chino Hills Total'!B28:C28+'MVWD Total '!B28:C28+'Upland Total'!B28:C28+'FWC Total'!B28:C28+'SAWC Total'!B28:C28+'CVWD Total'!B28:C28)</f>
        <v>0</v>
      </c>
      <c r="C28" s="1422"/>
      <c r="D28" s="1431">
        <f>SUM('Ontario Total'!D28:E28+'Chino Total'!D28:E28+'Chino Hills Total'!D28:E28+'MVWD Total '!D28:E28+'Upland Total'!D28:E28+'FWC Total'!D28:E28+'SAWC Total'!D28:E28+'CVWD Total'!D28:E28)</f>
        <v>0</v>
      </c>
      <c r="E28" s="1422"/>
      <c r="F28" s="1467">
        <f>SUM('Ontario Total'!F28:G28+'Chino Total'!F28:G28+'Chino Hills Total'!F28:G28+'MVWD Total '!F28:G28+'Upland Total'!F28:G28+'FWC Total'!F28:G28+'SAWC Total'!F28:G28+'CVWD Total'!F28:G28)</f>
        <v>0</v>
      </c>
      <c r="G28" s="1433"/>
      <c r="H28" s="1377">
        <f>SUM('Ontario Total'!H28+'Chino Total'!H28+'Chino Hills Total'!H28+'MVWD Total '!H28+'Upland Total'!H28+'FWC Total'!H28+'SAWC Total'!H28+'CVWD Total'!H28)</f>
        <v>0</v>
      </c>
      <c r="I28" s="169">
        <f>SUM('Ontario Total'!I28+'Chino Total'!I28+'Chino Hills Total'!I28+'MVWD Total '!I28+'Upland Total'!I28+'FWC Total'!I28+'SAWC Total'!I28+'CVWD Total'!I28)</f>
        <v>0</v>
      </c>
      <c r="J28" s="169">
        <f>SUM('Ontario Total'!J28+'Chino Total'!J28+'Chino Hills Total'!J28+'MVWD Total '!J28+'Upland Total'!J28+'FWC Total'!J28+'SAWC Total'!J28+'CVWD Total'!J28)</f>
        <v>0</v>
      </c>
      <c r="K28" s="169">
        <f>SUM('Ontario Total'!K28+'Chino Total'!K28+'Chino Hills Total'!K28+'MVWD Total '!K28+'Upland Total'!K28+'FWC Total'!K28+'SAWC Total'!K28+'CVWD Total'!K28)</f>
        <v>0</v>
      </c>
      <c r="L28" s="169">
        <f>SUM('Ontario Total'!L28+'Chino Total'!L28+'Chino Hills Total'!L28+'MVWD Total '!L28+'Upland Total'!L28+'FWC Total'!L28+'SAWC Total'!L28+'CVWD Total'!L28)</f>
        <v>0</v>
      </c>
      <c r="M28" s="1427">
        <v>0</v>
      </c>
      <c r="N28" s="2193" t="e">
        <f>SUM('Ontario Total'!N23+'Chino Total'!N23+'Chino Hills Total'!N23+'MVWD Total '!N23+'Upland Total'!N23+'FWC Total'!N23+'SAWC Total'!N23+'CVWD Total'!#REF!)</f>
        <v>#REF!</v>
      </c>
    </row>
    <row r="29" spans="1:15" s="57" customFormat="1">
      <c r="A29" s="107" t="s">
        <v>187</v>
      </c>
      <c r="B29" s="1421">
        <f>SUM('Ontario Total'!B29:C29+'Chino Total'!B29:C29+'Chino Hills Total'!B29:C29+'MVWD Total '!B29:C29+'Upland Total'!B29:C29+'FWC Total'!B29:C29+'SAWC Total'!B29:C29+'CVWD Total'!B29:C29)</f>
        <v>2261</v>
      </c>
      <c r="C29" s="1422"/>
      <c r="D29" s="1431">
        <f>SUM('Ontario Total'!D29:E29+'Chino Total'!D29:E29+'Chino Hills Total'!D29:E29+'MVWD Total '!D29:E29+'Upland Total'!D29:E29+'FWC Total'!D29:E29+'SAWC Total'!D29:E29+'CVWD Total'!D29:E29)</f>
        <v>16947777.699999999</v>
      </c>
      <c r="E29" s="1422"/>
      <c r="F29" s="1467">
        <f>SUM('Ontario Total'!F29:G29+'Chino Total'!F29:G29+'Chino Hills Total'!F29:G29+'MVWD Total '!F29:G29+'Upland Total'!F29:G29+'FWC Total'!F29:G29+'SAWC Total'!F29:G29+'CVWD Total'!F29:G29)</f>
        <v>52.003</v>
      </c>
      <c r="G29" s="1433"/>
      <c r="H29" s="1377">
        <f>SUM('Ontario Total'!H29+'Chino Total'!H29+'Chino Hills Total'!H29+'MVWD Total '!H29+'Upland Total'!H29+'FWC Total'!H29+'SAWC Total'!H29+'CVWD Total'!H29)</f>
        <v>260.01499999999999</v>
      </c>
      <c r="I29" s="169">
        <f>SUM('Ontario Total'!I29+'Chino Total'!I29+'Chino Hills Total'!I29+'MVWD Total '!I29+'Upland Total'!I29+'FWC Total'!I29+'SAWC Total'!I29+'CVWD Total'!I29)</f>
        <v>0</v>
      </c>
      <c r="J29" s="169">
        <f>SUM('Ontario Total'!J29+'Chino Total'!J29+'Chino Hills Total'!J29+'MVWD Total '!J29+'Upland Total'!J29+'FWC Total'!J29+'SAWC Total'!J29+'CVWD Total'!J29)</f>
        <v>22610</v>
      </c>
      <c r="K29" s="169">
        <f>SUM('Ontario Total'!K29+'Chino Total'!K29+'Chino Hills Total'!K29+'MVWD Total '!K29+'Upland Total'!K29+'FWC Total'!K29+'SAWC Total'!K29+'CVWD Total'!K29)</f>
        <v>22610</v>
      </c>
      <c r="L29" s="169">
        <f>SUM('Ontario Total'!L29+'Chino Total'!L29+'Chino Hills Total'!L29+'MVWD Total '!L29+'Upland Total'!L29+'FWC Total'!L29+'SAWC Total'!L29+'CVWD Total'!L29)</f>
        <v>45220</v>
      </c>
      <c r="M29" s="1427">
        <f t="shared" si="3"/>
        <v>0.52383446830801472</v>
      </c>
      <c r="N29" s="2193" t="e">
        <f>SUM('Ontario Total'!N24+'Chino Total'!N24+'Chino Hills Total'!N24+'MVWD Total '!N24+'Upland Total'!N24+'FWC Total'!N24+'SAWC Total'!N24+'CVWD Total'!#REF!)</f>
        <v>#REF!</v>
      </c>
      <c r="O29" s="121"/>
    </row>
    <row r="30" spans="1:15" s="57" customFormat="1">
      <c r="A30" s="107" t="s">
        <v>188</v>
      </c>
      <c r="B30" s="1421">
        <f>SUM('Ontario Total'!B30:C30+'Chino Total'!B30:C30+'Chino Hills Total'!B30:C30+'MVWD Total '!B30:C30+'Upland Total'!B30:C30+'FWC Total'!B30:C30+'SAWC Total'!B30:C30+'CVWD Total'!B30:C30)</f>
        <v>0</v>
      </c>
      <c r="C30" s="1422"/>
      <c r="D30" s="1431">
        <f>SUM('Ontario Total'!D30:E30+'Chino Total'!D30:E30+'Chino Hills Total'!D30:E30+'MVWD Total '!D30:E30+'Upland Total'!D30:E30+'FWC Total'!D30:E30+'SAWC Total'!D30:E30+'CVWD Total'!D30:E30)</f>
        <v>0</v>
      </c>
      <c r="E30" s="1422"/>
      <c r="F30" s="1467">
        <f>SUM('Ontario Total'!F30:G30+'Chino Total'!F30:G30+'Chino Hills Total'!F30:G30+'MVWD Total '!F30:G30+'Upland Total'!F30:G30+'FWC Total'!F30:G30+'SAWC Total'!F30:G30+'CVWD Total'!F30:G30)</f>
        <v>0</v>
      </c>
      <c r="G30" s="1433"/>
      <c r="H30" s="1377">
        <f>SUM('Ontario Total'!H30+'Chino Total'!H30+'Chino Hills Total'!H30+'MVWD Total '!H30+'Upland Total'!H30+'FWC Total'!H30+'SAWC Total'!H30+'CVWD Total'!H30)</f>
        <v>0</v>
      </c>
      <c r="I30" s="169">
        <f>SUM('Ontario Total'!I30+'Chino Total'!I30+'Chino Hills Total'!I30+'MVWD Total '!I30+'Upland Total'!I30+'FWC Total'!I30+'SAWC Total'!I30+'CVWD Total'!I30)</f>
        <v>0</v>
      </c>
      <c r="J30" s="169">
        <f>SUM('Ontario Total'!J30+'Chino Total'!J30+'Chino Hills Total'!J30+'MVWD Total '!J30+'Upland Total'!J30+'FWC Total'!J30+'SAWC Total'!J30+'CVWD Total'!J30)</f>
        <v>0</v>
      </c>
      <c r="K30" s="169">
        <f>SUM('Ontario Total'!K30+'Chino Total'!K30+'Chino Hills Total'!K30+'MVWD Total '!K30+'Upland Total'!K30+'FWC Total'!K30+'SAWC Total'!K30+'CVWD Total'!K30)</f>
        <v>0</v>
      </c>
      <c r="L30" s="169">
        <f>SUM('Ontario Total'!L30+'Chino Total'!L30+'Chino Hills Total'!L30+'MVWD Total '!L30+'Upland Total'!L30+'FWC Total'!L30+'SAWC Total'!L30+'CVWD Total'!L30)</f>
        <v>0</v>
      </c>
      <c r="M30" s="1427">
        <v>0</v>
      </c>
      <c r="N30" s="2193" t="e">
        <f>SUM('Ontario Total'!N25+'Chino Total'!N25+'Chino Hills Total'!N25+'MVWD Total '!N25+'Upland Total'!N25+'FWC Total'!N25+'SAWC Total'!N25+'CVWD Total'!#REF!)</f>
        <v>#REF!</v>
      </c>
      <c r="O30" s="121"/>
    </row>
    <row r="31" spans="1:15" s="57" customFormat="1">
      <c r="A31" s="76" t="s">
        <v>446</v>
      </c>
      <c r="B31" s="1421">
        <f>SUM('Ontario Total'!B31:C31+'Chino Total'!B31:C31+'Chino Hills Total'!B31:C31+'MVWD Total '!B31:C31+'Upland Total'!B31:C31+'FWC Total'!B31:C31+'SAWC Total'!B31:C31+'CVWD Total'!B31:C31)</f>
        <v>28</v>
      </c>
      <c r="C31" s="1422"/>
      <c r="D31" s="1431">
        <f>SUM('Ontario Total'!D31:E31+'Chino Total'!D31:E31+'Chino Hills Total'!D31:E31+'MVWD Total '!D31:E31+'Upland Total'!D31:E31+'FWC Total'!D31:E31+'SAWC Total'!D31:E31+'CVWD Total'!D31:E31)</f>
        <v>13707454</v>
      </c>
      <c r="E31" s="1422"/>
      <c r="F31" s="1467">
        <f>SUM('Ontario Total'!F31:G31+'Chino Total'!F31:G31+'Chino Hills Total'!F31:G31+'MVWD Total '!F31:G31+'Upland Total'!F31:G31+'FWC Total'!F31:G31+'SAWC Total'!F31:G31+'CVWD Total'!F31:G31)</f>
        <v>42.060306842589753</v>
      </c>
      <c r="G31" s="1433"/>
      <c r="H31" s="1377">
        <f>SUM('Ontario Total'!H31+'Chino Total'!H31+'Chino Hills Total'!H31+'MVWD Total '!H31+'Upland Total'!H31+'FWC Total'!H31+'SAWC Total'!H31+'CVWD Total'!H31)</f>
        <v>420.6030684258975</v>
      </c>
      <c r="I31" s="334">
        <f>SUM('Ontario Total'!I31+'Chino Total'!I31+'Chino Hills Total'!I31+'MVWD Total '!I31+'Upland Total'!I31+'FWC Total'!I31+'SAWC Total'!I31+'CVWD Total'!I31)</f>
        <v>89866.18</v>
      </c>
      <c r="J31" s="334">
        <f>SUM('Ontario Total'!J31+'Chino Total'!J31+'Chino Hills Total'!J31+'MVWD Total '!J31+'Upland Total'!J31+'FWC Total'!J31+'SAWC Total'!J31+'CVWD Total'!J31)</f>
        <v>157305.82</v>
      </c>
      <c r="K31" s="334">
        <f>SUM('Ontario Total'!K31+'Chino Total'!K31+'Chino Hills Total'!K31+'MVWD Total '!K31+'Upland Total'!K31+'FWC Total'!K31+'SAWC Total'!K31+'CVWD Total'!K31)</f>
        <v>611556</v>
      </c>
      <c r="L31" s="334">
        <f>SUM('Ontario Total'!L31+'Chino Total'!L31+'Chino Hills Total'!L31+'MVWD Total '!L31+'Upland Total'!L31+'FWC Total'!L31+'SAWC Total'!L31+'CVWD Total'!L31)</f>
        <v>858728</v>
      </c>
      <c r="M31" s="1427">
        <f t="shared" si="3"/>
        <v>4.5060318995447419</v>
      </c>
      <c r="N31" s="2193" t="e">
        <f>SUM('Ontario Total'!N26+'Chino Total'!N26+'Chino Hills Total'!N26+'MVWD Total '!N26+'Upland Total'!N26+'FWC Total'!N26+'SAWC Total'!N26+'CVWD Total'!#REF!)</f>
        <v>#REF!</v>
      </c>
      <c r="O31" s="121"/>
    </row>
    <row r="32" spans="1:15" s="57" customFormat="1">
      <c r="A32" s="107" t="s">
        <v>269</v>
      </c>
      <c r="B32" s="1421">
        <f>SUM('Ontario Total'!B32:C32+'Chino Total'!B32:C32+'Chino Hills Total'!B32:C32+'MVWD Total '!B32:C32+'Upland Total'!B32:C32+'FWC Total'!B32:C32+'SAWC Total'!B32:C32+'CVWD Total'!B32:C32)</f>
        <v>0</v>
      </c>
      <c r="C32" s="1422"/>
      <c r="D32" s="1431">
        <f>SUM('Ontario Total'!D32:E32+'Chino Total'!D32:E32+'Chino Hills Total'!D32:E32+'MVWD Total '!D32:E32+'Upland Total'!D32:E32+'FWC Total'!D32:E32+'SAWC Total'!D32:E32+'CVWD Total'!D32:E32)</f>
        <v>0</v>
      </c>
      <c r="E32" s="1422"/>
      <c r="F32" s="1467">
        <f>SUM('Ontario Total'!F32:G32+'Chino Total'!F32:G32+'Chino Hills Total'!F32:G32+'MVWD Total '!F32:G32+'Upland Total'!F32:G32+'FWC Total'!F32:G32+'SAWC Total'!F32:G32+'CVWD Total'!F32:G32)</f>
        <v>0</v>
      </c>
      <c r="G32" s="1433"/>
      <c r="H32" s="1377">
        <f>SUM('Ontario Total'!H32+'Chino Total'!H32+'Chino Hills Total'!H32+'MVWD Total '!H32+'Upland Total'!H32+'FWC Total'!H32+'SAWC Total'!H32+'CVWD Total'!H32)</f>
        <v>0</v>
      </c>
      <c r="I32" s="169">
        <f>SUM('Ontario Total'!I32+'Chino Total'!I32+'Chino Hills Total'!I32+'MVWD Total '!I32+'Upland Total'!I32+'FWC Total'!I32+'SAWC Total'!I32+'CVWD Total'!I32)</f>
        <v>0</v>
      </c>
      <c r="J32" s="169">
        <f>SUM('Ontario Total'!J32+'Chino Total'!J32+'Chino Hills Total'!J32+'MVWD Total '!J32+'Upland Total'!J32+'FWC Total'!J32+'SAWC Total'!J32+'CVWD Total'!J32)</f>
        <v>0</v>
      </c>
      <c r="K32" s="169">
        <f>SUM('Ontario Total'!K32+'Chino Total'!K32+'Chino Hills Total'!K32+'MVWD Total '!K32+'Upland Total'!K32+'FWC Total'!K32+'SAWC Total'!K32+'CVWD Total'!K32)</f>
        <v>0</v>
      </c>
      <c r="L32" s="169">
        <f>SUM('Ontario Total'!L32+'Chino Total'!L32+'Chino Hills Total'!L32+'MVWD Total '!L32+'Upland Total'!L32+'FWC Total'!L32+'SAWC Total'!L32+'CVWD Total'!L32)</f>
        <v>0</v>
      </c>
      <c r="M32" s="1427">
        <v>0</v>
      </c>
      <c r="N32" s="2193" t="e">
        <f>SUM('Ontario Total'!N27+'Chino Total'!N27+'Chino Hills Total'!N27+'MVWD Total '!N27+'Upland Total'!N27+'FWC Total'!N27+'SAWC Total'!N27+'CVWD Total'!#REF!)</f>
        <v>#REF!</v>
      </c>
      <c r="O32" s="121"/>
    </row>
    <row r="33" spans="1:15" s="57" customFormat="1" ht="14" thickBot="1">
      <c r="A33" s="493" t="s">
        <v>268</v>
      </c>
      <c r="B33" s="1429">
        <f>SUM('Ontario Total'!B33:C33+'Chino Total'!B33:C33+'Chino Hills Total'!B33:C33+'MVWD Total '!B33:C33+'Upland Total'!B33:C33+'FWC Total'!B33:C33+'SAWC Total'!B33:C33+'CVWD Total'!B33:C33)</f>
        <v>360</v>
      </c>
      <c r="C33" s="1430"/>
      <c r="D33" s="1734">
        <f>SUM('Ontario Total'!D33:E33+'Chino Total'!D33:E33+'Chino Hills Total'!D33:E33+'MVWD Total '!D33:E33+'Upland Total'!D33:E33+'FWC Total'!D33:E33+'SAWC Total'!D33:E33+'CVWD Total'!D33:E33)</f>
        <v>492760.8</v>
      </c>
      <c r="E33" s="1430"/>
      <c r="F33" s="1744">
        <f>SUM('Ontario Total'!F33:G33+'Chino Total'!F33:G33+'Chino Hills Total'!F33:G33+'MVWD Total '!F33:G33+'Upland Total'!F33:G33+'FWC Total'!F33:G33+'SAWC Total'!F33:G33+'CVWD Total'!F33:G33)</f>
        <v>1.512</v>
      </c>
      <c r="G33" s="1437"/>
      <c r="H33" s="1377">
        <f>SUM('Ontario Total'!H33+'Chino Total'!H33+'Chino Hills Total'!H33+'MVWD Total '!H33+'Upland Total'!H33+'FWC Total'!H33+'SAWC Total'!H33+'CVWD Total'!H33)</f>
        <v>15.12</v>
      </c>
      <c r="I33" s="169">
        <f>SUM('Ontario Total'!I33+'Chino Total'!I33+'Chino Hills Total'!I33+'MVWD Total '!I33+'Upland Total'!I33+'FWC Total'!I33+'SAWC Total'!I33+'CVWD Total'!I33)</f>
        <v>0</v>
      </c>
      <c r="J33" s="169">
        <f>SUM('Ontario Total'!J33+'Chino Total'!J33+'Chino Hills Total'!J33+'MVWD Total '!J33+'Upland Total'!J33+'FWC Total'!J33+'SAWC Total'!J33+'CVWD Total'!J33)</f>
        <v>1800</v>
      </c>
      <c r="K33" s="169">
        <f>SUM('Ontario Total'!K33+'Chino Total'!K33+'Chino Hills Total'!K33+'MVWD Total '!K33+'Upland Total'!K33+'FWC Total'!K33+'SAWC Total'!K33+'CVWD Total'!K33)</f>
        <v>1800</v>
      </c>
      <c r="L33" s="169">
        <f>SUM('Ontario Total'!L33+'Chino Total'!L33+'Chino Hills Total'!L33+'MVWD Total '!L33+'Upland Total'!L33+'FWC Total'!L33+'SAWC Total'!L33+'CVWD Total'!L33)</f>
        <v>3600</v>
      </c>
      <c r="M33" s="1427">
        <f t="shared" si="3"/>
        <v>1.4343086632243258</v>
      </c>
      <c r="N33" s="2193" t="e">
        <f>SUM('Ontario Total'!N28+'Chino Total'!N28+'Chino Hills Total'!N28+'MVWD Total '!N28+'Upland Total'!N28+'FWC Total'!N28+'SAWC Total'!N28+'CVWD Total'!#REF!)</f>
        <v>#REF!</v>
      </c>
      <c r="O33" s="121"/>
    </row>
    <row r="34" spans="1:15" s="91" customFormat="1" ht="17" hidden="1" thickBot="1">
      <c r="A34" s="1047" t="s">
        <v>192</v>
      </c>
      <c r="B34" s="2194"/>
      <c r="C34" s="2195"/>
      <c r="D34" s="2194"/>
      <c r="E34" s="2195"/>
      <c r="F34" s="2194"/>
      <c r="G34" s="2195"/>
      <c r="H34" s="1048"/>
      <c r="I34" s="1048"/>
      <c r="J34" s="1048"/>
      <c r="K34" s="1133"/>
      <c r="L34" s="1133"/>
      <c r="M34" s="2196"/>
      <c r="N34" s="2197"/>
      <c r="O34" s="274"/>
    </row>
    <row r="35" spans="1:15" ht="14" hidden="1" thickBot="1">
      <c r="A35" s="76" t="s">
        <v>193</v>
      </c>
      <c r="B35" s="1444"/>
      <c r="C35" s="1422"/>
      <c r="D35" s="1444"/>
      <c r="E35" s="1422"/>
      <c r="F35" s="1444"/>
      <c r="G35" s="1422"/>
      <c r="H35" s="1326"/>
      <c r="I35" s="1326"/>
      <c r="J35" s="1326"/>
      <c r="K35" s="1326"/>
      <c r="L35" s="1326"/>
      <c r="M35" s="1561"/>
      <c r="N35" s="1562"/>
    </row>
    <row r="36" spans="1:15" ht="14" thickBot="1">
      <c r="A36" s="53" t="s">
        <v>60</v>
      </c>
      <c r="B36" s="1438">
        <f>SUM(B22:C33)</f>
        <v>4276</v>
      </c>
      <c r="C36" s="1439"/>
      <c r="D36" s="1438">
        <f>SUM(D22:E33)</f>
        <v>43856332.640000001</v>
      </c>
      <c r="E36" s="1439"/>
      <c r="F36" s="1438">
        <f>SUM(F22:G33)</f>
        <v>134.56990684258977</v>
      </c>
      <c r="G36" s="1439"/>
      <c r="H36" s="1313">
        <f>SUM(H22:H35)</f>
        <v>1464.2780684258973</v>
      </c>
      <c r="I36" s="1336">
        <f>SUM(I22:I35)</f>
        <v>89866.18</v>
      </c>
      <c r="J36" s="1336">
        <f>SUM(J22:J35)</f>
        <v>275375.82</v>
      </c>
      <c r="K36" s="1336">
        <f>SUM(K22:K35)</f>
        <v>700606</v>
      </c>
      <c r="L36" s="1336">
        <f>SUM(L22:L35)</f>
        <v>1065848</v>
      </c>
      <c r="M36" s="1772"/>
      <c r="N36" s="2198"/>
    </row>
    <row r="37" spans="1:15" s="1161" customFormat="1" ht="17" thickBot="1">
      <c r="A37" s="1163" t="s">
        <v>17</v>
      </c>
      <c r="B37" s="1414">
        <f>SUM(,B20,B36)</f>
        <v>7459</v>
      </c>
      <c r="C37" s="1415"/>
      <c r="D37" s="1416">
        <f>SUM(D20,D36)</f>
        <v>118787691.22</v>
      </c>
      <c r="E37" s="1415"/>
      <c r="F37" s="1416">
        <f>SUM(,F20,F36)</f>
        <v>364.49122804541275</v>
      </c>
      <c r="G37" s="1415"/>
      <c r="H37" s="1312">
        <f>SUM(H20,H36)</f>
        <v>3080.7257804541268</v>
      </c>
      <c r="I37" s="1165">
        <f>SUM(,I20,I36)</f>
        <v>112644.28</v>
      </c>
      <c r="J37" s="1165">
        <f>SUM(,J20,J36)</f>
        <v>1012073</v>
      </c>
      <c r="K37" s="1165">
        <f>SUM(,K20,K36)</f>
        <v>1482994.04</v>
      </c>
      <c r="L37" s="1165">
        <f>SUM(,L20,L36)</f>
        <v>2607711.3200000003</v>
      </c>
      <c r="M37" s="1593"/>
      <c r="N37" s="1542"/>
      <c r="O37" s="274"/>
    </row>
    <row r="38" spans="1:15">
      <c r="A38" s="738"/>
      <c r="B38" s="1332"/>
      <c r="C38" s="1332"/>
      <c r="D38" s="1332"/>
      <c r="E38" s="1332"/>
      <c r="F38" s="1331"/>
      <c r="G38" s="1331"/>
      <c r="H38" s="1331"/>
      <c r="I38" s="21"/>
      <c r="J38" s="21"/>
      <c r="K38" s="21"/>
      <c r="L38" s="21"/>
      <c r="M38" s="1328"/>
      <c r="N38" s="1333"/>
    </row>
    <row r="39" spans="1:15" ht="15">
      <c r="A39" s="745" t="s">
        <v>18</v>
      </c>
      <c r="B39" s="1566" t="s">
        <v>468</v>
      </c>
      <c r="C39" s="1695"/>
      <c r="D39" s="1695"/>
      <c r="E39" s="1695"/>
      <c r="F39" s="1331"/>
      <c r="G39" s="1331"/>
      <c r="H39" s="1331"/>
      <c r="I39" s="21"/>
      <c r="J39" s="21"/>
      <c r="K39" s="21"/>
      <c r="L39" s="21"/>
      <c r="M39" s="1328"/>
      <c r="N39" s="1328"/>
    </row>
    <row r="40" spans="1:15">
      <c r="A40" s="3"/>
      <c r="B40" s="1696" t="s">
        <v>19</v>
      </c>
      <c r="C40" s="1696"/>
      <c r="D40" s="1696"/>
      <c r="E40" s="1696"/>
      <c r="F40" s="1331"/>
      <c r="G40" s="1331"/>
      <c r="H40" s="1331"/>
      <c r="I40" s="21"/>
      <c r="J40" s="21"/>
      <c r="K40" s="21"/>
      <c r="L40" s="21"/>
      <c r="M40" s="1328"/>
      <c r="N40" s="1328"/>
    </row>
    <row r="41" spans="1:15" ht="14" thickBot="1">
      <c r="A41" s="737"/>
      <c r="B41" s="1330"/>
      <c r="C41" s="1330"/>
      <c r="D41" s="1330"/>
      <c r="E41" s="1330"/>
      <c r="F41" s="1331"/>
      <c r="G41" s="1331"/>
      <c r="H41" s="1331"/>
      <c r="I41" s="21"/>
      <c r="J41" s="21"/>
      <c r="K41" s="21"/>
      <c r="L41" s="21"/>
      <c r="M41" s="1328"/>
      <c r="N41" s="1330"/>
    </row>
    <row r="42" spans="1:15" s="1168" customFormat="1" ht="17" thickBot="1">
      <c r="A42" s="108" t="s">
        <v>333</v>
      </c>
      <c r="B42" s="2186"/>
      <c r="C42" s="1913"/>
      <c r="D42" s="1672"/>
      <c r="E42" s="1913"/>
      <c r="F42" s="1619"/>
      <c r="G42" s="1620"/>
      <c r="H42" s="1166"/>
      <c r="I42" s="1167"/>
      <c r="J42" s="1167"/>
      <c r="K42" s="1167"/>
      <c r="L42" s="1167"/>
      <c r="M42" s="2187"/>
      <c r="N42" s="2188"/>
      <c r="O42" s="121"/>
    </row>
    <row r="43" spans="1:15" s="121" customFormat="1" ht="14" thickBot="1">
      <c r="A43" s="84" t="s">
        <v>272</v>
      </c>
      <c r="B43" s="2189">
        <v>144</v>
      </c>
      <c r="C43" s="2190"/>
      <c r="D43" s="1843">
        <f>F43*325900</f>
        <v>13863786</v>
      </c>
      <c r="E43" s="1842"/>
      <c r="F43" s="2191">
        <v>42.54</v>
      </c>
      <c r="G43" s="2192"/>
      <c r="H43" s="1338">
        <f>F43*5</f>
        <v>212.7</v>
      </c>
      <c r="I43" s="337">
        <v>15937</v>
      </c>
      <c r="J43" s="337">
        <v>9697</v>
      </c>
      <c r="K43" s="337">
        <v>9810</v>
      </c>
      <c r="L43" s="336">
        <f>SUM(I43+J43+K43)</f>
        <v>35444</v>
      </c>
      <c r="M43" s="1427">
        <f>J43/(F43*830)</f>
        <v>0.27463875247109737</v>
      </c>
      <c r="N43" s="2193" t="e">
        <f>SUM('Ontario Total'!N38+'Chino Total'!N38+'Chino Hills Total'!N38+'MVWD Total '!N38+'Upland Total'!N38+'FWC Total'!N38+'SAWC Total'!N38+'CVWD Total'!#REF!)</f>
        <v>#REF!</v>
      </c>
    </row>
    <row r="44" spans="1:15" s="1168" customFormat="1" ht="17" thickBot="1">
      <c r="A44" s="1163" t="s">
        <v>172</v>
      </c>
      <c r="B44" s="1612">
        <f>B20+B36+B43</f>
        <v>7603</v>
      </c>
      <c r="C44" s="1415"/>
      <c r="D44" s="1416">
        <f>D20+D36+D43</f>
        <v>132651477.22</v>
      </c>
      <c r="E44" s="1415"/>
      <c r="F44" s="1416">
        <f>F20+F36+F43</f>
        <v>407.03122804541277</v>
      </c>
      <c r="G44" s="1415"/>
      <c r="H44" s="1312">
        <f>H20+H36+H43</f>
        <v>3293.4257804541267</v>
      </c>
      <c r="I44" s="1165">
        <f>I20+I36+I43</f>
        <v>128581.28</v>
      </c>
      <c r="J44" s="1169">
        <f>J20+J36+J43</f>
        <v>1021770</v>
      </c>
      <c r="K44" s="1169">
        <f>K20+K36+K43</f>
        <v>1492804.04</v>
      </c>
      <c r="L44" s="1169">
        <f>L20+L36+L43</f>
        <v>2643155.3200000003</v>
      </c>
      <c r="M44" s="1639">
        <f>J44/(F44*830)</f>
        <v>3.0244563757003315</v>
      </c>
      <c r="N44" s="1632"/>
      <c r="O44" s="121"/>
    </row>
    <row r="45" spans="1:15" ht="17" thickBot="1">
      <c r="A45" s="343"/>
      <c r="B45" s="340"/>
      <c r="C45" s="340"/>
      <c r="D45" s="340"/>
      <c r="E45" s="340"/>
      <c r="F45" s="340"/>
      <c r="G45" s="340"/>
      <c r="H45" s="340"/>
      <c r="I45" s="340"/>
      <c r="J45" s="340"/>
      <c r="K45" s="340"/>
      <c r="L45" s="340"/>
      <c r="M45" s="342"/>
      <c r="N45" s="342"/>
    </row>
    <row r="46" spans="1:15" ht="17" thickBot="1">
      <c r="A46" s="1137"/>
      <c r="B46" s="359"/>
      <c r="C46" s="359"/>
      <c r="D46" s="359"/>
      <c r="E46" s="359"/>
      <c r="F46" s="1138"/>
      <c r="G46" s="1138"/>
      <c r="H46" s="1138"/>
      <c r="I46" s="2199" t="s">
        <v>0</v>
      </c>
      <c r="J46" s="2199"/>
      <c r="K46" s="2199"/>
      <c r="L46" s="2199"/>
      <c r="M46" s="359"/>
      <c r="N46" s="1139"/>
    </row>
    <row r="47" spans="1:15" ht="16">
      <c r="A47" s="97"/>
      <c r="B47" s="1469" t="s">
        <v>1</v>
      </c>
      <c r="C47" s="1469"/>
      <c r="D47" s="1469" t="s">
        <v>2</v>
      </c>
      <c r="E47" s="1469"/>
      <c r="F47" s="1863" t="s">
        <v>3</v>
      </c>
      <c r="G47" s="1863"/>
      <c r="H47" s="1116" t="s">
        <v>3</v>
      </c>
      <c r="I47" s="1120" t="s">
        <v>195</v>
      </c>
      <c r="J47" s="102"/>
      <c r="K47" s="102"/>
      <c r="L47" s="1136"/>
      <c r="M47" s="1469" t="s">
        <v>4</v>
      </c>
      <c r="N47" s="1526"/>
    </row>
    <row r="48" spans="1:15" ht="19" thickBot="1">
      <c r="A48" s="103" t="s">
        <v>5</v>
      </c>
      <c r="B48" s="1469" t="s">
        <v>6</v>
      </c>
      <c r="C48" s="1469"/>
      <c r="D48" s="1473" t="s">
        <v>7</v>
      </c>
      <c r="E48" s="1473"/>
      <c r="F48" s="1864" t="s">
        <v>7</v>
      </c>
      <c r="G48" s="1864"/>
      <c r="H48" s="1118" t="s">
        <v>58</v>
      </c>
      <c r="I48" s="1121" t="s">
        <v>196</v>
      </c>
      <c r="J48" s="1117" t="s">
        <v>8</v>
      </c>
      <c r="K48" s="1117" t="s">
        <v>9</v>
      </c>
      <c r="L48" s="401" t="s">
        <v>10</v>
      </c>
      <c r="M48" s="1473" t="s">
        <v>145</v>
      </c>
      <c r="N48" s="1475"/>
    </row>
    <row r="49" spans="1:15" ht="24.75" customHeight="1" thickBot="1">
      <c r="A49" s="345" t="s">
        <v>391</v>
      </c>
      <c r="B49" s="1702"/>
      <c r="C49" s="1703"/>
      <c r="D49" s="2200"/>
      <c r="E49" s="2201"/>
      <c r="F49" s="2202"/>
      <c r="G49" s="2203"/>
      <c r="H49" s="432"/>
      <c r="I49" s="369"/>
      <c r="J49" s="369"/>
      <c r="K49" s="369"/>
      <c r="L49" s="370"/>
      <c r="M49" s="2204"/>
      <c r="N49" s="2205"/>
    </row>
    <row r="50" spans="1:15" s="1161" customFormat="1" ht="17" thickBot="1">
      <c r="A50" s="108" t="s">
        <v>189</v>
      </c>
      <c r="B50" s="1456"/>
      <c r="C50" s="1586"/>
      <c r="D50" s="1457"/>
      <c r="E50" s="1457"/>
      <c r="F50" s="1619"/>
      <c r="G50" s="1620"/>
      <c r="H50" s="1158"/>
      <c r="I50" s="109"/>
      <c r="J50" s="1141"/>
      <c r="K50" s="109"/>
      <c r="L50" s="1141"/>
      <c r="M50" s="1617"/>
      <c r="N50" s="1486"/>
      <c r="O50" s="274"/>
    </row>
    <row r="51" spans="1:15">
      <c r="A51" s="32" t="s">
        <v>29</v>
      </c>
      <c r="B51" s="1444">
        <f>SUM('Ontario Total'!B46:C46+'Chino Total'!B46:C46+'Chino Hills Total'!B46:C46+'MVWD Total '!B46:C46+'Upland Total'!B46:C46+'FWC Total'!B46:C46+'SAWC Total'!B46:C46+'CVWD Total'!B46:C46)</f>
        <v>148</v>
      </c>
      <c r="C51" s="1422"/>
      <c r="D51" s="1444">
        <f>SUM('Ontario Total'!D46:E46+'Chino Total'!D46:E46+'Chino Hills Total'!D46:E46+'MVWD Total '!D46:E46+'Upland Total'!D46:E46+'FWC Total'!D46:E46+'SAWC Total'!D46:E46+'CVWD Total'!D46:E46)</f>
        <v>1186536.7200000002</v>
      </c>
      <c r="E51" s="1422"/>
      <c r="F51" s="1444">
        <f>SUM('Ontario Total'!F46:G46+'Chino Total'!F46:G46+'Chino Hills Total'!F46:G46+'MVWD Total '!F46:G46+'Upland Total'!F46:G46+'FWC Total'!F46:G46+'SAWC Total'!F46:G46+'CVWD Total'!F46:G46)</f>
        <v>3.6407999999999996</v>
      </c>
      <c r="G51" s="1422"/>
      <c r="H51" s="1123">
        <f>SUM('Ontario Total'!H46+'Chino Total'!H46+'Chino Hills Total'!H46+'MVWD Total '!H46+'Upland Total'!H46+'FWC Total'!H46+'SAWC Total'!H46+'CVWD Total'!H46)</f>
        <v>72.815999999999988</v>
      </c>
      <c r="I51" s="1123">
        <f>SUM('Ontario Total'!I46+'Chino Total'!I46+'Chino Hills Total'!I46+'MVWD Total '!I46+'Upland Total'!I46+'FWC Total'!I46+'SAWC Total'!I46+'CVWD Total'!I46)</f>
        <v>0</v>
      </c>
      <c r="J51" s="1123">
        <f>SUM('Ontario Total'!J46+'Chino Total'!J46+'Chino Hills Total'!J46+'MVWD Total '!J46+'Upland Total'!J46+'FWC Total'!J46+'SAWC Total'!J46+'CVWD Total'!J46)</f>
        <v>8880</v>
      </c>
      <c r="K51" s="1123">
        <f>SUM('Ontario Total'!K46+'Chino Total'!K46+'Chino Hills Total'!K46+'MVWD Total '!K46+'Upland Total'!K46+'FWC Total'!K46+'SAWC Total'!K46+'CVWD Total'!K46)</f>
        <v>5920</v>
      </c>
      <c r="L51" s="1123">
        <f>SUM('Ontario Total'!L46+'Chino Total'!L46+'Chino Hills Total'!L46+'MVWD Total '!L46+'Upland Total'!L46+'FWC Total'!L46+'SAWC Total'!L46+'CVWD Total'!L46)</f>
        <v>14800</v>
      </c>
      <c r="M51" s="1427">
        <f>SUM('Ontario Total'!M46+'Chino Total'!M46+'Chino Hills Total'!M46+'MVWD Total '!M46+'Upland Total'!M46+'FWC Total'!M46+'SAWC Total'!M46+'CVWD Total'!M46)</f>
        <v>40.701283107949976</v>
      </c>
      <c r="N51" s="1428">
        <f>SUM('Ontario Total'!N46+'Chino Total'!N46+'Chino Hills Total'!N46+'MVWD Total '!N46+'Upland Total'!N46+'FWC Total'!N46+'SAWC Total'!N46+'CVWD Total'!N46)</f>
        <v>0</v>
      </c>
    </row>
    <row r="52" spans="1:15">
      <c r="A52" s="32" t="s">
        <v>33</v>
      </c>
      <c r="B52" s="1444">
        <f>SUM('Ontario Total'!B47:C47+'Chino Total'!B47:C47+'Chino Hills Total'!B47:C47+'MVWD Total '!B47:C47+'Upland Total'!B47:C47+'FWC Total'!B47:C47+'SAWC Total'!B47:C47+'CVWD Total'!B47:C47)</f>
        <v>695</v>
      </c>
      <c r="C52" s="1422"/>
      <c r="D52" s="1444">
        <f>SUM('Ontario Total'!D47:E47+'Chino Total'!D47:E47+'Chino Hills Total'!D47:E47+'MVWD Total '!D47:E47+'Upland Total'!D47:E47+'FWC Total'!D47:E47+'SAWC Total'!D47:E47+'CVWD Total'!D47:E47)</f>
        <v>7814267.2500000009</v>
      </c>
      <c r="E52" s="1422"/>
      <c r="F52" s="1444">
        <f>SUM('Ontario Total'!F47:G47+'Chino Total'!F47:G47+'Chino Hills Total'!F47:G47+'MVWD Total '!F47:G47+'Upland Total'!F47:G47+'FWC Total'!F47:G47+'SAWC Total'!F47:G47+'CVWD Total'!F47:G47)</f>
        <v>23.977500000000003</v>
      </c>
      <c r="G52" s="1422"/>
      <c r="H52" s="1123">
        <f>SUM('Ontario Total'!H47+'Chino Total'!H47+'Chino Hills Total'!H47+'MVWD Total '!H47+'Upland Total'!H47+'FWC Total'!H47+'SAWC Total'!H47+'CVWD Total'!H47)</f>
        <v>335.68500000000006</v>
      </c>
      <c r="I52" s="1123">
        <f>SUM('Ontario Total'!I47+'Chino Total'!I47+'Chino Hills Total'!I47+'MVWD Total '!I47+'Upland Total'!I47+'FWC Total'!I47+'SAWC Total'!I47+'CVWD Total'!I47)</f>
        <v>0</v>
      </c>
      <c r="J52" s="1123">
        <f>SUM('Ontario Total'!J47+'Chino Total'!J47+'Chino Hills Total'!J47+'MVWD Total '!J47+'Upland Total'!J47+'FWC Total'!J47+'SAWC Total'!J47+'CVWD Total'!J47)</f>
        <v>52125</v>
      </c>
      <c r="K52" s="1123">
        <f>SUM('Ontario Total'!K47+'Chino Total'!K47+'Chino Hills Total'!K47+'MVWD Total '!K47+'Upland Total'!K47+'FWC Total'!K47+'SAWC Total'!K47+'CVWD Total'!K47)</f>
        <v>59075</v>
      </c>
      <c r="L52" s="1123">
        <f>SUM('Ontario Total'!L47+'Chino Total'!L47+'Chino Hills Total'!L47+'MVWD Total '!L47+'Upland Total'!L47+'FWC Total'!L47+'SAWC Total'!L47+'CVWD Total'!L47)</f>
        <v>111200</v>
      </c>
      <c r="M52" s="1427">
        <f>SUM('Ontario Total'!M47+'Chino Total'!M47+'Chino Hills Total'!M47+'MVWD Total '!M47+'Upland Total'!M47+'FWC Total'!M47+'SAWC Total'!M47+'CVWD Total'!M47)</f>
        <v>46.43485516315684</v>
      </c>
      <c r="N52" s="1428">
        <f>SUM('Ontario Total'!N47+'Chino Total'!N47+'Chino Hills Total'!N47+'MVWD Total '!N47+'Upland Total'!N47+'FWC Total'!N47+'SAWC Total'!N47+'CVWD Total'!N47)</f>
        <v>0</v>
      </c>
    </row>
    <row r="53" spans="1:15">
      <c r="A53" s="78" t="s">
        <v>400</v>
      </c>
      <c r="B53" s="1432">
        <f>SUM('Ontario Total'!B48:C48+'Chino Total'!B48:C48+'Chino Hills Total'!B48:C48+'MVWD Total '!B48:C48+'Upland Total'!B48:C48+'FWC Total'!B48:C48+'SAWC Total'!B48:C48+'CVWD Total'!B48:C48)</f>
        <v>51</v>
      </c>
      <c r="C53" s="1433"/>
      <c r="D53" s="1444">
        <f>SUM('Ontario Total'!D48:E48+'Chino Total'!D48:E48+'Chino Hills Total'!D48:E48+'MVWD Total '!D48:E48+'Upland Total'!D48:E48+'FWC Total'!D48:E48+'SAWC Total'!D48:E48+'CVWD Total'!D48:E48)</f>
        <v>3534203.6619999995</v>
      </c>
      <c r="E53" s="1422"/>
      <c r="F53" s="1444">
        <f>SUM('Ontario Total'!F48:G48+'Chino Total'!F48:G48+'Chino Hills Total'!F48:G48+'MVWD Total '!F48:G48+'Upland Total'!F48:G48+'FWC Total'!F48:G48+'SAWC Total'!F48:G48+'CVWD Total'!F48:G48)</f>
        <v>10.846</v>
      </c>
      <c r="G53" s="1422"/>
      <c r="H53" s="1123">
        <f>SUM('Ontario Total'!H48+'Chino Total'!H48+'Chino Hills Total'!H48+'MVWD Total '!H48+'Upland Total'!H48+'FWC Total'!H48+'SAWC Total'!H48+'CVWD Total'!H48)</f>
        <v>54.23</v>
      </c>
      <c r="I53" s="1123">
        <f>SUM('Ontario Total'!I48+'Chino Total'!I48+'Chino Hills Total'!I48+'MVWD Total '!I48+'Upland Total'!I48+'FWC Total'!I48+'SAWC Total'!I48+'CVWD Total'!I48)</f>
        <v>0</v>
      </c>
      <c r="J53" s="1123">
        <f>SUM('Ontario Total'!J48+'Chino Total'!J48+'Chino Hills Total'!J48+'MVWD Total '!J48+'Upland Total'!J48+'FWC Total'!J48+'SAWC Total'!J48+'CVWD Total'!J48)</f>
        <v>7395</v>
      </c>
      <c r="K53" s="1123">
        <f>SUM('Ontario Total'!K48+'Chino Total'!K48+'Chino Hills Total'!K48+'MVWD Total '!K48+'Upland Total'!K48+'FWC Total'!K48+'SAWC Total'!K48+'CVWD Total'!K48)</f>
        <v>4930</v>
      </c>
      <c r="L53" s="1123">
        <f>SUM('Ontario Total'!L48+'Chino Total'!L48+'Chino Hills Total'!L48+'MVWD Total '!L48+'Upland Total'!L48+'FWC Total'!L48+'SAWC Total'!L48+'CVWD Total'!L48)</f>
        <v>12325</v>
      </c>
      <c r="M53" s="1427">
        <f>SUM('Ontario Total'!M48+'Chino Total'!M48+'Chino Hills Total'!M48+'MVWD Total '!M48+'Upland Total'!M48+'FWC Total'!M48+'SAWC Total'!M48+'CVWD Total'!M48)</f>
        <v>4.266697007623165</v>
      </c>
      <c r="N53" s="1428">
        <f>SUM('Ontario Total'!N48+'Chino Total'!N48+'Chino Hills Total'!N48+'MVWD Total '!N48+'Upland Total'!N48+'FWC Total'!N48+'SAWC Total'!N48+'CVWD Total'!N48)</f>
        <v>0</v>
      </c>
    </row>
    <row r="54" spans="1:15">
      <c r="A54" s="32" t="s">
        <v>52</v>
      </c>
      <c r="B54" s="1444">
        <f>SUM('Ontario Total'!B49:C49+'Chino Total'!B49:C49+'Chino Hills Total'!B49:C49+'MVWD Total '!B49:C49+'Upland Total'!B49:C49+'FWC Total'!B49:C49+'SAWC Total'!B49:C49+'CVWD Total'!B49:C49)</f>
        <v>562</v>
      </c>
      <c r="C54" s="1422"/>
      <c r="D54" s="1444">
        <f>SUM('Ontario Total'!D49:E49+'Chino Total'!D49:E49+'Chino Hills Total'!D49:E49+'MVWD Total '!D49:E49+'Upland Total'!D49:E49+'FWC Total'!D49:E49+'SAWC Total'!D49:E49+'CVWD Total'!D49:E49)</f>
        <v>7582650.120000001</v>
      </c>
      <c r="E54" s="1422"/>
      <c r="F54" s="1444">
        <f>SUM('Ontario Total'!F49:G49+'Chino Total'!F49:G49+'Chino Hills Total'!F49:G49+'MVWD Total '!F49:G49+'Upland Total'!F49:G49+'FWC Total'!F49:G49+'SAWC Total'!F49:G49+'CVWD Total'!F49:G49)</f>
        <v>23.266799999999996</v>
      </c>
      <c r="G54" s="1422"/>
      <c r="H54" s="1123">
        <f>SUM('Ontario Total'!H49+'Chino Total'!H49+'Chino Hills Total'!H49+'MVWD Total '!H49+'Upland Total'!H49+'FWC Total'!H49+'SAWC Total'!H49+'CVWD Total'!H49)</f>
        <v>232.66800000000001</v>
      </c>
      <c r="I54" s="1123">
        <f>SUM('Ontario Total'!I49+'Chino Total'!I49+'Chino Hills Total'!I49+'MVWD Total '!I49+'Upland Total'!I49+'FWC Total'!I49+'SAWC Total'!I49+'CVWD Total'!I49)</f>
        <v>0</v>
      </c>
      <c r="J54" s="1283">
        <f>SUM('Ontario Total'!J49+'Chino Total'!J49+'Chino Hills Total'!J49+'MVWD Total '!J49+'Upland Total'!J49+'FWC Total'!J49+'SAWC Total'!J49+'CVWD Total'!J49)</f>
        <v>44960</v>
      </c>
      <c r="K54" s="1283">
        <f>SUM('Ontario Total'!K49+'Chino Total'!K49+'Chino Hills Total'!K49+'MVWD Total '!K49+'Upland Total'!K49+'FWC Total'!K49+'SAWC Total'!K49+'CVWD Total'!K49)</f>
        <v>44960</v>
      </c>
      <c r="L54" s="1283">
        <f>SUM('Ontario Total'!L49+'Chino Total'!L49+'Chino Hills Total'!L49+'MVWD Total '!L49+'Upland Total'!L49+'FWC Total'!L49+'SAWC Total'!L49+'CVWD Total'!L49)</f>
        <v>89920</v>
      </c>
      <c r="M54" s="1427">
        <f>SUM('Ontario Total'!M49+'Chino Total'!M49+'Chino Hills Total'!M49+'MVWD Total '!M49+'Upland Total'!M49+'FWC Total'!M49+'SAWC Total'!M49+'CVWD Total'!M49)</f>
        <v>38.695712635964043</v>
      </c>
      <c r="N54" s="1428">
        <f>SUM('Ontario Total'!N49+'Chino Total'!N49+'Chino Hills Total'!N49+'MVWD Total '!N49+'Upland Total'!N49+'FWC Total'!N49+'SAWC Total'!N49+'CVWD Total'!N49)</f>
        <v>0</v>
      </c>
    </row>
    <row r="55" spans="1:15" ht="12.75" customHeight="1">
      <c r="A55" s="76" t="s">
        <v>430</v>
      </c>
      <c r="B55" s="1444">
        <f>SUM('Ontario Total'!B50:C50+'Chino Total'!B50:C50+'Chino Hills Total'!B50:C50+'MVWD Total '!B50:C50+'Upland Total'!B50:C50+'FWC Total'!B50:C50+'SAWC Total'!B50:C50+'CVWD Total'!B50:C50)</f>
        <v>57</v>
      </c>
      <c r="C55" s="1422"/>
      <c r="D55" s="1444">
        <f>SUM('Ontario Total'!D50:E50+'Chino Total'!D50:E50+'Chino Hills Total'!D50:E50+'MVWD Total '!D50:E50+'Upland Total'!D50:E50+'FWC Total'!D50:E50+'SAWC Total'!D50:E50+'CVWD Total'!D50:E50)</f>
        <v>3064051.0000960003</v>
      </c>
      <c r="E55" s="1422"/>
      <c r="F55" s="1432">
        <f>SUM('Ontario Total'!F50:G50+'Chino Total'!F50:G50+'Chino Hills Total'!F50:G50+'MVWD Total '!F50:G50+'Upland Total'!F50:G50+'FWC Total'!F50:G50+'SAWC Total'!F50:G50+'CVWD Total'!F50:G50)</f>
        <v>9.4018134399999997</v>
      </c>
      <c r="G55" s="1433"/>
      <c r="H55" s="1289">
        <f>SUM('Ontario Total'!H50+'Chino Total'!H50+'Chino Hills Total'!H50+'MVWD Total '!H50+'Upland Total'!H50+'FWC Total'!H50+'SAWC Total'!H50+'CVWD Total'!H50)</f>
        <v>94.018134400000008</v>
      </c>
      <c r="I55" s="1123">
        <f>SUM('Ontario Total'!I50+'Chino Total'!I50+'Chino Hills Total'!I50+'MVWD Total '!I50+'Upland Total'!I50+'FWC Total'!I50+'SAWC Total'!I50+'CVWD Total'!I50)</f>
        <v>2985</v>
      </c>
      <c r="J55" s="1283">
        <f>SUM('Ontario Total'!J50+'Chino Total'!J50+'Chino Hills Total'!J50+'MVWD Total '!J50+'Upland Total'!J50+'FWC Total'!J50+'SAWC Total'!J50+'CVWD Total'!J50)</f>
        <v>60340</v>
      </c>
      <c r="K55" s="1283">
        <f>SUM('Ontario Total'!K50+'Chino Total'!K50+'Chino Hills Total'!K50+'MVWD Total '!K50+'Upland Total'!K50+'FWC Total'!K50+'SAWC Total'!K50+'CVWD Total'!K50)</f>
        <v>119167</v>
      </c>
      <c r="L55" s="1283">
        <f>SUM('Ontario Total'!L50+'Chino Total'!L50+'Chino Hills Total'!L50+'MVWD Total '!L50+'Upland Total'!L50+'FWC Total'!L50+'SAWC Total'!L50+'CVWD Total'!L50)</f>
        <v>182492</v>
      </c>
      <c r="M55" s="1427">
        <f>SUM('Ontario Total'!M50+'Chino Total'!M50+'Chino Hills Total'!M50+'MVWD Total '!M50+'Upland Total'!M50+'FWC Total'!M50+'SAWC Total'!M50+'CVWD Total'!M50)</f>
        <v>172.64569846036426</v>
      </c>
      <c r="N55" s="1428">
        <f>SUM('Ontario Total'!N50+'Chino Total'!N50+'Chino Hills Total'!N50+'MVWD Total '!N50+'Upland Total'!N50+'FWC Total'!N50+'SAWC Total'!N50+'CVWD Total'!N50)</f>
        <v>0</v>
      </c>
    </row>
    <row r="56" spans="1:15" ht="12.75" customHeight="1">
      <c r="A56" s="76" t="s">
        <v>214</v>
      </c>
      <c r="B56" s="1444">
        <f>SUM('Ontario Total'!B51:C51+'Chino Total'!B51:C51+'Chino Hills Total'!B51:C51+'MVWD Total '!B51:C51+'Upland Total'!B51:C51+'FWC Total'!B51:C51+'SAWC Total'!B51:C51+'CVWD Total'!B51:C51)</f>
        <v>15</v>
      </c>
      <c r="C56" s="1422"/>
      <c r="D56" s="1444">
        <f>SUM('Ontario Total'!D51:E51+'Chino Total'!D51:E51+'Chino Hills Total'!D51:E51+'MVWD Total '!D51:E51+'Upland Total'!D51:E51+'FWC Total'!D51:E51+'SAWC Total'!D51:E51+'CVWD Total'!D51:E51)</f>
        <v>9288.15</v>
      </c>
      <c r="E56" s="1422"/>
      <c r="F56" s="1444">
        <f>SUM('Ontario Total'!F51:G51+'Chino Total'!F51:G51+'Chino Hills Total'!F51:G51+'MVWD Total '!F51:G51+'Upland Total'!F51:G51+'FWC Total'!F51:G51+'SAWC Total'!F51:G51+'CVWD Total'!F51:G51)</f>
        <v>2.8500000000000001E-2</v>
      </c>
      <c r="G56" s="1422"/>
      <c r="H56" s="1123">
        <f>SUM('Ontario Total'!H51+'Chino Total'!H51+'Chino Hills Total'!H51+'MVWD Total '!H51+'Upland Total'!H51+'FWC Total'!H51+'SAWC Total'!H51+'CVWD Total'!H51)</f>
        <v>0.14249999999999999</v>
      </c>
      <c r="I56" s="1123">
        <f>SUM('Ontario Total'!I51+'Chino Total'!I51+'Chino Hills Total'!I51+'MVWD Total '!I51+'Upland Total'!I51+'FWC Total'!I51+'SAWC Total'!I51+'CVWD Total'!I51)</f>
        <v>0</v>
      </c>
      <c r="J56" s="1283">
        <f>SUM('Ontario Total'!J51+'Chino Total'!J51+'Chino Hills Total'!J51+'MVWD Total '!J51+'Upland Total'!J51+'FWC Total'!J51+'SAWC Total'!J51+'CVWD Total'!J51)</f>
        <v>0</v>
      </c>
      <c r="K56" s="1283">
        <f>SUM('Ontario Total'!K51+'Chino Total'!K51+'Chino Hills Total'!K51+'MVWD Total '!K51+'Upland Total'!K51+'FWC Total'!K51+'SAWC Total'!K51+'CVWD Total'!K51)</f>
        <v>525</v>
      </c>
      <c r="L56" s="1283">
        <f>SUM('Ontario Total'!L51+'Chino Total'!L51+'Chino Hills Total'!L51+'MVWD Total '!L51+'Upland Total'!L51+'FWC Total'!L51+'SAWC Total'!L51+'CVWD Total'!L51)</f>
        <v>525</v>
      </c>
      <c r="M56" s="1427">
        <f>SUM('Ontario Total'!M51+'Chino Total'!M51+'Chino Hills Total'!M51+'MVWD Total '!M51+'Upland Total'!M51+'FWC Total'!M51+'SAWC Total'!M51+'CVWD Total'!M51)</f>
        <v>92.220538831434027</v>
      </c>
      <c r="N56" s="1428">
        <f>SUM('Ontario Total'!N51+'Chino Total'!N51+'Chino Hills Total'!N51+'MVWD Total '!N51+'Upland Total'!N51+'FWC Total'!N51+'SAWC Total'!N51+'CVWD Total'!N51)</f>
        <v>0</v>
      </c>
    </row>
    <row r="57" spans="1:15" ht="12.75" customHeight="1">
      <c r="A57" s="76" t="s">
        <v>331</v>
      </c>
      <c r="B57" s="1444">
        <f>SUM('Ontario Total'!B52:C52+'Chino Total'!B52:C52+'Chino Hills Total'!B52:C52+'MVWD Total '!B52:C52+'Upland Total'!B52:C52+'FWC Total'!B52:C52+'SAWC Total'!B52:C52+'CVWD Total'!B52:C52)</f>
        <v>4</v>
      </c>
      <c r="C57" s="1422"/>
      <c r="D57" s="1444">
        <f>SUM('Ontario Total'!D52:E52+'Chino Total'!D52:E52+'Chino Hills Total'!D52:E52+'MVWD Total '!D52:E52+'Upland Total'!D52:E52+'FWC Total'!D52:E52+'SAWC Total'!D52:E52+'CVWD Total'!D52:E52)</f>
        <v>0</v>
      </c>
      <c r="E57" s="1422"/>
      <c r="F57" s="1432">
        <f>SUM('Ontario Total'!F52:G52+'Chino Total'!F52:G52+'Chino Hills Total'!F52:G52+'MVWD Total '!F52:G52+'Upland Total'!F52:G52+'FWC Total'!F52:G52+'SAWC Total'!F52:G52+'CVWD Total'!F52:G52)</f>
        <v>0</v>
      </c>
      <c r="G57" s="1433"/>
      <c r="H57" s="1123">
        <f>SUM('Ontario Total'!H52+'Chino Total'!H52+'Chino Hills Total'!H52+'MVWD Total '!H52+'Upland Total'!H52+'FWC Total'!H52+'SAWC Total'!H52+'CVWD Total'!H52)</f>
        <v>0</v>
      </c>
      <c r="I57" s="1123">
        <f>SUM('Ontario Total'!I52+'Chino Total'!I52+'Chino Hills Total'!I52+'MVWD Total '!I52+'Upland Total'!I52+'FWC Total'!I52+'SAWC Total'!I52+'CVWD Total'!I52)</f>
        <v>0</v>
      </c>
      <c r="J57" s="1287">
        <f>SUM('Ontario Total'!J52+'Chino Total'!J52+'Chino Hills Total'!J52+'MVWD Total '!J52+'Upland Total'!J52+'FWC Total'!J52+'SAWC Total'!J52+'CVWD Total'!J52)</f>
        <v>0</v>
      </c>
      <c r="K57" s="1287">
        <f>SUM('Ontario Total'!K52+'Chino Total'!K52+'Chino Hills Total'!K52+'MVWD Total '!K52+'Upland Total'!K52+'FWC Total'!K52+'SAWC Total'!K52+'CVWD Total'!K52)</f>
        <v>1200</v>
      </c>
      <c r="L57" s="1287">
        <f>SUM('Ontario Total'!L52+'Chino Total'!L52+'Chino Hills Total'!L52+'MVWD Total '!L52+'Upland Total'!L52+'FWC Total'!L52+'SAWC Total'!L52+'CVWD Total'!L52)</f>
        <v>1200</v>
      </c>
      <c r="M57" s="1427">
        <f>SUM('Ontario Total'!M52+'Chino Total'!M52+'Chino Hills Total'!M52+'MVWD Total '!M52+'Upland Total'!M52+'FWC Total'!M52+'SAWC Total'!M52+'CVWD Total'!M52)</f>
        <v>0</v>
      </c>
      <c r="N57" s="1428">
        <f>SUM('Ontario Total'!N52+'Chino Total'!N52+'Chino Hills Total'!N52+'MVWD Total '!N52+'Upland Total'!N52+'FWC Total'!N52+'SAWC Total'!N52+'CVWD Total'!N52)</f>
        <v>0</v>
      </c>
    </row>
    <row r="58" spans="1:15" ht="12.75" customHeight="1" thickBot="1">
      <c r="A58" s="107" t="s">
        <v>269</v>
      </c>
      <c r="B58" s="1444">
        <f>SUM('Ontario Total'!B53:C53+'Chino Total'!B53:C53+'Chino Hills Total'!B53:C53+'MVWD Total '!B53:C53+'Upland Total'!B53:C53+'FWC Total'!B53:C53+'SAWC Total'!B53:C53+'CVWD Total'!B53:C53)</f>
        <v>1</v>
      </c>
      <c r="C58" s="1422"/>
      <c r="D58" s="1444">
        <f>SUM('Ontario Total'!D53:E53+'Chino Total'!D53:E53+'Chino Hills Total'!D53:E53+'MVWD Total '!D53:E53+'Upland Total'!D53:E53+'FWC Total'!D53:E53+'SAWC Total'!D53:E53+'CVWD Total'!D53:E53)</f>
        <v>13492.26</v>
      </c>
      <c r="E58" s="1422"/>
      <c r="F58" s="1444">
        <f>SUM('Ontario Total'!F53:G53+'Chino Total'!F53:G53+'Chino Hills Total'!F53:G53+'MVWD Total '!F53:G53+'Upland Total'!F53:G53+'FWC Total'!F53:G53+'SAWC Total'!F53:G53+'CVWD Total'!F53:G53)</f>
        <v>4.1399999999999999E-2</v>
      </c>
      <c r="G58" s="1422"/>
      <c r="H58" s="1123">
        <f>SUM('Ontario Total'!H53+'Chino Total'!H53+'Chino Hills Total'!H53+'MVWD Total '!H53+'Upland Total'!H53+'FWC Total'!H53+'SAWC Total'!H53+'CVWD Total'!H53)</f>
        <v>0.41399999999999998</v>
      </c>
      <c r="I58" s="1123">
        <f>SUM('Ontario Total'!I53+'Chino Total'!I53+'Chino Hills Total'!I53+'MVWD Total '!I53+'Upland Total'!I53+'FWC Total'!I53+'SAWC Total'!I53+'CVWD Total'!I53)</f>
        <v>0</v>
      </c>
      <c r="J58" s="1289">
        <f>SUM('Ontario Total'!J53+'Chino Total'!J53+'Chino Hills Total'!J53+'MVWD Total '!J53+'Upland Total'!J53+'FWC Total'!J53+'SAWC Total'!J53+'CVWD Total'!J53)</f>
        <v>0</v>
      </c>
      <c r="K58" s="1289">
        <f>SUM('Ontario Total'!K53+'Chino Total'!K53+'Chino Hills Total'!K53+'MVWD Total '!K53+'Upland Total'!K53+'FWC Total'!K53+'SAWC Total'!K53+'CVWD Total'!K53)</f>
        <v>80</v>
      </c>
      <c r="L58" s="1289">
        <f>SUM('Ontario Total'!L53+'Chino Total'!L53+'Chino Hills Total'!L53+'MVWD Total '!L53+'Upland Total'!L53+'FWC Total'!L53+'SAWC Total'!L53+'CVWD Total'!L53)</f>
        <v>80</v>
      </c>
      <c r="M58" s="1427">
        <f>SUM('Ontario Total'!M53+'Chino Total'!M53+'Chino Hills Total'!M53+'MVWD Total '!M53+'Upland Total'!M53+'FWC Total'!M53+'SAWC Total'!M53+'CVWD Total'!M53)</f>
        <v>2.4184820397477522</v>
      </c>
      <c r="N58" s="1428">
        <f>SUM('Ontario Total'!N53+'Chino Total'!N53+'Chino Hills Total'!N53+'MVWD Total '!N53+'Upland Total'!N53+'FWC Total'!N53+'SAWC Total'!N53+'CVWD Total'!N53)</f>
        <v>0</v>
      </c>
    </row>
    <row r="59" spans="1:15" s="1161" customFormat="1" ht="17" thickBot="1">
      <c r="A59" s="108" t="s">
        <v>190</v>
      </c>
      <c r="B59" s="1456"/>
      <c r="C59" s="1457"/>
      <c r="D59" s="1457"/>
      <c r="E59" s="1457"/>
      <c r="F59" s="1567"/>
      <c r="G59" s="1586"/>
      <c r="H59" s="194"/>
      <c r="I59" s="194"/>
      <c r="J59" s="195"/>
      <c r="K59" s="194"/>
      <c r="L59" s="194"/>
      <c r="M59" s="1593"/>
      <c r="N59" s="1542"/>
      <c r="O59" s="274"/>
    </row>
    <row r="60" spans="1:15">
      <c r="A60" s="76" t="s">
        <v>399</v>
      </c>
      <c r="B60" s="1444">
        <f>SUM('Ontario Total'!B55:C55+'Chino Total'!B55:C55+'Chino Hills Total'!B55:C55+'MVWD Total '!B55:C55+'Upland Total'!B55:C55+'FWC Total'!B55:C55+'SAWC Total'!B55:C55+'CVWD Total'!B55:C55)</f>
        <v>163</v>
      </c>
      <c r="C60" s="1422"/>
      <c r="D60" s="1432" t="s">
        <v>22</v>
      </c>
      <c r="E60" s="1433"/>
      <c r="F60" s="1467" t="s">
        <v>22</v>
      </c>
      <c r="G60" s="1433"/>
      <c r="H60" s="1292" t="s">
        <v>22</v>
      </c>
      <c r="I60" s="1123">
        <f>SUM('Ontario Total'!I55+'Chino Total'!I55+'Chino Hills Total'!I55+'MVWD Total '!I55+'Upland Total'!I55+'FWC Total'!I55+'SAWC Total'!I55+'CVWD Total'!I55)</f>
        <v>88227.00999999998</v>
      </c>
      <c r="J60" s="1285">
        <f>SUM('Ontario Total'!J55+'Chino Total'!J55+'Chino Hills Total'!J55+'MVWD Total '!J55+'Upland Total'!J55+'FWC Total'!J55+'SAWC Total'!J55+'CVWD Total'!J55)</f>
        <v>0</v>
      </c>
      <c r="K60" s="1285">
        <f>SUM('Ontario Total'!K55+'Chino Total'!K55+'Chino Hills Total'!K55+'MVWD Total '!K55+'Upland Total'!K55+'FWC Total'!K55+'SAWC Total'!K55+'CVWD Total'!K55)</f>
        <v>0</v>
      </c>
      <c r="L60" s="1285">
        <f>SUM('Ontario Total'!L55+'Chino Total'!L55+'Chino Hills Total'!L55+'MVWD Total '!L55+'Upland Total'!L55+'FWC Total'!L55+'SAWC Total'!L55+'CVWD Total'!L55)</f>
        <v>88227.00999999998</v>
      </c>
      <c r="M60" s="1427">
        <v>0</v>
      </c>
      <c r="N60" s="1428">
        <f>SUM('Ontario Total'!N55+'Chino Total'!N55+'Chino Hills Total'!N55+'MVWD Total '!N55+'Upland Total'!N55+'FWC Total'!N55+'SAWC Total'!N55+'CVWD Total'!N55)</f>
        <v>0</v>
      </c>
    </row>
    <row r="61" spans="1:15">
      <c r="A61" s="76" t="s">
        <v>409</v>
      </c>
      <c r="B61" s="1444">
        <f>SUM('Ontario Total'!B56:C56+'Chino Total'!B56:C56+'Chino Hills Total'!B56:C56+'MVWD Total '!B56:C56+'Upland Total'!B56:C56+'FWC Total'!B56:C56+'SAWC Total'!B56:C56+'CVWD Total'!B56:C56)</f>
        <v>89</v>
      </c>
      <c r="C61" s="1422"/>
      <c r="D61" s="1444">
        <f>SUM('Ontario Total'!D56:E56+'Chino Total'!D56:E56+'Chino Hills Total'!D56:E56+'MVWD Total '!D56:E56+'Upland Total'!D56:E56+'FWC Total'!D56:E56+'SAWC Total'!D56:E56+'CVWD Total'!D56:E56)</f>
        <v>7991002.8199999994</v>
      </c>
      <c r="E61" s="1422"/>
      <c r="F61" s="1467">
        <f>SUM('Ontario Total'!F56:G56+'Chino Total'!F56:G56+'Chino Hills Total'!F56:G56+'MVWD Total '!F56:G56+'Upland Total'!F56:G56+'FWC Total'!F56:G56+'SAWC Total'!F56:G56+'CVWD Total'!F56:G56)</f>
        <v>24.5198</v>
      </c>
      <c r="G61" s="1433"/>
      <c r="H61" s="1123">
        <f>SUM('Ontario Total'!H56+'Chino Total'!H56+'Chino Hills Total'!H56+'MVWD Total '!H56+'Upland Total'!H56+'FWC Total'!H56+'SAWC Total'!H56+'CVWD Total'!H56)</f>
        <v>91.042000000000002</v>
      </c>
      <c r="I61" s="1285">
        <f>SUM('Ontario Total'!I56+'Chino Total'!I56+'Chino Hills Total'!I56+'MVWD Total '!I56+'Upland Total'!I56+'FWC Total'!I56+'SAWC Total'!I56+'CVWD Total'!I56)</f>
        <v>40230.661099999998</v>
      </c>
      <c r="J61" s="1285">
        <f>SUM('Ontario Total'!J56+'Chino Total'!J56+'Chino Hills Total'!J56+'MVWD Total '!J56+'Upland Total'!J56+'FWC Total'!J56+'SAWC Total'!J56+'CVWD Total'!J56)</f>
        <v>0</v>
      </c>
      <c r="K61" s="1285">
        <f>SUM('Ontario Total'!K56+'Chino Total'!K56+'Chino Hills Total'!K56+'MVWD Total '!K56+'Upland Total'!K56+'FWC Total'!K56+'SAWC Total'!K56+'CVWD Total'!K56)</f>
        <v>41872.728900000002</v>
      </c>
      <c r="L61" s="1285">
        <f>SUM('Ontario Total'!L56+'Chino Total'!L56+'Chino Hills Total'!L56+'MVWD Total '!L56+'Upland Total'!L56+'FWC Total'!L56+'SAWC Total'!L56+'CVWD Total'!L56)</f>
        <v>82103.39</v>
      </c>
      <c r="M61" s="1427">
        <f>SUM('Ontario Total'!M56+'Chino Total'!M56+'Chino Hills Total'!M56+'MVWD Total '!M56+'Upland Total'!M56+'FWC Total'!M56+'SAWC Total'!M56+'CVWD Total'!M56)</f>
        <v>42.171287043341366</v>
      </c>
      <c r="N61" s="1428">
        <f>SUM('Ontario Total'!N56+'Chino Total'!N56+'Chino Hills Total'!N56+'MVWD Total '!N56+'Upland Total'!N56+'FWC Total'!N56+'SAWC Total'!N56+'CVWD Total'!N56)</f>
        <v>0</v>
      </c>
    </row>
    <row r="62" spans="1:15">
      <c r="A62" s="76" t="s">
        <v>415</v>
      </c>
      <c r="B62" s="1444">
        <f>SUM('Ontario Total'!B57:C57+'Chino Total'!B57:C57+'Chino Hills Total'!B57:C57+'MVWD Total '!B57:C57+'Upland Total'!B57:C57+'FWC Total'!B57:C57+'SAWC Total'!B57:C57+'CVWD Total'!B57:C57)</f>
        <v>234</v>
      </c>
      <c r="C62" s="1422"/>
      <c r="D62" s="1444">
        <f>SUM('Ontario Total'!D57:E57+'Chino Total'!D57:E57+'Chino Hills Total'!D57:E57+'MVWD Total '!D57:E57+'Upland Total'!D57:E57+'FWC Total'!D57:E57+'SAWC Total'!D57:E57+'CVWD Total'!D57:E57)</f>
        <v>3454018.5599999996</v>
      </c>
      <c r="E62" s="1422"/>
      <c r="F62" s="1467">
        <f>SUM('Ontario Total'!F57:G57+'Chino Total'!F57:G57+'Chino Hills Total'!F57:G57+'MVWD Total '!F57:G57+'Upland Total'!F57:G57+'FWC Total'!F57:G57+'SAWC Total'!F57:G57+'CVWD Total'!F57:G57)</f>
        <v>10.5984</v>
      </c>
      <c r="G62" s="1433"/>
      <c r="H62" s="1123">
        <f>SUM('Ontario Total'!H57+'Chino Total'!H57+'Chino Hills Total'!H57+'MVWD Total '!H57+'Upland Total'!H57+'FWC Total'!H57+'SAWC Total'!H57+'CVWD Total'!H57)</f>
        <v>105.98399999999999</v>
      </c>
      <c r="I62" s="1123">
        <f>SUM('Ontario Total'!I57+'Chino Total'!I57+'Chino Hills Total'!I57+'MVWD Total '!I57+'Upland Total'!I57+'FWC Total'!I57+'SAWC Total'!I57+'CVWD Total'!I57)</f>
        <v>0</v>
      </c>
      <c r="J62" s="1291">
        <f>SUM('Ontario Total'!J57+'Chino Total'!J57+'Chino Hills Total'!J57+'MVWD Total '!J57+'Upland Total'!J57+'FWC Total'!J57+'SAWC Total'!J57+'CVWD Total'!J57)</f>
        <v>97885.47600000001</v>
      </c>
      <c r="K62" s="1291">
        <f>SUM('Ontario Total'!K57+'Chino Total'!K57+'Chino Hills Total'!K57+'MVWD Total '!K57+'Upland Total'!K57+'FWC Total'!K57+'SAWC Total'!K57+'CVWD Total'!K57)</f>
        <v>59994.323999999993</v>
      </c>
      <c r="L62" s="1291">
        <f>SUM('Ontario Total'!L57+'Chino Total'!L57+'Chino Hills Total'!L57+'MVWD Total '!L57+'Upland Total'!L57+'FWC Total'!L57+'SAWC Total'!L57+'CVWD Total'!L57)</f>
        <v>157879.79999999999</v>
      </c>
      <c r="M62" s="1427">
        <f>SUM('Ontario Total'!M57+'Chino Total'!M57+'Chino Hills Total'!M57+'MVWD Total '!M57+'Upland Total'!M57+'FWC Total'!M57+'SAWC Total'!M57+'CVWD Total'!M57)</f>
        <v>134.12503310630319</v>
      </c>
      <c r="N62" s="1428">
        <f>SUM('Ontario Total'!N57+'Chino Total'!N57+'Chino Hills Total'!N57+'MVWD Total '!N57+'Upland Total'!N57+'FWC Total'!N57+'SAWC Total'!N57+'CVWD Total'!N57)</f>
        <v>0</v>
      </c>
    </row>
    <row r="63" spans="1:15" s="121" customFormat="1" ht="14" thickBot="1">
      <c r="A63" s="76" t="s">
        <v>266</v>
      </c>
      <c r="B63" s="1444">
        <f>SUM('Ontario Total'!B58:C58+'Chino Total'!B58:C58+'Chino Hills Total'!B58:C58+'MVWD Total '!B58:C58+'Upland Total'!B58:C58+'FWC Total'!B58:C58+'SAWC Total'!B58:C58+'CVWD Total'!B58:C58)</f>
        <v>396</v>
      </c>
      <c r="C63" s="1422"/>
      <c r="D63" s="1444">
        <f>SUM('Ontario Total'!D58:E58+'Chino Total'!D58:E58+'Chino Hills Total'!D58:E58+'MVWD Total '!D58:E58+'Upland Total'!D58:E58+'FWC Total'!D58:E58+'SAWC Total'!D58:E58+'CVWD Total'!D58:E58)</f>
        <v>15228655.199999999</v>
      </c>
      <c r="E63" s="1422"/>
      <c r="F63" s="1744">
        <f>SUM('Ontario Total'!F58:G58+'Chino Total'!F58:G58+'Chino Hills Total'!F58:G58+'MVWD Total '!F58:G58+'Upland Total'!F58:G58+'FWC Total'!F58:G58+'SAWC Total'!F58:G58+'CVWD Total'!F58:G58)</f>
        <v>46.727999999999994</v>
      </c>
      <c r="G63" s="1437"/>
      <c r="H63" s="1123">
        <f>SUM('Ontario Total'!H58+'Chino Total'!H58+'Chino Hills Total'!H58+'MVWD Total '!H58+'Upland Total'!H58+'FWC Total'!H58+'SAWC Total'!H58+'CVWD Total'!H58)</f>
        <v>467.28</v>
      </c>
      <c r="I63" s="1123">
        <f>SUM('Ontario Total'!I58+'Chino Total'!I58+'Chino Hills Total'!I58+'MVWD Total '!I58+'Upland Total'!I58+'FWC Total'!I58+'SAWC Total'!I58+'CVWD Total'!I58)</f>
        <v>0</v>
      </c>
      <c r="J63" s="1291">
        <f>SUM('Ontario Total'!J58+'Chino Total'!J58+'Chino Hills Total'!J58+'MVWD Total '!J58+'Upland Total'!J58+'FWC Total'!J58+'SAWC Total'!J58+'CVWD Total'!J58)</f>
        <v>105025.25879999998</v>
      </c>
      <c r="K63" s="1291">
        <f>SUM('Ontario Total'!K58+'Chino Total'!K58+'Chino Hills Total'!K58+'MVWD Total '!K58+'Upland Total'!K58+'FWC Total'!K58+'SAWC Total'!K58+'CVWD Total'!K58)</f>
        <v>100906.62119999999</v>
      </c>
      <c r="L63" s="1291">
        <f>SUM('Ontario Total'!L58+'Chino Total'!L58+'Chino Hills Total'!L58+'MVWD Total '!L58+'Upland Total'!L58+'FWC Total'!L58+'SAWC Total'!L58+'CVWD Total'!L58)</f>
        <v>205931.87999999998</v>
      </c>
      <c r="M63" s="1427">
        <f>SUM('Ontario Total'!M58+'Chino Total'!M58+'Chino Hills Total'!M58+'MVWD Total '!M58+'Upland Total'!M58+'FWC Total'!M58+'SAWC Total'!M58+'CVWD Total'!M58)</f>
        <v>27.578434908041828</v>
      </c>
      <c r="N63" s="1428">
        <f>SUM('Ontario Total'!N58+'Chino Total'!N58+'Chino Hills Total'!N58+'MVWD Total '!N58+'Upland Total'!N58+'FWC Total'!N58+'SAWC Total'!N58+'CVWD Total'!N58)</f>
        <v>0</v>
      </c>
    </row>
    <row r="64" spans="1:15" ht="14" thickBot="1">
      <c r="A64" s="53" t="s">
        <v>60</v>
      </c>
      <c r="B64" s="1452">
        <f>SUM(B51:C63)</f>
        <v>2415</v>
      </c>
      <c r="C64" s="1453"/>
      <c r="D64" s="1452">
        <f>SUM(D51:E63)</f>
        <v>49878165.742096007</v>
      </c>
      <c r="E64" s="1453"/>
      <c r="F64" s="1452">
        <f>SUM(F51:G63)</f>
        <v>153.04901343999998</v>
      </c>
      <c r="G64" s="1453"/>
      <c r="H64" s="1045">
        <f>SUM(H51:H63)</f>
        <v>1454.2796344000003</v>
      </c>
      <c r="I64" s="1132">
        <f>SUM(I51:I63)</f>
        <v>131442.67109999998</v>
      </c>
      <c r="J64" s="1132">
        <f>SUM(J51:J63)</f>
        <v>376610.73479999998</v>
      </c>
      <c r="K64" s="1132">
        <f>SUM(K51:K63)</f>
        <v>438630.6741</v>
      </c>
      <c r="L64" s="862">
        <f>SUM(L51:L63)</f>
        <v>946684.08</v>
      </c>
      <c r="M64" s="1694"/>
      <c r="N64" s="1603"/>
    </row>
    <row r="65" spans="1:15" s="1161" customFormat="1" ht="17" thickBot="1">
      <c r="A65" s="108" t="s">
        <v>194</v>
      </c>
      <c r="B65" s="1567"/>
      <c r="C65" s="1457"/>
      <c r="D65" s="1567"/>
      <c r="E65" s="1457"/>
      <c r="F65" s="1567"/>
      <c r="G65" s="1586"/>
      <c r="H65" s="1162"/>
      <c r="I65" s="1162"/>
      <c r="J65" s="184"/>
      <c r="K65" s="184"/>
      <c r="L65" s="184"/>
      <c r="M65" s="1541"/>
      <c r="N65" s="1542"/>
      <c r="O65" s="274"/>
    </row>
    <row r="66" spans="1:15">
      <c r="A66" s="122" t="s">
        <v>29</v>
      </c>
      <c r="B66" s="1444">
        <f>SUM('Ontario Total'!B61:C61+'Chino Total'!B61:C61+'Chino Hills Total'!B61:C61+'MVWD Total '!B61:C61+'Upland Total'!B61:C61+'FWC Total'!B61:C61+'SAWC Total'!B61:C61+'CVWD Total'!B61:C61)</f>
        <v>506</v>
      </c>
      <c r="C66" s="1422"/>
      <c r="D66" s="1444">
        <f>SUM('Ontario Total'!D61:E61+'Chino Total'!D61:E61+'Chino Hills Total'!D61:E61+'MVWD Total '!D61:E61+'Upland Total'!D61:E61+'FWC Total'!D61:E61+'SAWC Total'!D61:E61+'CVWD Total'!D61:E61)</f>
        <v>4056672.8400000003</v>
      </c>
      <c r="E66" s="1422"/>
      <c r="F66" s="1444">
        <f>SUM('Ontario Total'!F61:G61+'Chino Total'!F61:G61+'Chino Hills Total'!F61:G61+'MVWD Total '!F61:G61+'Upland Total'!F61:G61+'FWC Total'!F61:G61+'SAWC Total'!F61:G61+'CVWD Total'!F61:G61)</f>
        <v>12.447600000000001</v>
      </c>
      <c r="G66" s="1422"/>
      <c r="H66" s="1123">
        <f>SUM('Ontario Total'!H61+'Chino Total'!H61+'Chino Hills Total'!H61+'MVWD Total '!H61+'Upland Total'!H61+'FWC Total'!H61+'SAWC Total'!H61+'CVWD Total'!H61)</f>
        <v>248.952</v>
      </c>
      <c r="I66" s="1123">
        <f>SUM('Ontario Total'!I61+'Chino Total'!I61+'Chino Hills Total'!I61+'MVWD Total '!I61+'Upland Total'!I61+'FWC Total'!I61+'SAWC Total'!I61+'CVWD Total'!I61)</f>
        <v>0</v>
      </c>
      <c r="J66" s="1284">
        <f>SUM('Ontario Total'!J61+'Chino Total'!J61+'Chino Hills Total'!J61+'MVWD Total '!J61+'Upland Total'!J61+'FWC Total'!J61+'SAWC Total'!J61+'CVWD Total'!J61)</f>
        <v>30360</v>
      </c>
      <c r="K66" s="1284">
        <f>SUM('Ontario Total'!K61+'Chino Total'!K61+'Chino Hills Total'!K61+'MVWD Total '!K61+'Upland Total'!K61+'FWC Total'!K61+'SAWC Total'!K61+'CVWD Total'!K61)</f>
        <v>20240</v>
      </c>
      <c r="L66" s="1284">
        <f>SUM('Ontario Total'!L61+'Chino Total'!L61+'Chino Hills Total'!L61+'MVWD Total '!L61+'Upland Total'!L61+'FWC Total'!L61+'SAWC Total'!L61+'CVWD Total'!L61)</f>
        <v>50600</v>
      </c>
      <c r="M66" s="1807">
        <f>SUM('Ontario Total'!M61+'Chino Total'!M61+'Chino Hills Total'!M61+'MVWD Total '!M61+'Upland Total'!M61+'FWC Total'!M61+'SAWC Total'!M61+'CVWD Total'!M61)</f>
        <v>15.262981165481241</v>
      </c>
      <c r="N66" s="1808">
        <f>SUM('Ontario Total'!N61+'Chino Total'!N61+'Chino Hills Total'!N61+'MVWD Total '!N61+'Upland Total'!N61+'FWC Total'!N61+'SAWC Total'!N61+'CVWD Total'!N61)</f>
        <v>0</v>
      </c>
    </row>
    <row r="67" spans="1:15">
      <c r="A67" s="32" t="s">
        <v>51</v>
      </c>
      <c r="B67" s="1444">
        <f>SUM('Ontario Total'!B62:C62+'Chino Total'!B62:C62+'Chino Hills Total'!B62:C62+'MVWD Total '!B62:C62+'Upland Total'!B62:C62+'FWC Total'!B62:C62+'SAWC Total'!B62:C62+'CVWD Total'!B62:C62)</f>
        <v>0</v>
      </c>
      <c r="C67" s="1422"/>
      <c r="D67" s="1444">
        <f>SUM('Ontario Total'!D62:E62+'Chino Total'!D62:E62+'Chino Hills Total'!D62:E62+'MVWD Total '!D62:E62+'Upland Total'!D62:E62+'FWC Total'!D62:E62+'SAWC Total'!D62:E62+'CVWD Total'!D62:E62)</f>
        <v>0</v>
      </c>
      <c r="E67" s="1422"/>
      <c r="F67" s="1444">
        <f>SUM('Ontario Total'!F62:G62+'Chino Total'!F62:G62+'Chino Hills Total'!F62:G62+'MVWD Total '!F62:G62+'Upland Total'!F62:G62+'FWC Total'!F62:G62+'SAWC Total'!F62:G62+'CVWD Total'!F62:G62)</f>
        <v>0</v>
      </c>
      <c r="G67" s="1422"/>
      <c r="H67" s="1123">
        <f>SUM('Ontario Total'!H62+'Chino Total'!H62+'Chino Hills Total'!H62+'MVWD Total '!H62+'Upland Total'!H62+'FWC Total'!H62+'SAWC Total'!H62+'CVWD Total'!H62)</f>
        <v>0</v>
      </c>
      <c r="I67" s="1123">
        <f>SUM('Ontario Total'!I62+'Chino Total'!I62+'Chino Hills Total'!I62+'MVWD Total '!I62+'Upland Total'!I62+'FWC Total'!I62+'SAWC Total'!I62+'CVWD Total'!I62)</f>
        <v>0</v>
      </c>
      <c r="J67" s="1284">
        <f>SUM('Ontario Total'!J62+'Chino Total'!J62+'Chino Hills Total'!J62+'MVWD Total '!J62+'Upland Total'!J62+'FWC Total'!J62+'SAWC Total'!J62+'CVWD Total'!J62)</f>
        <v>0</v>
      </c>
      <c r="K67" s="1284">
        <f>SUM('Ontario Total'!K62+'Chino Total'!K62+'Chino Hills Total'!K62+'MVWD Total '!K62+'Upland Total'!K62+'FWC Total'!K62+'SAWC Total'!K62+'CVWD Total'!K62)</f>
        <v>0</v>
      </c>
      <c r="L67" s="1284">
        <f>SUM('Ontario Total'!L62+'Chino Total'!L62+'Chino Hills Total'!L62+'MVWD Total '!L62+'Upland Total'!L62+'FWC Total'!L62+'SAWC Total'!L62+'CVWD Total'!L62)</f>
        <v>0</v>
      </c>
      <c r="M67" s="1427">
        <f>SUM('Ontario Total'!M62+'Chino Total'!M62+'Chino Hills Total'!M62+'MVWD Total '!M62+'Upland Total'!M62+'FWC Total'!M62+'SAWC Total'!M62+'CVWD Total'!M62)</f>
        <v>0</v>
      </c>
      <c r="N67" s="1428">
        <f>SUM('Ontario Total'!N62+'Chino Total'!N62+'Chino Hills Total'!N62+'MVWD Total '!N62+'Upland Total'!N62+'FWC Total'!N62+'SAWC Total'!N62+'CVWD Total'!N62)</f>
        <v>0</v>
      </c>
    </row>
    <row r="68" spans="1:15">
      <c r="A68" s="34" t="s">
        <v>204</v>
      </c>
      <c r="B68" s="1444">
        <f>SUM('Ontario Total'!B63:C63+'Chino Total'!B63:C63+'Chino Hills Total'!B63:C63+'MVWD Total '!B63:C63+'Upland Total'!B63:C63+'FWC Total'!B63:C63+'SAWC Total'!B63:C63+'CVWD Total'!B63:C63)</f>
        <v>2</v>
      </c>
      <c r="C68" s="1422"/>
      <c r="D68" s="1444">
        <f>SUM('Ontario Total'!D63:E63+'Chino Total'!D63:E63+'Chino Hills Total'!D63:E63+'MVWD Total '!D63:E63+'Upland Total'!D63:E63+'FWC Total'!D63:E63+'SAWC Total'!D63:E63+'CVWD Total'!D63:E63)</f>
        <v>419759.2</v>
      </c>
      <c r="E68" s="1422"/>
      <c r="F68" s="1444">
        <f>SUM('Ontario Total'!F63:G63+'Chino Total'!F63:G63+'Chino Hills Total'!F63:G63+'MVWD Total '!F63:G63+'Upland Total'!F63:G63+'FWC Total'!F63:G63+'SAWC Total'!F63:G63+'CVWD Total'!F63:G63)</f>
        <v>1.288</v>
      </c>
      <c r="G68" s="1422"/>
      <c r="H68" s="1123">
        <f>SUM('Ontario Total'!H63+'Chino Total'!H63+'Chino Hills Total'!H63+'MVWD Total '!H63+'Upland Total'!H63+'FWC Total'!H63+'SAWC Total'!H63+'CVWD Total'!H63)</f>
        <v>6.44</v>
      </c>
      <c r="I68" s="1123">
        <f>SUM('Ontario Total'!I63+'Chino Total'!I63+'Chino Hills Total'!I63+'MVWD Total '!I63+'Upland Total'!I63+'FWC Total'!I63+'SAWC Total'!I63+'CVWD Total'!I63)</f>
        <v>0</v>
      </c>
      <c r="J68" s="1284">
        <f>SUM('Ontario Total'!J63+'Chino Total'!J63+'Chino Hills Total'!J63+'MVWD Total '!J63+'Upland Total'!J63+'FWC Total'!J63+'SAWC Total'!J63+'CVWD Total'!J63)</f>
        <v>750</v>
      </c>
      <c r="K68" s="1284">
        <f>SUM('Ontario Total'!K63+'Chino Total'!K63+'Chino Hills Total'!K63+'MVWD Total '!K63+'Upland Total'!K63+'FWC Total'!K63+'SAWC Total'!K63+'CVWD Total'!K63)</f>
        <v>1250</v>
      </c>
      <c r="L68" s="1284">
        <f>SUM('Ontario Total'!L63+'Chino Total'!L63+'Chino Hills Total'!L63+'MVWD Total '!L63+'Upland Total'!L63+'FWC Total'!L63+'SAWC Total'!L63+'CVWD Total'!L63)</f>
        <v>2000</v>
      </c>
      <c r="M68" s="1427">
        <f>SUM('Ontario Total'!M63+'Chino Total'!M63+'Chino Hills Total'!M63+'MVWD Total '!M63+'Upland Total'!M63+'FWC Total'!M63+'SAWC Total'!M63+'CVWD Total'!M63)</f>
        <v>3.8868461353088875</v>
      </c>
      <c r="N68" s="1428">
        <f>SUM('Ontario Total'!N63+'Chino Total'!N63+'Chino Hills Total'!N63+'MVWD Total '!N63+'Upland Total'!N63+'FWC Total'!N63+'SAWC Total'!N63+'CVWD Total'!N63)</f>
        <v>0</v>
      </c>
    </row>
    <row r="69" spans="1:15">
      <c r="A69" s="76" t="s">
        <v>30</v>
      </c>
      <c r="B69" s="1444">
        <f>SUM('Ontario Total'!B64:C64+'Chino Total'!B64:C64+'Chino Hills Total'!B64:C64+'MVWD Total '!B64:C64+'Upland Total'!B64:C64+'FWC Total'!B64:C64+'SAWC Total'!B64:C64+'CVWD Total'!B64:C64)</f>
        <v>59</v>
      </c>
      <c r="C69" s="1422"/>
      <c r="D69" s="1444">
        <f>SUM('Ontario Total'!D64:E64+'Chino Total'!D64:E64+'Chino Hills Total'!D64:E64+'MVWD Total '!D64:E64+'Upland Total'!D64:E64+'FWC Total'!D64:E64+'SAWC Total'!D64:E64+'CVWD Total'!D64:E64)</f>
        <v>248042.49000000002</v>
      </c>
      <c r="E69" s="1422"/>
      <c r="F69" s="1444">
        <f>SUM('Ontario Total'!F64:G64+'Chino Total'!F64:G64+'Chino Hills Total'!F64:G64+'MVWD Total '!F64:G64+'Upland Total'!F64:G64+'FWC Total'!F64:G64+'SAWC Total'!F64:G64+'CVWD Total'!F64:G64)</f>
        <v>0.76110000000000011</v>
      </c>
      <c r="G69" s="1422"/>
      <c r="H69" s="1123">
        <f>SUM('Ontario Total'!H64+'Chino Total'!H64+'Chino Hills Total'!H64+'MVWD Total '!H64+'Upland Total'!H64+'FWC Total'!H64+'SAWC Total'!H64+'CVWD Total'!H64)</f>
        <v>7.6110000000000007</v>
      </c>
      <c r="I69" s="1123">
        <f>SUM('Ontario Total'!I64+'Chino Total'!I64+'Chino Hills Total'!I64+'MVWD Total '!I64+'Upland Total'!I64+'FWC Total'!I64+'SAWC Total'!I64+'CVWD Total'!I64)</f>
        <v>0</v>
      </c>
      <c r="J69" s="1284">
        <f>SUM('Ontario Total'!J64+'Chino Total'!J64+'Chino Hills Total'!J64+'MVWD Total '!J64+'Upland Total'!J64+'FWC Total'!J64+'SAWC Total'!J64+'CVWD Total'!J64)</f>
        <v>885</v>
      </c>
      <c r="K69" s="1284">
        <f>SUM('Ontario Total'!K64+'Chino Total'!K64+'Chino Hills Total'!K64+'MVWD Total '!K64+'Upland Total'!K64+'FWC Total'!K64+'SAWC Total'!K64+'CVWD Total'!K64)</f>
        <v>2065</v>
      </c>
      <c r="L69" s="1284">
        <f>SUM('Ontario Total'!L64+'Chino Total'!L64+'Chino Hills Total'!L64+'MVWD Total '!L64+'Upland Total'!L64+'FWC Total'!L64+'SAWC Total'!L64+'CVWD Total'!L64)</f>
        <v>2950</v>
      </c>
      <c r="M69" s="1427">
        <f>SUM('Ontario Total'!M64+'Chino Total'!M64+'Chino Hills Total'!M64+'MVWD Total '!M64+'Upland Total'!M64+'FWC Total'!M64+'SAWC Total'!M64+'CVWD Total'!M64)</f>
        <v>24.255125107935307</v>
      </c>
      <c r="N69" s="1428">
        <f>SUM('Ontario Total'!N64+'Chino Total'!N64+'Chino Hills Total'!N64+'MVWD Total '!N64+'Upland Total'!N64+'FWC Total'!N64+'SAWC Total'!N64+'CVWD Total'!N64)</f>
        <v>0</v>
      </c>
    </row>
    <row r="70" spans="1:15">
      <c r="A70" s="76" t="s">
        <v>407</v>
      </c>
      <c r="B70" s="1444">
        <f>SUM('Ontario Total'!B65:C65+'Chino Total'!B65:C65+'Chino Hills Total'!B65:C65+'MVWD Total '!B65:C65+'Upland Total'!B65:C65+'FWC Total'!B65:C65+'SAWC Total'!B65:C65+'CVWD Total'!B65:C65)</f>
        <v>1</v>
      </c>
      <c r="C70" s="1422"/>
      <c r="D70" s="1444">
        <f>SUM('Ontario Total'!D65:E65+'Chino Total'!D65:E65+'Chino Hills Total'!D65:E65+'MVWD Total '!D65:E65+'Upland Total'!D65:E65+'FWC Total'!D65:E65+'SAWC Total'!D65:E65+'CVWD Total'!D65:E65)</f>
        <v>0</v>
      </c>
      <c r="E70" s="1422"/>
      <c r="F70" s="1444">
        <f>SUM('Ontario Total'!F65:G65+'Chino Total'!F65:G65+'Chino Hills Total'!F65:G65+'MVWD Total '!F65:G65+'Upland Total'!F65:G65+'FWC Total'!F65:G65+'SAWC Total'!F65:G65+'CVWD Total'!F65:G65)</f>
        <v>0</v>
      </c>
      <c r="G70" s="1422"/>
      <c r="H70" s="1123">
        <f>SUM('Ontario Total'!H65+'Chino Total'!H65+'Chino Hills Total'!H65+'MVWD Total '!H65+'Upland Total'!H65+'FWC Total'!H65+'SAWC Total'!H65+'CVWD Total'!H65)</f>
        <v>0</v>
      </c>
      <c r="I70" s="1123">
        <f>SUM('Ontario Total'!I65+'Chino Total'!I65+'Chino Hills Total'!I65+'MVWD Total '!I65+'Upland Total'!I65+'FWC Total'!I65+'SAWC Total'!I65+'CVWD Total'!I65)</f>
        <v>0</v>
      </c>
      <c r="J70" s="1284">
        <f>SUM('Ontario Total'!J65+'Chino Total'!J65+'Chino Hills Total'!J65+'MVWD Total '!J65+'Upland Total'!J65+'FWC Total'!J65+'SAWC Total'!J65+'CVWD Total'!J65)</f>
        <v>3</v>
      </c>
      <c r="K70" s="1284">
        <f>SUM('Ontario Total'!K65+'Chino Total'!K65+'Chino Hills Total'!K65+'MVWD Total '!K65+'Upland Total'!K65+'FWC Total'!K65+'SAWC Total'!K65+'CVWD Total'!K65)</f>
        <v>2</v>
      </c>
      <c r="L70" s="1284">
        <f>SUM('Ontario Total'!L65+'Chino Total'!L65+'Chino Hills Total'!L65+'MVWD Total '!L65+'Upland Total'!L65+'FWC Total'!L65+'SAWC Total'!L65+'CVWD Total'!L65)</f>
        <v>5</v>
      </c>
      <c r="M70" s="1427">
        <f>SUM('Ontario Total'!M65+'Chino Total'!M65+'Chino Hills Total'!M65+'MVWD Total '!M65+'Upland Total'!M65+'FWC Total'!M65+'SAWC Total'!M65+'CVWD Total'!M65)</f>
        <v>0</v>
      </c>
      <c r="N70" s="1428">
        <f>SUM('Ontario Total'!N65+'Chino Total'!N65+'Chino Hills Total'!N65+'MVWD Total '!N65+'Upland Total'!N65+'FWC Total'!N65+'SAWC Total'!N65+'CVWD Total'!N65)</f>
        <v>0</v>
      </c>
    </row>
    <row r="71" spans="1:15" ht="12.75" customHeight="1">
      <c r="A71" s="76" t="s">
        <v>122</v>
      </c>
      <c r="B71" s="1444">
        <f>SUM('Ontario Total'!B66:C66+'Chino Total'!B66:C66+'Chino Hills Total'!B66:C66+'MVWD Total '!B66:C66+'Upland Total'!B66:C66+'FWC Total'!B66:C66+'SAWC Total'!B66:C66+'CVWD Total'!B66:C66)</f>
        <v>0</v>
      </c>
      <c r="C71" s="1422"/>
      <c r="D71" s="1444">
        <f>SUM('Ontario Total'!D66:E66+'Chino Total'!D66:E66+'Chino Hills Total'!D66:E66+'MVWD Total '!D66:E66+'Upland Total'!D66:E66+'FWC Total'!D66:E66+'SAWC Total'!D66:E66+'CVWD Total'!D66:E66)</f>
        <v>0</v>
      </c>
      <c r="E71" s="1422"/>
      <c r="F71" s="1444">
        <f>SUM('Ontario Total'!F66:G66+'Chino Total'!F66:G66+'Chino Hills Total'!F66:G66+'MVWD Total '!F66:G66+'Upland Total'!F66:G66+'FWC Total'!F66:G66+'SAWC Total'!F66:G66+'CVWD Total'!F66:G66)</f>
        <v>0</v>
      </c>
      <c r="G71" s="1422"/>
      <c r="H71" s="1123">
        <f>SUM('Ontario Total'!H66+'Chino Total'!H66+'Chino Hills Total'!H66+'MVWD Total '!H66+'Upland Total'!H66+'FWC Total'!H66+'SAWC Total'!H66+'CVWD Total'!H66)</f>
        <v>0</v>
      </c>
      <c r="I71" s="1123">
        <f>SUM('Ontario Total'!I66+'Chino Total'!I66+'Chino Hills Total'!I66+'MVWD Total '!I66+'Upland Total'!I66+'FWC Total'!I66+'SAWC Total'!I66+'CVWD Total'!I66)</f>
        <v>0</v>
      </c>
      <c r="J71" s="1284">
        <f>SUM('Ontario Total'!J66+'Chino Total'!J66+'Chino Hills Total'!J66+'MVWD Total '!J66+'Upland Total'!J66+'FWC Total'!J66+'SAWC Total'!J66+'CVWD Total'!J66)</f>
        <v>0</v>
      </c>
      <c r="K71" s="1284">
        <f>SUM('Ontario Total'!K66+'Chino Total'!K66+'Chino Hills Total'!K66+'MVWD Total '!K66+'Upland Total'!K66+'FWC Total'!K66+'SAWC Total'!K66+'CVWD Total'!K66)</f>
        <v>0</v>
      </c>
      <c r="L71" s="1284">
        <f>SUM('Ontario Total'!L66+'Chino Total'!L66+'Chino Hills Total'!L66+'MVWD Total '!L66+'Upland Total'!L66+'FWC Total'!L66+'SAWC Total'!L66+'CVWD Total'!L66)</f>
        <v>0</v>
      </c>
      <c r="M71" s="1427">
        <f>SUM('Ontario Total'!M66+'Chino Total'!M66+'Chino Hills Total'!M66+'MVWD Total '!M66+'Upland Total'!M66+'FWC Total'!M66+'SAWC Total'!M66+'CVWD Total'!M66)</f>
        <v>0</v>
      </c>
      <c r="N71" s="1428">
        <f>SUM('Ontario Total'!N66+'Chino Total'!N66+'Chino Hills Total'!N66+'MVWD Total '!N66+'Upland Total'!N66+'FWC Total'!N66+'SAWC Total'!N66+'CVWD Total'!N66)</f>
        <v>0</v>
      </c>
    </row>
    <row r="72" spans="1:15">
      <c r="A72" s="78" t="s">
        <v>184</v>
      </c>
      <c r="B72" s="1444">
        <f>SUM('Ontario Total'!B67:C67+'Chino Total'!B67:C67+'Chino Hills Total'!B67:C67+'MVWD Total '!B67:C67+'Upland Total'!B67:C67+'FWC Total'!B67:C67+'SAWC Total'!B67:C67+'CVWD Total'!B67:C67)</f>
        <v>0</v>
      </c>
      <c r="C72" s="1422"/>
      <c r="D72" s="1444">
        <f>SUM('Ontario Total'!D67:E67+'Chino Total'!D67:E67+'Chino Hills Total'!D67:E67+'MVWD Total '!D67:E67+'Upland Total'!D67:E67+'FWC Total'!D67:E67+'SAWC Total'!D67:E67+'CVWD Total'!D67:E67)</f>
        <v>0</v>
      </c>
      <c r="E72" s="1422"/>
      <c r="F72" s="1444">
        <f>SUM('Ontario Total'!F67:G67+'Chino Total'!F67:G67+'Chino Hills Total'!F67:G67+'MVWD Total '!F67:G67+'Upland Total'!F67:G67+'FWC Total'!F67:G67+'SAWC Total'!F67:G67+'CVWD Total'!F67:G67)</f>
        <v>0</v>
      </c>
      <c r="G72" s="1422"/>
      <c r="H72" s="1123">
        <f>SUM('Ontario Total'!H67+'Chino Total'!H67+'Chino Hills Total'!H67+'MVWD Total '!H67+'Upland Total'!H67+'FWC Total'!H67+'SAWC Total'!H67+'CVWD Total'!H67)</f>
        <v>0</v>
      </c>
      <c r="I72" s="1123">
        <f>SUM('Ontario Total'!I67+'Chino Total'!I67+'Chino Hills Total'!I67+'MVWD Total '!I67+'Upland Total'!I67+'FWC Total'!I67+'SAWC Total'!I67+'CVWD Total'!I67)</f>
        <v>0</v>
      </c>
      <c r="J72" s="1284">
        <f>SUM('Ontario Total'!J67+'Chino Total'!J67+'Chino Hills Total'!J67+'MVWD Total '!J67+'Upland Total'!J67+'FWC Total'!J67+'SAWC Total'!J67+'CVWD Total'!J67)</f>
        <v>0</v>
      </c>
      <c r="K72" s="1284">
        <f>SUM('Ontario Total'!K67+'Chino Total'!K67+'Chino Hills Total'!K67+'MVWD Total '!K67+'Upland Total'!K67+'FWC Total'!K67+'SAWC Total'!K67+'CVWD Total'!K67)</f>
        <v>0</v>
      </c>
      <c r="L72" s="1284">
        <f>SUM('Ontario Total'!L67+'Chino Total'!L67+'Chino Hills Total'!L67+'MVWD Total '!L67+'Upland Total'!L67+'FWC Total'!L67+'SAWC Total'!L67+'CVWD Total'!L67)</f>
        <v>0</v>
      </c>
      <c r="M72" s="1427">
        <f>SUM('Ontario Total'!M67+'Chino Total'!M67+'Chino Hills Total'!M67+'MVWD Total '!M67+'Upland Total'!M67+'FWC Total'!M67+'SAWC Total'!M67+'CVWD Total'!M67)</f>
        <v>0</v>
      </c>
      <c r="N72" s="1428">
        <f>SUM('Ontario Total'!N67+'Chino Total'!N67+'Chino Hills Total'!N67+'MVWD Total '!N67+'Upland Total'!N67+'FWC Total'!N67+'SAWC Total'!N67+'CVWD Total'!N67)</f>
        <v>0</v>
      </c>
    </row>
    <row r="73" spans="1:15" s="57" customFormat="1">
      <c r="A73" s="107" t="s">
        <v>187</v>
      </c>
      <c r="B73" s="1444">
        <f>SUM('Ontario Total'!B68:C68+'Chino Total'!B68:C68+'Chino Hills Total'!B68:C68+'MVWD Total '!B68:C68+'Upland Total'!B68:C68+'FWC Total'!B68:C68+'SAWC Total'!B68:C68+'CVWD Total'!B68:C68)</f>
        <v>0</v>
      </c>
      <c r="C73" s="1422"/>
      <c r="D73" s="1444">
        <f>SUM('Ontario Total'!D68:E68+'Chino Total'!D68:E68+'Chino Hills Total'!D68:E68+'MVWD Total '!D68:E68+'Upland Total'!D68:E68+'FWC Total'!D68:E68+'SAWC Total'!D68:E68+'CVWD Total'!D68:E68)</f>
        <v>0</v>
      </c>
      <c r="E73" s="1422"/>
      <c r="F73" s="1444">
        <f>SUM('Ontario Total'!F68:G68+'Chino Total'!F68:G68+'Chino Hills Total'!F68:G68+'MVWD Total '!F68:G68+'Upland Total'!F68:G68+'FWC Total'!F68:G68+'SAWC Total'!F68:G68+'CVWD Total'!F68:G68)</f>
        <v>0</v>
      </c>
      <c r="G73" s="1422"/>
      <c r="H73" s="1123">
        <f>SUM('Ontario Total'!H68+'Chino Total'!H68+'Chino Hills Total'!H68+'MVWD Total '!H68+'Upland Total'!H68+'FWC Total'!H68+'SAWC Total'!H68+'CVWD Total'!H68)</f>
        <v>0</v>
      </c>
      <c r="I73" s="1123">
        <f>SUM('Ontario Total'!I68+'Chino Total'!I68+'Chino Hills Total'!I68+'MVWD Total '!I68+'Upland Total'!I68+'FWC Total'!I68+'SAWC Total'!I68+'CVWD Total'!I68)</f>
        <v>0</v>
      </c>
      <c r="J73" s="1284">
        <f>SUM('Ontario Total'!J68+'Chino Total'!J68+'Chino Hills Total'!J68+'MVWD Total '!J68+'Upland Total'!J68+'FWC Total'!J68+'SAWC Total'!J68+'CVWD Total'!J68)</f>
        <v>0</v>
      </c>
      <c r="K73" s="1284">
        <f>SUM('Ontario Total'!K68+'Chino Total'!K68+'Chino Hills Total'!K68+'MVWD Total '!K68+'Upland Total'!K68+'FWC Total'!K68+'SAWC Total'!K68+'CVWD Total'!K68)</f>
        <v>0</v>
      </c>
      <c r="L73" s="1284">
        <f>SUM('Ontario Total'!L68+'Chino Total'!L68+'Chino Hills Total'!L68+'MVWD Total '!L68+'Upland Total'!L68+'FWC Total'!L68+'SAWC Total'!L68+'CVWD Total'!L68)</f>
        <v>0</v>
      </c>
      <c r="M73" s="1427">
        <f>SUM('Ontario Total'!M68+'Chino Total'!M68+'Chino Hills Total'!M68+'MVWD Total '!M68+'Upland Total'!M68+'FWC Total'!M68+'SAWC Total'!M68+'CVWD Total'!M68)</f>
        <v>0</v>
      </c>
      <c r="N73" s="1428">
        <f>SUM('Ontario Total'!N68+'Chino Total'!N68+'Chino Hills Total'!N68+'MVWD Total '!N68+'Upland Total'!N68+'FWC Total'!N68+'SAWC Total'!N68+'CVWD Total'!N68)</f>
        <v>0</v>
      </c>
      <c r="O73" s="121"/>
    </row>
    <row r="74" spans="1:15" s="57" customFormat="1">
      <c r="A74" s="107" t="s">
        <v>188</v>
      </c>
      <c r="B74" s="1444">
        <f>SUM('Ontario Total'!B69:C69+'Chino Total'!B69:C69+'Chino Hills Total'!B69:C69+'MVWD Total '!B69:C69+'Upland Total'!B69:C69+'FWC Total'!B69:C69+'SAWC Total'!B69:C69+'CVWD Total'!B69:C69)</f>
        <v>0</v>
      </c>
      <c r="C74" s="1422"/>
      <c r="D74" s="1444">
        <f>SUM('Ontario Total'!D69:E69+'Chino Total'!D69:E69+'Chino Hills Total'!D69:E69+'MVWD Total '!D69:E69+'Upland Total'!D69:E69+'FWC Total'!D69:E69+'SAWC Total'!D69:E69+'CVWD Total'!D69:E69)</f>
        <v>0</v>
      </c>
      <c r="E74" s="1422"/>
      <c r="F74" s="1444">
        <f>SUM('Ontario Total'!F69:G69+'Chino Total'!F69:G69+'Chino Hills Total'!F69:G69+'MVWD Total '!F69:G69+'Upland Total'!F69:G69+'FWC Total'!F69:G69+'SAWC Total'!F69:G69+'CVWD Total'!F69:G69)</f>
        <v>0</v>
      </c>
      <c r="G74" s="1422"/>
      <c r="H74" s="1123">
        <f>SUM('Ontario Total'!H69+'Chino Total'!H69+'Chino Hills Total'!H69+'MVWD Total '!H69+'Upland Total'!H69+'FWC Total'!H69+'SAWC Total'!H69+'CVWD Total'!H69)</f>
        <v>0</v>
      </c>
      <c r="I74" s="1123">
        <f>SUM('Ontario Total'!I69+'Chino Total'!I69+'Chino Hills Total'!I69+'MVWD Total '!I69+'Upland Total'!I69+'FWC Total'!I69+'SAWC Total'!I69+'CVWD Total'!I69)</f>
        <v>0</v>
      </c>
      <c r="J74" s="1284">
        <f>SUM('Ontario Total'!J69+'Chino Total'!J69+'Chino Hills Total'!J69+'MVWD Total '!J69+'Upland Total'!J69+'FWC Total'!J69+'SAWC Total'!J69+'CVWD Total'!J69)</f>
        <v>0</v>
      </c>
      <c r="K74" s="1284">
        <f>SUM('Ontario Total'!K69+'Chino Total'!K69+'Chino Hills Total'!K69+'MVWD Total '!K69+'Upland Total'!K69+'FWC Total'!K69+'SAWC Total'!K69+'CVWD Total'!K69)</f>
        <v>0</v>
      </c>
      <c r="L74" s="1284">
        <f>SUM('Ontario Total'!L69+'Chino Total'!L69+'Chino Hills Total'!L69+'MVWD Total '!L69+'Upland Total'!L69+'FWC Total'!L69+'SAWC Total'!L69+'CVWD Total'!L69)</f>
        <v>0</v>
      </c>
      <c r="M74" s="1427">
        <f>SUM('Ontario Total'!M69+'Chino Total'!M69+'Chino Hills Total'!M69+'MVWD Total '!M69+'Upland Total'!M69+'FWC Total'!M69+'SAWC Total'!M69+'CVWD Total'!M69)</f>
        <v>0</v>
      </c>
      <c r="N74" s="1428">
        <f>SUM('Ontario Total'!N69+'Chino Total'!N69+'Chino Hills Total'!N69+'MVWD Total '!N69+'Upland Total'!N69+'FWC Total'!N69+'SAWC Total'!N69+'CVWD Total'!N69)</f>
        <v>0</v>
      </c>
      <c r="O74" s="121"/>
    </row>
    <row r="75" spans="1:15" s="57" customFormat="1">
      <c r="A75" s="76" t="s">
        <v>433</v>
      </c>
      <c r="B75" s="1444">
        <f>SUM('Ontario Total'!B70:C70+'Chino Total'!B70:C70+'Chino Hills Total'!B70:C70+'MVWD Total '!B70:C70+'Upland Total'!B70:C70+'FWC Total'!B70:C70+'SAWC Total'!B70:C70+'CVWD Total'!B70:C70)</f>
        <v>5</v>
      </c>
      <c r="C75" s="1422"/>
      <c r="D75" s="1444">
        <f>SUM('Ontario Total'!D70:E70+'Chino Total'!D70:E70+'Chino Hills Total'!D70:E70+'MVWD Total '!D70:E70+'Upland Total'!D70:E70+'FWC Total'!D70:E70+'SAWC Total'!D70:E70+'CVWD Total'!D70:E70)</f>
        <v>847795.02157999994</v>
      </c>
      <c r="E75" s="1422"/>
      <c r="F75" s="1444">
        <f>SUM('Ontario Total'!F70:G70+'Chino Total'!F70:G70+'Chino Hills Total'!F70:G70+'MVWD Total '!F70:G70+'Upland Total'!F70:G70+'FWC Total'!F70:G70+'SAWC Total'!F70:G70+'CVWD Total'!F70:G70)</f>
        <v>2.6013961999999999</v>
      </c>
      <c r="G75" s="1422"/>
      <c r="H75" s="1123">
        <f>SUM('Ontario Total'!H70+'Chino Total'!H70+'Chino Hills Total'!H70+'MVWD Total '!H70+'Upland Total'!H70+'FWC Total'!H70+'SAWC Total'!H70+'CVWD Total'!H70)</f>
        <v>26.013961999999999</v>
      </c>
      <c r="I75" s="1123">
        <f>SUM('Ontario Total'!I70+'Chino Total'!I70+'Chino Hills Total'!I70+'MVWD Total '!I70+'Upland Total'!I70+'FWC Total'!I70+'SAWC Total'!I70+'CVWD Total'!I70)</f>
        <v>0</v>
      </c>
      <c r="J75" s="1284">
        <f>SUM('Ontario Total'!J70+'Chino Total'!J70+'Chino Hills Total'!J70+'MVWD Total '!J70+'Upland Total'!J70+'FWC Total'!J70+'SAWC Total'!J70+'CVWD Total'!J70)</f>
        <v>18275</v>
      </c>
      <c r="K75" s="1284">
        <f>SUM('Ontario Total'!K70+'Chino Total'!K70+'Chino Hills Total'!K70+'MVWD Total '!K70+'Upland Total'!K70+'FWC Total'!K70+'SAWC Total'!K70+'CVWD Total'!K70)</f>
        <v>39602</v>
      </c>
      <c r="L75" s="1284">
        <f>SUM('Ontario Total'!L70+'Chino Total'!L70+'Chino Hills Total'!L70+'MVWD Total '!L70+'Upland Total'!L70+'FWC Total'!L70+'SAWC Total'!L70+'CVWD Total'!L70)</f>
        <v>57877</v>
      </c>
      <c r="M75" s="1427">
        <f>SUM('Ontario Total'!M70+'Chino Total'!M70+'Chino Hills Total'!M70+'MVWD Total '!M70+'Upland Total'!M70+'FWC Total'!M70+'SAWC Total'!M70+'CVWD Total'!M70)</f>
        <v>56.308197754245214</v>
      </c>
      <c r="N75" s="1428">
        <f>SUM('Ontario Total'!N70+'Chino Total'!N70+'Chino Hills Total'!N70+'MVWD Total '!N70+'Upland Total'!N70+'FWC Total'!N70+'SAWC Total'!N70+'CVWD Total'!N70)</f>
        <v>0</v>
      </c>
      <c r="O75" s="121"/>
    </row>
    <row r="76" spans="1:15" s="57" customFormat="1">
      <c r="A76" s="107" t="s">
        <v>269</v>
      </c>
      <c r="B76" s="1444">
        <f>SUM('Ontario Total'!B71:C71+'Chino Total'!B71:C71+'Chino Hills Total'!B71:C71+'MVWD Total '!B71:C71+'Upland Total'!B71:C71+'FWC Total'!B71:C71+'SAWC Total'!B71:C71+'CVWD Total'!B71:C71)</f>
        <v>0</v>
      </c>
      <c r="C76" s="1422"/>
      <c r="D76" s="1444">
        <f>SUM('Ontario Total'!D71:E71+'Chino Total'!D71:E71+'Chino Hills Total'!D71:E71+'MVWD Total '!D71:E71+'Upland Total'!D71:E71+'FWC Total'!D71:E71+'SAWC Total'!D71:E71+'CVWD Total'!D71:E71)</f>
        <v>0</v>
      </c>
      <c r="E76" s="1422"/>
      <c r="F76" s="1444">
        <f>SUM('Ontario Total'!F71:G71+'Chino Total'!F71:G71+'Chino Hills Total'!F71:G71+'MVWD Total '!F71:G71+'Upland Total'!F71:G71+'FWC Total'!F71:G71+'SAWC Total'!F71:G71+'CVWD Total'!F71:G71)</f>
        <v>0</v>
      </c>
      <c r="G76" s="1422"/>
      <c r="H76" s="1123">
        <f>SUM('Ontario Total'!H71+'Chino Total'!H71+'Chino Hills Total'!H71+'MVWD Total '!H71+'Upland Total'!H71+'FWC Total'!H71+'SAWC Total'!H71+'CVWD Total'!H71)</f>
        <v>0</v>
      </c>
      <c r="I76" s="1123">
        <f>SUM('Ontario Total'!I71+'Chino Total'!I71+'Chino Hills Total'!I71+'MVWD Total '!I71+'Upland Total'!I71+'FWC Total'!I71+'SAWC Total'!I71+'CVWD Total'!I71)</f>
        <v>0</v>
      </c>
      <c r="J76" s="1284">
        <f>SUM('Ontario Total'!J71+'Chino Total'!J71+'Chino Hills Total'!J71+'MVWD Total '!J71+'Upland Total'!J71+'FWC Total'!J71+'SAWC Total'!J71+'CVWD Total'!J71)</f>
        <v>0</v>
      </c>
      <c r="K76" s="1284">
        <f>SUM('Ontario Total'!K71+'Chino Total'!K71+'Chino Hills Total'!K71+'MVWD Total '!K71+'Upland Total'!K71+'FWC Total'!K71+'SAWC Total'!K71+'CVWD Total'!K71)</f>
        <v>0</v>
      </c>
      <c r="L76" s="1284">
        <f>SUM('Ontario Total'!L71+'Chino Total'!L71+'Chino Hills Total'!L71+'MVWD Total '!L71+'Upland Total'!L71+'FWC Total'!L71+'SAWC Total'!L71+'CVWD Total'!L71)</f>
        <v>0</v>
      </c>
      <c r="M76" s="1427">
        <f>SUM('Ontario Total'!M71+'Chino Total'!M71+'Chino Hills Total'!M71+'MVWD Total '!M71+'Upland Total'!M71+'FWC Total'!M71+'SAWC Total'!M71+'CVWD Total'!M71)</f>
        <v>0</v>
      </c>
      <c r="N76" s="1428">
        <f>SUM('Ontario Total'!N71+'Chino Total'!N71+'Chino Hills Total'!N71+'MVWD Total '!N71+'Upland Total'!N71+'FWC Total'!N71+'SAWC Total'!N71+'CVWD Total'!N71)</f>
        <v>0</v>
      </c>
      <c r="O76" s="121"/>
    </row>
    <row r="77" spans="1:15" s="57" customFormat="1" ht="14" thickBot="1">
      <c r="A77" s="493" t="s">
        <v>268</v>
      </c>
      <c r="B77" s="1444">
        <f>SUM('Ontario Total'!B72:C72+'Chino Total'!B72:C72+'Chino Hills Total'!B72:C72+'MVWD Total '!B72:C72+'Upland Total'!B72:C72+'FWC Total'!B72:C72+'SAWC Total'!B72:C72+'CVWD Total'!B72:C72)</f>
        <v>547</v>
      </c>
      <c r="C77" s="1422"/>
      <c r="D77" s="1444">
        <f>SUM('Ontario Total'!D72:E72+'Chino Total'!D72:E72+'Chino Hills Total'!D72:E72+'MVWD Total '!D72:E72+'Upland Total'!D72:E72+'FWC Total'!D72:E72+'SAWC Total'!D72:E72+'CVWD Total'!D72:E72)</f>
        <v>748722.65999999992</v>
      </c>
      <c r="E77" s="1422"/>
      <c r="F77" s="1444">
        <f>SUM('Ontario Total'!F72:G72+'Chino Total'!F72:G72+'Chino Hills Total'!F72:G72+'MVWD Total '!F72:G72+'Upland Total'!F72:G72+'FWC Total'!F72:G72+'SAWC Total'!F72:G72+'CVWD Total'!F72:G72)</f>
        <v>2.2973999999999997</v>
      </c>
      <c r="G77" s="1422"/>
      <c r="H77" s="1123">
        <f>SUM('Ontario Total'!H72+'Chino Total'!H72+'Chino Hills Total'!H72+'MVWD Total '!H72+'Upland Total'!H72+'FWC Total'!H72+'SAWC Total'!H72+'CVWD Total'!H72)</f>
        <v>22.973999999999997</v>
      </c>
      <c r="I77" s="1123">
        <f>SUM('Ontario Total'!I72+'Chino Total'!I72+'Chino Hills Total'!I72+'MVWD Total '!I72+'Upland Total'!I72+'FWC Total'!I72+'SAWC Total'!I72+'CVWD Total'!I72)</f>
        <v>0</v>
      </c>
      <c r="J77" s="1284">
        <f>SUM('Ontario Total'!J72+'Chino Total'!J72+'Chino Hills Total'!J72+'MVWD Total '!J72+'Upland Total'!J72+'FWC Total'!J72+'SAWC Total'!J72+'CVWD Total'!J72)</f>
        <v>2735</v>
      </c>
      <c r="K77" s="1284">
        <f>SUM('Ontario Total'!K72+'Chino Total'!K72+'Chino Hills Total'!K72+'MVWD Total '!K72+'Upland Total'!K72+'FWC Total'!K72+'SAWC Total'!K72+'CVWD Total'!K72)</f>
        <v>2735</v>
      </c>
      <c r="L77" s="1284">
        <f>SUM('Ontario Total'!L72+'Chino Total'!L72+'Chino Hills Total'!L72+'MVWD Total '!L72+'Upland Total'!L72+'FWC Total'!L72+'SAWC Total'!L72+'CVWD Total'!L72)</f>
        <v>5470</v>
      </c>
      <c r="M77" s="1880">
        <f>SUM('Ontario Total'!M72+'Chino Total'!M72+'Chino Hills Total'!M72+'MVWD Total '!M72+'Upland Total'!M72+'FWC Total'!M72+'SAWC Total'!M72+'CVWD Total'!M72)</f>
        <v>2.9799153704034809</v>
      </c>
      <c r="N77" s="1881">
        <f>SUM('Ontario Total'!N72+'Chino Total'!N72+'Chino Hills Total'!N72+'MVWD Total '!N72+'Upland Total'!N72+'FWC Total'!N72+'SAWC Total'!N72+'CVWD Total'!N72)</f>
        <v>0</v>
      </c>
      <c r="O77" s="121"/>
    </row>
    <row r="78" spans="1:15" s="91" customFormat="1" ht="17" hidden="1" thickBot="1">
      <c r="A78" s="1047" t="s">
        <v>192</v>
      </c>
      <c r="B78" s="2194"/>
      <c r="C78" s="2195"/>
      <c r="D78" s="2194"/>
      <c r="E78" s="2195"/>
      <c r="F78" s="2194"/>
      <c r="G78" s="2195"/>
      <c r="H78" s="1048"/>
      <c r="I78" s="1048"/>
      <c r="J78" s="1048"/>
      <c r="K78" s="1133"/>
      <c r="L78" s="1133"/>
      <c r="M78" s="2196"/>
      <c r="N78" s="2197"/>
      <c r="O78" s="274"/>
    </row>
    <row r="79" spans="1:15" ht="14" hidden="1" thickBot="1">
      <c r="A79" s="76" t="s">
        <v>193</v>
      </c>
      <c r="B79" s="1444">
        <f>SUM('Ontario Total'!B74:C74+'Chino Total'!B74:C74+'Chino Hills Total'!B74:C74+'MVWD Total '!B74:C74+'Upland Total'!B74:C74+'FWC Total'!B74:C74+'SAWC Total'!B74:C74+'CVWD Total'!B74:C74)</f>
        <v>0</v>
      </c>
      <c r="C79" s="1422"/>
      <c r="D79" s="1444">
        <f>SUM('Ontario Total'!D74:E74+'Chino Total'!D74:E74+'Chino Hills Total'!D74:E74+'MVWD Total '!D74:E74+'Upland Total'!D74:E74+'FWC Total'!D74:E74+'SAWC Total'!D74:E74+'CVWD Total'!D74:E74)</f>
        <v>0</v>
      </c>
      <c r="E79" s="1422"/>
      <c r="F79" s="1444">
        <f>SUM('Ontario Total'!F74:G74+'Chino Total'!F74:G74+'Chino Hills Total'!F74:G74+'MVWD Total '!F74:G74+'Upland Total'!F74:G74+'FWC Total'!F74:G74+'SAWC Total'!F74:G74+'CVWD Total'!F74:G74)</f>
        <v>0</v>
      </c>
      <c r="G79" s="1422"/>
      <c r="H79" s="1123">
        <f>SUM('Ontario Total'!H74+'Chino Total'!H74+'Chino Hills Total'!H74+'MVWD Total '!H74+'Upland Total'!H74+'FWC Total'!H74+'SAWC Total'!H74+'CVWD Total'!H74)</f>
        <v>0</v>
      </c>
      <c r="I79" s="1123">
        <f>SUM('Ontario Total'!I74+'Chino Total'!I74+'Chino Hills Total'!I74+'MVWD Total '!I74+'Upland Total'!I74+'FWC Total'!I74+'SAWC Total'!I74+'CVWD Total'!I74)</f>
        <v>0</v>
      </c>
      <c r="J79" s="1123">
        <f>SUM('Ontario Total'!J74+'Chino Total'!J74+'Chino Hills Total'!J74+'MVWD Total '!J74+'Upland Total'!J74+'FWC Total'!J74+'SAWC Total'!J74+'CVWD Total'!J74)</f>
        <v>21645</v>
      </c>
      <c r="K79" s="1123">
        <f>SUM('Ontario Total'!K74+'Chino Total'!K74+'Chino Hills Total'!K74+'MVWD Total '!K74+'Upland Total'!K74+'FWC Total'!K74+'SAWC Total'!K74+'CVWD Total'!K74)</f>
        <v>0</v>
      </c>
      <c r="L79" s="1123">
        <f>SUM('Ontario Total'!L74+'Chino Total'!L74+'Chino Hills Total'!L74+'MVWD Total '!L74+'Upland Total'!L74+'FWC Total'!L74+'SAWC Total'!L74+'CVWD Total'!L74)</f>
        <v>21645</v>
      </c>
      <c r="M79" s="1561">
        <f>SUM('Ontario Total'!M74+'Chino Total'!M74+'Chino Hills Total'!M74+'MVWD Total '!M74+'Upland Total'!M74+'FWC Total'!M74+'SAWC Total'!M74+'CVWD Total'!M74)</f>
        <v>0</v>
      </c>
      <c r="N79" s="1562">
        <f>SUM('Ontario Total'!N74+'Chino Total'!N74+'Chino Hills Total'!N74+'MVWD Total '!N74+'Upland Total'!N74+'FWC Total'!N74+'SAWC Total'!N74+'CVWD Total'!N74)</f>
        <v>0</v>
      </c>
    </row>
    <row r="80" spans="1:15" ht="14" thickBot="1">
      <c r="A80" s="53" t="s">
        <v>60</v>
      </c>
      <c r="B80" s="1438">
        <f>SUM(B66:B79)</f>
        <v>1120</v>
      </c>
      <c r="C80" s="1439"/>
      <c r="D80" s="1440">
        <f>D79+D77+D76+D75+D74+D73+D72+D71+D70+D69+D68+D67+D66</f>
        <v>6320992.2115800008</v>
      </c>
      <c r="E80" s="1439"/>
      <c r="F80" s="1441">
        <f>SUM(F66:G79)</f>
        <v>19.3954962</v>
      </c>
      <c r="G80" s="1439"/>
      <c r="H80" s="1119">
        <f>SUM(H66:H79)</f>
        <v>311.99096199999997</v>
      </c>
      <c r="I80" s="146">
        <f>SUM(I66:I79)</f>
        <v>0</v>
      </c>
      <c r="J80" s="146">
        <f>SUM(J66:J79)</f>
        <v>74653</v>
      </c>
      <c r="K80" s="146">
        <f>SUM(K66:K79)</f>
        <v>65894</v>
      </c>
      <c r="L80" s="146">
        <f>SUM(L66:L79)</f>
        <v>140547</v>
      </c>
      <c r="M80" s="1442"/>
      <c r="N80" s="1443"/>
    </row>
    <row r="81" spans="1:15" s="1161" customFormat="1" ht="17" thickBot="1">
      <c r="A81" s="1163" t="s">
        <v>17</v>
      </c>
      <c r="B81" s="1414">
        <f>SUM(,B64,B80)</f>
        <v>3535</v>
      </c>
      <c r="C81" s="1415"/>
      <c r="D81" s="1416">
        <f>SUM(D64,D80)</f>
        <v>56199157.953676008</v>
      </c>
      <c r="E81" s="1415"/>
      <c r="F81" s="1416">
        <f>SUM(,F64,F80)</f>
        <v>172.44450963999998</v>
      </c>
      <c r="G81" s="1415"/>
      <c r="H81" s="1164">
        <f>SUM(H64,H80)</f>
        <v>1766.2705964000002</v>
      </c>
      <c r="I81" s="1165">
        <f>SUM(,I64,I80)</f>
        <v>131442.67109999998</v>
      </c>
      <c r="J81" s="1165">
        <f>SUM(,J64,J80)</f>
        <v>451263.73479999998</v>
      </c>
      <c r="K81" s="1165">
        <f>SUM(,K64,K80)</f>
        <v>504524.6741</v>
      </c>
      <c r="L81" s="1165">
        <f>SUM(,L64,L80)</f>
        <v>1087231.08</v>
      </c>
      <c r="M81" s="1417"/>
      <c r="N81" s="1418"/>
      <c r="O81" s="274"/>
    </row>
    <row r="82" spans="1:15">
      <c r="A82" s="738"/>
      <c r="B82" s="1127"/>
      <c r="C82" s="1127"/>
      <c r="D82" s="1127"/>
      <c r="E82" s="1127"/>
      <c r="F82" s="1128"/>
      <c r="G82" s="1128"/>
      <c r="H82" s="1128"/>
      <c r="I82" s="21"/>
      <c r="J82" s="21"/>
      <c r="K82" s="21"/>
      <c r="L82" s="21"/>
      <c r="M82" s="1125"/>
      <c r="N82" s="1131"/>
    </row>
    <row r="83" spans="1:15" ht="15">
      <c r="A83" s="745" t="s">
        <v>18</v>
      </c>
      <c r="B83" s="1695" t="s">
        <v>59</v>
      </c>
      <c r="C83" s="1695"/>
      <c r="D83" s="1695"/>
      <c r="E83" s="1695"/>
      <c r="F83" s="1128"/>
      <c r="G83" s="1128"/>
      <c r="H83" s="1128"/>
      <c r="I83" s="21"/>
      <c r="J83" s="21"/>
      <c r="K83" s="21"/>
      <c r="L83" s="21"/>
      <c r="M83" s="1125"/>
      <c r="N83" s="1125"/>
    </row>
    <row r="84" spans="1:15">
      <c r="A84" s="3"/>
      <c r="B84" s="1696" t="s">
        <v>19</v>
      </c>
      <c r="C84" s="1696"/>
      <c r="D84" s="1696"/>
      <c r="E84" s="1696"/>
      <c r="F84" s="1128"/>
      <c r="G84" s="1128"/>
      <c r="H84" s="1128"/>
      <c r="I84" s="21"/>
      <c r="J84" s="21"/>
      <c r="K84" s="21"/>
      <c r="L84" s="21"/>
      <c r="M84" s="1125"/>
      <c r="N84" s="1125"/>
    </row>
    <row r="85" spans="1:15" ht="14" thickBot="1">
      <c r="A85" s="737"/>
      <c r="B85" s="1129"/>
      <c r="C85" s="1129"/>
      <c r="D85" s="1129"/>
      <c r="E85" s="1129"/>
      <c r="F85" s="1128"/>
      <c r="G85" s="1128"/>
      <c r="H85" s="1128"/>
      <c r="I85" s="21"/>
      <c r="J85" s="21"/>
      <c r="K85" s="21"/>
      <c r="L85" s="21"/>
      <c r="M85" s="1125"/>
      <c r="N85" s="1129"/>
    </row>
    <row r="86" spans="1:15" s="1168" customFormat="1" ht="17" thickBot="1">
      <c r="A86" s="108" t="s">
        <v>333</v>
      </c>
      <c r="B86" s="2186"/>
      <c r="C86" s="1913"/>
      <c r="D86" s="1672"/>
      <c r="E86" s="1913"/>
      <c r="F86" s="1619"/>
      <c r="G86" s="1620"/>
      <c r="H86" s="1166"/>
      <c r="I86" s="1167"/>
      <c r="J86" s="1167"/>
      <c r="K86" s="1167"/>
      <c r="L86" s="1167"/>
      <c r="M86" s="2187"/>
      <c r="N86" s="2188"/>
      <c r="O86" s="121"/>
    </row>
    <row r="87" spans="1:15" s="121" customFormat="1" ht="14" thickBot="1">
      <c r="A87" s="84" t="s">
        <v>272</v>
      </c>
      <c r="B87" s="2189">
        <v>161</v>
      </c>
      <c r="C87" s="2190"/>
      <c r="D87" s="1843">
        <f>F87*325900</f>
        <v>36781074</v>
      </c>
      <c r="E87" s="1842"/>
      <c r="F87" s="2191">
        <v>112.86</v>
      </c>
      <c r="G87" s="2192"/>
      <c r="H87" s="1135">
        <f>F87*5</f>
        <v>564.29999999999995</v>
      </c>
      <c r="I87" s="336">
        <v>0</v>
      </c>
      <c r="J87" s="337">
        <v>7272</v>
      </c>
      <c r="K87" s="337">
        <v>15453</v>
      </c>
      <c r="L87" s="336">
        <f>I87+J87+K87</f>
        <v>22725</v>
      </c>
      <c r="M87" s="1880">
        <f>IF(ISERROR(L87/(F87*771)),0,L87/(F87*799))</f>
        <v>0.25200958933914602</v>
      </c>
      <c r="N87" s="1881"/>
    </row>
    <row r="88" spans="1:15" s="1168" customFormat="1" ht="17" thickBot="1">
      <c r="A88" s="1163" t="s">
        <v>172</v>
      </c>
      <c r="B88" s="1612">
        <f>B64+B80+B87</f>
        <v>3696</v>
      </c>
      <c r="C88" s="1415"/>
      <c r="D88" s="1416">
        <f>D64+D80+D87</f>
        <v>92980231.953676015</v>
      </c>
      <c r="E88" s="1415"/>
      <c r="F88" s="1416">
        <f>F64+F80+F87</f>
        <v>285.30450963999999</v>
      </c>
      <c r="G88" s="1415"/>
      <c r="H88" s="1164">
        <f>H64+H80+H87</f>
        <v>2330.5705963999999</v>
      </c>
      <c r="I88" s="1165">
        <f>I64+I80+I87</f>
        <v>131442.67109999998</v>
      </c>
      <c r="J88" s="1169">
        <f>J64+J80+J87</f>
        <v>458535.73479999998</v>
      </c>
      <c r="K88" s="1169">
        <f>K64+K80+K87</f>
        <v>519977.6741</v>
      </c>
      <c r="L88" s="1169">
        <f>L64+L80+L87</f>
        <v>1109956.08</v>
      </c>
      <c r="M88" s="2187"/>
      <c r="N88" s="2188"/>
      <c r="O88" s="121"/>
    </row>
    <row r="89" spans="1:15" ht="17" thickBot="1">
      <c r="A89" s="343"/>
      <c r="B89" s="340"/>
      <c r="C89" s="340"/>
      <c r="D89" s="340"/>
      <c r="E89" s="340"/>
      <c r="F89" s="340"/>
      <c r="G89" s="340"/>
      <c r="H89" s="340"/>
      <c r="I89" s="340"/>
      <c r="J89" s="340"/>
      <c r="K89" s="340"/>
      <c r="L89" s="340"/>
      <c r="M89" s="342"/>
      <c r="N89" s="342"/>
    </row>
    <row r="90" spans="1:15" ht="17" thickBot="1">
      <c r="A90" s="1137"/>
      <c r="B90" s="359"/>
      <c r="C90" s="359"/>
      <c r="D90" s="359"/>
      <c r="E90" s="359"/>
      <c r="F90" s="1138"/>
      <c r="G90" s="1138"/>
      <c r="H90" s="1138"/>
      <c r="I90" s="2199" t="s">
        <v>0</v>
      </c>
      <c r="J90" s="2199"/>
      <c r="K90" s="2199"/>
      <c r="L90" s="2199"/>
      <c r="M90" s="359"/>
      <c r="N90" s="1139"/>
    </row>
    <row r="91" spans="1:15" ht="16">
      <c r="A91" s="97"/>
      <c r="B91" s="1469" t="s">
        <v>1</v>
      </c>
      <c r="C91" s="1469"/>
      <c r="D91" s="1469" t="s">
        <v>2</v>
      </c>
      <c r="E91" s="1469"/>
      <c r="F91" s="1863" t="s">
        <v>3</v>
      </c>
      <c r="G91" s="1863"/>
      <c r="H91" s="1003" t="s">
        <v>3</v>
      </c>
      <c r="I91" s="1120" t="s">
        <v>195</v>
      </c>
      <c r="J91" s="102"/>
      <c r="K91" s="102"/>
      <c r="L91" s="1136"/>
      <c r="M91" s="1469" t="s">
        <v>4</v>
      </c>
      <c r="N91" s="1526"/>
    </row>
    <row r="92" spans="1:15" ht="19" thickBot="1">
      <c r="A92" s="103" t="s">
        <v>5</v>
      </c>
      <c r="B92" s="1469" t="s">
        <v>6</v>
      </c>
      <c r="C92" s="1469"/>
      <c r="D92" s="1473" t="s">
        <v>7</v>
      </c>
      <c r="E92" s="1473"/>
      <c r="F92" s="1864" t="s">
        <v>7</v>
      </c>
      <c r="G92" s="1864"/>
      <c r="H92" s="1006" t="s">
        <v>58</v>
      </c>
      <c r="I92" s="1007" t="s">
        <v>196</v>
      </c>
      <c r="J92" s="1005" t="s">
        <v>8</v>
      </c>
      <c r="K92" s="1005" t="s">
        <v>9</v>
      </c>
      <c r="L92" s="401" t="s">
        <v>10</v>
      </c>
      <c r="M92" s="1473" t="s">
        <v>145</v>
      </c>
      <c r="N92" s="1475"/>
    </row>
    <row r="93" spans="1:15" ht="24.75" customHeight="1" thickBot="1">
      <c r="A93" s="345" t="s">
        <v>351</v>
      </c>
      <c r="B93" s="1702"/>
      <c r="C93" s="1703"/>
      <c r="D93" s="2200"/>
      <c r="E93" s="2201"/>
      <c r="F93" s="2202"/>
      <c r="G93" s="2203"/>
      <c r="H93" s="432"/>
      <c r="I93" s="369"/>
      <c r="J93" s="369"/>
      <c r="K93" s="369"/>
      <c r="L93" s="370"/>
      <c r="M93" s="2204"/>
      <c r="N93" s="2205"/>
    </row>
    <row r="94" spans="1:15" s="1161" customFormat="1" ht="17" thickBot="1">
      <c r="A94" s="108" t="s">
        <v>189</v>
      </c>
      <c r="B94" s="1456"/>
      <c r="C94" s="1586"/>
      <c r="D94" s="1457"/>
      <c r="E94" s="1457"/>
      <c r="F94" s="1619"/>
      <c r="G94" s="1620"/>
      <c r="H94" s="1158"/>
      <c r="I94" s="109"/>
      <c r="J94" s="1141"/>
      <c r="K94" s="109"/>
      <c r="L94" s="1141"/>
      <c r="M94" s="1617"/>
      <c r="N94" s="1486"/>
      <c r="O94" s="274"/>
    </row>
    <row r="95" spans="1:15">
      <c r="A95" s="32" t="s">
        <v>29</v>
      </c>
      <c r="B95" s="1444">
        <f>'CVWD Total'!B86:C86+'SAWC Total'!B85:C85+'FWC Total'!B86:C86+'Upland Total'!B86:C86+'MVWD Total '!B86:C86+'Chino Hills Total'!B86:C86+'Chino Total'!B86:C86+'Ontario Total'!B86:C86</f>
        <v>705</v>
      </c>
      <c r="C95" s="1422"/>
      <c r="D95" s="1444">
        <f>'CVWD Total'!D86:E86+'SAWC Total'!D85:E85+'FWC Total'!D86:E86+'Upland Total'!D86:E86+'MVWD Total '!D86:E86+'Chino Hills Total'!D86:E86+'Chino Total'!D86:E86+'Ontario Total'!D86:E86</f>
        <v>5652083.7000000011</v>
      </c>
      <c r="E95" s="1422"/>
      <c r="F95" s="1444">
        <f>'CVWD Total'!F86:G86+'SAWC Total'!F85:G85+'FWC Total'!F86:G86+'Upland Total'!F86:G86+'MVWD Total '!F86:G86+'Chino Hills Total'!F86:G86+'Chino Total'!F86:G86+'Ontario Total'!F86:G86</f>
        <v>17.343</v>
      </c>
      <c r="G95" s="1422"/>
      <c r="H95" s="1014">
        <f>'CVWD Total'!H86+'SAWC Total'!H85+'FWC Total'!H86+'Upland Total'!H86+'MVWD Total '!H86+'Chino Hills Total'!H86+'Chino Total'!H86+'Ontario Total'!H86</f>
        <v>346.86</v>
      </c>
      <c r="I95" s="1014">
        <f>'CVWD Total'!I86+'SAWC Total'!I85+'FWC Total'!I86+'Upland Total'!I86+'MVWD Total '!I86+'Chino Hills Total'!I86+'Chino Total'!I86+'Ontario Total'!I86</f>
        <v>0</v>
      </c>
      <c r="J95" s="1014">
        <f>'CVWD Total'!J86+'SAWC Total'!J85+'FWC Total'!J86+'Upland Total'!J86+'MVWD Total '!J86+'Chino Hills Total'!J86+'Chino Total'!J86+'Ontario Total'!J86</f>
        <v>42300</v>
      </c>
      <c r="K95" s="1014">
        <f>'CVWD Total'!K86+'SAWC Total'!K85+'FWC Total'!K86+'Upland Total'!K86+'MVWD Total '!K86+'Chino Hills Total'!K86+'Chino Total'!K86+'Ontario Total'!K86</f>
        <v>28200</v>
      </c>
      <c r="L95" s="1014">
        <f>'CVWD Total'!L86+'SAWC Total'!L85+'FWC Total'!L86+'Upland Total'!L86+'MVWD Total '!L86+'Chino Hills Total'!L86+'Chino Total'!L86+'Ontario Total'!L86</f>
        <v>70500</v>
      </c>
      <c r="M95" s="1539">
        <f>IF(ISERROR(L95/(F95*771)),0,L95/(F95*771))</f>
        <v>5.2724262651186828</v>
      </c>
      <c r="N95" s="1540"/>
    </row>
    <row r="96" spans="1:15">
      <c r="A96" s="32" t="s">
        <v>33</v>
      </c>
      <c r="B96" s="1444">
        <f>'CVWD Total'!B87:C87+'SAWC Total'!B86:C86+'FWC Total'!B87:C87+'Upland Total'!B87:C87+'MVWD Total '!B87:C87+'Chino Hills Total'!B87:C87+'Chino Total'!B87:C87+'Ontario Total'!B87:C87</f>
        <v>923</v>
      </c>
      <c r="C96" s="1422"/>
      <c r="D96" s="1444">
        <f>'CVWD Total'!D87:E87+'SAWC Total'!D86:E86+'FWC Total'!D87:E87+'Upland Total'!D87:E87+'MVWD Total '!D87:E87+'Chino Hills Total'!D87:E87+'Chino Total'!D87:E87+'Ontario Total'!D87:E87</f>
        <v>10377796.65</v>
      </c>
      <c r="E96" s="1422"/>
      <c r="F96" s="1444">
        <f>'CVWD Total'!F87:G87+'SAWC Total'!F86:G86+'FWC Total'!F87:G87+'Upland Total'!F87:G87+'MVWD Total '!F87:G87+'Chino Hills Total'!F87:G87+'Chino Total'!F87:G87+'Ontario Total'!F87:G87</f>
        <v>31.843499999999999</v>
      </c>
      <c r="G96" s="1422"/>
      <c r="H96" s="1014">
        <f>'CVWD Total'!H87+'SAWC Total'!H86+'FWC Total'!H87+'Upland Total'!H87+'MVWD Total '!H87+'Chino Hills Total'!H87+'Chino Total'!H87+'Ontario Total'!H87</f>
        <v>445.80900000000008</v>
      </c>
      <c r="I96" s="1014">
        <f>'CVWD Total'!I87+'SAWC Total'!I86+'FWC Total'!I87+'Upland Total'!I87+'MVWD Total '!I87+'Chino Hills Total'!I87+'Chino Total'!I87+'Ontario Total'!I87</f>
        <v>0</v>
      </c>
      <c r="J96" s="1014">
        <f>'CVWD Total'!J87+'SAWC Total'!J86+'FWC Total'!J87+'Upland Total'!J87+'MVWD Total '!J87+'Chino Hills Total'!J87+'Chino Total'!J87+'Ontario Total'!J87</f>
        <v>59995</v>
      </c>
      <c r="K96" s="1014">
        <f>'CVWD Total'!K87+'SAWC Total'!K86+'FWC Total'!K87+'Upland Total'!K87+'MVWD Total '!K87+'Chino Hills Total'!K87+'Chino Total'!K87+'Ontario Total'!K87</f>
        <v>78455</v>
      </c>
      <c r="L96" s="1014">
        <f>'CVWD Total'!L87+'SAWC Total'!L86+'FWC Total'!L87+'Upland Total'!L87+'MVWD Total '!L87+'Chino Hills Total'!L87+'Chino Total'!L87+'Ontario Total'!L87</f>
        <v>138450</v>
      </c>
      <c r="M96" s="1539">
        <f t="shared" ref="M96:M102" si="4">IF(ISERROR(L96/(F96*771)),0,L96/(F96*771))</f>
        <v>5.6392037444312866</v>
      </c>
      <c r="N96" s="1540"/>
    </row>
    <row r="97" spans="1:15">
      <c r="A97" s="78" t="s">
        <v>368</v>
      </c>
      <c r="B97" s="1444">
        <f>'CVWD Total'!B88:C88+'SAWC Total'!B87:C87+'FWC Total'!B88:C88+'Upland Total'!B88:C88+'MVWD Total '!B88:C88+'Chino Hills Total'!B88:C88+'Chino Total'!B88:C88+'Ontario Total'!B88:C88</f>
        <v>13442</v>
      </c>
      <c r="C97" s="1422"/>
      <c r="D97" s="1444">
        <f>'CVWD Total'!D88:E88+'SAWC Total'!D87:E87+'FWC Total'!D88:E88+'Upland Total'!D88:E88+'MVWD Total '!D88:E88+'Chino Hills Total'!D88:E88+'Chino Total'!D88:E88+'Ontario Total'!D88:E88</f>
        <v>19272442.0284</v>
      </c>
      <c r="E97" s="1422"/>
      <c r="F97" s="1444">
        <f>'CVWD Total'!F88:G88+'SAWC Total'!F87:G87+'FWC Total'!F88:G88+'Upland Total'!F88:G88+'MVWD Total '!F88:G88+'Chino Hills Total'!F88:G88+'Chino Total'!F88:G88+'Ontario Total'!F88:G88</f>
        <v>59.144799999999996</v>
      </c>
      <c r="G97" s="1422"/>
      <c r="H97" s="1014">
        <f>'CVWD Total'!H88+'SAWC Total'!H87+'FWC Total'!H88+'Upland Total'!H88+'MVWD Total '!H88+'Chino Hills Total'!H88+'Chino Total'!H88+'Ontario Total'!H88</f>
        <v>295.72400000000005</v>
      </c>
      <c r="I97" s="1014">
        <f>'CVWD Total'!I88+'SAWC Total'!I87+'FWC Total'!I88+'Upland Total'!I88+'MVWD Total '!I88+'Chino Hills Total'!I88+'Chino Total'!I88+'Ontario Total'!I88</f>
        <v>0</v>
      </c>
      <c r="J97" s="1014">
        <f>'CVWD Total'!J88+'SAWC Total'!J87+'FWC Total'!J88+'Upland Total'!J88+'MVWD Total '!J88+'Chino Hills Total'!J88+'Chino Total'!J88+'Ontario Total'!J88</f>
        <v>40326</v>
      </c>
      <c r="K97" s="1014">
        <f>'CVWD Total'!K88+'SAWC Total'!K87+'FWC Total'!K88+'Upland Total'!K88+'MVWD Total '!K88+'Chino Hills Total'!K88+'Chino Total'!K88+'Ontario Total'!K88</f>
        <v>26884</v>
      </c>
      <c r="L97" s="1014">
        <f>'CVWD Total'!L88+'SAWC Total'!L87+'FWC Total'!L88+'Upland Total'!L88+'MVWD Total '!L88+'Chino Hills Total'!L88+'Chino Total'!L88+'Ontario Total'!L88</f>
        <v>67210</v>
      </c>
      <c r="M97" s="1539">
        <f t="shared" si="4"/>
        <v>1.4738827968399955</v>
      </c>
      <c r="N97" s="1540"/>
    </row>
    <row r="98" spans="1:15">
      <c r="A98" s="32" t="s">
        <v>52</v>
      </c>
      <c r="B98" s="1444">
        <f>'CVWD Total'!B89:C89+'SAWC Total'!B88:C88+'FWC Total'!B89:C89+'Upland Total'!B89:C89+'MVWD Total '!B89:C89+'Chino Hills Total'!B89:C89+'Chino Total'!B89:C89+'Ontario Total'!B89:C89</f>
        <v>311</v>
      </c>
      <c r="C98" s="1422"/>
      <c r="D98" s="1444">
        <f>'CVWD Total'!D89:E89+'SAWC Total'!D88:E88+'FWC Total'!D89:E89+'Upland Total'!D89:E89+'MVWD Total '!D89:E89+'Chino Hills Total'!D89:E89+'Chino Total'!D89:E89+'Ontario Total'!D89:E89</f>
        <v>4101647.04</v>
      </c>
      <c r="E98" s="1422"/>
      <c r="F98" s="1444">
        <f>'CVWD Total'!F89:G89+'SAWC Total'!F88:G88+'FWC Total'!F89:G89+'Upland Total'!F89:G89+'MVWD Total '!F89:G89+'Chino Hills Total'!F89:G89+'Chino Total'!F89:G89+'Ontario Total'!F89:G89</f>
        <v>12.585600000000001</v>
      </c>
      <c r="G98" s="1422"/>
      <c r="H98" s="1014">
        <f>'CVWD Total'!H89+'SAWC Total'!H88+'FWC Total'!H89+'Upland Total'!H89+'MVWD Total '!H89+'Chino Hills Total'!H89+'Chino Total'!H89+'Ontario Total'!H89</f>
        <v>125.85600000000001</v>
      </c>
      <c r="I98" s="1014">
        <f>'CVWD Total'!I89+'SAWC Total'!I88+'FWC Total'!I89+'Upland Total'!I89+'MVWD Total '!I89+'Chino Hills Total'!I89+'Chino Total'!I89+'Ontario Total'!I89</f>
        <v>0</v>
      </c>
      <c r="J98" s="1014">
        <f>'CVWD Total'!J89+'SAWC Total'!J88+'FWC Total'!J89+'Upland Total'!J89+'MVWD Total '!J89+'Chino Hills Total'!J89+'Chino Total'!J89+'Ontario Total'!J89</f>
        <v>21770</v>
      </c>
      <c r="K98" s="1014">
        <f>'CVWD Total'!K89+'SAWC Total'!K88+'FWC Total'!K89+'Upland Total'!K89+'MVWD Total '!K89+'Chino Hills Total'!K89+'Chino Total'!K89+'Ontario Total'!K89</f>
        <v>24880</v>
      </c>
      <c r="L98" s="1014">
        <f>'CVWD Total'!L89+'SAWC Total'!L88+'FWC Total'!L89+'Upland Total'!L89+'MVWD Total '!L89+'Chino Hills Total'!L89+'Chino Total'!L89+'Ontario Total'!L89</f>
        <v>46650</v>
      </c>
      <c r="M98" s="1539">
        <f t="shared" si="4"/>
        <v>4.8075448588764527</v>
      </c>
      <c r="N98" s="1540"/>
    </row>
    <row r="99" spans="1:15" ht="12.75" customHeight="1">
      <c r="A99" s="76" t="s">
        <v>323</v>
      </c>
      <c r="B99" s="1444">
        <f>'CVWD Total'!B90:C90+'SAWC Total'!B89:C89+'FWC Total'!B90:C90+'Upland Total'!B90:C90+'MVWD Total '!B90:C90+'Chino Hills Total'!B90:C90+'Chino Total'!B90:C90+'Ontario Total'!B90:C90</f>
        <v>0</v>
      </c>
      <c r="C99" s="1422"/>
      <c r="D99" s="1444">
        <f>'CVWD Total'!D90:E90+'SAWC Total'!D89:E89+'FWC Total'!D90:E90+'Upland Total'!D90:E90+'MVWD Total '!D90:E90+'Chino Hills Total'!D90:E90+'Chino Total'!D90:E90+'Ontario Total'!D90:E90</f>
        <v>0</v>
      </c>
      <c r="E99" s="1422"/>
      <c r="F99" s="1444">
        <f>'CVWD Total'!F90:G90+'SAWC Total'!F89:G89+'FWC Total'!F90:G90+'Upland Total'!F90:G90+'MVWD Total '!F90:G90+'Chino Hills Total'!F90:G90+'Chino Total'!F90:G90+'Ontario Total'!F90:G90</f>
        <v>0</v>
      </c>
      <c r="G99" s="1422"/>
      <c r="H99" s="1014">
        <f>'CVWD Total'!H90+'SAWC Total'!H89+'FWC Total'!H90+'Upland Total'!H90+'MVWD Total '!H90+'Chino Hills Total'!H90+'Chino Total'!H90+'Ontario Total'!H90</f>
        <v>0</v>
      </c>
      <c r="I99" s="1014">
        <f>'CVWD Total'!I90+'SAWC Total'!I89+'FWC Total'!I90+'Upland Total'!I90+'MVWD Total '!I90+'Chino Hills Total'!I90+'Chino Total'!I90+'Ontario Total'!I90</f>
        <v>0</v>
      </c>
      <c r="J99" s="1014">
        <f>'CVWD Total'!J90+'SAWC Total'!J89+'FWC Total'!J90+'Upland Total'!J90+'MVWD Total '!J90+'Chino Hills Total'!J90+'Chino Total'!J90+'Ontario Total'!J90</f>
        <v>0</v>
      </c>
      <c r="K99" s="1014">
        <f>'CVWD Total'!K90+'SAWC Total'!K89+'FWC Total'!K90+'Upland Total'!K90+'MVWD Total '!K90+'Chino Hills Total'!K90+'Chino Total'!K90+'Ontario Total'!K90</f>
        <v>0</v>
      </c>
      <c r="L99" s="1014">
        <f>'CVWD Total'!L90+'SAWC Total'!L89+'FWC Total'!L90+'Upland Total'!L90+'MVWD Total '!L90+'Chino Hills Total'!L90+'Chino Total'!L90+'Ontario Total'!L90</f>
        <v>0</v>
      </c>
      <c r="M99" s="1539">
        <f t="shared" si="4"/>
        <v>0</v>
      </c>
      <c r="N99" s="1540"/>
    </row>
    <row r="100" spans="1:15" ht="12.75" customHeight="1">
      <c r="A100" s="76" t="s">
        <v>214</v>
      </c>
      <c r="B100" s="1444">
        <f>'CVWD Total'!B91:C91+'SAWC Total'!B90:C90+'FWC Total'!B91:C91+'Upland Total'!B91:C91+'MVWD Total '!B91:C91+'Chino Hills Total'!B91:C91+'Chino Total'!B91:C91+'Ontario Total'!B91:C91</f>
        <v>19</v>
      </c>
      <c r="C100" s="1422"/>
      <c r="D100" s="1444">
        <f>'CVWD Total'!D91:E91+'SAWC Total'!D90:E90+'FWC Total'!D91:E91+'Upland Total'!D91:E91+'MVWD Total '!D91:E91+'Chino Hills Total'!D91:E91+'Chino Total'!D91:E91+'Ontario Total'!D91:E91</f>
        <v>10526.57</v>
      </c>
      <c r="E100" s="1422"/>
      <c r="F100" s="1444">
        <f>'CVWD Total'!F91:G91+'SAWC Total'!F90:G90+'FWC Total'!F91:G91+'Upland Total'!F91:G91+'MVWD Total '!F91:G91+'Chino Hills Total'!F91:G91+'Chino Total'!F91:G91+'Ontario Total'!F91:G91</f>
        <v>3.2300000000000002E-2</v>
      </c>
      <c r="G100" s="1422"/>
      <c r="H100" s="1014">
        <f>'CVWD Total'!H91+'SAWC Total'!H90+'FWC Total'!H91+'Upland Total'!H91+'MVWD Total '!H91+'Chino Hills Total'!H91+'Chino Total'!H91+'Ontario Total'!H91</f>
        <v>0.1615</v>
      </c>
      <c r="I100" s="1014">
        <f>'CVWD Total'!I91+'SAWC Total'!I90+'FWC Total'!I91+'Upland Total'!I91+'MVWD Total '!I91+'Chino Hills Total'!I91+'Chino Total'!I91+'Ontario Total'!I91</f>
        <v>0</v>
      </c>
      <c r="J100" s="1014">
        <f>'CVWD Total'!J91+'SAWC Total'!J90+'FWC Total'!J91+'Upland Total'!J91+'MVWD Total '!J91+'Chino Hills Total'!J91+'Chino Total'!J91+'Ontario Total'!J91</f>
        <v>0</v>
      </c>
      <c r="K100" s="1014">
        <f>'CVWD Total'!K91+'SAWC Total'!K90+'FWC Total'!K91+'Upland Total'!K91+'MVWD Total '!K91+'Chino Hills Total'!K91+'Chino Total'!K91+'Ontario Total'!K91</f>
        <v>665</v>
      </c>
      <c r="L100" s="1014">
        <f>'CVWD Total'!L91+'SAWC Total'!L90+'FWC Total'!L91+'Upland Total'!L91+'MVWD Total '!L91+'Chino Hills Total'!L91+'Chino Total'!L91+'Ontario Total'!L91</f>
        <v>665</v>
      </c>
      <c r="M100" s="1539">
        <f t="shared" si="4"/>
        <v>26.703288319218736</v>
      </c>
      <c r="N100" s="1540"/>
    </row>
    <row r="101" spans="1:15" ht="12.75" customHeight="1">
      <c r="A101" s="76" t="s">
        <v>331</v>
      </c>
      <c r="B101" s="1444">
        <f>'CVWD Total'!B92:C92+'SAWC Total'!B91:C91+'FWC Total'!B92:C92+'Upland Total'!B92:C92+'MVWD Total '!B92:C92+'Chino Hills Total'!B92:C92+'Chino Total'!B92:C92+'Ontario Total'!B92:C92</f>
        <v>35</v>
      </c>
      <c r="C101" s="1422"/>
      <c r="D101" s="1444">
        <f>'CVWD Total'!D92:E92+'SAWC Total'!D91:E91+'FWC Total'!D92:E92+'Upland Total'!D92:E92+'MVWD Total '!D92:E92+'Chino Hills Total'!D92:E92+'Chino Total'!D92:E92+'Ontario Total'!D92:E92</f>
        <v>0</v>
      </c>
      <c r="E101" s="1422"/>
      <c r="F101" s="1432">
        <f>'CVWD Total'!F92:G92+'SAWC Total'!F91:G91+'FWC Total'!F92:G92+'Upland Total'!F92:G92+'MVWD Total '!F92:G92+'Chino Hills Total'!F92:G92+'Chino Total'!F92:G92+'Ontario Total'!F92:G92</f>
        <v>0</v>
      </c>
      <c r="G101" s="1433"/>
      <c r="H101" s="1014">
        <f>'CVWD Total'!H92+'SAWC Total'!H91+'FWC Total'!H92+'Upland Total'!H92+'MVWD Total '!H92+'Chino Hills Total'!H92+'Chino Total'!H92+'Ontario Total'!H92</f>
        <v>0</v>
      </c>
      <c r="I101" s="1014">
        <f>'CVWD Total'!I92+'SAWC Total'!I91+'FWC Total'!I92+'Upland Total'!I92+'MVWD Total '!I92+'Chino Hills Total'!I92+'Chino Total'!I92+'Ontario Total'!I92</f>
        <v>0</v>
      </c>
      <c r="J101" s="1014">
        <f>'CVWD Total'!J92+'SAWC Total'!J91+'FWC Total'!J92+'Upland Total'!J92+'MVWD Total '!J92+'Chino Hills Total'!J92+'Chino Total'!J92+'Ontario Total'!J92</f>
        <v>0</v>
      </c>
      <c r="K101" s="1014">
        <f>'CVWD Total'!K92+'SAWC Total'!K91+'FWC Total'!K92+'Upland Total'!K92+'MVWD Total '!K92+'Chino Hills Total'!K92+'Chino Total'!K92+'Ontario Total'!K92</f>
        <v>10500</v>
      </c>
      <c r="L101" s="1014">
        <f>'CVWD Total'!L92+'SAWC Total'!L91+'FWC Total'!L92+'Upland Total'!L92+'MVWD Total '!L92+'Chino Hills Total'!L92+'Chino Total'!L92+'Ontario Total'!L92</f>
        <v>10500</v>
      </c>
      <c r="M101" s="1539">
        <f t="shared" si="4"/>
        <v>0</v>
      </c>
      <c r="N101" s="1540"/>
    </row>
    <row r="102" spans="1:15" ht="12.75" customHeight="1" thickBot="1">
      <c r="A102" s="107" t="s">
        <v>269</v>
      </c>
      <c r="B102" s="1444">
        <f>'CVWD Total'!B93:C93+'SAWC Total'!B92:C92+'FWC Total'!B93:C93+'Upland Total'!B93:C93+'MVWD Total '!B93:C93+'Chino Hills Total'!B93:C93+'Chino Total'!B93:C93+'Ontario Total'!B93:C93</f>
        <v>0</v>
      </c>
      <c r="C102" s="1422"/>
      <c r="D102" s="1444">
        <f>'CVWD Total'!D93:E93+'SAWC Total'!D92:E92+'FWC Total'!D93:E93+'Upland Total'!D93:E93+'MVWD Total '!D93:E93+'Chino Hills Total'!D93:E93+'Chino Total'!D93:E93+'Ontario Total'!D93:E93</f>
        <v>0</v>
      </c>
      <c r="E102" s="1422"/>
      <c r="F102" s="1444">
        <f>'CVWD Total'!F93:G93+'SAWC Total'!F92:G92+'FWC Total'!F93:G93+'Upland Total'!F93:G93+'MVWD Total '!F93:G93+'Chino Hills Total'!F93:G93+'Chino Total'!F93:G93+'Ontario Total'!F93:G93</f>
        <v>0</v>
      </c>
      <c r="G102" s="1422"/>
      <c r="H102" s="1014">
        <f>'CVWD Total'!H93+'SAWC Total'!H92+'FWC Total'!H93+'Upland Total'!H93+'MVWD Total '!H93+'Chino Hills Total'!H93+'Chino Total'!H93+'Ontario Total'!H93</f>
        <v>0</v>
      </c>
      <c r="I102" s="1014">
        <f>'CVWD Total'!I93+'SAWC Total'!I92+'FWC Total'!I93+'Upland Total'!I93+'MVWD Total '!I93+'Chino Hills Total'!I93+'Chino Total'!I93+'Ontario Total'!I93</f>
        <v>0</v>
      </c>
      <c r="J102" s="1014">
        <f>'CVWD Total'!J93+'SAWC Total'!J92+'FWC Total'!J93+'Upland Total'!J93+'MVWD Total '!J93+'Chino Hills Total'!J93+'Chino Total'!J93+'Ontario Total'!J93</f>
        <v>0</v>
      </c>
      <c r="K102" s="1014">
        <f>'CVWD Total'!K93+'SAWC Total'!K92+'FWC Total'!K93+'Upland Total'!K93+'MVWD Total '!K93+'Chino Hills Total'!K93+'Chino Total'!K93+'Ontario Total'!K93</f>
        <v>0</v>
      </c>
      <c r="L102" s="1014">
        <f>'CVWD Total'!L93+'SAWC Total'!L92+'FWC Total'!L93+'Upland Total'!L93+'MVWD Total '!L93+'Chino Hills Total'!L93+'Chino Total'!L93+'Ontario Total'!L93</f>
        <v>0</v>
      </c>
      <c r="M102" s="1539">
        <f t="shared" si="4"/>
        <v>0</v>
      </c>
      <c r="N102" s="1540"/>
    </row>
    <row r="103" spans="1:15" s="1161" customFormat="1" ht="17" thickBot="1">
      <c r="A103" s="108" t="s">
        <v>190</v>
      </c>
      <c r="B103" s="1456"/>
      <c r="C103" s="1457"/>
      <c r="D103" s="1457"/>
      <c r="E103" s="1457"/>
      <c r="F103" s="1567"/>
      <c r="G103" s="1586"/>
      <c r="H103" s="194"/>
      <c r="I103" s="194"/>
      <c r="J103" s="195"/>
      <c r="K103" s="194"/>
      <c r="L103" s="194"/>
      <c r="M103" s="1593"/>
      <c r="N103" s="1542"/>
      <c r="O103" s="274"/>
    </row>
    <row r="104" spans="1:15">
      <c r="A104" s="76" t="s">
        <v>205</v>
      </c>
      <c r="B104" s="1444">
        <f>'CVWD Total'!B95:C95+'SAWC Total'!B94:C94+'FWC Total'!B95:C95+'Upland Total'!B95:C95+'MVWD Total '!B95:C95+'Chino Hills Total'!B95:C95+'Chino Total'!B95:C95+'Ontario Total'!B95:C95</f>
        <v>2526</v>
      </c>
      <c r="C104" s="1422"/>
      <c r="D104" s="1444">
        <f>'CVWD Total'!D95:E95+'SAWC Total'!D94:E94+'FWC Total'!D95:E95+'Upland Total'!D95:E95+'MVWD Total '!D95:E95+'Chino Hills Total'!D95:E95+'Chino Total'!D95:E95+'Ontario Total'!D95:E95</f>
        <v>3622182.9600000004</v>
      </c>
      <c r="E104" s="1422"/>
      <c r="F104" s="1444">
        <f>'CVWD Total'!F95:G95+'SAWC Total'!F94:G94+'FWC Total'!F95:G95+'Upland Total'!F95:G95+'MVWD Total '!F95:G95+'Chino Hills Total'!F95:G95+'Chino Total'!F95:G95+'Ontario Total'!F95:G95</f>
        <v>11.114400000000002</v>
      </c>
      <c r="G104" s="1422"/>
      <c r="H104" s="1014">
        <f>'CVWD Total'!H95+'SAWC Total'!H94+'FWC Total'!H95+'Upland Total'!H95+'MVWD Total '!H95+'Chino Hills Total'!H95+'Chino Total'!H95+'Ontario Total'!H95</f>
        <v>55.572000000000017</v>
      </c>
      <c r="I104" s="1014">
        <f>'CVWD Total'!I95+'SAWC Total'!I94+'FWC Total'!I95+'Upland Total'!I95+'MVWD Total '!I95+'Chino Hills Total'!I95+'Chino Total'!I95+'Ontario Total'!I95</f>
        <v>0</v>
      </c>
      <c r="J104" s="1014">
        <f>'CVWD Total'!J95+'SAWC Total'!J94+'FWC Total'!J95+'Upland Total'!J95+'MVWD Total '!J95+'Chino Hills Total'!J95+'Chino Total'!J95+'Ontario Total'!J95</f>
        <v>3876.5</v>
      </c>
      <c r="K104" s="1014">
        <f>'CVWD Total'!K95+'SAWC Total'!K94+'FWC Total'!K95+'Upland Total'!K95+'MVWD Total '!K95+'Chino Hills Total'!K95+'Chino Total'!K95+'Ontario Total'!K95</f>
        <v>5052</v>
      </c>
      <c r="L104" s="1014">
        <f>'CVWD Total'!L95+'SAWC Total'!L94+'FWC Total'!L95+'Upland Total'!L95+'MVWD Total '!L95+'Chino Hills Total'!L95+'Chino Total'!L95+'Ontario Total'!L95</f>
        <v>8928.5</v>
      </c>
      <c r="M104" s="1539">
        <f t="shared" ref="M104:M107" si="5">IF(ISERROR(L104/(F104*771)),0,L104/(F104*771))</f>
        <v>1.0419289431184398</v>
      </c>
      <c r="N104" s="1540"/>
    </row>
    <row r="105" spans="1:15">
      <c r="A105" s="76" t="s">
        <v>359</v>
      </c>
      <c r="B105" s="1444">
        <f>'CVWD Total'!B96:C96+'SAWC Total'!B95:C95+'FWC Total'!B96:C96+'Upland Total'!B96:C96+'MVWD Total '!B96:C96+'Chino Hills Total'!B96:C96+'Chino Total'!B96:C96+'Ontario Total'!B96:C96</f>
        <v>108</v>
      </c>
      <c r="C105" s="1422"/>
      <c r="D105" s="1444">
        <f>'CVWD Total'!D96:E96+'SAWC Total'!D95:E95+'FWC Total'!D96:E96+'Upland Total'!D96:E96+'MVWD Total '!D96:E96+'Chino Hills Total'!D96:E96+'Chino Total'!D96:E96+'Ontario Total'!D96:E96</f>
        <v>5616234.7000000002</v>
      </c>
      <c r="E105" s="1422"/>
      <c r="F105" s="1444">
        <f>'CVWD Total'!F96:G96+'SAWC Total'!F95:G95+'FWC Total'!F96:G96+'Upland Total'!F96:G96+'MVWD Total '!F96:G96+'Chino Hills Total'!F96:G96+'Chino Total'!F96:G96+'Ontario Total'!F96:G96</f>
        <v>17.233000000000001</v>
      </c>
      <c r="G105" s="1422"/>
      <c r="H105" s="1014">
        <f>'CVWD Total'!H96+'SAWC Total'!H95+'FWC Total'!H96+'Upland Total'!H96+'MVWD Total '!H96+'Chino Hills Total'!H96+'Chino Total'!H96+'Ontario Total'!H96</f>
        <v>129.2475</v>
      </c>
      <c r="I105" s="1014">
        <f>'CVWD Total'!I96+'SAWC Total'!I95+'FWC Total'!I96+'Upland Total'!I96+'MVWD Total '!I96+'Chino Hills Total'!I96+'Chino Total'!I96+'Ontario Total'!I96</f>
        <v>51732</v>
      </c>
      <c r="J105" s="1014">
        <f>'CVWD Total'!J96+'SAWC Total'!J95+'FWC Total'!J96+'Upland Total'!J96+'MVWD Total '!J96+'Chino Hills Total'!J96+'Chino Total'!J96+'Ontario Total'!J96</f>
        <v>2069.2800000000002</v>
      </c>
      <c r="K105" s="1014">
        <f>'CVWD Total'!K96+'SAWC Total'!K95+'FWC Total'!K96+'Upland Total'!K96+'MVWD Total '!K96+'Chino Hills Total'!K96+'Chino Total'!K96+'Ontario Total'!K96</f>
        <v>49662.720000000001</v>
      </c>
      <c r="L105" s="1014">
        <f>'CVWD Total'!L96+'SAWC Total'!L95+'FWC Total'!L96+'Upland Total'!L96+'MVWD Total '!L96+'Chino Hills Total'!L96+'Chino Total'!L96+'Ontario Total'!L96</f>
        <v>103464</v>
      </c>
      <c r="M105" s="1539">
        <f t="shared" si="5"/>
        <v>7.7870685620137454</v>
      </c>
      <c r="N105" s="1540"/>
    </row>
    <row r="106" spans="1:15">
      <c r="A106" s="76" t="s">
        <v>349</v>
      </c>
      <c r="B106" s="1444">
        <f>'CVWD Total'!B97:C97+'SAWC Total'!B96:C96+'FWC Total'!B97:C97+'Upland Total'!B97:C97+'MVWD Total '!B97:C97+'Chino Hills Total'!B97:C97+'Chino Total'!B97:C97+'Ontario Total'!B97:C97</f>
        <v>145</v>
      </c>
      <c r="C106" s="1422"/>
      <c r="D106" s="1444">
        <f>'CVWD Total'!D97:E97+'SAWC Total'!D96:E96+'FWC Total'!D97:E97+'Upland Total'!D97:E97+'MVWD Total '!D97:E97+'Chino Hills Total'!D97:E97+'Chino Total'!D97:E97+'Ontario Total'!D97:E97</f>
        <v>2307176.46</v>
      </c>
      <c r="E106" s="1422"/>
      <c r="F106" s="1444">
        <f>'CVWD Total'!F97:G97+'SAWC Total'!F96:G96+'FWC Total'!F97:G97+'Upland Total'!F97:G97+'MVWD Total '!F97:G97+'Chino Hills Total'!F97:G97+'Chino Total'!F97:G97+'Ontario Total'!F97:G97</f>
        <v>7.0793999999999997</v>
      </c>
      <c r="G106" s="1422"/>
      <c r="H106" s="1014">
        <f>'CVWD Total'!H97+'SAWC Total'!H96+'FWC Total'!H97+'Upland Total'!H97+'MVWD Total '!H97+'Chino Hills Total'!H97+'Chino Total'!H97+'Ontario Total'!H97</f>
        <v>70.793999999999997</v>
      </c>
      <c r="I106" s="1014">
        <f>'CVWD Total'!I97+'SAWC Total'!I96+'FWC Total'!I97+'Upland Total'!I97+'MVWD Total '!I97+'Chino Hills Total'!I97+'Chino Total'!I97+'Ontario Total'!I97</f>
        <v>0</v>
      </c>
      <c r="J106" s="1014">
        <f>'CVWD Total'!J97+'SAWC Total'!J96+'FWC Total'!J97+'Upland Total'!J97+'MVWD Total '!J97+'Chino Hills Total'!J97+'Chino Total'!J97+'Ontario Total'!J97</f>
        <v>85869</v>
      </c>
      <c r="K106" s="1014">
        <f>'CVWD Total'!K97+'SAWC Total'!K96+'FWC Total'!K97+'Upland Total'!K97+'MVWD Total '!K97+'Chino Hills Total'!K97+'Chino Total'!K97+'Ontario Total'!K97</f>
        <v>16356.000000000002</v>
      </c>
      <c r="L106" s="1014">
        <f>'CVWD Total'!L97+'SAWC Total'!L96+'FWC Total'!L97+'Upland Total'!L97+'MVWD Total '!L97+'Chino Hills Total'!L97+'Chino Total'!L97+'Ontario Total'!L97</f>
        <v>102225</v>
      </c>
      <c r="M106" s="1539">
        <f t="shared" si="5"/>
        <v>18.728642065447964</v>
      </c>
      <c r="N106" s="1540"/>
    </row>
    <row r="107" spans="1:15" s="121" customFormat="1" ht="14" thickBot="1">
      <c r="A107" s="76" t="s">
        <v>266</v>
      </c>
      <c r="B107" s="1444">
        <f>'CVWD Total'!B98:C98+'SAWC Total'!B97:C97+'FWC Total'!B98:C98+'Upland Total'!B98:C98+'MVWD Total '!B98:C98+'Chino Hills Total'!B98:C98+'Chino Total'!B98:C98+'Ontario Total'!B98:C98</f>
        <v>397</v>
      </c>
      <c r="C107" s="1422"/>
      <c r="D107" s="1444">
        <f>'CVWD Total'!D98:E98+'SAWC Total'!D97:E97+'FWC Total'!D98:E98+'Upland Total'!D98:E98+'MVWD Total '!D98:E98+'Chino Hills Total'!D98:E98+'Chino Total'!D98:E98+'Ontario Total'!D98:E98</f>
        <v>15267111.399999999</v>
      </c>
      <c r="E107" s="1422"/>
      <c r="F107" s="1444">
        <f>'CVWD Total'!F98:G98+'SAWC Total'!F97:G97+'FWC Total'!F98:G98+'Upland Total'!F98:G98+'MVWD Total '!F98:G98+'Chino Hills Total'!F98:G98+'Chino Total'!F98:G98+'Ontario Total'!F98:G98</f>
        <v>46.845999999999997</v>
      </c>
      <c r="G107" s="1422"/>
      <c r="H107" s="1014">
        <f>'CVWD Total'!H98+'SAWC Total'!H97+'FWC Total'!H98+'Upland Total'!H98+'MVWD Total '!H98+'Chino Hills Total'!H98+'Chino Total'!H98+'Ontario Total'!H98</f>
        <v>468.46</v>
      </c>
      <c r="I107" s="1014">
        <f>'CVWD Total'!I98+'SAWC Total'!I97+'FWC Total'!I98+'Upland Total'!I98+'MVWD Total '!I98+'Chino Hills Total'!I98+'Chino Total'!I98+'Ontario Total'!I98</f>
        <v>0</v>
      </c>
      <c r="J107" s="1014">
        <f>'CVWD Total'!J98+'SAWC Total'!J97+'FWC Total'!J98+'Upland Total'!J98+'MVWD Total '!J98+'Chino Hills Total'!J98+'Chino Total'!J98+'Ontario Total'!J98</f>
        <v>96999.01</v>
      </c>
      <c r="K107" s="1014">
        <f>'CVWD Total'!K98+'SAWC Total'!K97+'FWC Total'!K98+'Upland Total'!K98+'MVWD Total '!K98+'Chino Hills Total'!K98+'Chino Total'!K98+'Ontario Total'!K98</f>
        <v>86017.989999999991</v>
      </c>
      <c r="L107" s="1014">
        <f>'CVWD Total'!L98+'SAWC Total'!L97+'FWC Total'!L98+'Upland Total'!L98+'MVWD Total '!L98+'Chino Hills Total'!L98+'Chino Total'!L98+'Ontario Total'!L98</f>
        <v>183017</v>
      </c>
      <c r="M107" s="1539">
        <f t="shared" si="5"/>
        <v>5.0671590934071977</v>
      </c>
      <c r="N107" s="1540"/>
    </row>
    <row r="108" spans="1:15" ht="14" thickBot="1">
      <c r="A108" s="53" t="s">
        <v>60</v>
      </c>
      <c r="B108" s="1452">
        <f>SUM(B95:C107)</f>
        <v>18611</v>
      </c>
      <c r="C108" s="1453"/>
      <c r="D108" s="1452">
        <f>SUM(D95:E107)</f>
        <v>66227201.508400001</v>
      </c>
      <c r="E108" s="1453"/>
      <c r="F108" s="1452">
        <f>SUM(F95:G107)</f>
        <v>203.22200000000001</v>
      </c>
      <c r="G108" s="1453"/>
      <c r="H108" s="1045">
        <f>SUM(H95:H107)</f>
        <v>1938.4840000000002</v>
      </c>
      <c r="I108" s="1040">
        <f>SUM(I95:I107)</f>
        <v>51732</v>
      </c>
      <c r="J108" s="1040">
        <f>SUM(J95:J107)</f>
        <v>353204.79</v>
      </c>
      <c r="K108" s="1040">
        <f>SUM(K95:K107)</f>
        <v>326672.70999999996</v>
      </c>
      <c r="L108" s="862">
        <f>SUM(L95:L107)</f>
        <v>731609.5</v>
      </c>
      <c r="M108" s="1694"/>
      <c r="N108" s="1603"/>
    </row>
    <row r="109" spans="1:15" s="1161" customFormat="1" ht="17" thickBot="1">
      <c r="A109" s="108" t="s">
        <v>194</v>
      </c>
      <c r="B109" s="1567"/>
      <c r="C109" s="1457"/>
      <c r="D109" s="1567"/>
      <c r="E109" s="1457"/>
      <c r="F109" s="1567"/>
      <c r="G109" s="1586"/>
      <c r="H109" s="1162"/>
      <c r="I109" s="1162"/>
      <c r="J109" s="184"/>
      <c r="K109" s="184"/>
      <c r="L109" s="184"/>
      <c r="M109" s="1541"/>
      <c r="N109" s="1542"/>
      <c r="O109" s="274"/>
    </row>
    <row r="110" spans="1:15">
      <c r="A110" s="122" t="s">
        <v>29</v>
      </c>
      <c r="B110" s="1444">
        <f>'CVWD Total'!B101:C101+'SAWC Total'!B100:C100+'FWC Total'!B101:C101+'Upland Total'!B101:C101+'MVWD Total '!B101:C101+'Chino Hills Total'!B101:C101+'Chino Total'!B101:C101+'Ontario Total'!B101:C101</f>
        <v>747</v>
      </c>
      <c r="C110" s="1422"/>
      <c r="D110" s="1444">
        <f>'CVWD Total'!D101:E101+'SAWC Total'!D100:E100+'FWC Total'!D101:E101+'Upland Total'!D101:E101+'MVWD Total '!D101:E101+'Chino Hills Total'!D101:E101+'Chino Total'!D101:E101+'Ontario Total'!D101:E101</f>
        <v>5988803.5800000001</v>
      </c>
      <c r="E110" s="1422"/>
      <c r="F110" s="1444">
        <f>'CVWD Total'!F101:G101+'SAWC Total'!F100:G100+'FWC Total'!F101:G101+'Upland Total'!F101:G101+'MVWD Total '!F101:G101+'Chino Hills Total'!F101:G101+'Chino Total'!F101:G101+'Ontario Total'!F101:G101</f>
        <v>18.376200000000001</v>
      </c>
      <c r="G110" s="1422"/>
      <c r="H110" s="1014">
        <f>'CVWD Total'!H101+'SAWC Total'!H100+'FWC Total'!H101+'Upland Total'!H101+'MVWD Total '!H101+'Chino Hills Total'!H101+'Chino Total'!H101+'Ontario Total'!H101</f>
        <v>367.524</v>
      </c>
      <c r="I110" s="1014">
        <f>'CVWD Total'!I101+'SAWC Total'!I100+'FWC Total'!I101+'Upland Total'!I101+'MVWD Total '!I101+'Chino Hills Total'!I101+'Chino Total'!I101+'Ontario Total'!I101</f>
        <v>0</v>
      </c>
      <c r="J110" s="1014">
        <f>'CVWD Total'!J101+'SAWC Total'!J100+'FWC Total'!J101+'Upland Total'!J101+'MVWD Total '!J101+'Chino Hills Total'!J101+'Chino Total'!J101+'Ontario Total'!J101</f>
        <v>44820</v>
      </c>
      <c r="K110" s="1014">
        <f>'CVWD Total'!K101+'SAWC Total'!K100+'FWC Total'!K101+'Upland Total'!K101+'MVWD Total '!K101+'Chino Hills Total'!K101+'Chino Total'!K101+'Ontario Total'!K101</f>
        <v>29880</v>
      </c>
      <c r="L110" s="1014">
        <f>'CVWD Total'!L101+'SAWC Total'!L100+'FWC Total'!L101+'Upland Total'!L101+'MVWD Total '!L101+'Chino Hills Total'!L101+'Chino Total'!L101+'Ontario Total'!L101</f>
        <v>74700</v>
      </c>
      <c r="M110" s="1599">
        <f t="shared" ref="M110:M121" si="6">IF(ISERROR(L110/(F110*771)),0,L110/(F110*771))</f>
        <v>5.2724262651186828</v>
      </c>
      <c r="N110" s="1600"/>
    </row>
    <row r="111" spans="1:15">
      <c r="A111" s="32" t="s">
        <v>51</v>
      </c>
      <c r="B111" s="1444">
        <f>'CVWD Total'!B102:C102+'SAWC Total'!B101:C101+'FWC Total'!B102:C102+'Upland Total'!B102:C102+'MVWD Total '!B102:C102+'Chino Hills Total'!B102:C102+'Chino Total'!B102:C102+'Ontario Total'!B102:C102</f>
        <v>0</v>
      </c>
      <c r="C111" s="1422"/>
      <c r="D111" s="1444">
        <f>'CVWD Total'!D102:E102+'SAWC Total'!D101:E101+'FWC Total'!D102:E102+'Upland Total'!D102:E102+'MVWD Total '!D102:E102+'Chino Hills Total'!D102:E102+'Chino Total'!D102:E102+'Ontario Total'!D102:E102</f>
        <v>0</v>
      </c>
      <c r="E111" s="1422"/>
      <c r="F111" s="1444">
        <f>'CVWD Total'!F102:G102+'SAWC Total'!F101:G101+'FWC Total'!F102:G102+'Upland Total'!F102:G102+'MVWD Total '!F102:G102+'Chino Hills Total'!F102:G102+'Chino Total'!F102:G102+'Ontario Total'!F102:G102</f>
        <v>0</v>
      </c>
      <c r="G111" s="1422"/>
      <c r="H111" s="1014">
        <f>'CVWD Total'!H102+'SAWC Total'!H101+'FWC Total'!H102+'Upland Total'!H102+'MVWD Total '!H102+'Chino Hills Total'!H102+'Chino Total'!H102+'Ontario Total'!H102</f>
        <v>0</v>
      </c>
      <c r="I111" s="1014">
        <f>'CVWD Total'!I102+'SAWC Total'!I101+'FWC Total'!I102+'Upland Total'!I102+'MVWD Total '!I102+'Chino Hills Total'!I102+'Chino Total'!I102+'Ontario Total'!I102</f>
        <v>0</v>
      </c>
      <c r="J111" s="1014">
        <f>'CVWD Total'!J102+'SAWC Total'!J101+'FWC Total'!J102+'Upland Total'!J102+'MVWD Total '!J102+'Chino Hills Total'!J102+'Chino Total'!J102+'Ontario Total'!J102</f>
        <v>0</v>
      </c>
      <c r="K111" s="1014">
        <f>'CVWD Total'!K102+'SAWC Total'!K101+'FWC Total'!K102+'Upland Total'!K102+'MVWD Total '!K102+'Chino Hills Total'!K102+'Chino Total'!K102+'Ontario Total'!K102</f>
        <v>0</v>
      </c>
      <c r="L111" s="1014">
        <f>'CVWD Total'!L102+'SAWC Total'!L101+'FWC Total'!L102+'Upland Total'!L102+'MVWD Total '!L102+'Chino Hills Total'!L102+'Chino Total'!L102+'Ontario Total'!L102</f>
        <v>0</v>
      </c>
      <c r="M111" s="1539">
        <f t="shared" si="6"/>
        <v>0</v>
      </c>
      <c r="N111" s="1540"/>
    </row>
    <row r="112" spans="1:15">
      <c r="A112" s="34" t="s">
        <v>204</v>
      </c>
      <c r="B112" s="1444">
        <f>'CVWD Total'!B103:C103+'SAWC Total'!B102:C102+'FWC Total'!B103:C103+'Upland Total'!B103:C103+'MVWD Total '!B103:C103+'Chino Hills Total'!B103:C103+'Chino Total'!B103:C103+'Ontario Total'!B103:C103</f>
        <v>0</v>
      </c>
      <c r="C112" s="1422"/>
      <c r="D112" s="1444">
        <f>'CVWD Total'!D103:E103+'SAWC Total'!D102:E102+'FWC Total'!D103:E103+'Upland Total'!D103:E103+'MVWD Total '!D103:E103+'Chino Hills Total'!D103:E103+'Chino Total'!D103:E103+'Ontario Total'!D103:E103</f>
        <v>0</v>
      </c>
      <c r="E112" s="1422"/>
      <c r="F112" s="1444">
        <f>'CVWD Total'!F103:G103+'SAWC Total'!F102:G102+'FWC Total'!F103:G103+'Upland Total'!F103:G103+'MVWD Total '!F103:G103+'Chino Hills Total'!F103:G103+'Chino Total'!F103:G103+'Ontario Total'!F103:G103</f>
        <v>0</v>
      </c>
      <c r="G112" s="1422"/>
      <c r="H112" s="1014">
        <f>'CVWD Total'!H103+'SAWC Total'!H102+'FWC Total'!H103+'Upland Total'!H103+'MVWD Total '!H103+'Chino Hills Total'!H103+'Chino Total'!H103+'Ontario Total'!H103</f>
        <v>0</v>
      </c>
      <c r="I112" s="1014">
        <f>'CVWD Total'!I103+'SAWC Total'!I102+'FWC Total'!I103+'Upland Total'!I103+'MVWD Total '!I103+'Chino Hills Total'!I103+'Chino Total'!I103+'Ontario Total'!I103</f>
        <v>0</v>
      </c>
      <c r="J112" s="1014">
        <f>'CVWD Total'!J103+'SAWC Total'!J102+'FWC Total'!J103+'Upland Total'!J103+'MVWD Total '!J103+'Chino Hills Total'!J103+'Chino Total'!J103+'Ontario Total'!J103</f>
        <v>0</v>
      </c>
      <c r="K112" s="1014">
        <f>'CVWD Total'!K103+'SAWC Total'!K102+'FWC Total'!K103+'Upland Total'!K103+'MVWD Total '!K103+'Chino Hills Total'!K103+'Chino Total'!K103+'Ontario Total'!K103</f>
        <v>0</v>
      </c>
      <c r="L112" s="1014">
        <f>'CVWD Total'!L103+'SAWC Total'!L102+'FWC Total'!L103+'Upland Total'!L103+'MVWD Total '!L103+'Chino Hills Total'!L103+'Chino Total'!L103+'Ontario Total'!L103</f>
        <v>0</v>
      </c>
      <c r="M112" s="1539">
        <f t="shared" si="6"/>
        <v>0</v>
      </c>
      <c r="N112" s="1540"/>
    </row>
    <row r="113" spans="1:15">
      <c r="A113" s="76" t="s">
        <v>30</v>
      </c>
      <c r="B113" s="1444">
        <f>'CVWD Total'!B104:C104+'SAWC Total'!B103:C103+'FWC Total'!B104:C104+'Upland Total'!B104:C104+'MVWD Total '!B104:C104+'Chino Hills Total'!B104:C104+'Chino Total'!B104:C104+'Ontario Total'!B104:C104</f>
        <v>47</v>
      </c>
      <c r="C113" s="1422"/>
      <c r="D113" s="1444">
        <f>'CVWD Total'!D104:E104+'SAWC Total'!D103:E103+'FWC Total'!D104:E104+'Upland Total'!D104:E104+'MVWD Total '!D104:E104+'Chino Hills Total'!D104:E104+'Chino Total'!D104:E104+'Ontario Total'!D104:E104</f>
        <v>197593.16999999998</v>
      </c>
      <c r="E113" s="1422"/>
      <c r="F113" s="1444">
        <f>'CVWD Total'!F104:G104+'SAWC Total'!F103:G103+'FWC Total'!F104:G104+'Upland Total'!F104:G104+'MVWD Total '!F104:G104+'Chino Hills Total'!F104:G104+'Chino Total'!F104:G104+'Ontario Total'!F104:G104</f>
        <v>0.60629999999999995</v>
      </c>
      <c r="G113" s="1422"/>
      <c r="H113" s="1014">
        <f>'CVWD Total'!H104+'SAWC Total'!H103+'FWC Total'!H104+'Upland Total'!H104+'MVWD Total '!H104+'Chino Hills Total'!H104+'Chino Total'!H104+'Ontario Total'!H104</f>
        <v>6.0630000000000006</v>
      </c>
      <c r="I113" s="1014">
        <f>'CVWD Total'!I104+'SAWC Total'!I103+'FWC Total'!I104+'Upland Total'!I104+'MVWD Total '!I104+'Chino Hills Total'!I104+'Chino Total'!I104+'Ontario Total'!I104</f>
        <v>0</v>
      </c>
      <c r="J113" s="1014">
        <f>'CVWD Total'!J104+'SAWC Total'!J103+'FWC Total'!J104+'Upland Total'!J104+'MVWD Total '!J104+'Chino Hills Total'!J104+'Chino Total'!J104+'Ontario Total'!J104</f>
        <v>0</v>
      </c>
      <c r="K113" s="1014">
        <f>'CVWD Total'!K104+'SAWC Total'!K103+'FWC Total'!K104+'Upland Total'!K104+'MVWD Total '!K104+'Chino Hills Total'!K104+'Chino Total'!K104+'Ontario Total'!K104</f>
        <v>0</v>
      </c>
      <c r="L113" s="1014">
        <f>'CVWD Total'!L104+'SAWC Total'!L103+'FWC Total'!L104+'Upland Total'!L104+'MVWD Total '!L104+'Chino Hills Total'!L104+'Chino Total'!L104+'Ontario Total'!L104</f>
        <v>0</v>
      </c>
      <c r="M113" s="1539">
        <f t="shared" si="6"/>
        <v>0</v>
      </c>
      <c r="N113" s="1540"/>
    </row>
    <row r="114" spans="1:15">
      <c r="A114" s="76" t="s">
        <v>369</v>
      </c>
      <c r="B114" s="1444">
        <f>'CVWD Total'!B105:C105+'SAWC Total'!B104:C104+'FWC Total'!B105:C105+'Upland Total'!B105:C105+'MVWD Total '!B105:C105+'Chino Hills Total'!B105:C105+'Chino Total'!B105:C105+'Ontario Total'!B105:C105</f>
        <v>14870</v>
      </c>
      <c r="C114" s="1422"/>
      <c r="D114" s="1444">
        <f>'CVWD Total'!D105:E105+'SAWC Total'!D104:E104+'FWC Total'!D105:E105+'Upland Total'!D105:E105+'MVWD Total '!D105:E105+'Chino Hills Total'!D105:E105+'Chino Total'!D105:E105+'Ontario Total'!D105:E105</f>
        <v>21322985.199999999</v>
      </c>
      <c r="E114" s="1422"/>
      <c r="F114" s="1444">
        <f>'CVWD Total'!F105:G105+'SAWC Total'!F104:G104+'FWC Total'!F105:G105+'Upland Total'!F105:G105+'MVWD Total '!F105:G105+'Chino Hills Total'!F105:G105+'Chino Total'!F105:G105+'Ontario Total'!F105:G105</f>
        <v>65.427999999999997</v>
      </c>
      <c r="G114" s="1422"/>
      <c r="H114" s="1014">
        <f>'CVWD Total'!H105+'SAWC Total'!H104+'FWC Total'!H105+'Upland Total'!H105+'MVWD Total '!H105+'Chino Hills Total'!H105+'Chino Total'!H105+'Ontario Total'!H105</f>
        <v>327.14</v>
      </c>
      <c r="I114" s="1014">
        <f>'CVWD Total'!I105+'SAWC Total'!I104+'FWC Total'!I105+'Upland Total'!I105+'MVWD Total '!I105+'Chino Hills Total'!I105+'Chino Total'!I105+'Ontario Total'!I105</f>
        <v>0</v>
      </c>
      <c r="J114" s="1014">
        <f>'CVWD Total'!J105+'SAWC Total'!J104+'FWC Total'!J105+'Upland Total'!J105+'MVWD Total '!J105+'Chino Hills Total'!J105+'Chino Total'!J105+'Ontario Total'!J105</f>
        <v>29740</v>
      </c>
      <c r="K114" s="1014">
        <f>'CVWD Total'!K105+'SAWC Total'!K104+'FWC Total'!K105+'Upland Total'!K105+'MVWD Total '!K105+'Chino Hills Total'!K105+'Chino Total'!K105+'Ontario Total'!K105</f>
        <v>29740</v>
      </c>
      <c r="L114" s="1014">
        <f>'CVWD Total'!L105+'SAWC Total'!L104+'FWC Total'!L105+'Upland Total'!L105+'MVWD Total '!L105+'Chino Hills Total'!L105+'Chino Total'!L105+'Ontario Total'!L105</f>
        <v>59480</v>
      </c>
      <c r="M114" s="1539">
        <f t="shared" si="6"/>
        <v>1.1791062374719963</v>
      </c>
      <c r="N114" s="1540"/>
    </row>
    <row r="115" spans="1:15" ht="12.75" customHeight="1">
      <c r="A115" s="76" t="s">
        <v>122</v>
      </c>
      <c r="B115" s="1444">
        <f>'CVWD Total'!B106:C106+'SAWC Total'!B105:C105+'FWC Total'!B106:C106+'Upland Total'!B106:C106+'MVWD Total '!B106:C106+'Chino Hills Total'!B106:C106+'Chino Total'!B106:C106+'Ontario Total'!B106:C106</f>
        <v>0</v>
      </c>
      <c r="C115" s="1422"/>
      <c r="D115" s="1444">
        <f>'CVWD Total'!D106:E106+'SAWC Total'!D105:E105+'FWC Total'!D106:E106+'Upland Total'!D106:E106+'MVWD Total '!D106:E106+'Chino Hills Total'!D106:E106+'Chino Total'!D106:E106+'Ontario Total'!D106:E106</f>
        <v>0</v>
      </c>
      <c r="E115" s="1422"/>
      <c r="F115" s="1444">
        <f>'CVWD Total'!F106:G106+'SAWC Total'!F105:G105+'FWC Total'!F106:G106+'Upland Total'!F106:G106+'MVWD Total '!F106:G106+'Chino Hills Total'!F106:G106+'Chino Total'!F106:G106+'Ontario Total'!F106:G106</f>
        <v>0</v>
      </c>
      <c r="G115" s="1422"/>
      <c r="H115" s="1014">
        <f>'CVWD Total'!H106+'SAWC Total'!H105+'FWC Total'!H106+'Upland Total'!H106+'MVWD Total '!H106+'Chino Hills Total'!H106+'Chino Total'!H106+'Ontario Total'!H106</f>
        <v>0</v>
      </c>
      <c r="I115" s="1014">
        <f>'CVWD Total'!I106+'SAWC Total'!I105+'FWC Total'!I106+'Upland Total'!I106+'MVWD Total '!I106+'Chino Hills Total'!I106+'Chino Total'!I106+'Ontario Total'!I106</f>
        <v>0</v>
      </c>
      <c r="J115" s="1014">
        <f>'CVWD Total'!J106+'SAWC Total'!J105+'FWC Total'!J106+'Upland Total'!J106+'MVWD Total '!J106+'Chino Hills Total'!J106+'Chino Total'!J106+'Ontario Total'!J106</f>
        <v>0</v>
      </c>
      <c r="K115" s="1014">
        <f>'CVWD Total'!K106+'SAWC Total'!K105+'FWC Total'!K106+'Upland Total'!K106+'MVWD Total '!K106+'Chino Hills Total'!K106+'Chino Total'!K106+'Ontario Total'!K106</f>
        <v>0</v>
      </c>
      <c r="L115" s="1014">
        <f>'CVWD Total'!L106+'SAWC Total'!L105+'FWC Total'!L106+'Upland Total'!L106+'MVWD Total '!L106+'Chino Hills Total'!L106+'Chino Total'!L106+'Ontario Total'!L106</f>
        <v>0</v>
      </c>
      <c r="M115" s="1539">
        <f t="shared" si="6"/>
        <v>0</v>
      </c>
      <c r="N115" s="1540"/>
    </row>
    <row r="116" spans="1:15">
      <c r="A116" s="78" t="s">
        <v>184</v>
      </c>
      <c r="B116" s="1444">
        <f>'CVWD Total'!B107:C107+'SAWC Total'!B106:C106+'FWC Total'!B107:C107+'Upland Total'!B107:C107+'MVWD Total '!B107:C107+'Chino Hills Total'!B107:C107+'Chino Total'!B107:C107+'Ontario Total'!B107:C107</f>
        <v>0</v>
      </c>
      <c r="C116" s="1422"/>
      <c r="D116" s="1444">
        <f>'CVWD Total'!D107:E107+'SAWC Total'!D106:E106+'FWC Total'!D107:E107+'Upland Total'!D107:E107+'MVWD Total '!D107:E107+'Chino Hills Total'!D107:E107+'Chino Total'!D107:E107+'Ontario Total'!D107:E107</f>
        <v>0</v>
      </c>
      <c r="E116" s="1422"/>
      <c r="F116" s="1444">
        <f>'CVWD Total'!F107:G107+'SAWC Total'!F106:G106+'FWC Total'!F107:G107+'Upland Total'!F107:G107+'MVWD Total '!F107:G107+'Chino Hills Total'!F107:G107+'Chino Total'!F107:G107+'Ontario Total'!F107:G107</f>
        <v>0</v>
      </c>
      <c r="G116" s="1422"/>
      <c r="H116" s="1014">
        <f>'CVWD Total'!H107+'SAWC Total'!H106+'FWC Total'!H107+'Upland Total'!H107+'MVWD Total '!H107+'Chino Hills Total'!H107+'Chino Total'!H107+'Ontario Total'!H107</f>
        <v>0</v>
      </c>
      <c r="I116" s="1014">
        <f>'CVWD Total'!I107+'SAWC Total'!I106+'FWC Total'!I107+'Upland Total'!I107+'MVWD Total '!I107+'Chino Hills Total'!I107+'Chino Total'!I107+'Ontario Total'!I107</f>
        <v>0</v>
      </c>
      <c r="J116" s="1014">
        <f>'CVWD Total'!J107+'SAWC Total'!J106+'FWC Total'!J107+'Upland Total'!J107+'MVWD Total '!J107+'Chino Hills Total'!J107+'Chino Total'!J107+'Ontario Total'!J107</f>
        <v>0</v>
      </c>
      <c r="K116" s="1014">
        <f>'CVWD Total'!K107+'SAWC Total'!K106+'FWC Total'!K107+'Upland Total'!K107+'MVWD Total '!K107+'Chino Hills Total'!K107+'Chino Total'!K107+'Ontario Total'!K107</f>
        <v>0</v>
      </c>
      <c r="L116" s="1014">
        <f>'CVWD Total'!L107+'SAWC Total'!L106+'FWC Total'!L107+'Upland Total'!L107+'MVWD Total '!L107+'Chino Hills Total'!L107+'Chino Total'!L107+'Ontario Total'!L107</f>
        <v>0</v>
      </c>
      <c r="M116" s="1539">
        <f t="shared" si="6"/>
        <v>0</v>
      </c>
      <c r="N116" s="1540"/>
    </row>
    <row r="117" spans="1:15" s="57" customFormat="1">
      <c r="A117" s="107" t="s">
        <v>187</v>
      </c>
      <c r="B117" s="1444">
        <f>'CVWD Total'!B108:C108+'SAWC Total'!B107:C107+'FWC Total'!B108:C108+'Upland Total'!B108:C108+'MVWD Total '!B108:C108+'Chino Hills Total'!B108:C108+'Chino Total'!B108:C108+'Ontario Total'!B108:C108</f>
        <v>0</v>
      </c>
      <c r="C117" s="1422"/>
      <c r="D117" s="1444">
        <f>'CVWD Total'!D108:E108+'SAWC Total'!D107:E107+'FWC Total'!D108:E108+'Upland Total'!D108:E108+'MVWD Total '!D108:E108+'Chino Hills Total'!D108:E108+'Chino Total'!D108:E108+'Ontario Total'!D108:E108</f>
        <v>0</v>
      </c>
      <c r="E117" s="1422"/>
      <c r="F117" s="1444">
        <f>'CVWD Total'!F108:G108+'SAWC Total'!F107:G107+'FWC Total'!F108:G108+'Upland Total'!F108:G108+'MVWD Total '!F108:G108+'Chino Hills Total'!F108:G108+'Chino Total'!F108:G108+'Ontario Total'!F108:G108</f>
        <v>0</v>
      </c>
      <c r="G117" s="1422"/>
      <c r="H117" s="1014">
        <f>'CVWD Total'!H108+'SAWC Total'!H107+'FWC Total'!H108+'Upland Total'!H108+'MVWD Total '!H108+'Chino Hills Total'!H108+'Chino Total'!H108+'Ontario Total'!H108</f>
        <v>0</v>
      </c>
      <c r="I117" s="1014">
        <f>'CVWD Total'!I108+'SAWC Total'!I107+'FWC Total'!I108+'Upland Total'!I108+'MVWD Total '!I108+'Chino Hills Total'!I108+'Chino Total'!I108+'Ontario Total'!I108</f>
        <v>0</v>
      </c>
      <c r="J117" s="1014">
        <f>'CVWD Total'!J108+'SAWC Total'!J107+'FWC Total'!J108+'Upland Total'!J108+'MVWD Total '!J108+'Chino Hills Total'!J108+'Chino Total'!J108+'Ontario Total'!J108</f>
        <v>0</v>
      </c>
      <c r="K117" s="1014">
        <f>'CVWD Total'!K108+'SAWC Total'!K107+'FWC Total'!K108+'Upland Total'!K108+'MVWD Total '!K108+'Chino Hills Total'!K108+'Chino Total'!K108+'Ontario Total'!K108</f>
        <v>0</v>
      </c>
      <c r="L117" s="1014">
        <f>'CVWD Total'!L108+'SAWC Total'!L107+'FWC Total'!L108+'Upland Total'!L108+'MVWD Total '!L108+'Chino Hills Total'!L108+'Chino Total'!L108+'Ontario Total'!L108</f>
        <v>0</v>
      </c>
      <c r="M117" s="1539">
        <f t="shared" si="6"/>
        <v>0</v>
      </c>
      <c r="N117" s="1540"/>
      <c r="O117" s="121"/>
    </row>
    <row r="118" spans="1:15" s="57" customFormat="1">
      <c r="A118" s="107" t="s">
        <v>188</v>
      </c>
      <c r="B118" s="1444">
        <f>'CVWD Total'!B109:C109+'SAWC Total'!B108:C108+'FWC Total'!B109:C109+'Upland Total'!B109:C109+'MVWD Total '!B109:C109+'Chino Hills Total'!B109:C109+'Chino Total'!B109:C109+'Ontario Total'!B109:C109</f>
        <v>1</v>
      </c>
      <c r="C118" s="1422"/>
      <c r="D118" s="1444">
        <f>'CVWD Total'!D109:E109+'SAWC Total'!D108:E108+'FWC Total'!D109:E109+'Upland Total'!D109:E109+'MVWD Total '!D109:E109+'Chino Hills Total'!D109:E109+'Chino Total'!D109:E109+'Ontario Total'!D109:E109</f>
        <v>50188.6</v>
      </c>
      <c r="E118" s="1422"/>
      <c r="F118" s="1444">
        <f>'CVWD Total'!F109:G109+'SAWC Total'!F108:G108+'FWC Total'!F109:G109+'Upland Total'!F109:G109+'MVWD Total '!F109:G109+'Chino Hills Total'!F109:G109+'Chino Total'!F109:G109+'Ontario Total'!F109:G109</f>
        <v>0.154</v>
      </c>
      <c r="G118" s="1422"/>
      <c r="H118" s="1014">
        <f>'CVWD Total'!H109+'SAWC Total'!H108+'FWC Total'!H109+'Upland Total'!H109+'MVWD Total '!H109+'Chino Hills Total'!H109+'Chino Total'!H109+'Ontario Total'!H109</f>
        <v>1.54</v>
      </c>
      <c r="I118" s="1014">
        <f>'CVWD Total'!I109+'SAWC Total'!I108+'FWC Total'!I109+'Upland Total'!I109+'MVWD Total '!I109+'Chino Hills Total'!I109+'Chino Total'!I109+'Ontario Total'!I109</f>
        <v>0</v>
      </c>
      <c r="J118" s="1014">
        <f>'CVWD Total'!J109+'SAWC Total'!J108+'FWC Total'!J109+'Upland Total'!J109+'MVWD Total '!J109+'Chino Hills Total'!J109+'Chino Total'!J109+'Ontario Total'!J109</f>
        <v>1000</v>
      </c>
      <c r="K118" s="1014">
        <f>'CVWD Total'!K109+'SAWC Total'!K108+'FWC Total'!K109+'Upland Total'!K109+'MVWD Total '!K109+'Chino Hills Total'!K109+'Chino Total'!K109+'Ontario Total'!K109</f>
        <v>1000</v>
      </c>
      <c r="L118" s="1014">
        <f>'CVWD Total'!L109+'SAWC Total'!L108+'FWC Total'!L109+'Upland Total'!L109+'MVWD Total '!L109+'Chino Hills Total'!L109+'Chino Total'!L109+'Ontario Total'!L109</f>
        <v>2000</v>
      </c>
      <c r="M118" s="1539">
        <f t="shared" si="6"/>
        <v>16.84437482102852</v>
      </c>
      <c r="N118" s="1540"/>
      <c r="O118" s="121"/>
    </row>
    <row r="119" spans="1:15" s="57" customFormat="1">
      <c r="A119" s="107" t="s">
        <v>323</v>
      </c>
      <c r="B119" s="1444">
        <f>'CVWD Total'!B110:C110+'SAWC Total'!B109:C109+'FWC Total'!B110:C110+'Upland Total'!B110:C110+'MVWD Total '!B110:C110+'Chino Hills Total'!B110:C110+'Chino Total'!B110:C110+'Ontario Total'!B110:C110</f>
        <v>0</v>
      </c>
      <c r="C119" s="1422"/>
      <c r="D119" s="1444">
        <f>'CVWD Total'!D110:E110+'SAWC Total'!D109:E109+'FWC Total'!D110:E110+'Upland Total'!D110:E110+'MVWD Total '!D110:E110+'Chino Hills Total'!D110:E110+'Chino Total'!D110:E110+'Ontario Total'!D110:E110</f>
        <v>0</v>
      </c>
      <c r="E119" s="1422"/>
      <c r="F119" s="1444">
        <f>'CVWD Total'!F110:G110+'SAWC Total'!F109:G109+'FWC Total'!F110:G110+'Upland Total'!F110:G110+'MVWD Total '!F110:G110+'Chino Hills Total'!F110:G110+'Chino Total'!F110:G110+'Ontario Total'!F110:G110</f>
        <v>0</v>
      </c>
      <c r="G119" s="1422"/>
      <c r="H119" s="1014">
        <f>'CVWD Total'!H110+'SAWC Total'!H109+'FWC Total'!H110+'Upland Total'!H110+'MVWD Total '!H110+'Chino Hills Total'!H110+'Chino Total'!H110+'Ontario Total'!H110</f>
        <v>0</v>
      </c>
      <c r="I119" s="1014">
        <f>'CVWD Total'!I110+'SAWC Total'!I109+'FWC Total'!I110+'Upland Total'!I110+'MVWD Total '!I110+'Chino Hills Total'!I110+'Chino Total'!I110+'Ontario Total'!I110</f>
        <v>0</v>
      </c>
      <c r="J119" s="1014">
        <f>'CVWD Total'!J110+'SAWC Total'!J109+'FWC Total'!J110+'Upland Total'!J110+'MVWD Total '!J110+'Chino Hills Total'!J110+'Chino Total'!J110+'Ontario Total'!J110</f>
        <v>0</v>
      </c>
      <c r="K119" s="1014">
        <f>'CVWD Total'!K110+'SAWC Total'!K109+'FWC Total'!K110+'Upland Total'!K110+'MVWD Total '!K110+'Chino Hills Total'!K110+'Chino Total'!K110+'Ontario Total'!K110</f>
        <v>0</v>
      </c>
      <c r="L119" s="1014">
        <f>'CVWD Total'!L110+'SAWC Total'!L109+'FWC Total'!L110+'Upland Total'!L110+'MVWD Total '!L110+'Chino Hills Total'!L110+'Chino Total'!L110+'Ontario Total'!L110</f>
        <v>0</v>
      </c>
      <c r="M119" s="1539">
        <f t="shared" si="6"/>
        <v>0</v>
      </c>
      <c r="N119" s="1540"/>
      <c r="O119" s="121"/>
    </row>
    <row r="120" spans="1:15" s="57" customFormat="1">
      <c r="A120" s="107" t="s">
        <v>269</v>
      </c>
      <c r="B120" s="1444">
        <f>'CVWD Total'!B111:C111+'SAWC Total'!B110:C110+'FWC Total'!B111:C111+'Upland Total'!B111:C111+'MVWD Total '!B111:C111+'Chino Hills Total'!B111:C111+'Chino Total'!B111:C111+'Ontario Total'!B111:C111</f>
        <v>0</v>
      </c>
      <c r="C120" s="1422"/>
      <c r="D120" s="1444">
        <f>'CVWD Total'!D111:E111+'SAWC Total'!D110:E110+'FWC Total'!D111:E111+'Upland Total'!D111:E111+'MVWD Total '!D111:E111+'Chino Hills Total'!D111:E111+'Chino Total'!D111:E111+'Ontario Total'!D111:E111</f>
        <v>0</v>
      </c>
      <c r="E120" s="1422"/>
      <c r="F120" s="1444">
        <f>'CVWD Total'!F111:G111+'SAWC Total'!F110:G110+'FWC Total'!F111:G111+'Upland Total'!F111:G111+'MVWD Total '!F111:G111+'Chino Hills Total'!F111:G111+'Chino Total'!F111:G111+'Ontario Total'!F111:G111</f>
        <v>0</v>
      </c>
      <c r="G120" s="1422"/>
      <c r="H120" s="1014">
        <f>'CVWD Total'!H111+'SAWC Total'!H110+'FWC Total'!H111+'Upland Total'!H111+'MVWD Total '!H111+'Chino Hills Total'!H111+'Chino Total'!H111+'Ontario Total'!H111</f>
        <v>0</v>
      </c>
      <c r="I120" s="1014">
        <f>'CVWD Total'!I111+'SAWC Total'!I110+'FWC Total'!I111+'Upland Total'!I111+'MVWD Total '!I111+'Chino Hills Total'!I111+'Chino Total'!I111+'Ontario Total'!I111</f>
        <v>0</v>
      </c>
      <c r="J120" s="1014">
        <f>'CVWD Total'!J111+'SAWC Total'!J110+'FWC Total'!J111+'Upland Total'!J111+'MVWD Total '!J111+'Chino Hills Total'!J111+'Chino Total'!J111+'Ontario Total'!J111</f>
        <v>0</v>
      </c>
      <c r="K120" s="1014">
        <f>'CVWD Total'!K111+'SAWC Total'!K110+'FWC Total'!K111+'Upland Total'!K111+'MVWD Total '!K111+'Chino Hills Total'!K111+'Chino Total'!K111+'Ontario Total'!K111</f>
        <v>0</v>
      </c>
      <c r="L120" s="1014">
        <f>'CVWD Total'!L111+'SAWC Total'!L110+'FWC Total'!L111+'Upland Total'!L111+'MVWD Total '!L111+'Chino Hills Total'!L111+'Chino Total'!L111+'Ontario Total'!L111</f>
        <v>0</v>
      </c>
      <c r="M120" s="1539">
        <f t="shared" si="6"/>
        <v>0</v>
      </c>
      <c r="N120" s="1540"/>
      <c r="O120" s="121"/>
    </row>
    <row r="121" spans="1:15" s="57" customFormat="1" ht="14" thickBot="1">
      <c r="A121" s="493" t="s">
        <v>268</v>
      </c>
      <c r="B121" s="1444">
        <f>'CVWD Total'!B112:C112+'SAWC Total'!B111:C111+'FWC Total'!B112:C112+'Upland Total'!B112:C112+'MVWD Total '!B112:C112+'Chino Hills Total'!B112:C112+'Chino Total'!B112:C112+'Ontario Total'!B112:C112</f>
        <v>1363</v>
      </c>
      <c r="C121" s="1422"/>
      <c r="D121" s="1444">
        <f>'CVWD Total'!D112:E112+'SAWC Total'!D111:E111+'FWC Total'!D112:E112+'Upland Total'!D112:E112+'MVWD Total '!D112:E112+'Chino Hills Total'!D112:E112+'Chino Total'!D112:E112+'Ontario Total'!D112:E112</f>
        <v>1865647.1400000001</v>
      </c>
      <c r="E121" s="1422"/>
      <c r="F121" s="1444">
        <f>'CVWD Total'!F112:G112+'SAWC Total'!F111:G111+'FWC Total'!F112:G112+'Upland Total'!F112:G112+'MVWD Total '!F112:G112+'Chino Hills Total'!F112:G112+'Chino Total'!F112:G112+'Ontario Total'!F112:G112</f>
        <v>5.7245999999999997</v>
      </c>
      <c r="G121" s="1422"/>
      <c r="H121" s="1014">
        <f>'CVWD Total'!H112+'SAWC Total'!H111+'FWC Total'!H112+'Upland Total'!H112+'MVWD Total '!H112+'Chino Hills Total'!H112+'Chino Total'!H112+'Ontario Total'!H112</f>
        <v>45.15</v>
      </c>
      <c r="I121" s="1014">
        <f>'CVWD Total'!I112+'SAWC Total'!I111+'FWC Total'!I112+'Upland Total'!I112+'MVWD Total '!I112+'Chino Hills Total'!I112+'Chino Total'!I112+'Ontario Total'!I112</f>
        <v>0</v>
      </c>
      <c r="J121" s="1014">
        <f>'CVWD Total'!J112+'SAWC Total'!J111+'FWC Total'!J112+'Upland Total'!J112+'MVWD Total '!J112+'Chino Hills Total'!J112+'Chino Total'!J112+'Ontario Total'!J112</f>
        <v>13630</v>
      </c>
      <c r="K121" s="1014">
        <f>'CVWD Total'!K112+'SAWC Total'!K111+'FWC Total'!K112+'Upland Total'!K112+'MVWD Total '!K112+'Chino Hills Total'!K112+'Chino Total'!K112+'Ontario Total'!K112</f>
        <v>6815</v>
      </c>
      <c r="L121" s="1014">
        <f>'CVWD Total'!L112+'SAWC Total'!L111+'FWC Total'!L112+'Upland Total'!L112+'MVWD Total '!L112+'Chino Hills Total'!L112+'Chino Total'!L112+'Ontario Total'!L112</f>
        <v>20445</v>
      </c>
      <c r="M121" s="1561">
        <f t="shared" si="6"/>
        <v>4.6322030757828427</v>
      </c>
      <c r="N121" s="1562"/>
      <c r="O121" s="121"/>
    </row>
    <row r="122" spans="1:15" s="1161" customFormat="1" ht="17" thickBot="1">
      <c r="A122" s="108" t="s">
        <v>192</v>
      </c>
      <c r="B122" s="1567"/>
      <c r="C122" s="1586"/>
      <c r="D122" s="1567"/>
      <c r="E122" s="1586"/>
      <c r="F122" s="1567"/>
      <c r="G122" s="1586"/>
      <c r="H122" s="109"/>
      <c r="I122" s="109"/>
      <c r="J122" s="109"/>
      <c r="K122" s="997"/>
      <c r="L122" s="997"/>
      <c r="M122" s="1593"/>
      <c r="N122" s="1542"/>
      <c r="O122" s="274"/>
    </row>
    <row r="123" spans="1:15" ht="14" thickBot="1">
      <c r="A123" s="76" t="s">
        <v>165</v>
      </c>
      <c r="B123" s="1444">
        <f>'CVWD Total'!B114:C114+'SAWC Total'!B113:C113+'FWC Total'!B114:C114+'Upland Total'!B114:C114+'MVWD Total '!B114:C114+'Chino Hills Total'!B114:C114+'Chino Total'!B114:C114+'Ontario Total'!B114:C114</f>
        <v>14050</v>
      </c>
      <c r="C123" s="1422"/>
      <c r="D123" s="1444">
        <f>'CVWD Total'!D114:E114+'SAWC Total'!D113:E113+'FWC Total'!D114:E114+'Upland Total'!D114:E114+'MVWD Total '!D114:E114+'Chino Hills Total'!D114:E114+'Chino Total'!D114:E114+'Ontario Total'!D114:E114</f>
        <v>19480085.879999999</v>
      </c>
      <c r="E123" s="1422"/>
      <c r="F123" s="1444">
        <f>'CVWD Total'!F114:G114+'SAWC Total'!F113:G113+'FWC Total'!F114:G114+'Upland Total'!F114:G114+'MVWD Total '!F114:G114+'Chino Hills Total'!F114:G114+'Chino Total'!F114:G114+'Ontario Total'!F114:G114</f>
        <v>59.773200000000003</v>
      </c>
      <c r="G123" s="1422"/>
      <c r="H123" s="1014">
        <f>'CVWD Total'!H114+'SAWC Total'!H113+'FWC Total'!H114+'Upland Total'!H114+'MVWD Total '!H114+'Chino Hills Total'!H114+'Chino Total'!H114+'Ontario Total'!H114</f>
        <v>298.86599999999999</v>
      </c>
      <c r="I123" s="1014">
        <f>'CVWD Total'!I114+'SAWC Total'!I113+'FWC Total'!I114+'Upland Total'!I114+'MVWD Total '!I114+'Chino Hills Total'!I114+'Chino Total'!I114+'Ontario Total'!I114</f>
        <v>0</v>
      </c>
      <c r="J123" s="1014">
        <f>'CVWD Total'!J114+'SAWC Total'!J113+'FWC Total'!J114+'Upland Total'!J114+'MVWD Total '!J114+'Chino Hills Total'!J114+'Chino Total'!J114+'Ontario Total'!J114</f>
        <v>40077.1</v>
      </c>
      <c r="K123" s="1014">
        <f>'CVWD Total'!K114+'SAWC Total'!K113+'FWC Total'!K114+'Upland Total'!K114+'MVWD Total '!K114+'Chino Hills Total'!K114+'Chino Total'!K114+'Ontario Total'!K114</f>
        <v>28100</v>
      </c>
      <c r="L123" s="1014">
        <f>'CVWD Total'!L114+'SAWC Total'!L113+'FWC Total'!L114+'Upland Total'!L114+'MVWD Total '!L114+'Chino Hills Total'!L114+'Chino Total'!L114+'Ontario Total'!L114</f>
        <v>68177.100000000006</v>
      </c>
      <c r="M123" s="1561">
        <f t="shared" ref="M123" si="7">IF(ISERROR(L123/(F123*771)),0,L123/(F123*771))</f>
        <v>1.4793728334609362</v>
      </c>
      <c r="N123" s="1562"/>
    </row>
    <row r="124" spans="1:15" ht="14" thickBot="1">
      <c r="A124" s="53" t="s">
        <v>60</v>
      </c>
      <c r="B124" s="1438">
        <f>SUM(B110:B123)</f>
        <v>31078</v>
      </c>
      <c r="C124" s="1439"/>
      <c r="D124" s="1440">
        <f>D123+D121+D120+D119+D118+D117+D116+D115+D114+D113+D112+D111+D110</f>
        <v>48905303.57</v>
      </c>
      <c r="E124" s="1439"/>
      <c r="F124" s="1441">
        <f>SUM(F110:G123)</f>
        <v>150.06229999999999</v>
      </c>
      <c r="G124" s="1439"/>
      <c r="H124" s="1001">
        <f>SUM(H110:H123)</f>
        <v>1046.2829999999999</v>
      </c>
      <c r="I124" s="146">
        <f>SUM(I110:I123)</f>
        <v>0</v>
      </c>
      <c r="J124" s="146">
        <f>SUM(J110:J123)</f>
        <v>129267.1</v>
      </c>
      <c r="K124" s="146">
        <f>SUM(K110:K123)</f>
        <v>95535</v>
      </c>
      <c r="L124" s="146">
        <f>SUM(L110:L123)</f>
        <v>224802.1</v>
      </c>
      <c r="M124" s="1442"/>
      <c r="N124" s="1443"/>
    </row>
    <row r="125" spans="1:15" s="1161" customFormat="1" ht="17" thickBot="1">
      <c r="A125" s="1163" t="s">
        <v>17</v>
      </c>
      <c r="B125" s="1414">
        <f>SUM(,B108,B124)</f>
        <v>49689</v>
      </c>
      <c r="C125" s="1415"/>
      <c r="D125" s="1416">
        <f>SUM(D108,D124)</f>
        <v>115132505.0784</v>
      </c>
      <c r="E125" s="1415"/>
      <c r="F125" s="1416">
        <f>SUM(,F108,F124)</f>
        <v>353.28430000000003</v>
      </c>
      <c r="G125" s="1415"/>
      <c r="H125" s="1164">
        <f>SUM(H108,H124)</f>
        <v>2984.7669999999998</v>
      </c>
      <c r="I125" s="1165">
        <f>SUM(,I108,I124)</f>
        <v>51732</v>
      </c>
      <c r="J125" s="1165">
        <f>SUM(,J108,J124)</f>
        <v>482471.89</v>
      </c>
      <c r="K125" s="1165">
        <f>SUM(,K108,K124)</f>
        <v>422207.70999999996</v>
      </c>
      <c r="L125" s="1165">
        <f>SUM(,L108,L124)</f>
        <v>956411.6</v>
      </c>
      <c r="M125" s="1417"/>
      <c r="N125" s="1418"/>
      <c r="O125" s="274"/>
    </row>
    <row r="126" spans="1:15">
      <c r="A126" s="738"/>
      <c r="B126" s="1027"/>
      <c r="C126" s="1027"/>
      <c r="D126" s="1027"/>
      <c r="E126" s="1027"/>
      <c r="F126" s="1026"/>
      <c r="G126" s="1026"/>
      <c r="H126" s="1026"/>
      <c r="I126" s="21"/>
      <c r="J126" s="21"/>
      <c r="K126" s="21"/>
      <c r="L126" s="21"/>
      <c r="M126" s="1012"/>
      <c r="N126" s="1038"/>
    </row>
    <row r="127" spans="1:15" ht="15">
      <c r="A127" s="745" t="s">
        <v>18</v>
      </c>
      <c r="B127" s="1695" t="s">
        <v>59</v>
      </c>
      <c r="C127" s="1695"/>
      <c r="D127" s="1695"/>
      <c r="E127" s="1695"/>
      <c r="F127" s="1026"/>
      <c r="G127" s="1026"/>
      <c r="H127" s="1026"/>
      <c r="I127" s="21"/>
      <c r="J127" s="21"/>
      <c r="K127" s="21"/>
      <c r="L127" s="21"/>
      <c r="M127" s="1012"/>
      <c r="N127" s="1012"/>
    </row>
    <row r="128" spans="1:15">
      <c r="A128" s="3"/>
      <c r="B128" s="1696" t="s">
        <v>19</v>
      </c>
      <c r="C128" s="1696"/>
      <c r="D128" s="1696"/>
      <c r="E128" s="1696"/>
      <c r="F128" s="1026"/>
      <c r="G128" s="1026"/>
      <c r="H128" s="1026"/>
      <c r="I128" s="21"/>
      <c r="J128" s="21"/>
      <c r="K128" s="21"/>
      <c r="L128" s="21"/>
      <c r="M128" s="1012"/>
      <c r="N128" s="1012"/>
    </row>
    <row r="129" spans="1:15" ht="14" thickBot="1">
      <c r="A129" s="737"/>
      <c r="B129" s="1023"/>
      <c r="C129" s="1023"/>
      <c r="D129" s="1023"/>
      <c r="E129" s="1023"/>
      <c r="F129" s="1026"/>
      <c r="G129" s="1026"/>
      <c r="H129" s="1026"/>
      <c r="I129" s="21"/>
      <c r="J129" s="21"/>
      <c r="K129" s="21"/>
      <c r="L129" s="21"/>
      <c r="M129" s="1012"/>
      <c r="N129" s="1023"/>
    </row>
    <row r="130" spans="1:15" s="1168" customFormat="1" ht="17" thickBot="1">
      <c r="A130" s="108" t="s">
        <v>333</v>
      </c>
      <c r="B130" s="2186"/>
      <c r="C130" s="1913"/>
      <c r="D130" s="1672"/>
      <c r="E130" s="1913"/>
      <c r="F130" s="1619"/>
      <c r="G130" s="1620"/>
      <c r="H130" s="1166"/>
      <c r="I130" s="1167"/>
      <c r="J130" s="1167"/>
      <c r="K130" s="1167"/>
      <c r="L130" s="1167"/>
      <c r="M130" s="2187"/>
      <c r="N130" s="2188"/>
      <c r="O130" s="121"/>
    </row>
    <row r="131" spans="1:15" s="121" customFormat="1" ht="14" thickBot="1">
      <c r="A131" s="84" t="s">
        <v>272</v>
      </c>
      <c r="B131" s="2189">
        <v>104</v>
      </c>
      <c r="C131" s="2190"/>
      <c r="D131" s="1843">
        <f>F131*325900</f>
        <v>9816108</v>
      </c>
      <c r="E131" s="1842"/>
      <c r="F131" s="2191">
        <v>30.12</v>
      </c>
      <c r="G131" s="2192"/>
      <c r="H131" s="1041">
        <f>F131*5</f>
        <v>150.6</v>
      </c>
      <c r="I131" s="336">
        <v>0</v>
      </c>
      <c r="J131" s="337">
        <v>15525</v>
      </c>
      <c r="K131" s="337">
        <v>9300</v>
      </c>
      <c r="L131" s="336">
        <f>I131+J131+K131</f>
        <v>24825</v>
      </c>
      <c r="M131" s="1561">
        <f t="shared" ref="M131" si="8">IF(ISERROR(L131/(F131*771)),0,L131/(F131*771))</f>
        <v>1.069005430935144</v>
      </c>
      <c r="N131" s="1562"/>
    </row>
    <row r="132" spans="1:15" s="1168" customFormat="1" ht="17" thickBot="1">
      <c r="A132" s="1163" t="s">
        <v>172</v>
      </c>
      <c r="B132" s="1612">
        <f>B108+B124+B131</f>
        <v>49793</v>
      </c>
      <c r="C132" s="1415"/>
      <c r="D132" s="1416">
        <f>D108+D124+D131</f>
        <v>124948613.0784</v>
      </c>
      <c r="E132" s="1415"/>
      <c r="F132" s="1416">
        <f>F108+F124+F131</f>
        <v>383.40430000000003</v>
      </c>
      <c r="G132" s="1415"/>
      <c r="H132" s="1164">
        <f>H108+H124+H131</f>
        <v>3135.3669999999997</v>
      </c>
      <c r="I132" s="1165">
        <f>I108+I124+I131</f>
        <v>51732</v>
      </c>
      <c r="J132" s="1169">
        <f>J108+J124+J131</f>
        <v>497996.89</v>
      </c>
      <c r="K132" s="1169">
        <f>K108+K124+K131</f>
        <v>431507.70999999996</v>
      </c>
      <c r="L132" s="1169">
        <f>L108+L124+L131</f>
        <v>981236.6</v>
      </c>
      <c r="M132" s="2187"/>
      <c r="N132" s="2188"/>
      <c r="O132" s="121"/>
    </row>
    <row r="133" spans="1:15" ht="16">
      <c r="A133" s="343"/>
      <c r="B133" s="340"/>
      <c r="C133" s="340"/>
      <c r="D133" s="340"/>
      <c r="E133" s="340"/>
      <c r="F133" s="340"/>
      <c r="G133" s="340"/>
      <c r="H133" s="340"/>
      <c r="I133" s="340"/>
      <c r="J133" s="340"/>
      <c r="K133" s="340"/>
      <c r="L133" s="340"/>
      <c r="M133" s="342"/>
      <c r="N133" s="342"/>
    </row>
    <row r="134" spans="1:15" ht="14" thickBot="1"/>
    <row r="135" spans="1:15" ht="16">
      <c r="A135" s="98"/>
      <c r="B135" s="99"/>
      <c r="C135" s="99"/>
      <c r="D135" s="99"/>
      <c r="E135" s="99"/>
      <c r="F135" s="421"/>
      <c r="G135" s="421"/>
      <c r="H135" s="421"/>
      <c r="I135" s="1468" t="s">
        <v>0</v>
      </c>
      <c r="J135" s="1468"/>
      <c r="K135" s="1468"/>
      <c r="L135" s="1468"/>
      <c r="M135" s="99"/>
      <c r="N135" s="101"/>
    </row>
    <row r="136" spans="1:15" ht="16">
      <c r="A136" s="97"/>
      <c r="B136" s="1469" t="s">
        <v>1</v>
      </c>
      <c r="C136" s="1469"/>
      <c r="D136" s="1469" t="s">
        <v>2</v>
      </c>
      <c r="E136" s="1469"/>
      <c r="F136" s="1863" t="s">
        <v>3</v>
      </c>
      <c r="G136" s="1863"/>
      <c r="H136" s="755" t="s">
        <v>3</v>
      </c>
      <c r="I136" s="127" t="s">
        <v>195</v>
      </c>
      <c r="J136" s="349"/>
      <c r="K136" s="349"/>
      <c r="L136" s="128"/>
      <c r="M136" s="1469" t="s">
        <v>4</v>
      </c>
      <c r="N136" s="1526"/>
    </row>
    <row r="137" spans="1:15" ht="19" thickBot="1">
      <c r="A137" s="103" t="s">
        <v>5</v>
      </c>
      <c r="B137" s="1469" t="s">
        <v>6</v>
      </c>
      <c r="C137" s="1469"/>
      <c r="D137" s="1473" t="s">
        <v>7</v>
      </c>
      <c r="E137" s="1473"/>
      <c r="F137" s="1864" t="s">
        <v>7</v>
      </c>
      <c r="G137" s="1864"/>
      <c r="H137" s="757" t="s">
        <v>58</v>
      </c>
      <c r="I137" s="758" t="s">
        <v>196</v>
      </c>
      <c r="J137" s="756" t="s">
        <v>8</v>
      </c>
      <c r="K137" s="756" t="s">
        <v>9</v>
      </c>
      <c r="L137" s="401" t="s">
        <v>10</v>
      </c>
      <c r="M137" s="1473" t="s">
        <v>145</v>
      </c>
      <c r="N137" s="1475"/>
    </row>
    <row r="138" spans="1:15" ht="24.75" customHeight="1" thickBot="1">
      <c r="A138" s="345" t="s">
        <v>318</v>
      </c>
      <c r="B138" s="1702"/>
      <c r="C138" s="1703"/>
      <c r="D138" s="2200"/>
      <c r="E138" s="2201"/>
      <c r="F138" s="2202"/>
      <c r="G138" s="2203"/>
      <c r="H138" s="432"/>
      <c r="I138" s="369"/>
      <c r="J138" s="369"/>
      <c r="K138" s="369"/>
      <c r="L138" s="370"/>
      <c r="M138" s="2204"/>
      <c r="N138" s="2205"/>
    </row>
    <row r="139" spans="1:15" s="1161" customFormat="1" ht="17" thickBot="1">
      <c r="A139" s="108" t="s">
        <v>189</v>
      </c>
      <c r="B139" s="1456"/>
      <c r="C139" s="1586"/>
      <c r="D139" s="1457"/>
      <c r="E139" s="1457"/>
      <c r="F139" s="1619"/>
      <c r="G139" s="1620"/>
      <c r="H139" s="1158"/>
      <c r="I139" s="109"/>
      <c r="J139" s="1141"/>
      <c r="K139" s="109"/>
      <c r="L139" s="1141"/>
      <c r="M139" s="1617"/>
      <c r="N139" s="1486"/>
      <c r="O139" s="274"/>
    </row>
    <row r="140" spans="1:15">
      <c r="A140" s="32" t="s">
        <v>29</v>
      </c>
      <c r="B140" s="1444">
        <f>'CVWD Total'!B126:C126+'SAWC Total'!B125:C125+'FWC Total'!B127:C127+'Upland Total'!B126:C126+'MVWD Total '!B126:C126+'Chino Hills Total'!B126:C126+'Chino Total'!B126:C126+'Ontario Total'!B126:C126</f>
        <v>3444</v>
      </c>
      <c r="C140" s="1422"/>
      <c r="D140" s="1444">
        <f>'CVWD Total'!D126:E126+'SAWC Total'!D125:E125+'FWC Total'!D127:E127+'Upland Total'!D126:E126+'MVWD Total '!D126:E126+'Chino Hills Total'!D126:E126+'Chino Total'!D126:E126+'Ontario Total'!D126:E126</f>
        <v>27611030.159999996</v>
      </c>
      <c r="E140" s="1422"/>
      <c r="F140" s="1444">
        <f>'CVWD Total'!F126:G126+'SAWC Total'!F125:G125+'FWC Total'!F127:G127+'Upland Total'!F126:G126+'MVWD Total '!F126:G126+'Chino Hills Total'!F126:G126+'Chino Total'!F126:G126+'Ontario Total'!F126:G126</f>
        <v>84.722400000000007</v>
      </c>
      <c r="G140" s="1422"/>
      <c r="H140" s="760">
        <f>'CVWD Total'!H126+'SAWC Total'!H125+'FWC Total'!H127+'Upland Total'!H126+'MVWD Total '!H126+'Chino Hills Total'!H126+'Chino Total'!H126+'Ontario Total'!H126</f>
        <v>1694.4480000000001</v>
      </c>
      <c r="I140" s="173">
        <f>'CVWD Total'!I126+'SAWC Total'!I125+'FWC Total'!I127+'Upland Total'!I126+'MVWD Total '!I126+'Chino Hills Total'!I126+'Chino Total'!I126+'Ontario Total'!I126</f>
        <v>0</v>
      </c>
      <c r="J140" s="173">
        <f>'CVWD Total'!J126+'SAWC Total'!J125+'FWC Total'!J127+'Upland Total'!J126+'MVWD Total '!J126+'Chino Hills Total'!J126+'Chino Total'!J126+'Ontario Total'!J126</f>
        <v>249565</v>
      </c>
      <c r="K140" s="173">
        <f>'CVWD Total'!K126+'SAWC Total'!K125+'FWC Total'!K127+'Upland Total'!K126+'MVWD Total '!K126+'Chino Hills Total'!K126+'Chino Total'!K126+'Ontario Total'!K126</f>
        <v>137500</v>
      </c>
      <c r="L140" s="173">
        <f>'CVWD Total'!L126+'SAWC Total'!L125+'FWC Total'!L127+'Upland Total'!L126+'MVWD Total '!L126+'Chino Hills Total'!L126+'Chino Total'!L126+'Ontario Total'!L126</f>
        <v>387065</v>
      </c>
      <c r="M140" s="1539">
        <f>IF(ISERROR(L140/(F140*744)),0,L140/(F140*744))</f>
        <v>6.1406269878329516</v>
      </c>
      <c r="N140" s="1540"/>
    </row>
    <row r="141" spans="1:15">
      <c r="A141" s="32" t="s">
        <v>33</v>
      </c>
      <c r="B141" s="1444">
        <f>'CVWD Total'!B127:C127+'SAWC Total'!B126:C126+'FWC Total'!B128:C128+'Upland Total'!B127:C127+'MVWD Total '!B127:C127+'Chino Hills Total'!B127:C127+'Chino Total'!B127:C127+'Ontario Total'!B127:C127</f>
        <v>690</v>
      </c>
      <c r="C141" s="1422"/>
      <c r="D141" s="1444">
        <f>'CVWD Total'!D127:E127+'SAWC Total'!D126:E126+'FWC Total'!D128:E128+'Upland Total'!D127:E127+'MVWD Total '!D127:E127+'Chino Hills Total'!D127:E127+'Chino Total'!D127:E127+'Ontario Total'!D127:E127</f>
        <v>7758049.4999999991</v>
      </c>
      <c r="E141" s="1422"/>
      <c r="F141" s="1444">
        <f>'CVWD Total'!F127:G127+'SAWC Total'!F126:G126+'FWC Total'!F128:G128+'Upland Total'!F127:G127+'MVWD Total '!F127:G127+'Chino Hills Total'!F127:G127+'Chino Total'!F127:G127+'Ontario Total'!F127:G127</f>
        <v>23.805000000000003</v>
      </c>
      <c r="G141" s="1422"/>
      <c r="H141" s="916">
        <f>'CVWD Total'!H127+'SAWC Total'!H126+'FWC Total'!H128+'Upland Total'!H127+'MVWD Total '!H127+'Chino Hills Total'!H127+'Chino Total'!H127+'Ontario Total'!H127</f>
        <v>333.2700000000001</v>
      </c>
      <c r="I141" s="173">
        <f>'CVWD Total'!I127+'SAWC Total'!I126+'FWC Total'!I128+'Upland Total'!I127+'MVWD Total '!I127+'Chino Hills Total'!I127+'Chino Total'!I127+'Ontario Total'!I127</f>
        <v>0</v>
      </c>
      <c r="J141" s="173">
        <f>'CVWD Total'!J127+'SAWC Total'!J126+'FWC Total'!J128+'Upland Total'!J127+'MVWD Total '!J127+'Chino Hills Total'!J127+'Chino Total'!J127+'Ontario Total'!J127</f>
        <v>14205</v>
      </c>
      <c r="K141" s="173">
        <f>'CVWD Total'!K127+'SAWC Total'!K126+'FWC Total'!K128+'Upland Total'!K127+'MVWD Total '!K127+'Chino Hills Total'!K127+'Chino Total'!K127+'Ontario Total'!K127</f>
        <v>58565</v>
      </c>
      <c r="L141" s="173">
        <f>'CVWD Total'!L127+'SAWC Total'!L126+'FWC Total'!L128+'Upland Total'!L127+'MVWD Total '!L127+'Chino Hills Total'!L127+'Chino Total'!L127+'Ontario Total'!L127</f>
        <v>72770</v>
      </c>
      <c r="M141" s="1539">
        <f t="shared" ref="M141:M147" si="9">IF(ISERROR(L141/(F141*744)),0,L141/(F141*744))</f>
        <v>4.108764536229625</v>
      </c>
      <c r="N141" s="1540"/>
    </row>
    <row r="142" spans="1:15">
      <c r="A142" s="32" t="s">
        <v>56</v>
      </c>
      <c r="B142" s="1444">
        <f>'CVWD Total'!B128:C128+'SAWC Total'!B127:C127+'FWC Total'!B129:C129+'Upland Total'!B128:C128+'MVWD Total '!B128:C128+'Chino Hills Total'!B128:C128+'Chino Total'!B128:C128+'Ontario Total'!B128:C128</f>
        <v>4555</v>
      </c>
      <c r="C142" s="1422"/>
      <c r="D142" s="1444">
        <f>'CVWD Total'!D128:E128+'SAWC Total'!D127:E127+'FWC Total'!D129:E129+'Upland Total'!D128:E128+'MVWD Total '!D128:E128+'Chino Hills Total'!D128:E128+'Chino Total'!D128:E128+'Ontario Total'!D128:E128</f>
        <v>6530705.7420000015</v>
      </c>
      <c r="E142" s="1422"/>
      <c r="F142" s="1444">
        <f>'CVWD Total'!F128:G128+'SAWC Total'!F127:G127+'FWC Total'!F129:G129+'Upland Total'!F128:G128+'MVWD Total '!F128:G128+'Chino Hills Total'!F128:G128+'Chino Total'!F128:G128+'Ontario Total'!F128:G128</f>
        <v>20.042000000000005</v>
      </c>
      <c r="G142" s="1422"/>
      <c r="H142" s="916">
        <f>'CVWD Total'!H128+'SAWC Total'!H127+'FWC Total'!H129+'Upland Total'!H128+'MVWD Total '!H128+'Chino Hills Total'!H128+'Chino Total'!H128+'Ontario Total'!H128</f>
        <v>100.21000000000001</v>
      </c>
      <c r="I142" s="173">
        <f>'CVWD Total'!I128+'SAWC Total'!I127+'FWC Total'!I129+'Upland Total'!I128+'MVWD Total '!I128+'Chino Hills Total'!I128+'Chino Total'!I128+'Ontario Total'!I128</f>
        <v>0</v>
      </c>
      <c r="J142" s="173">
        <f>'CVWD Total'!J128+'SAWC Total'!J127+'FWC Total'!J129+'Upland Total'!J128+'MVWD Total '!J128+'Chino Hills Total'!J128+'Chino Total'!J128+'Ontario Total'!J128</f>
        <v>1260</v>
      </c>
      <c r="K142" s="173">
        <f>'CVWD Total'!K128+'SAWC Total'!K127+'FWC Total'!K129+'Upland Total'!K128+'MVWD Total '!K128+'Chino Hills Total'!K128+'Chino Total'!K128+'Ontario Total'!K128</f>
        <v>1961.07</v>
      </c>
      <c r="L142" s="173">
        <f>'CVWD Total'!L128+'SAWC Total'!L127+'FWC Total'!L129+'Upland Total'!L128+'MVWD Total '!L128+'Chino Hills Total'!L128+'Chino Total'!L128+'Ontario Total'!L128</f>
        <v>3221.07</v>
      </c>
      <c r="M142" s="1539">
        <f t="shared" si="9"/>
        <v>0.21601612420368835</v>
      </c>
      <c r="N142" s="1540"/>
    </row>
    <row r="143" spans="1:15">
      <c r="A143" s="32" t="s">
        <v>52</v>
      </c>
      <c r="B143" s="1444">
        <f>'CVWD Total'!B129:C129+'SAWC Total'!B128:C128+'FWC Total'!B130:C130+'Upland Total'!B129:C129+'MVWD Total '!B129:C129+'Chino Hills Total'!B129:C129+'Chino Total'!B129:C129+'Ontario Total'!B129:C129</f>
        <v>334</v>
      </c>
      <c r="C143" s="1422"/>
      <c r="D143" s="1444">
        <f>'CVWD Total'!D129:E129+'SAWC Total'!D128:E128+'FWC Total'!D130:E130+'Upland Total'!D129:E129+'MVWD Total '!D129:E129+'Chino Hills Total'!D129:E129+'Chino Total'!D129:E129+'Ontario Total'!D129:E129</f>
        <v>4506414.84</v>
      </c>
      <c r="E143" s="1422"/>
      <c r="F143" s="1444">
        <f>'CVWD Total'!F129:G129+'SAWC Total'!F128:G128+'FWC Total'!F130:G130+'Upland Total'!F129:G129+'MVWD Total '!F129:G129+'Chino Hills Total'!F129:G129+'Chino Total'!F129:G129+'Ontario Total'!F129:G129</f>
        <v>13.8276</v>
      </c>
      <c r="G143" s="1422"/>
      <c r="H143" s="916">
        <f>'CVWD Total'!H129+'SAWC Total'!H128+'FWC Total'!H130+'Upland Total'!H129+'MVWD Total '!H129+'Chino Hills Total'!H129+'Chino Total'!H129+'Ontario Total'!H129</f>
        <v>138.27600000000001</v>
      </c>
      <c r="I143" s="173">
        <f>'CVWD Total'!I129+'SAWC Total'!I128+'FWC Total'!I130+'Upland Total'!I129+'MVWD Total '!I129+'Chino Hills Total'!I129+'Chino Total'!I129+'Ontario Total'!I129</f>
        <v>0</v>
      </c>
      <c r="J143" s="173">
        <f>'CVWD Total'!J129+'SAWC Total'!J128+'FWC Total'!J130+'Upland Total'!J129+'MVWD Total '!J129+'Chino Hills Total'!J129+'Chino Total'!J129+'Ontario Total'!J129</f>
        <v>9599.369999999999</v>
      </c>
      <c r="K143" s="173">
        <f>'CVWD Total'!K129+'SAWC Total'!K128+'FWC Total'!K130+'Upland Total'!K129+'MVWD Total '!K129+'Chino Hills Total'!K129+'Chino Total'!K129+'Ontario Total'!K129</f>
        <v>26951.95</v>
      </c>
      <c r="L143" s="173">
        <f>'CVWD Total'!L129+'SAWC Total'!L128+'FWC Total'!L130+'Upland Total'!L129+'MVWD Total '!L129+'Chino Hills Total'!L129+'Chino Total'!L129+'Ontario Total'!L129</f>
        <v>36551.32</v>
      </c>
      <c r="M143" s="1539">
        <f t="shared" si="9"/>
        <v>3.552902765452421</v>
      </c>
      <c r="N143" s="1540"/>
    </row>
    <row r="144" spans="1:15" ht="12.75" customHeight="1">
      <c r="A144" s="76" t="s">
        <v>338</v>
      </c>
      <c r="B144" s="1444">
        <f>'CVWD Total'!B130:C130+'SAWC Total'!B129:C129+'FWC Total'!B131:C131+'Upland Total'!B130:C130+'MVWD Total '!B130:C130+'Chino Hills Total'!B130:C130+'Chino Total'!B130:C130+'Ontario Total'!B130:C130</f>
        <v>166</v>
      </c>
      <c r="C144" s="1422"/>
      <c r="D144" s="1444">
        <f>'CVWD Total'!D130:E130+'SAWC Total'!D129:E129+'FWC Total'!D131:E131+'Upland Total'!D130:E130+'MVWD Total '!D130:E130+'Chino Hills Total'!D130:E130+'Chino Total'!D130:E130+'Ontario Total'!D130:E130</f>
        <v>10807440.397000002</v>
      </c>
      <c r="E144" s="1422"/>
      <c r="F144" s="1444">
        <f>'CVWD Total'!F130:G130+'SAWC Total'!F129:G129+'FWC Total'!F131:G131+'Upland Total'!F130:G130+'MVWD Total '!F130:G130+'Chino Hills Total'!F130:G130+'Chino Total'!F130:G130+'Ontario Total'!F130:G130</f>
        <v>33.161830000000002</v>
      </c>
      <c r="G144" s="1422"/>
      <c r="H144" s="916">
        <f>'CVWD Total'!H130+'SAWC Total'!H129+'FWC Total'!H131+'Upland Total'!H130+'MVWD Total '!H130+'Chino Hills Total'!H130+'Chino Total'!H130+'Ontario Total'!H130</f>
        <v>331.61830000000003</v>
      </c>
      <c r="I144" s="173">
        <f>'CVWD Total'!I130+'SAWC Total'!I129+'FWC Total'!I131+'Upland Total'!I130+'MVWD Total '!I130+'Chino Hills Total'!I130+'Chino Total'!I130+'Ontario Total'!I130</f>
        <v>0</v>
      </c>
      <c r="J144" s="173">
        <f>'CVWD Total'!J130+'SAWC Total'!J129+'FWC Total'!J131+'Upland Total'!J130+'MVWD Total '!J130+'Chino Hills Total'!J130+'Chino Total'!J130+'Ontario Total'!J130</f>
        <v>0</v>
      </c>
      <c r="K144" s="173">
        <f>'CVWD Total'!K130+'SAWC Total'!K129+'FWC Total'!K131+'Upland Total'!K130+'MVWD Total '!K130+'Chino Hills Total'!K130+'Chino Total'!K130+'Ontario Total'!K130</f>
        <v>478360</v>
      </c>
      <c r="L144" s="173">
        <f>'CVWD Total'!L130+'SAWC Total'!L129+'FWC Total'!L131+'Upland Total'!L130+'MVWD Total '!L130+'Chino Hills Total'!L130+'Chino Total'!L130+'Ontario Total'!L130</f>
        <v>478360</v>
      </c>
      <c r="M144" s="1539">
        <f t="shared" si="9"/>
        <v>19.388465270080442</v>
      </c>
      <c r="N144" s="1540"/>
    </row>
    <row r="145" spans="1:15" ht="12.75" customHeight="1">
      <c r="A145" s="76" t="s">
        <v>214</v>
      </c>
      <c r="B145" s="1444">
        <f>'CVWD Total'!B131:C131+'SAWC Total'!B130:C130+'FWC Total'!B132:C132+'Upland Total'!B131:C131+'MVWD Total '!B131:C131+'Chino Hills Total'!B131:C131+'Chino Total'!B131:C131+'Ontario Total'!B131:C131</f>
        <v>275</v>
      </c>
      <c r="C145" s="1422"/>
      <c r="D145" s="1444">
        <f>'CVWD Total'!D131:E131+'SAWC Total'!D130:E130+'FWC Total'!D132:E132+'Upland Total'!D131:E131+'MVWD Total '!D131:E131+'Chino Hills Total'!D131:E131+'Chino Total'!D131:E131+'Ontario Total'!D131:E131</f>
        <v>170282.75</v>
      </c>
      <c r="E145" s="1422"/>
      <c r="F145" s="1444">
        <f>'CVWD Total'!F131:G131+'SAWC Total'!F130:G130+'FWC Total'!F132:G132+'Upland Total'!F131:G131+'MVWD Total '!F131:G131+'Chino Hills Total'!F131:G131+'Chino Total'!F131:G131+'Ontario Total'!F131:G131</f>
        <v>0.52249999999999996</v>
      </c>
      <c r="G145" s="1422"/>
      <c r="H145" s="916">
        <f>'CVWD Total'!H131+'SAWC Total'!H130+'FWC Total'!H132+'Upland Total'!H131+'MVWD Total '!H131+'Chino Hills Total'!H131+'Chino Total'!H131+'Ontario Total'!H131</f>
        <v>2.6125000000000003</v>
      </c>
      <c r="I145" s="173">
        <f>'CVWD Total'!I131+'SAWC Total'!I130+'FWC Total'!I132+'Upland Total'!I131+'MVWD Total '!I131+'Chino Hills Total'!I131+'Chino Total'!I131+'Ontario Total'!I131</f>
        <v>0</v>
      </c>
      <c r="J145" s="173">
        <f>'CVWD Total'!J131+'SAWC Total'!J130+'FWC Total'!J132+'Upland Total'!J131+'MVWD Total '!J131+'Chino Hills Total'!J131+'Chino Total'!J131+'Ontario Total'!J131</f>
        <v>0</v>
      </c>
      <c r="K145" s="173">
        <f>'CVWD Total'!K131+'SAWC Total'!K130+'FWC Total'!K132+'Upland Total'!K131+'MVWD Total '!K131+'Chino Hills Total'!K131+'Chino Total'!K131+'Ontario Total'!K131</f>
        <v>19979.62</v>
      </c>
      <c r="L145" s="173">
        <f>'CVWD Total'!L131+'SAWC Total'!L130+'FWC Total'!L132+'Upland Total'!L131+'MVWD Total '!L131+'Chino Hills Total'!L131+'Chino Total'!L131+'Ontario Total'!L131</f>
        <v>19979.62</v>
      </c>
      <c r="M145" s="1539">
        <f t="shared" si="9"/>
        <v>51.395842979883732</v>
      </c>
      <c r="N145" s="1540"/>
    </row>
    <row r="146" spans="1:15" ht="12.75" customHeight="1">
      <c r="A146" s="76" t="s">
        <v>331</v>
      </c>
      <c r="B146" s="1444">
        <f>'CVWD Total'!B132:C132+'SAWC Total'!B131:C131+'FWC Total'!B133:C133+'Upland Total'!B132:C132+'MVWD Total '!B132:C132+'Chino Hills Total'!B132:C132+'Chino Total'!B132:C132+'Ontario Total'!B132:C132</f>
        <v>1</v>
      </c>
      <c r="C146" s="1422"/>
      <c r="D146" s="1444">
        <f>'CVWD Total'!D132:E132+'SAWC Total'!D131:E131+'FWC Total'!D133:E133+'Upland Total'!D132:E132+'MVWD Total '!D132:E132+'Chino Hills Total'!D132:E132+'Chino Total'!D132:E132+'Ontario Total'!D132:E132</f>
        <v>0</v>
      </c>
      <c r="E146" s="1422"/>
      <c r="F146" s="1432">
        <f>'CVWD Total'!F132:G132+'SAWC Total'!F131:G131+'FWC Total'!F133:G133+'Upland Total'!F132:G132+'MVWD Total '!F132:G132+'Chino Hills Total'!F132:G132+'Chino Total'!F132:G132+'Ontario Total'!F132:G132</f>
        <v>0</v>
      </c>
      <c r="G146" s="1433"/>
      <c r="H146" s="916">
        <f>'CVWD Total'!H132+'SAWC Total'!H131+'FWC Total'!H133+'Upland Total'!H132+'MVWD Total '!H132+'Chino Hills Total'!H132+'Chino Total'!H132+'Ontario Total'!H132</f>
        <v>0</v>
      </c>
      <c r="I146" s="173">
        <f>'CVWD Total'!I132+'SAWC Total'!I131+'FWC Total'!I133+'Upland Total'!I132+'MVWD Total '!I132+'Chino Hills Total'!I132+'Chino Total'!I132+'Ontario Total'!I132</f>
        <v>0</v>
      </c>
      <c r="J146" s="173">
        <f>'CVWD Total'!J132+'SAWC Total'!J131+'FWC Total'!J133+'Upland Total'!J132+'MVWD Total '!J132+'Chino Hills Total'!J132+'Chino Total'!J132+'Ontario Total'!J132</f>
        <v>0</v>
      </c>
      <c r="K146" s="173">
        <f>'CVWD Total'!K132</f>
        <v>300</v>
      </c>
      <c r="L146" s="173">
        <f>'CVWD Total'!L132+'SAWC Total'!L131+'FWC Total'!L133+'Upland Total'!L132+'MVWD Total '!L132+'Chino Hills Total'!L132+'Chino Total'!L132+'Ontario Total'!L132</f>
        <v>300</v>
      </c>
      <c r="M146" s="1539">
        <f t="shared" si="9"/>
        <v>0</v>
      </c>
      <c r="N146" s="1540"/>
    </row>
    <row r="147" spans="1:15" ht="12.75" customHeight="1" thickBot="1">
      <c r="A147" s="107" t="s">
        <v>269</v>
      </c>
      <c r="B147" s="1444">
        <f>'CVWD Total'!B133:C133+'SAWC Total'!B132:C132+'FWC Total'!B134:C134+'Upland Total'!B133:C133+'MVWD Total '!B133:C133+'Chino Hills Total'!B133:C133+'Chino Total'!B133:C133+'Ontario Total'!B133:C133</f>
        <v>0</v>
      </c>
      <c r="C147" s="1422"/>
      <c r="D147" s="1444">
        <f>'CVWD Total'!D133:E133+'SAWC Total'!D132:E132+'FWC Total'!D134:E134+'Upland Total'!D133:E133+'MVWD Total '!D133:E133+'Chino Hills Total'!D133:E133+'Chino Total'!D133:E133+'Ontario Total'!D133:E133</f>
        <v>0</v>
      </c>
      <c r="E147" s="1422"/>
      <c r="F147" s="1444">
        <f>'CVWD Total'!F133:G133+'SAWC Total'!F132:G132+'FWC Total'!F134:G134+'Upland Total'!F133:G133+'MVWD Total '!F133:G133+'Chino Hills Total'!F133:G133+'Chino Total'!F133:G133+'Ontario Total'!F133:G133</f>
        <v>0</v>
      </c>
      <c r="G147" s="1422"/>
      <c r="H147" s="916">
        <f>'CVWD Total'!H133+'SAWC Total'!H132+'FWC Total'!H134+'Upland Total'!H133+'MVWD Total '!H133+'Chino Hills Total'!H133+'Chino Total'!H133+'Ontario Total'!H133</f>
        <v>0</v>
      </c>
      <c r="I147" s="173">
        <f>'CVWD Total'!I133+'SAWC Total'!I132+'FWC Total'!I134+'Upland Total'!I133+'MVWD Total '!I133+'Chino Hills Total'!I133+'Chino Total'!I133+'Ontario Total'!I133</f>
        <v>0</v>
      </c>
      <c r="J147" s="173">
        <f>'CVWD Total'!J133+'SAWC Total'!J132+'FWC Total'!J134+'Upland Total'!J133+'MVWD Total '!J133+'Chino Hills Total'!J133+'Chino Total'!J133+'Ontario Total'!J133</f>
        <v>0</v>
      </c>
      <c r="K147" s="173">
        <f>'CVWD Total'!K133+'SAWC Total'!K132+'FWC Total'!K134+'Upland Total'!K133+'MVWD Total '!K133+'Chino Hills Total'!K133+'Chino Total'!K133+'Ontario Total'!K133</f>
        <v>0</v>
      </c>
      <c r="L147" s="173">
        <f>'CVWD Total'!L133+'SAWC Total'!L132+'FWC Total'!L134+'Upland Total'!L133+'MVWD Total '!L133+'Chino Hills Total'!L133+'Chino Total'!L133+'Ontario Total'!L133</f>
        <v>0</v>
      </c>
      <c r="M147" s="1539">
        <f t="shared" si="9"/>
        <v>0</v>
      </c>
      <c r="N147" s="1540"/>
    </row>
    <row r="148" spans="1:15" s="1161" customFormat="1" ht="17" thickBot="1">
      <c r="A148" s="108" t="s">
        <v>190</v>
      </c>
      <c r="B148" s="1456"/>
      <c r="C148" s="1586"/>
      <c r="D148" s="1989"/>
      <c r="E148" s="1989"/>
      <c r="F148" s="1567"/>
      <c r="G148" s="1586"/>
      <c r="H148" s="195"/>
      <c r="I148" s="194"/>
      <c r="J148" s="195"/>
      <c r="K148" s="194"/>
      <c r="L148" s="194"/>
      <c r="M148" s="1593"/>
      <c r="N148" s="1542"/>
      <c r="O148" s="274"/>
    </row>
    <row r="149" spans="1:15">
      <c r="A149" s="76" t="s">
        <v>205</v>
      </c>
      <c r="B149" s="1444">
        <f>'CVWD Total'!B135:C135+'SAWC Total'!B134:C134+'FWC Total'!B136:C136+'Upland Total'!B135:C135+'MVWD Total '!B135:C135+'Chino Hills Total'!B135:C135+'Chino Total'!B135:C135+'Ontario Total'!B135:C135</f>
        <v>2948</v>
      </c>
      <c r="C149" s="1444"/>
      <c r="D149" s="1795">
        <f>'CVWD Total'!D135:E135+'SAWC Total'!D134:E134+'FWC Total'!D136:E136+'Upland Total'!D135:E135+'MVWD Total '!D135:E135+'Chino Hills Total'!D135:E135+'Chino Total'!D135:E135+'Ontario Total'!D135:E135</f>
        <v>4227314.08</v>
      </c>
      <c r="E149" s="1466"/>
      <c r="F149" s="1794">
        <f>'CVWD Total'!F135:G135+'SAWC Total'!F134:G134+'FWC Total'!F136:G136+'Upland Total'!F135:G135+'MVWD Total '!F135:G135+'Chino Hills Total'!F135:G135+'Chino Total'!F135:G135+'Ontario Total'!F135:G135</f>
        <v>12.971200000000003</v>
      </c>
      <c r="G149" s="1466"/>
      <c r="H149" s="916">
        <f>'CVWD Total'!H135+'SAWC Total'!H134+'FWC Total'!H136+'Upland Total'!H135+'MVWD Total '!H135+'Chino Hills Total'!H135+'Chino Total'!H135+'Ontario Total'!H135</f>
        <v>64.856000000000009</v>
      </c>
      <c r="I149" s="173">
        <f>'CVWD Total'!I135+'SAWC Total'!I134+'FWC Total'!I136+'Upland Total'!I135+'MVWD Total '!I135+'Chino Hills Total'!I135+'Chino Total'!I135+'Ontario Total'!I135</f>
        <v>0</v>
      </c>
      <c r="J149" s="151">
        <f>'CVWD Total'!J135+'SAWC Total'!J134+'FWC Total'!J136+'Upland Total'!J135+'MVWD Total '!J135+'Chino Hills Total'!J135+'Chino Total'!J135+'Ontario Total'!J135</f>
        <v>4769.6000000000004</v>
      </c>
      <c r="K149" s="151">
        <f>'CVWD Total'!K135+'SAWC Total'!K134+'FWC Total'!K136+'Upland Total'!K135+'MVWD Total '!K135+'Chino Hills Total'!K135+'Chino Total'!K135+'Ontario Total'!K135</f>
        <v>5896</v>
      </c>
      <c r="L149" s="151">
        <f>'CVWD Total'!L135+'SAWC Total'!L134+'FWC Total'!L136+'Upland Total'!L135+'MVWD Total '!L135+'Chino Hills Total'!L135+'Chino Total'!L135+'Ontario Total'!L135</f>
        <v>10665.6</v>
      </c>
      <c r="M149" s="1539">
        <f>IF(ISERROR(L149/(F149*744)),0,L149/(F149*744))</f>
        <v>1.1051779227031995</v>
      </c>
      <c r="N149" s="1540"/>
    </row>
    <row r="150" spans="1:15">
      <c r="A150" s="76" t="s">
        <v>339</v>
      </c>
      <c r="B150" s="1444">
        <f>'CVWD Total'!B136:C136+'SAWC Total'!B135:C135+'FWC Total'!B137:C137+'Upland Total'!B136:C136+'MVWD Total '!B136:C136+'Chino Hills Total'!B136:C136+'Chino Total'!B136:C136+'Ontario Total'!B136:C136</f>
        <v>163</v>
      </c>
      <c r="C150" s="1444"/>
      <c r="D150" s="1467">
        <f>'CVWD Total'!D136:E136+'SAWC Total'!D135:E135+'FWC Total'!D137:E137+'Upland Total'!D136:E136+'MVWD Total '!D136:E136+'Chino Hills Total'!D136:E136+'Chino Total'!D136:E136+'Ontario Total'!D136:E136</f>
        <v>6270381.1799999997</v>
      </c>
      <c r="E150" s="1433"/>
      <c r="F150" s="1432">
        <f>'CVWD Total'!F136:G136+'SAWC Total'!F135:G135+'FWC Total'!F137:G137+'Upland Total'!F136:G136+'MVWD Total '!F136:G136+'Chino Hills Total'!F136:G136+'Chino Total'!F136:G136+'Ontario Total'!F136:G136</f>
        <v>19.240199999999998</v>
      </c>
      <c r="G150" s="1433"/>
      <c r="H150" s="916">
        <f>'CVWD Total'!H136+'SAWC Total'!H135+'FWC Total'!H137+'Upland Total'!H136+'MVWD Total '!H136+'Chino Hills Total'!H136+'Chino Total'!H136+'Ontario Total'!H136</f>
        <v>145.55999999999997</v>
      </c>
      <c r="I150" s="173">
        <f>'CVWD Total'!I136+'SAWC Total'!I135+'FWC Total'!I137+'Upland Total'!I136+'MVWD Total '!I136+'Chino Hills Total'!I136+'Chino Total'!I136+'Ontario Total'!I136</f>
        <v>75673.12999999999</v>
      </c>
      <c r="J150" s="151">
        <f>'CVWD Total'!J136+'SAWC Total'!J135+'FWC Total'!J137+'Upland Total'!J136+'MVWD Total '!J136+'Chino Hills Total'!J136+'Chino Total'!J136+'Ontario Total'!J136</f>
        <v>2314.4800000000005</v>
      </c>
      <c r="K150" s="151">
        <f>'CVWD Total'!K136+'SAWC Total'!K135+'FWC Total'!K137+'Upland Total'!K136+'MVWD Total '!K136+'Chino Hills Total'!K136+'Chino Total'!K136+'Ontario Total'!K136</f>
        <v>73358.92</v>
      </c>
      <c r="L150" s="151">
        <f>'CVWD Total'!L136+'SAWC Total'!L135+'FWC Total'!L137+'Upland Total'!L136+'MVWD Total '!L136+'Chino Hills Total'!L136+'Chino Total'!L136+'Ontario Total'!L136</f>
        <v>151346.52999999997</v>
      </c>
      <c r="M150" s="1539">
        <f t="shared" ref="M150:M152" si="10">IF(ISERROR(L150/(F150*744)),0,L150/(F150*744))</f>
        <v>10.572798379244709</v>
      </c>
      <c r="N150" s="1540"/>
    </row>
    <row r="151" spans="1:15">
      <c r="A151" s="76" t="s">
        <v>349</v>
      </c>
      <c r="B151" s="1444">
        <f>'CVWD Total'!B137:C137+'SAWC Total'!B136:C136+'FWC Total'!B138:C138+'Upland Total'!B137:C137+'MVWD Total '!B137:C137+'Chino Hills Total'!B137:C137+'Chino Total'!B137:C137+'Ontario Total'!B137:C137</f>
        <v>153</v>
      </c>
      <c r="C151" s="1444"/>
      <c r="D151" s="1467">
        <f>'CVWD Total'!D137:E137+'SAWC Total'!D136:E136+'FWC Total'!D138:E138+'Upland Total'!D137:E137+'MVWD Total '!D137:E137+'Chino Hills Total'!D137:E137+'Chino Total'!D137:E137+'Ontario Total'!D137:E137</f>
        <v>2064315.78</v>
      </c>
      <c r="E151" s="1433"/>
      <c r="F151" s="1432">
        <f>'CVWD Total'!F137:G137+'SAWC Total'!F136:G136+'FWC Total'!F138:G138+'Upland Total'!F137:G137+'MVWD Total '!F137:G137+'Chino Hills Total'!F137:G137+'Chino Total'!F137:G137+'Ontario Total'!F137:G137</f>
        <v>6.3342000000000001</v>
      </c>
      <c r="G151" s="1433"/>
      <c r="H151" s="916">
        <f>'CVWD Total'!H137+'SAWC Total'!H136+'FWC Total'!H138+'Upland Total'!H137+'MVWD Total '!H137+'Chino Hills Total'!H137+'Chino Total'!H137+'Ontario Total'!H137</f>
        <v>63.341999999999999</v>
      </c>
      <c r="I151" s="173">
        <f>'CVWD Total'!I137+'SAWC Total'!I136+'FWC Total'!I138+'Upland Total'!I137+'MVWD Total '!I137+'Chino Hills Total'!I137+'Chino Total'!I137+'Ontario Total'!I137</f>
        <v>0</v>
      </c>
      <c r="J151" s="151">
        <f>'CVWD Total'!J137+'SAWC Total'!J136+'FWC Total'!J138+'Upland Total'!J137+'MVWD Total '!J137+'Chino Hills Total'!J137+'Chino Total'!J137+'Ontario Total'!J137</f>
        <v>66462.5</v>
      </c>
      <c r="K151" s="151">
        <f>'CVWD Total'!K137+'SAWC Total'!K136+'FWC Total'!K138+'Upland Total'!K137+'MVWD Total '!K137+'Chino Hills Total'!K137+'Chino Total'!K137+'Ontario Total'!K137</f>
        <v>28227.5</v>
      </c>
      <c r="L151" s="151">
        <f>'CVWD Total'!L137+'SAWC Total'!L136+'FWC Total'!L138+'Upland Total'!L137+'MVWD Total '!L137+'Chino Hills Total'!L137+'Chino Total'!L137+'Ontario Total'!L137</f>
        <v>94690</v>
      </c>
      <c r="M151" s="1539">
        <f t="shared" si="10"/>
        <v>20.092751314506028</v>
      </c>
      <c r="N151" s="1540"/>
    </row>
    <row r="152" spans="1:15" s="121" customFormat="1" ht="14" thickBot="1">
      <c r="A152" s="76" t="s">
        <v>266</v>
      </c>
      <c r="B152" s="1768">
        <f>'CVWD Total'!B138:C138+'SAWC Total'!B137:C137+'FWC Total'!B139:C139+'Upland Total'!B138:C138+'MVWD Total '!B138:C138+'Chino Hills Total'!B138:C138+'Chino Total'!B138:C138+'Ontario Total'!B138:C138</f>
        <v>161</v>
      </c>
      <c r="C152" s="1768"/>
      <c r="D152" s="1744">
        <f>'CVWD Total'!D138:E138+'SAWC Total'!D137:E137+'FWC Total'!D139:E139+'Upland Total'!D138:E138+'MVWD Total '!D138:E138+'Chino Hills Total'!D138:E138+'Chino Total'!D138:E138+'Ontario Total'!D138:E138</f>
        <v>2866616.4</v>
      </c>
      <c r="E152" s="1437"/>
      <c r="F152" s="1436">
        <f>'CVWD Total'!F138:G138+'SAWC Total'!F137:G137+'FWC Total'!F139:G139+'Upland Total'!F138:G138+'MVWD Total '!F138:G138+'Chino Hills Total'!F138:G138+'Chino Total'!F138:G138+'Ontario Total'!F138:G138</f>
        <v>13.030000000000001</v>
      </c>
      <c r="G152" s="1437"/>
      <c r="H152" s="916">
        <f>'CVWD Total'!H138+'SAWC Total'!H137+'FWC Total'!H139+'Upland Total'!H138+'MVWD Total '!H138+'Chino Hills Total'!H138+'Chino Total'!H138+'Ontario Total'!H138</f>
        <v>130.29999999999998</v>
      </c>
      <c r="I152" s="173">
        <f>'CVWD Total'!I138+'SAWC Total'!I137+'FWC Total'!I139+'Upland Total'!I138+'MVWD Total '!I138+'Chino Hills Total'!I138+'Chino Total'!I138+'Ontario Total'!I138</f>
        <v>0</v>
      </c>
      <c r="J152" s="151">
        <f>'CVWD Total'!J138+'SAWC Total'!J137+'FWC Total'!J139+'Upland Total'!J138+'MVWD Total '!J138+'Chino Hills Total'!J138+'Chino Total'!J138+'Ontario Total'!J138</f>
        <v>23821.01</v>
      </c>
      <c r="K152" s="151">
        <f>'CVWD Total'!K138+'SAWC Total'!K137+'FWC Total'!K139+'Upland Total'!K138+'MVWD Total '!K138+'Chino Hills Total'!K138+'Chino Total'!K138+'Ontario Total'!K138</f>
        <v>26243.99</v>
      </c>
      <c r="L152" s="151">
        <f>'CVWD Total'!L138+'SAWC Total'!L137+'FWC Total'!L139+'Upland Total'!L138+'MVWD Total '!L138+'Chino Hills Total'!L138+'Chino Total'!L138+'Ontario Total'!L138</f>
        <v>50065</v>
      </c>
      <c r="M152" s="1539">
        <f t="shared" si="10"/>
        <v>5.1643642875415701</v>
      </c>
      <c r="N152" s="1540"/>
    </row>
    <row r="153" spans="1:15" ht="14" thickBot="1">
      <c r="A153" s="53" t="s">
        <v>60</v>
      </c>
      <c r="B153" s="1452">
        <f>SUM(B140:C152)</f>
        <v>12890</v>
      </c>
      <c r="C153" s="1453"/>
      <c r="D153" s="1827">
        <f>SUM(D140:E152)</f>
        <v>72812550.828999996</v>
      </c>
      <c r="E153" s="1780"/>
      <c r="F153" s="1827">
        <f>SUM(F140:G152)</f>
        <v>227.65693000000005</v>
      </c>
      <c r="G153" s="1780"/>
      <c r="H153" s="968">
        <f>SUM(H140:H152)</f>
        <v>3004.4928000000009</v>
      </c>
      <c r="I153" s="859">
        <f>SUM(I140:I152)</f>
        <v>75673.12999999999</v>
      </c>
      <c r="J153" s="859">
        <f>SUM(J140:J152)</f>
        <v>371996.95999999996</v>
      </c>
      <c r="K153" s="859">
        <f>SUM(K140:K152)</f>
        <v>857344.05</v>
      </c>
      <c r="L153" s="862">
        <f>SUM(L140:L152)</f>
        <v>1305014.1399999999</v>
      </c>
      <c r="M153" s="1694"/>
      <c r="N153" s="1603"/>
    </row>
    <row r="154" spans="1:15" s="1161" customFormat="1" ht="17" thickBot="1">
      <c r="A154" s="108" t="s">
        <v>194</v>
      </c>
      <c r="B154" s="1989"/>
      <c r="C154" s="1989"/>
      <c r="D154" s="1567"/>
      <c r="E154" s="1457"/>
      <c r="F154" s="1567"/>
      <c r="G154" s="1586"/>
      <c r="H154" s="997"/>
      <c r="I154" s="1162"/>
      <c r="J154" s="184"/>
      <c r="K154" s="184"/>
      <c r="L154" s="184"/>
      <c r="M154" s="1541"/>
      <c r="N154" s="1542"/>
      <c r="O154" s="274"/>
    </row>
    <row r="155" spans="1:15">
      <c r="A155" s="672" t="s">
        <v>29</v>
      </c>
      <c r="B155" s="1731">
        <f>'CVWD Total'!B141:C141+'SAWC Total'!B140:C140+'FWC Total'!B142:C142+'Upland Total'!B141:C141+'MVWD Total '!B141:C141+'Chino Hills Total'!B141:C141+'Chino Total'!B141:C141+'Ontario Total'!B141:C141</f>
        <v>611</v>
      </c>
      <c r="C155" s="1732"/>
      <c r="D155" s="1855">
        <f>'CVWD Total'!D141:E141+'SAWC Total'!D140:E140+'FWC Total'!D142:E142+'Upland Total'!D141:E141+'MVWD Total '!D141:E141+'Chino Hills Total'!D141:E141+'Chino Total'!D141:E141+'Ontario Total'!D141:E141</f>
        <v>4898472.54</v>
      </c>
      <c r="E155" s="1732"/>
      <c r="F155" s="1855">
        <f>'CVWD Total'!F141:G141+'SAWC Total'!F140:G140+'FWC Total'!F142:G142+'Upland Total'!F141:G141+'MVWD Total '!F141:G141+'Chino Hills Total'!F141:G141+'Chino Total'!F141:G141+'Ontario Total'!F141:G141</f>
        <v>15.0306</v>
      </c>
      <c r="G155" s="1732"/>
      <c r="H155" s="916">
        <f>'CVWD Total'!H141+'SAWC Total'!H140+'FWC Total'!H142+'Upland Total'!H141+'MVWD Total '!H141+'Chino Hills Total'!H141+'Chino Total'!H141+'Ontario Total'!H141</f>
        <v>300.61200000000002</v>
      </c>
      <c r="I155" s="173">
        <f>'CVWD Total'!I141+'SAWC Total'!I140+'FWC Total'!I142+'Upland Total'!I141+'MVWD Total '!I141+'Chino Hills Total'!I141+'Chino Total'!I141+'Ontario Total'!I141</f>
        <v>0</v>
      </c>
      <c r="J155" s="173">
        <f>'CVWD Total'!J141+'SAWC Total'!J140+'FWC Total'!J142+'Upland Total'!J141+'MVWD Total '!J141+'Chino Hills Total'!J141+'Chino Total'!J141+'Ontario Total'!J141</f>
        <v>29170</v>
      </c>
      <c r="K155" s="173">
        <f>'CVWD Total'!K141+'SAWC Total'!K140+'FWC Total'!K142+'Upland Total'!K141+'MVWD Total '!K141+'Chino Hills Total'!K141+'Chino Total'!K141+'Ontario Total'!K141</f>
        <v>65350</v>
      </c>
      <c r="L155" s="173">
        <f>'CVWD Total'!L141+'SAWC Total'!L140+'FWC Total'!L142+'Upland Total'!L141+'MVWD Total '!L141+'Chino Hills Total'!L141+'Chino Total'!L141+'Ontario Total'!L141</f>
        <v>94520</v>
      </c>
      <c r="M155" s="1539">
        <f>IF(ISERROR(L155/(F155*744)),0,L155/(F155*744))</f>
        <v>8.452291375772635</v>
      </c>
      <c r="N155" s="1540"/>
    </row>
    <row r="156" spans="1:15">
      <c r="A156" s="68" t="s">
        <v>51</v>
      </c>
      <c r="B156" s="1421">
        <f>'CVWD Total'!B142:C142+'SAWC Total'!B141:C141+'FWC Total'!B143:C143+'Upland Total'!B142:C142+'MVWD Total '!B142:C142+'Chino Hills Total'!B142:C142+'Chino Total'!B142:C142+'Ontario Total'!B142:C142</f>
        <v>0</v>
      </c>
      <c r="C156" s="1422"/>
      <c r="D156" s="1431">
        <f>'CVWD Total'!D142:E142+'SAWC Total'!D141:E141+'FWC Total'!D143:E143+'Upland Total'!D142:E142+'MVWD Total '!D142:E142+'Chino Hills Total'!D142:E142+'Chino Total'!D142:E142+'Ontario Total'!D142:E142</f>
        <v>0</v>
      </c>
      <c r="E156" s="1422"/>
      <c r="F156" s="1431">
        <f>'CVWD Total'!F142:G142+'SAWC Total'!F141:G141+'FWC Total'!F143:G143+'Upland Total'!F142:G142+'MVWD Total '!F142:G142+'Chino Hills Total'!F142:G142+'Chino Total'!F142:G142+'Ontario Total'!F142:G142</f>
        <v>0</v>
      </c>
      <c r="G156" s="1422"/>
      <c r="H156" s="916">
        <f>'CVWD Total'!H142+'SAWC Total'!H141+'FWC Total'!H143+'Upland Total'!H142+'MVWD Total '!H142+'Chino Hills Total'!H142+'Chino Total'!H142+'Ontario Total'!H142</f>
        <v>0</v>
      </c>
      <c r="I156" s="173">
        <f>'CVWD Total'!I142+'SAWC Total'!I141+'FWC Total'!I143+'Upland Total'!I142+'MVWD Total '!I142+'Chino Hills Total'!I142+'Chino Total'!I142+'Ontario Total'!I142</f>
        <v>0</v>
      </c>
      <c r="J156" s="173">
        <f>'CVWD Total'!J142+'SAWC Total'!J141+'FWC Total'!J143+'Upland Total'!J142+'MVWD Total '!J142+'Chino Hills Total'!J142+'Chino Total'!J142+'Ontario Total'!J142</f>
        <v>0</v>
      </c>
      <c r="K156" s="173">
        <f>'CVWD Total'!K142+'SAWC Total'!K141+'FWC Total'!K143+'Upland Total'!K142+'MVWD Total '!K142+'Chino Hills Total'!K142+'Chino Total'!K142+'Ontario Total'!K142</f>
        <v>0</v>
      </c>
      <c r="L156" s="173">
        <f>'CVWD Total'!L142+'SAWC Total'!L141+'FWC Total'!L143+'Upland Total'!L142+'MVWD Total '!L142+'Chino Hills Total'!L142+'Chino Total'!L142+'Ontario Total'!L142</f>
        <v>0</v>
      </c>
      <c r="M156" s="1539">
        <f t="shared" ref="M156:M166" si="11">IF(ISERROR(L156/(F156*744)),0,L156/(F156*744))</f>
        <v>0</v>
      </c>
      <c r="N156" s="1540"/>
    </row>
    <row r="157" spans="1:15">
      <c r="A157" s="2" t="s">
        <v>204</v>
      </c>
      <c r="B157" s="1421">
        <f>'CVWD Total'!B143:C143+'SAWC Total'!B142:C142+'FWC Total'!B144:C144+'Upland Total'!B143:C143+'MVWD Total '!B143:C143+'Chino Hills Total'!B143:C143+'Chino Total'!B143:C143+'Ontario Total'!B143:C143</f>
        <v>2</v>
      </c>
      <c r="C157" s="1422"/>
      <c r="D157" s="1431">
        <f>'CVWD Total'!D143:E143+'SAWC Total'!D142:E142+'FWC Total'!D144:E144+'Upland Total'!D143:E143+'MVWD Total '!D143:E143+'Chino Hills Total'!D143:E143+'Chino Total'!D143:E143+'Ontario Total'!D143:E143</f>
        <v>419696.08799999999</v>
      </c>
      <c r="E157" s="1422"/>
      <c r="F157" s="1431">
        <f>'CVWD Total'!F143:G143+'SAWC Total'!F142:G142+'FWC Total'!F144:G144+'Upland Total'!F143:G143+'MVWD Total '!F143:G143+'Chino Hills Total'!F143:G143+'Chino Total'!F143:G143+'Ontario Total'!F143:G143</f>
        <v>1.288</v>
      </c>
      <c r="G157" s="1422"/>
      <c r="H157" s="916">
        <f>'CVWD Total'!H143+'SAWC Total'!H142+'FWC Total'!H144+'Upland Total'!H143+'MVWD Total '!H143+'Chino Hills Total'!H143+'Chino Total'!H143+'Ontario Total'!H143</f>
        <v>6.44</v>
      </c>
      <c r="I157" s="173">
        <f>'CVWD Total'!I143+'SAWC Total'!I142+'FWC Total'!I144+'Upland Total'!I143+'MVWD Total '!I143+'Chino Hills Total'!I143+'Chino Total'!I143+'Ontario Total'!I143</f>
        <v>0</v>
      </c>
      <c r="J157" s="173">
        <f>'CVWD Total'!J143+'SAWC Total'!J142+'FWC Total'!J144+'Upland Total'!J143+'MVWD Total '!J143+'Chino Hills Total'!J143+'Chino Total'!J143+'Ontario Total'!J143</f>
        <v>290</v>
      </c>
      <c r="K157" s="173">
        <f>'CVWD Total'!K143+'SAWC Total'!K142+'FWC Total'!K144+'Upland Total'!K143+'MVWD Total '!K143+'Chino Hills Total'!K143+'Chino Total'!K143+'Ontario Total'!K143</f>
        <v>1750</v>
      </c>
      <c r="L157" s="173">
        <f>'CVWD Total'!L143+'SAWC Total'!L142+'FWC Total'!L144+'Upland Total'!L143+'MVWD Total '!L143+'Chino Hills Total'!L143+'Chino Total'!L143+'Ontario Total'!L143</f>
        <v>2040</v>
      </c>
      <c r="M157" s="1539">
        <f t="shared" si="11"/>
        <v>2.1288318974153477</v>
      </c>
      <c r="N157" s="1540"/>
    </row>
    <row r="158" spans="1:15">
      <c r="A158" s="254" t="s">
        <v>30</v>
      </c>
      <c r="B158" s="1421">
        <f>'CVWD Total'!B144:C144+'SAWC Total'!B143:C143+'FWC Total'!B145:C145+'Upland Total'!B144:C144+'MVWD Total '!B144:C144+'Chino Hills Total'!B144:C144+'Chino Total'!B144:C144+'Ontario Total'!B144:C144</f>
        <v>139</v>
      </c>
      <c r="C158" s="1422"/>
      <c r="D158" s="1431">
        <f>'CVWD Total'!D144:E144+'SAWC Total'!D143:E143+'FWC Total'!D145:E145+'Upland Total'!D144:E144+'MVWD Total '!D144:E144+'Chino Hills Total'!D144:E144+'Chino Total'!D144:E144+'Ontario Total'!D144:E144</f>
        <v>584371.29</v>
      </c>
      <c r="E158" s="1422"/>
      <c r="F158" s="1431">
        <f>'CVWD Total'!F144:G144+'SAWC Total'!F143:G143+'FWC Total'!F145:G145+'Upland Total'!F144:G144+'MVWD Total '!F144:G144+'Chino Hills Total'!F144:G144+'Chino Total'!F144:G144+'Ontario Total'!F144:G144</f>
        <v>1.7930999999999999</v>
      </c>
      <c r="G158" s="1422"/>
      <c r="H158" s="916">
        <f>'CVWD Total'!H144+'SAWC Total'!H143+'FWC Total'!H145+'Upland Total'!H144+'MVWD Total '!H144+'Chino Hills Total'!H144+'Chino Total'!H144+'Ontario Total'!H144</f>
        <v>17.931000000000001</v>
      </c>
      <c r="I158" s="173">
        <f>'CVWD Total'!I144+'SAWC Total'!I143+'FWC Total'!I145+'Upland Total'!I144+'MVWD Total '!I144+'Chino Hills Total'!I144+'Chino Total'!I144+'Ontario Total'!I144</f>
        <v>0</v>
      </c>
      <c r="J158" s="173">
        <f>'CVWD Total'!J144+'SAWC Total'!J143+'FWC Total'!J145+'Upland Total'!J144+'MVWD Total '!J144+'Chino Hills Total'!J144+'Chino Total'!J144+'Ontario Total'!J144</f>
        <v>36138.75</v>
      </c>
      <c r="K158" s="173">
        <f>'CVWD Total'!K144+'SAWC Total'!K143+'FWC Total'!K145+'Upland Total'!K144+'MVWD Total '!K144+'Chino Hills Total'!K144+'Chino Total'!K144+'Ontario Total'!K144</f>
        <v>158627.75</v>
      </c>
      <c r="L158" s="173">
        <f>'CVWD Total'!L144+'SAWC Total'!L143+'FWC Total'!L145+'Upland Total'!L144+'MVWD Total '!L144+'Chino Hills Total'!L144+'Chino Total'!L144+'Ontario Total'!L144</f>
        <v>194766.5</v>
      </c>
      <c r="M158" s="1539">
        <f t="shared" si="11"/>
        <v>145.99460716498069</v>
      </c>
      <c r="N158" s="1540"/>
    </row>
    <row r="159" spans="1:15">
      <c r="A159" s="69" t="s">
        <v>56</v>
      </c>
      <c r="B159" s="1421">
        <f>'CVWD Total'!B145:C145+'SAWC Total'!B144:C144+'FWC Total'!B146:C146+'Upland Total'!B145:C145+'MVWD Total '!B145:C145+'Chino Hills Total'!B145:C145+'Chino Total'!B145:C145+'Ontario Total'!B145:C145</f>
        <v>5175</v>
      </c>
      <c r="C159" s="1422"/>
      <c r="D159" s="1431">
        <f>'CVWD Total'!D145:E145+'SAWC Total'!D144:E144+'FWC Total'!D146:E146+'Upland Total'!D145:E145+'MVWD Total '!D145:E145+'Chino Hills Total'!D145:E145+'Chino Total'!D145:E145+'Ontario Total'!D145:E145</f>
        <v>7420743.0000000009</v>
      </c>
      <c r="E159" s="1422"/>
      <c r="F159" s="1431">
        <f>'CVWD Total'!F145:G145+'SAWC Total'!F144:G144+'FWC Total'!F146:G146+'Upland Total'!F145:G145+'MVWD Total '!F145:G145+'Chino Hills Total'!F145:G145+'Chino Total'!F145:G145+'Ontario Total'!F145:G145</f>
        <v>22.770000000000003</v>
      </c>
      <c r="G159" s="1422"/>
      <c r="H159" s="916">
        <f>'CVWD Total'!H145+'SAWC Total'!H144+'FWC Total'!H146+'Upland Total'!H145+'MVWD Total '!H145+'Chino Hills Total'!H145+'Chino Total'!H145+'Ontario Total'!H145</f>
        <v>113.85000000000002</v>
      </c>
      <c r="I159" s="173">
        <f>'CVWD Total'!I145+'SAWC Total'!I144+'FWC Total'!I146+'Upland Total'!I145+'MVWD Total '!I145+'Chino Hills Total'!I145+'Chino Total'!I145+'Ontario Total'!I145</f>
        <v>0</v>
      </c>
      <c r="J159" s="173">
        <f>'CVWD Total'!J145+'SAWC Total'!J144+'FWC Total'!J146+'Upland Total'!J145+'MVWD Total '!J145+'Chino Hills Total'!J145+'Chino Total'!J145+'Ontario Total'!J145</f>
        <v>10350</v>
      </c>
      <c r="K159" s="173">
        <f>'CVWD Total'!K145+'SAWC Total'!K144+'FWC Total'!K146+'Upland Total'!K145+'MVWD Total '!K145+'Chino Hills Total'!K145+'Chino Total'!K145+'Ontario Total'!K145</f>
        <v>10350</v>
      </c>
      <c r="L159" s="173">
        <f>'CVWD Total'!L145+'SAWC Total'!L144+'FWC Total'!L146+'Upland Total'!L145+'MVWD Total '!L145+'Chino Hills Total'!L145+'Chino Total'!L145+'Ontario Total'!L145</f>
        <v>20700</v>
      </c>
      <c r="M159" s="1539">
        <f t="shared" si="11"/>
        <v>1.2218963831867058</v>
      </c>
      <c r="N159" s="1540"/>
    </row>
    <row r="160" spans="1:15" ht="12.75" customHeight="1">
      <c r="A160" s="254" t="s">
        <v>122</v>
      </c>
      <c r="B160" s="1421">
        <f>'CVWD Total'!B146:C146+'SAWC Total'!B145:C145+'FWC Total'!B147:C147+'Upland Total'!B146:C146+'MVWD Total '!B146:C146+'Chino Hills Total'!B146:C146+'Chino Total'!B146:C146+'Ontario Total'!B146:C146</f>
        <v>0</v>
      </c>
      <c r="C160" s="1422"/>
      <c r="D160" s="1431">
        <f>'CVWD Total'!D146:E146+'SAWC Total'!D145:E145+'FWC Total'!D147:E147+'Upland Total'!D146:E146+'MVWD Total '!D146:E146+'Chino Hills Total'!D146:E146+'Chino Total'!D146:E146+'Ontario Total'!D146:E146</f>
        <v>0</v>
      </c>
      <c r="E160" s="1422"/>
      <c r="F160" s="1431">
        <f>'CVWD Total'!F146:G146+'SAWC Total'!F145:G145+'FWC Total'!F147:G147+'Upland Total'!F146:G146+'MVWD Total '!F146:G146+'Chino Hills Total'!F146:G146+'Chino Total'!F146:G146+'Ontario Total'!F146:G146</f>
        <v>0</v>
      </c>
      <c r="G160" s="1422"/>
      <c r="H160" s="916">
        <f>'CVWD Total'!H146+'SAWC Total'!H145+'FWC Total'!H147+'Upland Total'!H146+'MVWD Total '!H146+'Chino Hills Total'!H146+'Chino Total'!H146+'Ontario Total'!H146</f>
        <v>0</v>
      </c>
      <c r="I160" s="173">
        <f>'CVWD Total'!I146+'SAWC Total'!I145+'FWC Total'!I147+'Upland Total'!I146+'MVWD Total '!I146+'Chino Hills Total'!I146+'Chino Total'!I146+'Ontario Total'!I146</f>
        <v>0</v>
      </c>
      <c r="J160" s="173">
        <f>'CVWD Total'!J146+'SAWC Total'!J145+'FWC Total'!J147+'Upland Total'!J146+'MVWD Total '!J146+'Chino Hills Total'!J146+'Chino Total'!J146+'Ontario Total'!J146</f>
        <v>0</v>
      </c>
      <c r="K160" s="173">
        <f>'CVWD Total'!K146+'SAWC Total'!K145+'FWC Total'!K147+'Upland Total'!K146+'MVWD Total '!K146+'Chino Hills Total'!K146+'Chino Total'!K146+'Ontario Total'!K146</f>
        <v>0</v>
      </c>
      <c r="L160" s="173">
        <f>'CVWD Total'!L146+'SAWC Total'!L145+'FWC Total'!L147+'Upland Total'!L146+'MVWD Total '!L146+'Chino Hills Total'!L146+'Chino Total'!L146+'Ontario Total'!L146</f>
        <v>0</v>
      </c>
      <c r="M160" s="1539">
        <f t="shared" si="11"/>
        <v>0</v>
      </c>
      <c r="N160" s="1540"/>
    </row>
    <row r="161" spans="1:15">
      <c r="A161" s="257" t="s">
        <v>184</v>
      </c>
      <c r="B161" s="1421">
        <f>'CVWD Total'!B147:C147+'SAWC Total'!B146:C146+'FWC Total'!B148:C148+'Upland Total'!B147:C147+'MVWD Total '!B147:C147+'Chino Hills Total'!B147:C147+'Chino Total'!B147:C147+'Ontario Total'!B147:C147</f>
        <v>0</v>
      </c>
      <c r="C161" s="1422"/>
      <c r="D161" s="1431">
        <f>'CVWD Total'!D147:E147+'SAWC Total'!D146:E146+'FWC Total'!D148:E148+'Upland Total'!D147:E147+'MVWD Total '!D147:E147+'Chino Hills Total'!D147:E147+'Chino Total'!D147:E147+'Ontario Total'!D147:E147</f>
        <v>0</v>
      </c>
      <c r="E161" s="1422"/>
      <c r="F161" s="1431">
        <f>'CVWD Total'!F147:G147+'SAWC Total'!F146:G146+'FWC Total'!F148:G148+'Upland Total'!F147:G147+'MVWD Total '!F147:G147+'Chino Hills Total'!F147:G147+'Chino Total'!F147:G147+'Ontario Total'!F147:G147</f>
        <v>0</v>
      </c>
      <c r="G161" s="1422"/>
      <c r="H161" s="916">
        <f>'CVWD Total'!H147+'SAWC Total'!H146+'FWC Total'!H148+'Upland Total'!H147+'MVWD Total '!H147+'Chino Hills Total'!H147+'Chino Total'!H147+'Ontario Total'!H147</f>
        <v>0</v>
      </c>
      <c r="I161" s="173">
        <f>'CVWD Total'!I147+'SAWC Total'!I146+'FWC Total'!I148+'Upland Total'!I147+'MVWD Total '!I147+'Chino Hills Total'!I147+'Chino Total'!I147+'Ontario Total'!I147</f>
        <v>0</v>
      </c>
      <c r="J161" s="173">
        <f>'CVWD Total'!J147+'SAWC Total'!J146+'FWC Total'!J148+'Upland Total'!J147+'MVWD Total '!J147+'Chino Hills Total'!J147+'Chino Total'!J147+'Ontario Total'!J147</f>
        <v>0</v>
      </c>
      <c r="K161" s="173">
        <f>'CVWD Total'!K147+'SAWC Total'!K146+'FWC Total'!K148+'Upland Total'!K147+'MVWD Total '!K147+'Chino Hills Total'!K147+'Chino Total'!K147+'Ontario Total'!K147</f>
        <v>0</v>
      </c>
      <c r="L161" s="173">
        <f>'CVWD Total'!L147+'SAWC Total'!L146+'FWC Total'!L148+'Upland Total'!L147+'MVWD Total '!L147+'Chino Hills Total'!L147+'Chino Total'!L147+'Ontario Total'!L147</f>
        <v>0</v>
      </c>
      <c r="M161" s="1539">
        <f t="shared" si="11"/>
        <v>0</v>
      </c>
      <c r="N161" s="1540"/>
    </row>
    <row r="162" spans="1:15" s="57" customFormat="1">
      <c r="A162" s="258" t="s">
        <v>187</v>
      </c>
      <c r="B162" s="1421">
        <f>'CVWD Total'!B148:C148+'SAWC Total'!B147:C147+'FWC Total'!B149:C149+'Upland Total'!B148:C148+'MVWD Total '!B148:C148+'Chino Hills Total'!B148:C148+'Chino Total'!B148:C148+'Ontario Total'!B148:C148</f>
        <v>0</v>
      </c>
      <c r="C162" s="1422"/>
      <c r="D162" s="1431">
        <f>'CVWD Total'!D148:E148+'SAWC Total'!D147:E147+'FWC Total'!D149:E149+'Upland Total'!D148:E148+'MVWD Total '!D148:E148+'Chino Hills Total'!D148:E148+'Chino Total'!D148:E148+'Ontario Total'!D148:E148</f>
        <v>0</v>
      </c>
      <c r="E162" s="1422"/>
      <c r="F162" s="1431">
        <f>'CVWD Total'!F148:G148+'SAWC Total'!F147:G147+'FWC Total'!F149:G149+'Upland Total'!F148:G148+'MVWD Total '!F148:G148+'Chino Hills Total'!F148:G148+'Chino Total'!F148:G148+'Ontario Total'!F148:G148</f>
        <v>0</v>
      </c>
      <c r="G162" s="1422"/>
      <c r="H162" s="916">
        <f>'CVWD Total'!H148+'SAWC Total'!H147+'FWC Total'!H149+'Upland Total'!H148+'MVWD Total '!H148+'Chino Hills Total'!H148+'Chino Total'!H148+'Ontario Total'!H148</f>
        <v>0</v>
      </c>
      <c r="I162" s="173">
        <f>'CVWD Total'!I148+'SAWC Total'!I147+'FWC Total'!I149+'Upland Total'!I148+'MVWD Total '!I148+'Chino Hills Total'!I148+'Chino Total'!I148+'Ontario Total'!I148</f>
        <v>0</v>
      </c>
      <c r="J162" s="173">
        <f>'CVWD Total'!J148+'SAWC Total'!J147+'FWC Total'!J149+'Upland Total'!J148+'MVWD Total '!J148+'Chino Hills Total'!J148+'Chino Total'!J148+'Ontario Total'!J148</f>
        <v>0</v>
      </c>
      <c r="K162" s="173">
        <f>'CVWD Total'!K148+'SAWC Total'!K147+'FWC Total'!K149+'Upland Total'!K148+'MVWD Total '!K148+'Chino Hills Total'!K148+'Chino Total'!K148+'Ontario Total'!K148</f>
        <v>0</v>
      </c>
      <c r="L162" s="173">
        <f>'CVWD Total'!L148+'SAWC Total'!L147+'FWC Total'!L149+'Upland Total'!L148+'MVWD Total '!L148+'Chino Hills Total'!L148+'Chino Total'!L148+'Ontario Total'!L148</f>
        <v>0</v>
      </c>
      <c r="M162" s="1539">
        <f t="shared" si="11"/>
        <v>0</v>
      </c>
      <c r="N162" s="1540"/>
      <c r="O162" s="121"/>
    </row>
    <row r="163" spans="1:15" s="57" customFormat="1">
      <c r="A163" s="258" t="s">
        <v>188</v>
      </c>
      <c r="B163" s="1421">
        <f>'CVWD Total'!B149:C149+'SAWC Total'!B148:C148+'FWC Total'!B150:C150+'Upland Total'!B149:C149+'MVWD Total '!B149:C149+'Chino Hills Total'!B149:C149+'Chino Total'!B149:C149+'Ontario Total'!B149:C149</f>
        <v>1</v>
      </c>
      <c r="C163" s="1422"/>
      <c r="D163" s="1431">
        <f>'CVWD Total'!D149:E149+'SAWC Total'!D148:E148+'FWC Total'!D150:E150+'Upland Total'!D149:E149+'MVWD Total '!D149:E149+'Chino Hills Total'!D149:E149+'Chino Total'!D149:E149+'Ontario Total'!D149:E149</f>
        <v>50188.6</v>
      </c>
      <c r="E163" s="1422"/>
      <c r="F163" s="1431">
        <f>'CVWD Total'!F149:G149+'SAWC Total'!F148:G148+'FWC Total'!F150:G150+'Upland Total'!F149:G149+'MVWD Total '!F149:G149+'Chino Hills Total'!F149:G149+'Chino Total'!F149:G149+'Ontario Total'!F149:G149</f>
        <v>0.154</v>
      </c>
      <c r="G163" s="1422"/>
      <c r="H163" s="916">
        <f>'CVWD Total'!H149+'SAWC Total'!H148+'FWC Total'!H150+'Upland Total'!H149+'MVWD Total '!H149+'Chino Hills Total'!H149+'Chino Total'!H149+'Ontario Total'!H149</f>
        <v>1.54</v>
      </c>
      <c r="I163" s="173">
        <f>'CVWD Total'!I149+'SAWC Total'!I148+'FWC Total'!I150+'Upland Total'!I149+'MVWD Total '!I149+'Chino Hills Total'!I149+'Chino Total'!I149+'Ontario Total'!I149</f>
        <v>0</v>
      </c>
      <c r="J163" s="173">
        <f>'CVWD Total'!J149+'SAWC Total'!J148+'FWC Total'!J150+'Upland Total'!J149+'MVWD Total '!J149+'Chino Hills Total'!J149+'Chino Total'!J149+'Ontario Total'!J149</f>
        <v>1000</v>
      </c>
      <c r="K163" s="173">
        <f>'CVWD Total'!K149+'SAWC Total'!K148+'FWC Total'!K150+'Upland Total'!K149+'MVWD Total '!K149+'Chino Hills Total'!K149+'Chino Total'!K149+'Ontario Total'!K149</f>
        <v>1000</v>
      </c>
      <c r="L163" s="173">
        <f>'CVWD Total'!L149+'SAWC Total'!L148+'FWC Total'!L150+'Upland Total'!L149+'MVWD Total '!L149+'Chino Hills Total'!L149+'Chino Total'!L149+'Ontario Total'!L149</f>
        <v>2000</v>
      </c>
      <c r="M163" s="1539">
        <f t="shared" si="11"/>
        <v>17.455662616952942</v>
      </c>
      <c r="N163" s="1540"/>
      <c r="O163" s="121"/>
    </row>
    <row r="164" spans="1:15" s="57" customFormat="1">
      <c r="A164" s="258" t="s">
        <v>337</v>
      </c>
      <c r="B164" s="1421">
        <f>'CVWD Total'!B150:C150+'SAWC Total'!B149:C149+'FWC Total'!B151:C151+'Upland Total'!B150:C150+'MVWD Total '!B150:C150+'Chino Hills Total'!B150:C150+'Chino Total'!B150:C150+'Ontario Total'!B150:C150</f>
        <v>22</v>
      </c>
      <c r="C164" s="1422"/>
      <c r="D164" s="1431">
        <f>'CVWD Total'!D150:E150+'SAWC Total'!D149:E149+'FWC Total'!D151:E151+'Upland Total'!D150:E150+'MVWD Total '!D150:E150+'Chino Hills Total'!D150:E150+'Chino Total'!D150:E150+'Ontario Total'!D150:E150</f>
        <v>27026587.171999998</v>
      </c>
      <c r="E164" s="1422"/>
      <c r="F164" s="1431">
        <f>'CVWD Total'!F150:G150+'SAWC Total'!F149:G149+'FWC Total'!F151:G151+'Upland Total'!F150:G150+'MVWD Total '!F150:G150+'Chino Hills Total'!F150:G150+'Chino Total'!F150:G150+'Ontario Total'!F150:G150</f>
        <v>82.929079999999999</v>
      </c>
      <c r="G164" s="1422"/>
      <c r="H164" s="916">
        <f>'CVWD Total'!H150+'SAWC Total'!H149+'FWC Total'!H151+'Upland Total'!H150+'MVWD Total '!H150+'Chino Hills Total'!H150+'Chino Total'!H150+'Ontario Total'!H150</f>
        <v>829.29079999999999</v>
      </c>
      <c r="I164" s="173">
        <f>'CVWD Total'!I150+'SAWC Total'!I149+'FWC Total'!I151+'Upland Total'!I150+'MVWD Total '!I150+'Chino Hills Total'!I150+'Chino Total'!I150+'Ontario Total'!I150</f>
        <v>0</v>
      </c>
      <c r="J164" s="173">
        <f>'CVWD Total'!J150+'SAWC Total'!J149+'FWC Total'!J151+'Upland Total'!J150+'MVWD Total '!J150+'Chino Hills Total'!J150+'Chino Total'!J150+'Ontario Total'!J150</f>
        <v>100878</v>
      </c>
      <c r="K164" s="173">
        <f>'CVWD Total'!K150+'SAWC Total'!K149+'FWC Total'!K151+'Upland Total'!K150+'MVWD Total '!K150+'Chino Hills Total'!K150+'Chino Total'!K150+'Ontario Total'!K150</f>
        <v>732615.22</v>
      </c>
      <c r="L164" s="173">
        <f>'CVWD Total'!L150+'SAWC Total'!L149+'FWC Total'!L151+'Upland Total'!L150+'MVWD Total '!L150+'Chino Hills Total'!L150+'Chino Total'!L150+'Ontario Total'!L150</f>
        <v>833493.22</v>
      </c>
      <c r="M164" s="1539">
        <f t="shared" si="11"/>
        <v>13.508971593818542</v>
      </c>
      <c r="N164" s="1540"/>
      <c r="O164" s="121"/>
    </row>
    <row r="165" spans="1:15" s="57" customFormat="1">
      <c r="A165" s="258" t="s">
        <v>269</v>
      </c>
      <c r="B165" s="1421">
        <f>'CVWD Total'!B151:C151+'SAWC Total'!B150:C150+'FWC Total'!B152:C152+'Upland Total'!B151:C151+'MVWD Total '!B151:C151+'Chino Hills Total'!B151:C151+'Chino Total'!B151:C151+'Ontario Total'!B151:C151</f>
        <v>0</v>
      </c>
      <c r="C165" s="1422"/>
      <c r="D165" s="1431">
        <f>'CVWD Total'!D151:E151+'SAWC Total'!D150:E150+'FWC Total'!D152:E152+'Upland Total'!D151:E151+'MVWD Total '!D151:E151+'Chino Hills Total'!D151:E151+'Chino Total'!D151:E151+'Ontario Total'!D151:E151</f>
        <v>0</v>
      </c>
      <c r="E165" s="1422"/>
      <c r="F165" s="1431">
        <f>'CVWD Total'!F151:G151+'SAWC Total'!F150:G150+'FWC Total'!F152:G152+'Upland Total'!F151:G151+'MVWD Total '!F151:G151+'Chino Hills Total'!F151:G151+'Chino Total'!F151:G151+'Ontario Total'!F151:G151</f>
        <v>0</v>
      </c>
      <c r="G165" s="1422"/>
      <c r="H165" s="916">
        <f>'CVWD Total'!H151+'SAWC Total'!H150+'FWC Total'!H152+'Upland Total'!H151+'MVWD Total '!H151+'Chino Hills Total'!H151+'Chino Total'!H151+'Ontario Total'!H151</f>
        <v>0</v>
      </c>
      <c r="I165" s="173">
        <f>'CVWD Total'!I151+'SAWC Total'!I150+'FWC Total'!I152+'Upland Total'!I151+'MVWD Total '!I151+'Chino Hills Total'!I151+'Chino Total'!I151+'Ontario Total'!I151</f>
        <v>0</v>
      </c>
      <c r="J165" s="173">
        <f>'CVWD Total'!J151+'SAWC Total'!J150+'FWC Total'!J152+'Upland Total'!J151+'MVWD Total '!J151+'Chino Hills Total'!J151+'Chino Total'!J151+'Ontario Total'!J151</f>
        <v>0</v>
      </c>
      <c r="K165" s="173">
        <f>'CVWD Total'!K151+'SAWC Total'!K150+'FWC Total'!K152+'Upland Total'!K151+'MVWD Total '!K151+'Chino Hills Total'!K151+'Chino Total'!K151+'Ontario Total'!K151</f>
        <v>0</v>
      </c>
      <c r="L165" s="173">
        <f>'CVWD Total'!L151+'SAWC Total'!L150+'FWC Total'!L152+'Upland Total'!L151+'MVWD Total '!L151+'Chino Hills Total'!L151+'Chino Total'!L151+'Ontario Total'!L151</f>
        <v>0</v>
      </c>
      <c r="M165" s="1539">
        <f t="shared" si="11"/>
        <v>0</v>
      </c>
      <c r="N165" s="1540"/>
      <c r="O165" s="121"/>
    </row>
    <row r="166" spans="1:15" s="57" customFormat="1" ht="14" thickBot="1">
      <c r="A166" s="258" t="s">
        <v>268</v>
      </c>
      <c r="B166" s="1429">
        <f>'CVWD Total'!B152:C152+'SAWC Total'!B151:C151+'FWC Total'!B153:C153+'Upland Total'!B152:C152+'MVWD Total '!B152:C152+'Chino Hills Total'!B152:C152+'Chino Total'!B152:C152+'Ontario Total'!B152:C152</f>
        <v>1191</v>
      </c>
      <c r="C166" s="1430"/>
      <c r="D166" s="1734">
        <f>'CVWD Total'!D152:E152+'SAWC Total'!D151:E151+'FWC Total'!D153:E153+'Upland Total'!D152:E152+'MVWD Total '!D152:E152+'Chino Hills Total'!D152:E152+'Chino Total'!D152:E152+'Ontario Total'!D152:E152</f>
        <v>1630216.98</v>
      </c>
      <c r="E166" s="1430"/>
      <c r="F166" s="1734">
        <f>'CVWD Total'!F152:G152+'SAWC Total'!F151:G151+'FWC Total'!F153:G153+'Upland Total'!F152:G152+'MVWD Total '!F152:G152+'Chino Hills Total'!F152:G152+'Chino Total'!F152:G152+'Ontario Total'!F152:G152</f>
        <v>5.0022000000000002</v>
      </c>
      <c r="G166" s="1430"/>
      <c r="H166" s="916">
        <f>'CVWD Total'!H152+'SAWC Total'!H151+'FWC Total'!H153+'Upland Total'!H152+'MVWD Total '!H152+'Chino Hills Total'!H152+'Chino Total'!H152+'Ontario Total'!H152</f>
        <v>50.021999999999998</v>
      </c>
      <c r="I166" s="173">
        <f>'CVWD Total'!I152+'SAWC Total'!I151+'FWC Total'!I153+'Upland Total'!I152+'MVWD Total '!I152+'Chino Hills Total'!I152+'Chino Total'!I152+'Ontario Total'!I152</f>
        <v>0</v>
      </c>
      <c r="J166" s="173">
        <f>'CVWD Total'!J152+'SAWC Total'!J151+'FWC Total'!J153+'Upland Total'!J152+'MVWD Total '!J152+'Chino Hills Total'!J152+'Chino Total'!J152+'Ontario Total'!J152</f>
        <v>5955</v>
      </c>
      <c r="K166" s="173">
        <f>'CVWD Total'!K152+'SAWC Total'!K151+'FWC Total'!K153+'Upland Total'!K152+'MVWD Total '!K152+'Chino Hills Total'!K152+'Chino Total'!K152+'Ontario Total'!K152</f>
        <v>5955</v>
      </c>
      <c r="L166" s="173">
        <f>'CVWD Total'!L152+'SAWC Total'!L151+'FWC Total'!L153+'Upland Total'!L152+'MVWD Total '!L152+'Chino Hills Total'!L152+'Chino Total'!L152+'Ontario Total'!L152</f>
        <v>11910</v>
      </c>
      <c r="M166" s="1539">
        <f t="shared" si="11"/>
        <v>3.2002048131080385</v>
      </c>
      <c r="N166" s="1540"/>
      <c r="O166" s="121"/>
    </row>
    <row r="167" spans="1:15" s="1161" customFormat="1" ht="17" thickBot="1">
      <c r="A167" s="108" t="s">
        <v>192</v>
      </c>
      <c r="B167" s="1983"/>
      <c r="C167" s="1983"/>
      <c r="D167" s="1567"/>
      <c r="E167" s="1586"/>
      <c r="F167" s="1567"/>
      <c r="G167" s="1586"/>
      <c r="H167" s="1141"/>
      <c r="I167" s="109"/>
      <c r="J167" s="109"/>
      <c r="K167" s="997"/>
      <c r="L167" s="997"/>
      <c r="M167" s="1593"/>
      <c r="N167" s="1542"/>
      <c r="O167" s="274"/>
    </row>
    <row r="168" spans="1:15" ht="14" thickBot="1">
      <c r="A168" s="76" t="s">
        <v>165</v>
      </c>
      <c r="B168" s="1769">
        <f>'CVWD Total'!B154:C154+'SAWC Total'!B153:C153+'FWC Total'!B155:C155+'Upland Total'!B154:C154+'MVWD Total '!B154:C154+'Chino Hills Total'!B154:C154+'Chino Total'!B154:C154+'Ontario Total'!B154:C154</f>
        <v>4090</v>
      </c>
      <c r="C168" s="1770"/>
      <c r="D168" s="1933">
        <f>'CVWD Total'!D154:E154+'SAWC Total'!D153:E153+'FWC Total'!D155:E155+'Upland Total'!D154:E154+'MVWD Total '!D154:E154+'Chino Hills Total'!D154:E154+'Chino Total'!D154:E154+'Ontario Total'!D154:E154</f>
        <v>5331724</v>
      </c>
      <c r="E168" s="1770"/>
      <c r="F168" s="1768">
        <f>'CVWD Total'!F154:G154+'SAWC Total'!F153:G153+'FWC Total'!F155:G155+'Upland Total'!F154:G154+'MVWD Total '!F154:G154+'Chino Hills Total'!F154:G154+'Chino Total'!F154:G154+'Ontario Total'!F154:G154</f>
        <v>16.36</v>
      </c>
      <c r="G168" s="1430"/>
      <c r="H168" s="916">
        <f>'CVWD Total'!H154+'SAWC Total'!H153+'FWC Total'!H155+'Upland Total'!H154+'MVWD Total '!H154+'Chino Hills Total'!H154+'Chino Total'!H154+'Ontario Total'!H154</f>
        <v>81.8</v>
      </c>
      <c r="I168" s="151">
        <f>'CVWD Total'!I154+'SAWC Total'!I153+'FWC Total'!I155+'Upland Total'!I154+'MVWD Total '!I154+'Chino Hills Total'!I154+'Chino Total'!I154+'Ontario Total'!I154</f>
        <v>0</v>
      </c>
      <c r="J168" s="151">
        <f>'CVWD Total'!J154+'SAWC Total'!J153+'FWC Total'!J155+'Upland Total'!J154+'MVWD Total '!J154+'Chino Hills Total'!J154+'Chino Total'!J154+'Ontario Total'!J154</f>
        <v>12270</v>
      </c>
      <c r="K168" s="151">
        <f>'CVWD Total'!K154+'SAWC Total'!K153+'FWC Total'!K155+'Upland Total'!K154+'MVWD Total '!K154+'Chino Hills Total'!K154+'Chino Total'!K154+'Ontario Total'!K154</f>
        <v>8180</v>
      </c>
      <c r="L168" s="151">
        <f>'CVWD Total'!L154+'SAWC Total'!L153+'FWC Total'!L155+'Upland Total'!L154+'MVWD Total '!L154+'Chino Hills Total'!L154+'Chino Total'!L154+'Ontario Total'!L154</f>
        <v>20450</v>
      </c>
      <c r="M168" s="1561">
        <f>IF(ISERROR(L168/(F168*744)),0,L168/(F168*744))</f>
        <v>1.6801075268817205</v>
      </c>
      <c r="N168" s="1562"/>
    </row>
    <row r="169" spans="1:15" ht="14" thickBot="1">
      <c r="A169" s="53" t="s">
        <v>60</v>
      </c>
      <c r="B169" s="1438">
        <f>SUM(B155:B168)</f>
        <v>11231</v>
      </c>
      <c r="C169" s="1439"/>
      <c r="D169" s="1440">
        <f>D168+D166+D165+D164+D163+D162+D161+D160+D159+D158+D157+D156+D155</f>
        <v>47361999.669999994</v>
      </c>
      <c r="E169" s="1439"/>
      <c r="F169" s="1441">
        <f>SUM(F155:G168)</f>
        <v>145.32697999999999</v>
      </c>
      <c r="G169" s="1439"/>
      <c r="H169" s="750">
        <f>SUM(H155:H168)</f>
        <v>1401.4857999999999</v>
      </c>
      <c r="I169" s="146">
        <f>SUM(I155:I168)</f>
        <v>0</v>
      </c>
      <c r="J169" s="146">
        <f>SUM(J155:J168)</f>
        <v>196051.75</v>
      </c>
      <c r="K169" s="146">
        <f>SUM(K155:K168)</f>
        <v>983827.97</v>
      </c>
      <c r="L169" s="146">
        <f>SUM(L155:L168)</f>
        <v>1179879.72</v>
      </c>
      <c r="M169" s="1442"/>
      <c r="N169" s="1443"/>
    </row>
    <row r="170" spans="1:15" s="1161" customFormat="1" ht="17" thickBot="1">
      <c r="A170" s="1163" t="s">
        <v>17</v>
      </c>
      <c r="B170" s="1414">
        <f>SUM(,B153,B169)</f>
        <v>24121</v>
      </c>
      <c r="C170" s="1415"/>
      <c r="D170" s="1416">
        <f>SUM(D153,D169)</f>
        <v>120174550.49899998</v>
      </c>
      <c r="E170" s="1415"/>
      <c r="F170" s="1416">
        <f>SUM(,F153,F169)</f>
        <v>372.98391000000004</v>
      </c>
      <c r="G170" s="1415"/>
      <c r="H170" s="1164">
        <f>SUM(H153,H169)</f>
        <v>4405.9786000000004</v>
      </c>
      <c r="I170" s="1165">
        <f>SUM(,I153,I169)</f>
        <v>75673.12999999999</v>
      </c>
      <c r="J170" s="1165">
        <f>SUM(,J153,J169)</f>
        <v>568048.71</v>
      </c>
      <c r="K170" s="1165">
        <f>SUM(,K153,K169)</f>
        <v>1841172.02</v>
      </c>
      <c r="L170" s="1165">
        <f>SUM(,L153,L169)</f>
        <v>2484893.86</v>
      </c>
      <c r="M170" s="1417"/>
      <c r="N170" s="1418"/>
      <c r="O170" s="274"/>
    </row>
    <row r="171" spans="1:15">
      <c r="A171" s="738"/>
      <c r="B171" s="770"/>
      <c r="C171" s="770"/>
      <c r="D171" s="770"/>
      <c r="E171" s="770"/>
      <c r="F171" s="769"/>
      <c r="G171" s="769"/>
      <c r="H171" s="769"/>
      <c r="I171" s="21"/>
      <c r="J171" s="21"/>
      <c r="K171" s="21"/>
      <c r="L171" s="21"/>
      <c r="M171" s="767"/>
      <c r="N171" s="776"/>
    </row>
    <row r="172" spans="1:15" ht="15">
      <c r="A172" s="745" t="s">
        <v>18</v>
      </c>
      <c r="B172" s="1695" t="s">
        <v>59</v>
      </c>
      <c r="C172" s="1695"/>
      <c r="D172" s="1695"/>
      <c r="E172" s="1695"/>
      <c r="F172" s="769"/>
      <c r="G172" s="769"/>
      <c r="H172" s="769"/>
      <c r="I172" s="21"/>
      <c r="J172" s="21"/>
      <c r="K172" s="21"/>
      <c r="L172" s="21"/>
      <c r="M172" s="767"/>
      <c r="N172" s="767"/>
    </row>
    <row r="173" spans="1:15">
      <c r="A173" s="3"/>
      <c r="B173" s="1696" t="s">
        <v>19</v>
      </c>
      <c r="C173" s="1696"/>
      <c r="D173" s="1696"/>
      <c r="E173" s="1696"/>
      <c r="F173" s="769"/>
      <c r="G173" s="769"/>
      <c r="H173" s="769"/>
      <c r="I173" s="21"/>
      <c r="J173" s="21"/>
      <c r="K173" s="21"/>
      <c r="L173" s="21"/>
      <c r="M173" s="767"/>
      <c r="N173" s="767"/>
    </row>
    <row r="174" spans="1:15" ht="14" thickBot="1">
      <c r="A174" s="737"/>
      <c r="B174" s="768"/>
      <c r="C174" s="768"/>
      <c r="D174" s="768"/>
      <c r="E174" s="768"/>
      <c r="F174" s="769"/>
      <c r="G174" s="769"/>
      <c r="H174" s="769"/>
      <c r="I174" s="21"/>
      <c r="J174" s="21"/>
      <c r="K174" s="21"/>
      <c r="L174" s="21"/>
      <c r="M174" s="767"/>
      <c r="N174" s="768"/>
    </row>
    <row r="175" spans="1:15" s="1168" customFormat="1" ht="17" thickBot="1">
      <c r="A175" s="108" t="s">
        <v>333</v>
      </c>
      <c r="B175" s="2186"/>
      <c r="C175" s="1913"/>
      <c r="D175" s="1672"/>
      <c r="E175" s="1913"/>
      <c r="F175" s="1619"/>
      <c r="G175" s="1620"/>
      <c r="H175" s="1166"/>
      <c r="I175" s="1167"/>
      <c r="J175" s="1167"/>
      <c r="K175" s="1167"/>
      <c r="L175" s="1167"/>
      <c r="M175" s="2187"/>
      <c r="N175" s="2188"/>
      <c r="O175" s="121"/>
    </row>
    <row r="176" spans="1:15" s="121" customFormat="1" ht="14" thickBot="1">
      <c r="A176" s="84" t="s">
        <v>272</v>
      </c>
      <c r="B176" s="2189">
        <v>49</v>
      </c>
      <c r="C176" s="2190"/>
      <c r="D176" s="1843">
        <f>B176*325851</f>
        <v>15966699</v>
      </c>
      <c r="E176" s="1842"/>
      <c r="F176" s="2191">
        <v>54</v>
      </c>
      <c r="G176" s="2192"/>
      <c r="H176" s="771">
        <f>F176*5</f>
        <v>270</v>
      </c>
      <c r="I176" s="336">
        <v>0</v>
      </c>
      <c r="J176" s="337">
        <v>3406</v>
      </c>
      <c r="K176" s="337">
        <v>396</v>
      </c>
      <c r="L176" s="336">
        <f>SUM(I176:K176)</f>
        <v>3802</v>
      </c>
      <c r="M176" s="1561">
        <f>IF(ISERROR(L176/(F176*752)),0,L176/(F176*752))</f>
        <v>9.3626871552403471E-2</v>
      </c>
      <c r="N176" s="1562"/>
    </row>
    <row r="177" spans="1:15" s="1168" customFormat="1" ht="17" thickBot="1">
      <c r="A177" s="1163" t="s">
        <v>172</v>
      </c>
      <c r="B177" s="1612">
        <f>B170+B176</f>
        <v>24170</v>
      </c>
      <c r="C177" s="1415"/>
      <c r="D177" s="1416">
        <f>D170+D176</f>
        <v>136141249.49899998</v>
      </c>
      <c r="E177" s="1415"/>
      <c r="F177" s="1416">
        <f>F170+F176</f>
        <v>426.98391000000004</v>
      </c>
      <c r="G177" s="1415"/>
      <c r="H177" s="1164">
        <f>H170+H176</f>
        <v>4675.9786000000004</v>
      </c>
      <c r="I177" s="1165">
        <f>I170+I176</f>
        <v>75673.12999999999</v>
      </c>
      <c r="J177" s="1169">
        <f>J170+J176</f>
        <v>571454.71</v>
      </c>
      <c r="K177" s="1169">
        <f>K170+K176</f>
        <v>1841568.02</v>
      </c>
      <c r="L177" s="1169">
        <f>L170+L176</f>
        <v>2488695.86</v>
      </c>
      <c r="M177" s="2187"/>
      <c r="N177" s="2188"/>
      <c r="O177" s="121"/>
    </row>
    <row r="178" spans="1:15" ht="16">
      <c r="A178" s="343"/>
      <c r="B178" s="340"/>
      <c r="C178" s="340"/>
      <c r="D178" s="340"/>
      <c r="E178" s="340"/>
      <c r="F178" s="340"/>
      <c r="G178" s="340"/>
      <c r="H178" s="340"/>
      <c r="I178" s="340"/>
      <c r="J178" s="340"/>
      <c r="K178" s="340"/>
      <c r="L178" s="340"/>
      <c r="M178" s="342"/>
      <c r="N178" s="342"/>
    </row>
    <row r="179" spans="1:15" ht="17" thickBot="1">
      <c r="A179" s="343"/>
      <c r="B179" s="340"/>
      <c r="C179" s="340"/>
      <c r="D179" s="340"/>
      <c r="E179" s="340"/>
      <c r="F179" s="340"/>
      <c r="G179" s="340"/>
      <c r="H179" s="340"/>
      <c r="I179" s="340"/>
      <c r="J179" s="340"/>
      <c r="K179" s="340"/>
      <c r="L179" s="340"/>
      <c r="M179" s="342"/>
      <c r="N179" s="342"/>
    </row>
    <row r="180" spans="1:15" ht="16">
      <c r="A180" s="98"/>
      <c r="B180" s="99"/>
      <c r="C180" s="99"/>
      <c r="D180" s="99"/>
      <c r="E180" s="99"/>
      <c r="F180" s="421"/>
      <c r="G180" s="421"/>
      <c r="H180" s="421"/>
      <c r="I180" s="1468" t="s">
        <v>0</v>
      </c>
      <c r="J180" s="1468"/>
      <c r="K180" s="1468"/>
      <c r="L180" s="1468"/>
      <c r="M180" s="99"/>
      <c r="N180" s="101"/>
    </row>
    <row r="181" spans="1:15" ht="16">
      <c r="A181" s="97"/>
      <c r="B181" s="1469" t="s">
        <v>1</v>
      </c>
      <c r="C181" s="1469"/>
      <c r="D181" s="1469" t="s">
        <v>2</v>
      </c>
      <c r="E181" s="1469"/>
      <c r="F181" s="1863" t="s">
        <v>3</v>
      </c>
      <c r="G181" s="1863"/>
      <c r="H181" s="794" t="s">
        <v>3</v>
      </c>
      <c r="I181" s="127" t="s">
        <v>195</v>
      </c>
      <c r="J181" s="349"/>
      <c r="K181" s="349"/>
      <c r="L181" s="128"/>
      <c r="M181" s="1469" t="s">
        <v>4</v>
      </c>
      <c r="N181" s="1526"/>
    </row>
    <row r="182" spans="1:15" ht="19" thickBot="1">
      <c r="A182" s="103" t="s">
        <v>5</v>
      </c>
      <c r="B182" s="1469" t="s">
        <v>6</v>
      </c>
      <c r="C182" s="1469"/>
      <c r="D182" s="1473" t="s">
        <v>7</v>
      </c>
      <c r="E182" s="1473"/>
      <c r="F182" s="1864" t="s">
        <v>7</v>
      </c>
      <c r="G182" s="1864"/>
      <c r="H182" s="796" t="s">
        <v>58</v>
      </c>
      <c r="I182" s="797" t="s">
        <v>196</v>
      </c>
      <c r="J182" s="795" t="s">
        <v>8</v>
      </c>
      <c r="K182" s="795" t="s">
        <v>9</v>
      </c>
      <c r="L182" s="401" t="s">
        <v>10</v>
      </c>
      <c r="M182" s="1469" t="s">
        <v>145</v>
      </c>
      <c r="N182" s="1526"/>
    </row>
    <row r="183" spans="1:15" ht="24.75" customHeight="1" thickBot="1">
      <c r="A183" s="345" t="s">
        <v>265</v>
      </c>
      <c r="B183" s="1476"/>
      <c r="C183" s="1477"/>
      <c r="D183" s="2200"/>
      <c r="E183" s="2201"/>
      <c r="F183" s="2202"/>
      <c r="G183" s="2203"/>
      <c r="H183" s="432"/>
      <c r="I183" s="369"/>
      <c r="J183" s="369"/>
      <c r="K183" s="369"/>
      <c r="L183" s="877"/>
      <c r="M183" s="2217"/>
      <c r="N183" s="1483"/>
    </row>
    <row r="184" spans="1:15" s="1161" customFormat="1" ht="17" thickBot="1">
      <c r="A184" s="110" t="s">
        <v>189</v>
      </c>
      <c r="B184" s="1456"/>
      <c r="C184" s="1586"/>
      <c r="D184" s="1457"/>
      <c r="E184" s="1586"/>
      <c r="F184" s="1619"/>
      <c r="G184" s="1620"/>
      <c r="H184" s="1145"/>
      <c r="I184" s="109"/>
      <c r="J184" s="109"/>
      <c r="K184" s="109"/>
      <c r="L184" s="1142"/>
      <c r="M184" s="1485"/>
      <c r="N184" s="1486"/>
      <c r="O184" s="274"/>
    </row>
    <row r="185" spans="1:15">
      <c r="A185" s="68" t="s">
        <v>29</v>
      </c>
      <c r="B185" s="1731">
        <f>'CVWD Total'!B166:C166+'SAWC Total'!B165:C165+'FWC Total'!B167:C167+'Upland Total'!B166:C166+'MVWD Total '!B166:C166+'Chino Hills Total'!B166:C166+'Chino Total'!B166:C166+'Ontario Total'!B166:C166</f>
        <v>3355</v>
      </c>
      <c r="C185" s="1767"/>
      <c r="D185" s="1855">
        <f>'CVWD Total'!D166:E166+'SAWC Total'!D165:E165+'FWC Total'!D167:E167+'Upland Total'!D166:E166+'MVWD Total '!D166:E166+'Chino Hills Total'!D166:E166+'Chino Total'!D166:E166+'Ontario Total'!D166:E166</f>
        <v>46469266.25</v>
      </c>
      <c r="E185" s="1732"/>
      <c r="F185" s="1431">
        <f>'CVWD Total'!F166:G166+'SAWC Total'!F165:G165+'FWC Total'!F167:G167+'Upland Total'!F166:G166+'MVWD Total '!F166:G166+'Chino Hills Total'!F166:G166+'Chino Total'!F166:G166+'Ontario Total'!F166:G166</f>
        <v>142.58750000000003</v>
      </c>
      <c r="G185" s="1422"/>
      <c r="H185" s="805">
        <f>'CVWD Total'!H166+'SAWC Total'!H165+'FWC Total'!H167+'Upland Total'!H166+'MVWD Total '!H166+'Chino Hills Total'!H166+'Chino Total'!H166+'Ontario Total'!H166</f>
        <v>2851.7500000000005</v>
      </c>
      <c r="I185" s="169">
        <f>'CVWD Total'!I166+'SAWC Total'!I165+'FWC Total'!I167+'Upland Total'!I166+'MVWD Total '!I166+'Chino Hills Total'!I166+'Chino Total'!I166+'Ontario Total'!I166</f>
        <v>0</v>
      </c>
      <c r="J185" s="169">
        <f>'CVWD Total'!J166+'SAWC Total'!J165+'FWC Total'!J167+'Upland Total'!J166+'MVWD Total '!J166+'Chino Hills Total'!J166+'Chino Total'!J166+'Ontario Total'!J166</f>
        <v>106819.37999999999</v>
      </c>
      <c r="K185" s="169">
        <f>'CVWD Total'!K166+'SAWC Total'!K165+'FWC Total'!K167+'Upland Total'!K166+'MVWD Total '!K166+'Chino Hills Total'!K166+'Chino Total'!K166+'Ontario Total'!K166</f>
        <v>325974.23</v>
      </c>
      <c r="L185" s="169">
        <f>'CVWD Total'!L166+'SAWC Total'!L165+'FWC Total'!L167+'Upland Total'!L166+'MVWD Total '!L166+'Chino Hills Total'!L166+'Chino Total'!L166+'Ontario Total'!L166</f>
        <v>432793.61</v>
      </c>
      <c r="M185" s="1539">
        <f>IF(ISERROR(L185/(F185*721)),0,L185/(F185*721))</f>
        <v>4.2098257548501428</v>
      </c>
      <c r="N185" s="1540"/>
    </row>
    <row r="186" spans="1:15">
      <c r="A186" s="68" t="s">
        <v>33</v>
      </c>
      <c r="B186" s="1421">
        <f>'Ontario Total'!B167:C167+'Chino Total'!B167:C167+'Chino Hills Total'!B167:C167+'MVWD Total '!B167:C167+'Upland Total'!B167:C167+'FWC Total'!B168:C168+'SAWC Total'!B166:C166+'CVWD Total'!B167:C167</f>
        <v>959</v>
      </c>
      <c r="C186" s="1422"/>
      <c r="D186" s="1431">
        <f>'CVWD Total'!D167:E167+'SAWC Total'!D166:E166+'FWC Total'!D168:E168+'Upland Total'!D167:E167+'MVWD Total '!D167:E167+'Chino Hills Total'!D167:E167+'Chino Total'!D167:E167+'Ontario Total'!D167:E167</f>
        <v>10782564.450000003</v>
      </c>
      <c r="E186" s="1422"/>
      <c r="F186" s="1431">
        <f>'CVWD Total'!F167:G167+'SAWC Total'!F166:G166+'FWC Total'!F168:G168+'Upland Total'!F167:G167+'MVWD Total '!F167:G167+'Chino Hills Total'!F167:G167+'Chino Total'!F167:G167+'Ontario Total'!F167:G167</f>
        <v>33.085500000000003</v>
      </c>
      <c r="G186" s="1422"/>
      <c r="H186" s="969">
        <f>'CVWD Total'!H167+'SAWC Total'!H166+'FWC Total'!H168+'Upland Total'!H167+'MVWD Total '!H167+'Chino Hills Total'!H167+'Chino Total'!H167+'Ontario Total'!H167</f>
        <v>477.06599999999997</v>
      </c>
      <c r="I186" s="169">
        <f>'CVWD Total'!I167+'SAWC Total'!I166+'FWC Total'!I168+'Upland Total'!I167+'MVWD Total '!I167+'Chino Hills Total'!I167+'Chino Total'!I167+'Ontario Total'!I167</f>
        <v>0</v>
      </c>
      <c r="J186" s="169">
        <f>'CVWD Total'!J167+'SAWC Total'!J166+'FWC Total'!J168+'Upland Total'!J167+'MVWD Total '!J167+'Chino Hills Total'!J167+'Chino Total'!J167+'Ontario Total'!J167</f>
        <v>16900</v>
      </c>
      <c r="K186" s="169">
        <f>'CVWD Total'!K167+'SAWC Total'!K166+'FWC Total'!K168+'Upland Total'!K167+'MVWD Total '!K167+'Chino Hills Total'!K167+'Chino Total'!K167+'Ontario Total'!K167</f>
        <v>80240.399999999994</v>
      </c>
      <c r="L186" s="169">
        <f>'CVWD Total'!L167+'SAWC Total'!L166+'FWC Total'!L168+'Upland Total'!L167+'MVWD Total '!L167+'Chino Hills Total'!L167+'Chino Total'!L167+'Ontario Total'!L167</f>
        <v>97140.4</v>
      </c>
      <c r="M186" s="1539">
        <f t="shared" ref="M186:M191" si="12">IF(ISERROR(L186/(F186*721)),0,L186/(F186*721))</f>
        <v>4.0721795677072619</v>
      </c>
      <c r="N186" s="1540"/>
    </row>
    <row r="187" spans="1:15">
      <c r="A187" s="68" t="s">
        <v>56</v>
      </c>
      <c r="B187" s="1421">
        <f>'Ontario Total'!B168:C168+'Chino Total'!B168:C168+'Chino Hills Total'!B168:C168+'MVWD Total '!B168:C168+'Upland Total'!B168:C168+'FWC Total'!B169:C169+'SAWC Total'!B167:C167+'CVWD Total'!B168:C168</f>
        <v>5173</v>
      </c>
      <c r="C187" s="1422"/>
      <c r="D187" s="1431">
        <f>'CVWD Total'!D168:E168+'SAWC Total'!D167:E167+'FWC Total'!D169:E169+'Upland Total'!D168:E168+'MVWD Total '!D168:E168+'Chino Hills Total'!D168:E168+'Chino Total'!D168:E168+'Ontario Total'!D168:E168</f>
        <v>7417841.8775999993</v>
      </c>
      <c r="E187" s="1422"/>
      <c r="F187" s="1431">
        <f>'CVWD Total'!F168:G168+'SAWC Total'!F167:G167+'FWC Total'!F169:G169+'Upland Total'!F168:G168+'MVWD Total '!F168:G168+'Chino Hills Total'!F168:G168+'Chino Total'!F168:G168+'Ontario Total'!F168:G168</f>
        <v>22.761199999999999</v>
      </c>
      <c r="G187" s="1422"/>
      <c r="H187" s="969">
        <f>'CVWD Total'!H168+'SAWC Total'!H167+'FWC Total'!H169+'Upland Total'!H168+'MVWD Total '!H168+'Chino Hills Total'!H168+'Chino Total'!H168+'Ontario Total'!H168</f>
        <v>113.80600000000001</v>
      </c>
      <c r="I187" s="169">
        <f>'CVWD Total'!I168+'SAWC Total'!I167+'FWC Total'!I169+'Upland Total'!I168+'MVWD Total '!I168+'Chino Hills Total'!I168+'Chino Total'!I168+'Ontario Total'!I168</f>
        <v>0</v>
      </c>
      <c r="J187" s="169">
        <f>'CVWD Total'!J168+'SAWC Total'!J167+'FWC Total'!J169+'Upland Total'!J168+'MVWD Total '!J168+'Chino Hills Total'!J168+'Chino Total'!J168+'Ontario Total'!J168</f>
        <v>0</v>
      </c>
      <c r="K187" s="169">
        <f>'CVWD Total'!K168+'SAWC Total'!K167+'FWC Total'!K169+'Upland Total'!K168+'MVWD Total '!K168+'Chino Hills Total'!K168+'Chino Total'!K168+'Ontario Total'!K168</f>
        <v>11182.42</v>
      </c>
      <c r="L187" s="169">
        <f>'CVWD Total'!L168+'SAWC Total'!L167+'FWC Total'!L169+'Upland Total'!L168+'MVWD Total '!L168+'Chino Hills Total'!L168+'Chino Total'!L168+'Ontario Total'!L168</f>
        <v>11182.42</v>
      </c>
      <c r="M187" s="1539">
        <f t="shared" si="12"/>
        <v>0.68140510082332728</v>
      </c>
      <c r="N187" s="1540"/>
    </row>
    <row r="188" spans="1:15">
      <c r="A188" s="68" t="s">
        <v>52</v>
      </c>
      <c r="B188" s="1421">
        <f>'Ontario Total'!B169:C169+'Chino Total'!B169:C169+'Chino Hills Total'!B169:C169+'MVWD Total '!B169:C169+'Upland Total'!B169:C169+'FWC Total'!B170:C170+'SAWC Total'!B168:C168+'CVWD Total'!B169:C169</f>
        <v>271</v>
      </c>
      <c r="C188" s="1422"/>
      <c r="D188" s="1431">
        <f>'CVWD Total'!D169:E169+'SAWC Total'!D168:E168+'FWC Total'!D170:E170+'Upland Total'!D169:E169+'MVWD Total '!D169:E169+'Chino Hills Total'!D169:E169+'Chino Total'!D169:E169+'Ontario Total'!D169:E169</f>
        <v>28703642.5</v>
      </c>
      <c r="E188" s="1422"/>
      <c r="F188" s="1431">
        <f>'CVWD Total'!F169:G169+'SAWC Total'!F168:G168+'FWC Total'!F170:G170+'Upland Total'!F169:G169+'MVWD Total '!F169:G169+'Chino Hills Total'!F169:G169+'Chino Total'!F169:G169+'Ontario Total'!F169:G169</f>
        <v>88.075000000000017</v>
      </c>
      <c r="G188" s="1422"/>
      <c r="H188" s="969">
        <f>'CVWD Total'!H169+'SAWC Total'!H168+'FWC Total'!H170+'Upland Total'!H169+'MVWD Total '!H169+'Chino Hills Total'!H169+'Chino Total'!H169+'Ontario Total'!H169</f>
        <v>880.75</v>
      </c>
      <c r="I188" s="169">
        <f>'CVWD Total'!I169+'SAWC Total'!I168+'FWC Total'!I170+'Upland Total'!I169+'MVWD Total '!I169+'Chino Hills Total'!I169+'Chino Total'!I169+'Ontario Total'!I169</f>
        <v>0</v>
      </c>
      <c r="J188" s="169">
        <f>'CVWD Total'!J169+'SAWC Total'!J168+'FWC Total'!J170+'Upland Total'!J169+'MVWD Total '!J169+'Chino Hills Total'!J169+'Chino Total'!J169+'Ontario Total'!J169</f>
        <v>5552.9299999999994</v>
      </c>
      <c r="K188" s="169">
        <f>'CVWD Total'!K169+'SAWC Total'!K168+'FWC Total'!K170+'Upland Total'!K169+'MVWD Total '!K169+'Chino Hills Total'!K169+'Chino Total'!K169+'Ontario Total'!K169</f>
        <v>26128.489999999994</v>
      </c>
      <c r="L188" s="169">
        <f>'CVWD Total'!L169+'SAWC Total'!L168+'FWC Total'!L170+'Upland Total'!L169+'MVWD Total '!L169+'Chino Hills Total'!L169+'Chino Total'!L169+'Ontario Total'!L169</f>
        <v>31681.42</v>
      </c>
      <c r="M188" s="1539">
        <f t="shared" si="12"/>
        <v>0.49890369724138922</v>
      </c>
      <c r="N188" s="1540"/>
    </row>
    <row r="189" spans="1:15" ht="12.75" customHeight="1">
      <c r="A189" s="254" t="s">
        <v>286</v>
      </c>
      <c r="B189" s="1421">
        <f>'Ontario Total'!B170:C170+'Chino Total'!B170:C170+'Chino Hills Total'!B170:C170+'MVWD Total '!B170:C170+'Upland Total'!B170:C170+'FWC Total'!B171:C171+'SAWC Total'!B169:C169+'CVWD Total'!B170:C170</f>
        <v>813</v>
      </c>
      <c r="C189" s="1422"/>
      <c r="D189" s="1431">
        <f>'CVWD Total'!D170:E170+'SAWC Total'!D169:E169+'FWC Total'!D171:E171+'Upland Total'!D170:E170+'MVWD Total '!D170:E170+'Chino Hills Total'!D170:E170+'Chino Total'!D170:E170+'Ontario Total'!D170:E170</f>
        <v>67651159.562999994</v>
      </c>
      <c r="E189" s="1422"/>
      <c r="F189" s="1431">
        <f>'CVWD Total'!F170:G170+'SAWC Total'!F169:G169+'FWC Total'!F171:G171+'Upland Total'!F170:G170+'MVWD Total '!F170:G170+'Chino Hills Total'!F170:G170+'Chino Total'!F170:G170+'Ontario Total'!F170:G170</f>
        <v>207.58256999999998</v>
      </c>
      <c r="G189" s="1422"/>
      <c r="H189" s="969">
        <f>'CVWD Total'!H170+'SAWC Total'!H169+'FWC Total'!H171+'Upland Total'!H170+'MVWD Total '!H170+'Chino Hills Total'!H170+'Chino Total'!H170+'Ontario Total'!H170</f>
        <v>2075.8256999999999</v>
      </c>
      <c r="I189" s="169">
        <f>'CVWD Total'!I170+'SAWC Total'!I169+'FWC Total'!I171+'Upland Total'!I170+'MVWD Total '!I170+'Chino Hills Total'!I170+'Chino Total'!I170+'Ontario Total'!I170</f>
        <v>5000</v>
      </c>
      <c r="J189" s="169">
        <f>'CVWD Total'!J170+'SAWC Total'!J169+'FWC Total'!J171+'Upland Total'!J170+'MVWD Total '!J170+'Chino Hills Total'!J170+'Chino Total'!J170+'Ontario Total'!J170</f>
        <v>0</v>
      </c>
      <c r="K189" s="169">
        <f>'CVWD Total'!K170+'SAWC Total'!K169+'FWC Total'!K171+'Upland Total'!K170+'MVWD Total '!K170+'Chino Hills Total'!K170+'Chino Total'!K170+'Ontario Total'!K170</f>
        <v>3049732</v>
      </c>
      <c r="L189" s="169">
        <f>'CVWD Total'!L170+'SAWC Total'!L169+'FWC Total'!L171+'Upland Total'!L170+'MVWD Total '!L170+'Chino Hills Total'!L170+'Chino Total'!L170+'Ontario Total'!L170</f>
        <v>3054732</v>
      </c>
      <c r="M189" s="1539">
        <f t="shared" si="12"/>
        <v>20.410186127043129</v>
      </c>
      <c r="N189" s="1540"/>
    </row>
    <row r="190" spans="1:15" ht="12.75" customHeight="1">
      <c r="A190" s="254" t="s">
        <v>214</v>
      </c>
      <c r="B190" s="1421">
        <f>'Ontario Total'!B171:C171+'Chino Total'!B171:C171+'Chino Hills Total'!B171:C171+'MVWD Total '!B171:C171+'Upland Total'!B171:C171+'FWC Total'!B172:C172+'SAWC Total'!B170:C170+'CVWD Total'!B171:C171</f>
        <v>683</v>
      </c>
      <c r="C190" s="1422"/>
      <c r="D190" s="1431">
        <f>'CVWD Total'!D171:E171+'SAWC Total'!D170:E170+'FWC Total'!D172:E172+'Upland Total'!D171:E171+'MVWD Total '!D171:E171+'Chino Hills Total'!D171:E171+'Chino Total'!D171:E171+'Ontario Total'!D171:E171</f>
        <v>422920.43</v>
      </c>
      <c r="E190" s="1422"/>
      <c r="F190" s="1431">
        <f>'CVWD Total'!F171:G171+'SAWC Total'!F170:G170+'FWC Total'!F172:G172+'Upland Total'!F171:G171+'MVWD Total '!F171:G171+'Chino Hills Total'!F171:G171+'Chino Total'!F171:G171+'Ontario Total'!F171:G171</f>
        <v>1.2977000000000001</v>
      </c>
      <c r="G190" s="1422"/>
      <c r="H190" s="969">
        <f>'CVWD Total'!H171+'SAWC Total'!H170+'FWC Total'!H172+'Upland Total'!H171+'MVWD Total '!H171+'Chino Hills Total'!H171+'Chino Total'!H171+'Ontario Total'!H171</f>
        <v>6.5264999999999995</v>
      </c>
      <c r="I190" s="169">
        <f>'CVWD Total'!I171+'SAWC Total'!I170+'FWC Total'!I172+'Upland Total'!I171+'MVWD Total '!I171+'Chino Hills Total'!I171+'Chino Total'!I171+'Ontario Total'!I171</f>
        <v>0</v>
      </c>
      <c r="J190" s="169">
        <f>'CVWD Total'!J171+'SAWC Total'!J170+'FWC Total'!J172+'Upland Total'!J171+'MVWD Total '!J171+'Chino Hills Total'!J171+'Chino Total'!J171+'Ontario Total'!J171</f>
        <v>0</v>
      </c>
      <c r="K190" s="169">
        <f>'CVWD Total'!K171+'SAWC Total'!K170+'FWC Total'!K172+'Upland Total'!K171+'MVWD Total '!K171+'Chino Hills Total'!K171+'Chino Total'!K171+'Ontario Total'!K171</f>
        <v>32958.839999999997</v>
      </c>
      <c r="L190" s="169">
        <f>'CVWD Total'!L171+'SAWC Total'!L170+'FWC Total'!L172+'Upland Total'!L171+'MVWD Total '!L171+'Chino Hills Total'!L171+'Chino Total'!L171+'Ontario Total'!L171</f>
        <v>32958.839999999997</v>
      </c>
      <c r="M190" s="1539">
        <f t="shared" si="12"/>
        <v>35.225920349638109</v>
      </c>
      <c r="N190" s="1540"/>
    </row>
    <row r="191" spans="1:15" ht="12.75" customHeight="1" thickBot="1">
      <c r="A191" s="258" t="s">
        <v>269</v>
      </c>
      <c r="B191" s="1429">
        <f>'Ontario Total'!B172:C172+'Chino Total'!B172:C172+'Chino Hills Total'!B172:C172+'MVWD Total '!B172:C172+'Upland Total'!B172:C172+'FWC Total'!B173:C173+'SAWC Total'!B171:C171+'CVWD Total'!B172:C172</f>
        <v>2</v>
      </c>
      <c r="C191" s="1430"/>
      <c r="D191" s="1431">
        <f>'CVWD Total'!D172:E172+'SAWC Total'!D171:E171+'FWC Total'!D173:E173+'Upland Total'!D172:E172+'MVWD Total '!D172:E172+'Chino Hills Total'!D172:E172+'Chino Total'!D172:E172+'Ontario Total'!D172:E172</f>
        <v>26984.52</v>
      </c>
      <c r="E191" s="1422"/>
      <c r="F191" s="1431">
        <f>'CVWD Total'!F172:G172+'SAWC Total'!F171:G171+'FWC Total'!F173:G173+'Upland Total'!F172:G172+'MVWD Total '!F172:G172+'Chino Hills Total'!F172:G172+'Chino Total'!F172:G172+'Ontario Total'!F172:G172</f>
        <v>8.2799999999999999E-2</v>
      </c>
      <c r="G191" s="1422"/>
      <c r="H191" s="969">
        <f>'CVWD Total'!H172+'SAWC Total'!H171+'FWC Total'!H173+'Upland Total'!H172+'MVWD Total '!H172+'Chino Hills Total'!H172+'Chino Total'!H172+'Ontario Total'!H172</f>
        <v>0.82799999999999996</v>
      </c>
      <c r="I191" s="169">
        <f>'CVWD Total'!I172+'SAWC Total'!I171+'FWC Total'!I173+'Upland Total'!I172+'MVWD Total '!I172+'Chino Hills Total'!I172+'Chino Total'!I172+'Ontario Total'!I172</f>
        <v>0</v>
      </c>
      <c r="J191" s="169">
        <f>'CVWD Total'!J172+'SAWC Total'!J171+'FWC Total'!J173+'Upland Total'!J172+'MVWD Total '!J172+'Chino Hills Total'!J172+'Chino Total'!J172+'Ontario Total'!J172</f>
        <v>42</v>
      </c>
      <c r="K191" s="169">
        <f>'CVWD Total'!K172+'SAWC Total'!K171+'FWC Total'!K173+'Upland Total'!K172+'MVWD Total '!K172+'Chino Hills Total'!K172+'Chino Total'!K172+'Ontario Total'!K172</f>
        <v>160</v>
      </c>
      <c r="L191" s="169">
        <f>'CVWD Total'!L172+'SAWC Total'!L171+'FWC Total'!L173+'Upland Total'!L172+'MVWD Total '!L172+'Chino Hills Total'!L172+'Chino Total'!L172+'Ontario Total'!L172</f>
        <v>202</v>
      </c>
      <c r="M191" s="1561">
        <f t="shared" si="12"/>
        <v>3.3836526027323832</v>
      </c>
      <c r="N191" s="1562"/>
    </row>
    <row r="192" spans="1:15" s="1161" customFormat="1" ht="17" thickBot="1">
      <c r="A192" s="110" t="s">
        <v>190</v>
      </c>
      <c r="B192" s="1456"/>
      <c r="C192" s="1586"/>
      <c r="D192" s="1567"/>
      <c r="E192" s="1586"/>
      <c r="F192" s="1567"/>
      <c r="G192" s="1586"/>
      <c r="H192" s="194"/>
      <c r="I192" s="194"/>
      <c r="J192" s="194"/>
      <c r="K192" s="194"/>
      <c r="L192" s="195"/>
      <c r="M192" s="2104"/>
      <c r="N192" s="1985"/>
      <c r="O192" s="274"/>
    </row>
    <row r="193" spans="1:15">
      <c r="A193" s="254" t="s">
        <v>205</v>
      </c>
      <c r="B193" s="1731">
        <f>'Ontario Total'!B174:C174+'Chino Total'!B174:C174+'Chino Hills Total'!B174:C174+'MVWD Total '!B174:C174+'Upland Total'!B174:C174+'FWC Total'!B175:C175+'SAWC Total'!B173:C173+'CVWD Total'!B174:C174</f>
        <v>8755</v>
      </c>
      <c r="C193" s="1732"/>
      <c r="D193" s="1431">
        <f>'CVWD Total'!D174:E174+'SAWC Total'!D173:E173+'FWC Total'!D175:E175+'Upland Total'!D174:E174+'MVWD Total '!D174:E174+'Chino Hills Total'!D174:E174+'Chino Total'!D174:E174+'Ontario Total'!D174:E174</f>
        <v>12554319.799999999</v>
      </c>
      <c r="E193" s="1422"/>
      <c r="F193" s="1431">
        <f>'CVWD Total'!F174:G174+'SAWC Total'!F173:G173+'FWC Total'!F175:G175+'Upland Total'!F174:G174+'MVWD Total '!F174:G174+'Chino Hills Total'!F174:G174+'Chino Total'!F174:G174+'Ontario Total'!F174:G174</f>
        <v>38.522000000000006</v>
      </c>
      <c r="G193" s="1422"/>
      <c r="H193" s="969">
        <f>'CVWD Total'!H174+'SAWC Total'!H173+'FWC Total'!H175+'Upland Total'!H174+'MVWD Total '!H174+'Chino Hills Total'!H174+'Chino Total'!H174+'Ontario Total'!H174</f>
        <v>192.61000000000004</v>
      </c>
      <c r="I193" s="169">
        <f>'CVWD Total'!I174+'SAWC Total'!I173+'FWC Total'!I175+'Upland Total'!I174+'MVWD Total '!I174+'Chino Hills Total'!I174+'Chino Total'!I174+'Ontario Total'!I174</f>
        <v>0</v>
      </c>
      <c r="J193" s="169">
        <f>'CVWD Total'!J174+'SAWC Total'!J173+'FWC Total'!J175+'Upland Total'!J174+'MVWD Total '!J174+'Chino Hills Total'!J174+'Chino Total'!J174+'Ontario Total'!J174</f>
        <v>14008</v>
      </c>
      <c r="K193" s="169">
        <f>'CVWD Total'!K174+'SAWC Total'!K173+'FWC Total'!K175+'Upland Total'!K174+'MVWD Total '!K174+'Chino Hills Total'!K174+'Chino Total'!K174+'Ontario Total'!K174</f>
        <v>17510</v>
      </c>
      <c r="L193" s="169">
        <f>'CVWD Total'!L174+'SAWC Total'!L173+'FWC Total'!L175+'Upland Total'!L174+'MVWD Total '!L174+'Chino Hills Total'!L174+'Chino Total'!L174+'Ontario Total'!L174</f>
        <v>31518.000000000004</v>
      </c>
      <c r="M193" s="1599">
        <f>IF(ISERROR(L193/(F193*721)),0,L193/(F193*721))</f>
        <v>1.1347875425545328</v>
      </c>
      <c r="N193" s="1600"/>
    </row>
    <row r="194" spans="1:15">
      <c r="A194" s="254" t="s">
        <v>312</v>
      </c>
      <c r="B194" s="1435">
        <f>'Ontario Total'!B175:C175+'Chino Total'!B175:C175+'Chino Hills Total'!B175:C175+'MVWD Total '!B175:C175+'Upland Total'!B175:C175+'FWC Total'!B176:C176+'SAWC Total'!B174:C174+'CVWD Total'!B175:C175</f>
        <v>501</v>
      </c>
      <c r="C194" s="1433"/>
      <c r="D194" s="1431">
        <f>'CVWD Total'!D175:E175+'SAWC Total'!D174:E174+'FWC Total'!D176:E176+'Upland Total'!D175:E175+'MVWD Total '!D175:E175+'Chino Hills Total'!D175:E175+'Chino Total'!D175:E175+'Ontario Total'!D175:E175</f>
        <v>125539222.02000001</v>
      </c>
      <c r="E194" s="1422"/>
      <c r="F194" s="1431">
        <f>'CVWD Total'!F175:G175+'SAWC Total'!F174:G174+'FWC Total'!F176:G176+'Upland Total'!F175:G175+'MVWD Total '!F175:G175+'Chino Hills Total'!F175:G175+'Chino Total'!F175:G175+'Ontario Total'!F175:G175</f>
        <v>385.20780000000002</v>
      </c>
      <c r="G194" s="1422"/>
      <c r="H194" s="969">
        <f>'CVWD Total'!H175+'SAWC Total'!H174+'FWC Total'!H176+'Upland Total'!H175+'MVWD Total '!H175+'Chino Hills Total'!H175+'Chino Total'!H175+'Ontario Total'!H175</f>
        <v>3653.2559999999994</v>
      </c>
      <c r="I194" s="169">
        <f>'CVWD Total'!I175+'SAWC Total'!I174+'FWC Total'!I176+'Upland Total'!I175+'MVWD Total '!I175+'Chino Hills Total'!I175+'Chino Total'!I175+'Ontario Total'!I175</f>
        <v>239202.375</v>
      </c>
      <c r="J194" s="169">
        <f>'CVWD Total'!J175+'SAWC Total'!J174+'FWC Total'!J176+'Upland Total'!J175+'MVWD Total '!J175+'Chino Hills Total'!J175+'Chino Total'!J175+'Ontario Total'!J175</f>
        <v>0</v>
      </c>
      <c r="K194" s="169">
        <f>'CVWD Total'!K175+'SAWC Total'!K174+'FWC Total'!K176+'Upland Total'!K175+'MVWD Total '!K175+'Chino Hills Total'!K175+'Chino Total'!K175+'Ontario Total'!K175</f>
        <v>239202.375</v>
      </c>
      <c r="L194" s="169">
        <f>'CVWD Total'!L175+'SAWC Total'!L174+'FWC Total'!L176+'Upland Total'!L175+'MVWD Total '!L175+'Chino Hills Total'!L175+'Chino Total'!L175+'Ontario Total'!L175</f>
        <v>478404.75</v>
      </c>
      <c r="M194" s="1539">
        <f>IF(ISERROR(L194/(F194*721)),0,L194/(F194*721))</f>
        <v>1.7225234612441134</v>
      </c>
      <c r="N194" s="1540"/>
    </row>
    <row r="195" spans="1:15" s="121" customFormat="1">
      <c r="A195" s="254" t="s">
        <v>315</v>
      </c>
      <c r="B195" s="1435">
        <f>'Ontario Total'!B176:C176+'Chino Total'!B176:C176+'Chino Hills Total'!B176:C176+'MVWD Total '!B176:C176+'Upland Total'!B176:C176+'FWC Total'!B177:C177+'SAWC Total'!B175:C175+'CVWD Total'!B176:C176</f>
        <v>30</v>
      </c>
      <c r="C195" s="1433"/>
      <c r="D195" s="1431">
        <f>'CVWD Total'!D176:E176+'SAWC Total'!D175:E175+'FWC Total'!D177:E177+'Upland Total'!D176:E176+'MVWD Total '!D176:E176+'Chino Hills Total'!D176:E176+'Chino Total'!D176:E176+'Ontario Total'!D176:E176</f>
        <v>1162974.1499999999</v>
      </c>
      <c r="E195" s="1422"/>
      <c r="F195" s="1431">
        <f>'CVWD Total'!F176:G176+'SAWC Total'!F175:G175+'FWC Total'!F177:G177+'Upland Total'!F176:G176+'MVWD Total '!F176:G176+'Chino Hills Total'!F176:G176+'Chino Total'!F176:G176+'Ontario Total'!F176:G176</f>
        <v>3.5684999999999993</v>
      </c>
      <c r="G195" s="1422"/>
      <c r="H195" s="969">
        <f>'CVWD Total'!H176+'SAWC Total'!H175+'FWC Total'!H177+'Upland Total'!H176+'MVWD Total '!H176+'Chino Hills Total'!H176+'Chino Total'!H176+'Ontario Total'!H176</f>
        <v>35.684999999999995</v>
      </c>
      <c r="I195" s="169">
        <f>'CVWD Total'!I176+'SAWC Total'!I175+'FWC Total'!I177+'Upland Total'!I176+'MVWD Total '!I176+'Chino Hills Total'!I176+'Chino Total'!I176+'Ontario Total'!I176</f>
        <v>8070</v>
      </c>
      <c r="J195" s="169">
        <f>'CVWD Total'!J176+'SAWC Total'!J175+'FWC Total'!J177+'Upland Total'!J176+'MVWD Total '!J176+'Chino Hills Total'!J176+'Chino Total'!J176+'Ontario Total'!J176</f>
        <v>81928.5</v>
      </c>
      <c r="K195" s="169">
        <f>'CVWD Total'!K176+'SAWC Total'!K175+'FWC Total'!K177+'Upland Total'!K176+'MVWD Total '!K176+'Chino Hills Total'!K176+'Chino Total'!K176+'Ontario Total'!K176</f>
        <v>0</v>
      </c>
      <c r="L195" s="169">
        <f>'CVWD Total'!L176+'SAWC Total'!L175+'FWC Total'!L177+'Upland Total'!L176+'MVWD Total '!L176+'Chino Hills Total'!L176+'Chino Total'!L176+'Ontario Total'!L176</f>
        <v>89998.5</v>
      </c>
      <c r="M195" s="1539">
        <f>IF(ISERROR(L195/(F195*721)),0,L195/(F195*721))</f>
        <v>34.97955702316677</v>
      </c>
      <c r="N195" s="1540"/>
    </row>
    <row r="196" spans="1:15" s="121" customFormat="1" ht="14" thickBot="1">
      <c r="A196" s="254" t="s">
        <v>266</v>
      </c>
      <c r="B196" s="2163">
        <f>'Ontario Total'!B177:C177+'Chino Total'!B177:C177+'Chino Hills Total'!B177:C177+'MVWD Total '!B177:C177+'Upland Total'!B177:C177+'FWC Total'!B178:C178+'SAWC Total'!B176:C176+'CVWD Total'!B177:C177</f>
        <v>10</v>
      </c>
      <c r="C196" s="1726"/>
      <c r="D196" s="1431">
        <f>'CVWD Total'!D177:E177+'SAWC Total'!D176:E176+'FWC Total'!D178:E178+'Upland Total'!D177:E177+'MVWD Total '!D177:E177+'Chino Hills Total'!D177:E177+'Chino Total'!D177:E177+'Ontario Total'!D177:E177</f>
        <v>3910800</v>
      </c>
      <c r="E196" s="1422"/>
      <c r="F196" s="1431">
        <f>'CVWD Total'!F177:G177+'SAWC Total'!F176:G176+'FWC Total'!F178:G178+'Upland Total'!F177:G177+'MVWD Total '!F177:G177+'Chino Hills Total'!F177:G177+'Chino Total'!F177:G177+'Ontario Total'!F177:G177</f>
        <v>12</v>
      </c>
      <c r="G196" s="1422"/>
      <c r="H196" s="969">
        <f>'CVWD Total'!H177+'SAWC Total'!H176+'FWC Total'!H178+'Upland Total'!H177+'MVWD Total '!H177+'Chino Hills Total'!H177+'Chino Total'!H177+'Ontario Total'!H177</f>
        <v>120</v>
      </c>
      <c r="I196" s="169">
        <f>'CVWD Total'!I177+'SAWC Total'!I176+'FWC Total'!I178+'Upland Total'!I177+'MVWD Total '!I177+'Chino Hills Total'!I177+'Chino Total'!I177+'Ontario Total'!I177</f>
        <v>0</v>
      </c>
      <c r="J196" s="169">
        <f>'CVWD Total'!J177+'SAWC Total'!J176+'FWC Total'!J178+'Upland Total'!J177+'MVWD Total '!J177+'Chino Hills Total'!J177+'Chino Total'!J177+'Ontario Total'!J177</f>
        <v>3418.89</v>
      </c>
      <c r="K196" s="169">
        <f>'CVWD Total'!K177+'SAWC Total'!K176+'FWC Total'!K178+'Upland Total'!K177+'MVWD Total '!K177+'Chino Hills Total'!K177+'Chino Total'!K177+'Ontario Total'!K177</f>
        <v>2281.11</v>
      </c>
      <c r="L196" s="169">
        <f>'CVWD Total'!L177+'SAWC Total'!L176+'FWC Total'!L178+'Upland Total'!L177+'MVWD Total '!L177+'Chino Hills Total'!L177+'Chino Total'!L177+'Ontario Total'!L177</f>
        <v>5700</v>
      </c>
      <c r="M196" s="1539">
        <f>IF(ISERROR(L196/(F196*721)),0,L196/(F196*721))</f>
        <v>0.6588072122052705</v>
      </c>
      <c r="N196" s="1540"/>
    </row>
    <row r="197" spans="1:15" ht="14" thickBot="1">
      <c r="A197" s="256" t="s">
        <v>60</v>
      </c>
      <c r="B197" s="1438">
        <f>SUM(B185:B196)</f>
        <v>20552</v>
      </c>
      <c r="C197" s="1439"/>
      <c r="D197" s="1441">
        <f>SUM(D185:E196)</f>
        <v>304641695.56060004</v>
      </c>
      <c r="E197" s="1439"/>
      <c r="F197" s="1441">
        <f>SUM(F185:G196)</f>
        <v>934.77057000000013</v>
      </c>
      <c r="G197" s="1439"/>
      <c r="H197" s="786">
        <f>SUM(H185:H196)</f>
        <v>10408.1032</v>
      </c>
      <c r="I197" s="146">
        <f>SUM(I185:I196)</f>
        <v>252272.375</v>
      </c>
      <c r="J197" s="146">
        <f>SUM(J185:J196)</f>
        <v>228669.7</v>
      </c>
      <c r="K197" s="146">
        <f>SUM(K185:K196)</f>
        <v>3785369.8649999998</v>
      </c>
      <c r="L197" s="312">
        <f>SUM(L185:L196)</f>
        <v>4266311.9399999995</v>
      </c>
      <c r="M197" s="1441"/>
      <c r="N197" s="1730"/>
    </row>
    <row r="198" spans="1:15" s="1161" customFormat="1" ht="17" thickBot="1">
      <c r="A198" s="108" t="s">
        <v>194</v>
      </c>
      <c r="B198" s="1456"/>
      <c r="C198" s="1586"/>
      <c r="D198" s="1567"/>
      <c r="E198" s="1586"/>
      <c r="F198" s="1567"/>
      <c r="G198" s="1586"/>
      <c r="H198" s="1142"/>
      <c r="I198" s="184"/>
      <c r="J198" s="184"/>
      <c r="K198" s="184"/>
      <c r="L198" s="997"/>
      <c r="M198" s="1593"/>
      <c r="N198" s="1542"/>
      <c r="O198" s="274"/>
    </row>
    <row r="199" spans="1:15">
      <c r="A199" s="68" t="s">
        <v>29</v>
      </c>
      <c r="B199" s="1731">
        <f>'Ontario Total'!B180:C180+'Chino Total'!B180:C180+'Chino Hills Total'!B180:C180+'MVWD Total '!B180:C180+'Upland Total'!B180:C180+'FWC Total'!B181:C181+'SAWC Total'!B179:C179+'CVWD Total'!B180:C180</f>
        <v>6598</v>
      </c>
      <c r="C199" s="1732"/>
      <c r="D199" s="1431">
        <f>'CVWD Total'!D180:E180+'SAWC Total'!D179:E179+'FWC Total'!D181:E181+'Upland Total'!D180:E180+'MVWD Total '!D180:E180+'Chino Hills Total'!D180:E180+'Chino Total'!D180:E180+'Ontario Total'!D180:E180</f>
        <v>91421174.689999998</v>
      </c>
      <c r="E199" s="1422"/>
      <c r="F199" s="1431">
        <f>'CVWD Total'!F180:G180+'SAWC Total'!F179:G179+'FWC Total'!F181:G181+'Upland Total'!F180:G180+'MVWD Total '!F180:G180+'Chino Hills Total'!F180:G180+'Chino Total'!F180:G180+'Ontario Total'!F180:G180</f>
        <v>280.51910000000004</v>
      </c>
      <c r="G199" s="1422"/>
      <c r="H199" s="969">
        <f>'CVWD Total'!H180+'SAWC Total'!H179+'FWC Total'!H181+'Upland Total'!H180+'MVWD Total '!H180+'Chino Hills Total'!H180+'Chino Total'!H180+'Ontario Total'!H180</f>
        <v>5610.3819999999996</v>
      </c>
      <c r="I199" s="169">
        <f>'CVWD Total'!I180+'SAWC Total'!I179+'FWC Total'!I181+'Upland Total'!I180+'MVWD Total '!I180+'Chino Hills Total'!I180+'Chino Total'!I180+'Ontario Total'!I180</f>
        <v>0</v>
      </c>
      <c r="J199" s="169">
        <f>'CVWD Total'!J180+'SAWC Total'!J179+'FWC Total'!J181+'Upland Total'!J180+'MVWD Total '!J180+'Chino Hills Total'!J180+'Chino Total'!J180+'Ontario Total'!J180</f>
        <v>225020</v>
      </c>
      <c r="K199" s="169">
        <f>'CVWD Total'!K180+'SAWC Total'!K179+'FWC Total'!K181+'Upland Total'!K180+'MVWD Total '!K180+'Chino Hills Total'!K180+'Chino Total'!K180+'Ontario Total'!K180</f>
        <v>815979.95</v>
      </c>
      <c r="L199" s="169">
        <f>'CVWD Total'!L180+'SAWC Total'!L179+'FWC Total'!L181+'Upland Total'!L180+'MVWD Total '!L180+'Chino Hills Total'!L180+'Chino Total'!L180+'Ontario Total'!L180</f>
        <v>1040999.95</v>
      </c>
      <c r="M199" s="1539">
        <f>IF(ISERROR(L199/(F199*721)),0,L199/(F199*721))</f>
        <v>5.1469862383539047</v>
      </c>
      <c r="N199" s="1540"/>
    </row>
    <row r="200" spans="1:15">
      <c r="A200" s="68" t="s">
        <v>51</v>
      </c>
      <c r="B200" s="1421">
        <f>'Ontario Total'!B181:C181+'Chino Total'!B181:C181+'Chino Hills Total'!B181:C181+'MVWD Total '!B181:C181+'Upland Total'!B181:C181+'FWC Total'!B182:C182+'SAWC Total'!B180:C180+'CVWD Total'!B181:C181</f>
        <v>17</v>
      </c>
      <c r="C200" s="1422"/>
      <c r="D200" s="1431">
        <f>'CVWD Total'!D181:E181+'SAWC Total'!D180:E180+'FWC Total'!D182:E182+'Upland Total'!D181:E181+'MVWD Total '!D181:E181+'Chino Hills Total'!D181:E181+'Chino Total'!D181:E181+'Ontario Total'!D181:E181</f>
        <v>679794.81</v>
      </c>
      <c r="E200" s="1422"/>
      <c r="F200" s="1431">
        <f>'CVWD Total'!F181:G181+'SAWC Total'!F180:G180+'FWC Total'!F182:G182+'Upland Total'!F181:G181+'MVWD Total '!F181:G181+'Chino Hills Total'!F181:G181+'Chino Total'!F181:G181+'Ontario Total'!F181:G181</f>
        <v>2.0859000000000001</v>
      </c>
      <c r="G200" s="1422"/>
      <c r="H200" s="969">
        <f>'CVWD Total'!H181+'SAWC Total'!H180+'FWC Total'!H182+'Upland Total'!H181+'MVWD Total '!H181+'Chino Hills Total'!H181+'Chino Total'!H181+'Ontario Total'!H181</f>
        <v>41.718000000000004</v>
      </c>
      <c r="I200" s="169">
        <f>'CVWD Total'!I181+'SAWC Total'!I180+'FWC Total'!I182+'Upland Total'!I181+'MVWD Total '!I181+'Chino Hills Total'!I181+'Chino Total'!I181+'Ontario Total'!I181</f>
        <v>0</v>
      </c>
      <c r="J200" s="169">
        <f>'CVWD Total'!J181+'SAWC Total'!J180+'FWC Total'!J182+'Upland Total'!J181+'MVWD Total '!J181+'Chino Hills Total'!J181+'Chino Total'!J181+'Ontario Total'!J181</f>
        <v>490.82</v>
      </c>
      <c r="K200" s="169">
        <f>'CVWD Total'!K181+'SAWC Total'!K180+'FWC Total'!K182+'Upland Total'!K181+'MVWD Total '!K181+'Chino Hills Total'!K181+'Chino Total'!K181+'Ontario Total'!K181</f>
        <v>3400</v>
      </c>
      <c r="L200" s="169">
        <f>'CVWD Total'!L181+'SAWC Total'!L180+'FWC Total'!L182+'Upland Total'!L181+'MVWD Total '!L181+'Chino Hills Total'!L181+'Chino Total'!L181+'Ontario Total'!L181</f>
        <v>3890.82</v>
      </c>
      <c r="M200" s="1539">
        <f t="shared" ref="M200:M210" si="13">IF(ISERROR(L200/(F200*721)),0,L200/(F200*721))</f>
        <v>2.5870950844315699</v>
      </c>
      <c r="N200" s="1540"/>
    </row>
    <row r="201" spans="1:15">
      <c r="A201" s="2" t="s">
        <v>204</v>
      </c>
      <c r="B201" s="1421">
        <f>'Ontario Total'!B182:C182+'Chino Total'!B182:C182+'Chino Hills Total'!B182:C182+'MVWD Total '!B182:C182+'Upland Total'!B182:C182+'FWC Total'!B183:C183+'SAWC Total'!B181:C181+'CVWD Total'!B182:C182</f>
        <v>0</v>
      </c>
      <c r="C201" s="1422"/>
      <c r="D201" s="1431">
        <f>'CVWD Total'!D182:E182+'SAWC Total'!D181:E181+'FWC Total'!D183:E183+'Upland Total'!D182:E182+'MVWD Total '!D182:E182+'Chino Hills Total'!D182:E182+'Chino Total'!D182:E182+'Ontario Total'!D182:E182</f>
        <v>0</v>
      </c>
      <c r="E201" s="1422"/>
      <c r="F201" s="1431">
        <f>'CVWD Total'!F182:G182+'SAWC Total'!F181:G181+'FWC Total'!F183:G183+'Upland Total'!F182:G182+'MVWD Total '!F182:G182+'Chino Hills Total'!F182:G182+'Chino Total'!F182:G182+'Ontario Total'!F182:G182</f>
        <v>0</v>
      </c>
      <c r="G201" s="1422"/>
      <c r="H201" s="969">
        <f>'CVWD Total'!H182+'SAWC Total'!H181+'FWC Total'!H183+'Upland Total'!H182+'MVWD Total '!H182+'Chino Hills Total'!H182+'Chino Total'!H182+'Ontario Total'!H182</f>
        <v>0</v>
      </c>
      <c r="I201" s="169">
        <f>'CVWD Total'!I182+'SAWC Total'!I181+'FWC Total'!I183+'Upland Total'!I182+'MVWD Total '!I182+'Chino Hills Total'!I182+'Chino Total'!I182+'Ontario Total'!I182</f>
        <v>0</v>
      </c>
      <c r="J201" s="169">
        <f>'CVWD Total'!J182+'SAWC Total'!J181+'FWC Total'!J183+'Upland Total'!J182+'MVWD Total '!J182+'Chino Hills Total'!J182+'Chino Total'!J182+'Ontario Total'!J182</f>
        <v>0</v>
      </c>
      <c r="K201" s="169">
        <f>'CVWD Total'!K182+'SAWC Total'!K181+'FWC Total'!K183+'Upland Total'!K182+'MVWD Total '!K182+'Chino Hills Total'!K182+'Chino Total'!K182+'Ontario Total'!K182</f>
        <v>0</v>
      </c>
      <c r="L201" s="169">
        <f>'CVWD Total'!L182+'SAWC Total'!L181+'FWC Total'!L183+'Upland Total'!L182+'MVWD Total '!L182+'Chino Hills Total'!L182+'Chino Total'!L182+'Ontario Total'!L182</f>
        <v>0</v>
      </c>
      <c r="M201" s="1539">
        <f t="shared" si="13"/>
        <v>0</v>
      </c>
      <c r="N201" s="1540"/>
    </row>
    <row r="202" spans="1:15">
      <c r="A202" s="254" t="s">
        <v>30</v>
      </c>
      <c r="B202" s="1421">
        <f>'Ontario Total'!B183:C183+'Chino Total'!B183:C183+'Chino Hills Total'!B183:C183+'MVWD Total '!B183:C183+'Upland Total'!B183:C183+'FWC Total'!B184:C184+'SAWC Total'!B182:C182+'CVWD Total'!B183:C183</f>
        <v>212</v>
      </c>
      <c r="C202" s="1422"/>
      <c r="D202" s="1431">
        <f>'CVWD Total'!D183:E183+'SAWC Total'!D182:E182+'FWC Total'!D184:E184+'Upland Total'!D183:E183+'MVWD Total '!D183:E183+'Chino Hills Total'!D183:E183+'Chino Total'!D183:E183+'Ontario Total'!D183:E183</f>
        <v>22454510</v>
      </c>
      <c r="E202" s="1422"/>
      <c r="F202" s="1431">
        <f>'CVWD Total'!F183:G183+'SAWC Total'!F182:G182+'FWC Total'!F184:G184+'Upland Total'!F183:G183+'MVWD Total '!F183:G183+'Chino Hills Total'!F183:G183+'Chino Total'!F183:G183+'Ontario Total'!F183:G183</f>
        <v>68.900000000000006</v>
      </c>
      <c r="G202" s="1422"/>
      <c r="H202" s="969">
        <f>'CVWD Total'!H183+'SAWC Total'!H182+'FWC Total'!H184+'Upland Total'!H183+'MVWD Total '!H183+'Chino Hills Total'!H183+'Chino Total'!H183+'Ontario Total'!H183</f>
        <v>689</v>
      </c>
      <c r="I202" s="169">
        <f>'CVWD Total'!I183+'SAWC Total'!I182+'FWC Total'!I184+'Upland Total'!I183+'MVWD Total '!I183+'Chino Hills Total'!I183+'Chino Total'!I183+'Ontario Total'!I183</f>
        <v>0</v>
      </c>
      <c r="J202" s="169">
        <f>'CVWD Total'!J183+'SAWC Total'!J182+'FWC Total'!J184+'Upland Total'!J183+'MVWD Total '!J183+'Chino Hills Total'!J183+'Chino Total'!J183+'Ontario Total'!J183</f>
        <v>25595.86</v>
      </c>
      <c r="K202" s="169">
        <f>'CVWD Total'!K183+'SAWC Total'!K182+'FWC Total'!K184+'Upland Total'!K183+'MVWD Total '!K183+'Chino Hills Total'!K183+'Chino Total'!K183+'Ontario Total'!K183</f>
        <v>131398.71</v>
      </c>
      <c r="L202" s="169">
        <f>'CVWD Total'!L183+'SAWC Total'!L182+'FWC Total'!L184+'Upland Total'!L183+'MVWD Total '!L183+'Chino Hills Total'!L183+'Chino Total'!L183+'Ontario Total'!L183</f>
        <v>156994.56999999998</v>
      </c>
      <c r="M202" s="1539">
        <f t="shared" si="13"/>
        <v>3.1603133448343188</v>
      </c>
      <c r="N202" s="1540"/>
    </row>
    <row r="203" spans="1:15">
      <c r="A203" s="69" t="s">
        <v>56</v>
      </c>
      <c r="B203" s="1421">
        <f>'Ontario Total'!B184:C184+'Chino Total'!B184:C184+'Chino Hills Total'!B184:C184+'MVWD Total '!B184:C184+'Upland Total'!B184:C184+'FWC Total'!B185:C185+'SAWC Total'!B183:C183+'CVWD Total'!B184:C184</f>
        <v>19391</v>
      </c>
      <c r="C203" s="1422"/>
      <c r="D203" s="1431">
        <f>'CVWD Total'!D184:E184+'SAWC Total'!D183:E183+'FWC Total'!D185:E185+'Upland Total'!D184:E184+'MVWD Total '!D184:E184+'Chino Hills Total'!D184:E184+'Chino Total'!D184:E184+'Ontario Total'!D184:E184</f>
        <v>27805918.359999999</v>
      </c>
      <c r="E203" s="1422"/>
      <c r="F203" s="1431">
        <f>'CVWD Total'!F184:G184+'SAWC Total'!F183:G183+'FWC Total'!F185:G185+'Upland Total'!F184:G184+'MVWD Total '!F184:G184+'Chino Hills Total'!F184:G184+'Chino Total'!F184:G184+'Ontario Total'!F184:G184</f>
        <v>85.320400000000006</v>
      </c>
      <c r="G203" s="1422"/>
      <c r="H203" s="969">
        <f>'CVWD Total'!H184+'SAWC Total'!H183+'FWC Total'!H185+'Upland Total'!H184+'MVWD Total '!H184+'Chino Hills Total'!H184+'Chino Total'!H184+'Ontario Total'!H184</f>
        <v>426.60200000000009</v>
      </c>
      <c r="I203" s="169">
        <f>'CVWD Total'!I184+'SAWC Total'!I183+'FWC Total'!I185+'Upland Total'!I184+'MVWD Total '!I184+'Chino Hills Total'!I184+'Chino Total'!I184+'Ontario Total'!I184</f>
        <v>0</v>
      </c>
      <c r="J203" s="169">
        <f>'CVWD Total'!J184+'SAWC Total'!J183+'FWC Total'!J185+'Upland Total'!J184+'MVWD Total '!J184+'Chino Hills Total'!J184+'Chino Total'!J184+'Ontario Total'!J184</f>
        <v>8800</v>
      </c>
      <c r="K203" s="169">
        <f>'CVWD Total'!K184+'SAWC Total'!K183+'FWC Total'!K185+'Upland Total'!K184+'MVWD Total '!K184+'Chino Hills Total'!K184+'Chino Total'!K184+'Ontario Total'!K184</f>
        <v>72974</v>
      </c>
      <c r="L203" s="169">
        <f>'CVWD Total'!L184+'SAWC Total'!L183+'FWC Total'!L185+'Upland Total'!L184+'MVWD Total '!L184+'Chino Hills Total'!L184+'Chino Total'!L184+'Ontario Total'!L184</f>
        <v>81774</v>
      </c>
      <c r="M203" s="1539">
        <f t="shared" si="13"/>
        <v>1.3293125176177718</v>
      </c>
      <c r="N203" s="1540"/>
    </row>
    <row r="204" spans="1:15" ht="12.75" customHeight="1">
      <c r="A204" s="254" t="s">
        <v>122</v>
      </c>
      <c r="B204" s="1421">
        <f>'Ontario Total'!B185:C185+'Chino Total'!B185:C185+'Chino Hills Total'!B185:C185+'MVWD Total '!B185:C185+'Upland Total'!B185:C185+'FWC Total'!B186:C186+'SAWC Total'!B184:C184+'CVWD Total'!B185:C185</f>
        <v>0</v>
      </c>
      <c r="C204" s="1422"/>
      <c r="D204" s="1431">
        <f>'CVWD Total'!D185:E185+'SAWC Total'!D184:E184+'FWC Total'!D186:E186+'Upland Total'!D185:E185+'MVWD Total '!D185:E185+'Chino Hills Total'!D185:E185+'Chino Total'!D185:E185+'Ontario Total'!D185:E185</f>
        <v>0</v>
      </c>
      <c r="E204" s="1422"/>
      <c r="F204" s="1431">
        <f>'CVWD Total'!F185:G185+'SAWC Total'!F184:G184+'FWC Total'!F186:G186+'Upland Total'!F185:G185+'MVWD Total '!F185:G185+'Chino Hills Total'!F185:G185+'Chino Total'!F185:G185+'Ontario Total'!F185:G185</f>
        <v>0</v>
      </c>
      <c r="G204" s="1422"/>
      <c r="H204" s="969">
        <f>'CVWD Total'!H185+'SAWC Total'!H184+'FWC Total'!H186+'Upland Total'!H185+'MVWD Total '!H185+'Chino Hills Total'!H185+'Chino Total'!H185+'Ontario Total'!H185</f>
        <v>0</v>
      </c>
      <c r="I204" s="169">
        <f>'CVWD Total'!I185+'SAWC Total'!I184+'FWC Total'!I186+'Upland Total'!I185+'MVWD Total '!I185+'Chino Hills Total'!I185+'Chino Total'!I185+'Ontario Total'!I185</f>
        <v>0</v>
      </c>
      <c r="J204" s="169">
        <f>'CVWD Total'!J185+'SAWC Total'!J184+'FWC Total'!J186+'Upland Total'!J185+'MVWD Total '!J185+'Chino Hills Total'!J185+'Chino Total'!J185+'Ontario Total'!J185</f>
        <v>0</v>
      </c>
      <c r="K204" s="169">
        <f>'CVWD Total'!K185+'SAWC Total'!K184+'FWC Total'!K186+'Upland Total'!K185+'MVWD Total '!K185+'Chino Hills Total'!K185+'Chino Total'!K185+'Ontario Total'!K185</f>
        <v>0</v>
      </c>
      <c r="L204" s="169">
        <f>'CVWD Total'!L185+'SAWC Total'!L184+'FWC Total'!L186+'Upland Total'!L185+'MVWD Total '!L185+'Chino Hills Total'!L185+'Chino Total'!L185+'Ontario Total'!L185</f>
        <v>0</v>
      </c>
      <c r="M204" s="1539">
        <f t="shared" si="13"/>
        <v>0</v>
      </c>
      <c r="N204" s="1540"/>
    </row>
    <row r="205" spans="1:15">
      <c r="A205" s="257" t="s">
        <v>184</v>
      </c>
      <c r="B205" s="1421">
        <f>'Ontario Total'!B186:C186+'Chino Total'!B186:C186+'Chino Hills Total'!B186:C186+'MVWD Total '!B186:C186+'Upland Total'!B186:C186+'FWC Total'!B187:C187+'SAWC Total'!B185:C185+'CVWD Total'!B186:C186</f>
        <v>0</v>
      </c>
      <c r="C205" s="1422"/>
      <c r="D205" s="1431">
        <f>'CVWD Total'!D186:E186+'SAWC Total'!D185:E185+'FWC Total'!D187:E187+'Upland Total'!D186:E186+'MVWD Total '!D186:E186+'Chino Hills Total'!D186:E186+'Chino Total'!D186:E186+'Ontario Total'!D186:E186</f>
        <v>0</v>
      </c>
      <c r="E205" s="1422"/>
      <c r="F205" s="1431">
        <f>'CVWD Total'!F186:G186+'SAWC Total'!F185:G185+'FWC Total'!F187:G187+'Upland Total'!F186:G186+'MVWD Total '!F186:G186+'Chino Hills Total'!F186:G186+'Chino Total'!F186:G186+'Ontario Total'!F186:G186</f>
        <v>0</v>
      </c>
      <c r="G205" s="1422"/>
      <c r="H205" s="969">
        <f>'CVWD Total'!H186+'SAWC Total'!H185+'FWC Total'!H187+'Upland Total'!H186+'MVWD Total '!H186+'Chino Hills Total'!H186+'Chino Total'!H186+'Ontario Total'!H186</f>
        <v>0</v>
      </c>
      <c r="I205" s="169">
        <f>'CVWD Total'!I186+'SAWC Total'!I185+'FWC Total'!I187+'Upland Total'!I186+'MVWD Total '!I186+'Chino Hills Total'!I186+'Chino Total'!I186+'Ontario Total'!I186</f>
        <v>0</v>
      </c>
      <c r="J205" s="169">
        <f>'CVWD Total'!J186+'SAWC Total'!J185+'FWC Total'!J187+'Upland Total'!J186+'MVWD Total '!J186+'Chino Hills Total'!J186+'Chino Total'!J186+'Ontario Total'!J186</f>
        <v>0</v>
      </c>
      <c r="K205" s="169">
        <f>'CVWD Total'!K186+'SAWC Total'!K185+'FWC Total'!K187+'Upland Total'!K186+'MVWD Total '!K186+'Chino Hills Total'!K186+'Chino Total'!K186+'Ontario Total'!K186</f>
        <v>0</v>
      </c>
      <c r="L205" s="169">
        <f>'CVWD Total'!L186+'SAWC Total'!L185+'FWC Total'!L187+'Upland Total'!L186+'MVWD Total '!L186+'Chino Hills Total'!L186+'Chino Total'!L186+'Ontario Total'!L186</f>
        <v>0</v>
      </c>
      <c r="M205" s="1427">
        <f t="shared" si="13"/>
        <v>0</v>
      </c>
      <c r="N205" s="1428"/>
    </row>
    <row r="206" spans="1:15" s="57" customFormat="1">
      <c r="A206" s="258" t="s">
        <v>187</v>
      </c>
      <c r="B206" s="1421">
        <f>'Ontario Total'!B187:C187+'Chino Total'!B187:C187+'Chino Hills Total'!B187:C187+'MVWD Total '!B187:C187+'Upland Total'!B187:C187+'FWC Total'!B188:C188+'SAWC Total'!B186:C186+'CVWD Total'!B187:C187</f>
        <v>210</v>
      </c>
      <c r="C206" s="1422"/>
      <c r="D206" s="1431">
        <f>'CVWD Total'!D187:E187+'SAWC Total'!D186:E186+'FWC Total'!D188:E188+'Upland Total'!D187:E187+'MVWD Total '!D187:E187+'Chino Hills Total'!D187:E187+'Chino Total'!D187:E187+'Ontario Total'!D187:E187</f>
        <v>1574097</v>
      </c>
      <c r="E206" s="1422"/>
      <c r="F206" s="1431">
        <f>'CVWD Total'!F187:G187+'SAWC Total'!F186:G186+'FWC Total'!F188:G188+'Upland Total'!F187:G187+'MVWD Total '!F187:G187+'Chino Hills Total'!F187:G187+'Chino Total'!F187:G187+'Ontario Total'!F187:G187</f>
        <v>4.83</v>
      </c>
      <c r="G206" s="1422"/>
      <c r="H206" s="969">
        <f>'CVWD Total'!H187+'SAWC Total'!H186+'FWC Total'!H188+'Upland Total'!H187+'MVWD Total '!H187+'Chino Hills Total'!H187+'Chino Total'!H187+'Ontario Total'!H187</f>
        <v>24.15</v>
      </c>
      <c r="I206" s="169">
        <f>'CVWD Total'!I187+'SAWC Total'!I186+'FWC Total'!I188+'Upland Total'!I187+'MVWD Total '!I187+'Chino Hills Total'!I187+'Chino Total'!I187+'Ontario Total'!I187</f>
        <v>0</v>
      </c>
      <c r="J206" s="169">
        <f>'CVWD Total'!J187+'SAWC Total'!J186+'FWC Total'!J188+'Upland Total'!J187+'MVWD Total '!J187+'Chino Hills Total'!J187+'Chino Total'!J187+'Ontario Total'!J187</f>
        <v>2100</v>
      </c>
      <c r="K206" s="169">
        <f>'CVWD Total'!K187+'SAWC Total'!K186+'FWC Total'!K188+'Upland Total'!K187+'MVWD Total '!K187+'Chino Hills Total'!K187+'Chino Total'!K187+'Ontario Total'!K187</f>
        <v>2100</v>
      </c>
      <c r="L206" s="169">
        <f>'CVWD Total'!L187+'SAWC Total'!L186+'FWC Total'!L188+'Upland Total'!L187+'MVWD Total '!L187+'Chino Hills Total'!L187+'Chino Total'!L187+'Ontario Total'!L187</f>
        <v>4200</v>
      </c>
      <c r="M206" s="1427">
        <f t="shared" si="13"/>
        <v>1.2060543930531267</v>
      </c>
      <c r="N206" s="1428"/>
      <c r="O206" s="121"/>
    </row>
    <row r="207" spans="1:15" s="57" customFormat="1">
      <c r="A207" s="258" t="s">
        <v>188</v>
      </c>
      <c r="B207" s="1421">
        <f>'Ontario Total'!B188:C188+'Chino Total'!B188:C188+'Chino Hills Total'!B188:C188+'MVWD Total '!B188:C188+'Upland Total'!B188:C188+'FWC Total'!B189:C189+'SAWC Total'!B187:C187+'CVWD Total'!B188:C188</f>
        <v>7</v>
      </c>
      <c r="C207" s="1422"/>
      <c r="D207" s="1431">
        <f>'CVWD Total'!D188:E188+'SAWC Total'!D187:E187+'FWC Total'!D189:E189+'Upland Total'!D188:E188+'MVWD Total '!D188:E188+'Chino Hills Total'!D188:E188+'Chino Total'!D188:E188+'Ontario Total'!D188:E188</f>
        <v>351320.19999999995</v>
      </c>
      <c r="E207" s="1422"/>
      <c r="F207" s="1431">
        <f>'CVWD Total'!F188:G188+'SAWC Total'!F187:G187+'FWC Total'!F189:G189+'Upland Total'!F188:G188+'MVWD Total '!F188:G188+'Chino Hills Total'!F188:G188+'Chino Total'!F188:G188+'Ontario Total'!F188:G188</f>
        <v>1.0779999999999998</v>
      </c>
      <c r="G207" s="1422"/>
      <c r="H207" s="969">
        <f>'CVWD Total'!H188+'SAWC Total'!H187+'FWC Total'!H189+'Upland Total'!H188+'MVWD Total '!H188+'Chino Hills Total'!H188+'Chino Total'!H188+'Ontario Total'!H188</f>
        <v>10.78</v>
      </c>
      <c r="I207" s="169">
        <f>'CVWD Total'!I188+'SAWC Total'!I187+'FWC Total'!I189+'Upland Total'!I188+'MVWD Total '!I188+'Chino Hills Total'!I188+'Chino Total'!I188+'Ontario Total'!I188</f>
        <v>0</v>
      </c>
      <c r="J207" s="169">
        <f>'CVWD Total'!J188+'SAWC Total'!J187+'FWC Total'!J189+'Upland Total'!J188+'MVWD Total '!J188+'Chino Hills Total'!J188+'Chino Total'!J188+'Ontario Total'!J188</f>
        <v>1000</v>
      </c>
      <c r="K207" s="169">
        <f>'CVWD Total'!K188+'SAWC Total'!K187+'FWC Total'!K189+'Upland Total'!K188+'MVWD Total '!K188+'Chino Hills Total'!K188+'Chino Total'!K188+'Ontario Total'!K188</f>
        <v>5000</v>
      </c>
      <c r="L207" s="169">
        <f>'CVWD Total'!L188+'SAWC Total'!L187+'FWC Total'!L189+'Upland Total'!L188+'MVWD Total '!L188+'Chino Hills Total'!L188+'Chino Total'!L188+'Ontario Total'!L188</f>
        <v>6000</v>
      </c>
      <c r="M207" s="1427">
        <f t="shared" si="13"/>
        <v>7.7196431466294761</v>
      </c>
      <c r="N207" s="1428"/>
      <c r="O207" s="121"/>
    </row>
    <row r="208" spans="1:15" s="57" customFormat="1">
      <c r="A208" s="258" t="s">
        <v>270</v>
      </c>
      <c r="B208" s="1421">
        <f>'Ontario Total'!B189:C189+'Chino Total'!B189:C189+'Chino Hills Total'!B189:C189+'MVWD Total '!B189:C189+'Upland Total'!B189:C189+'FWC Total'!B190:C190+'SAWC Total'!B188:C188+'CVWD Total'!B189:C189</f>
        <v>116</v>
      </c>
      <c r="C208" s="1422"/>
      <c r="D208" s="1431">
        <f>'CVWD Total'!D189:E189+'SAWC Total'!D188:E188+'FWC Total'!D190:E190+'Upland Total'!D189:E189+'MVWD Total '!D189:E189+'Chino Hills Total'!D189:E189+'Chino Total'!D189:E189+'Ontario Total'!D189:E189</f>
        <v>141383763.03999999</v>
      </c>
      <c r="E208" s="1422"/>
      <c r="F208" s="1431">
        <f>'CVWD Total'!F189:G189+'SAWC Total'!F188:G188+'FWC Total'!F190:G190+'Upland Total'!F189:G189+'MVWD Total '!F189:G189+'Chino Hills Total'!F189:G189+'Chino Total'!F189:G189+'Ontario Total'!F189:G189</f>
        <v>433.82559999999989</v>
      </c>
      <c r="G208" s="1422"/>
      <c r="H208" s="969">
        <f>'CVWD Total'!H189+'SAWC Total'!H188+'FWC Total'!H190+'Upland Total'!H189+'MVWD Total '!H189+'Chino Hills Total'!H189+'Chino Total'!H189+'Ontario Total'!H189</f>
        <v>4338.2559999999994</v>
      </c>
      <c r="I208" s="169">
        <f>'CVWD Total'!I189+'SAWC Total'!I188+'FWC Total'!I190+'Upland Total'!I189+'MVWD Total '!I189+'Chino Hills Total'!I189+'Chino Total'!I189+'Ontario Total'!I189</f>
        <v>0</v>
      </c>
      <c r="J208" s="169">
        <f>'CVWD Total'!J189+'SAWC Total'!J188+'FWC Total'!J190+'Upland Total'!J189+'MVWD Total '!J189+'Chino Hills Total'!J189+'Chino Total'!J189+'Ontario Total'!J189</f>
        <v>1299067.97</v>
      </c>
      <c r="K208" s="169">
        <f>'CVWD Total'!K189+'SAWC Total'!K188+'FWC Total'!K190+'Upland Total'!K189+'MVWD Total '!K189+'Chino Hills Total'!K189+'Chino Total'!K189+'Ontario Total'!K189</f>
        <v>5486869.25</v>
      </c>
      <c r="L208" s="169">
        <f>'CVWD Total'!L189+'SAWC Total'!L188+'FWC Total'!L190+'Upland Total'!L189+'MVWD Total '!L189+'Chino Hills Total'!L189+'Chino Total'!L189+'Ontario Total'!L189</f>
        <v>6785937.2200000007</v>
      </c>
      <c r="M208" s="1427">
        <f t="shared" si="13"/>
        <v>21.694987120258197</v>
      </c>
      <c r="N208" s="1428"/>
      <c r="O208" s="121"/>
    </row>
    <row r="209" spans="1:15" s="57" customFormat="1">
      <c r="A209" s="258" t="s">
        <v>269</v>
      </c>
      <c r="B209" s="1421">
        <f>'Ontario Total'!B190:C190+'Chino Total'!B190:C190+'Chino Hills Total'!B190:C190+'MVWD Total '!B190:C190+'Upland Total'!B190:C190+'FWC Total'!B191:C191+'SAWC Total'!B189:C189+'CVWD Total'!B190:C190</f>
        <v>1</v>
      </c>
      <c r="C209" s="1422"/>
      <c r="D209" s="1431">
        <f>'CVWD Total'!D190:E190+'SAWC Total'!D189:E189+'FWC Total'!D191:E191+'Upland Total'!D190:E190+'MVWD Total '!D190:E190+'Chino Hills Total'!D190:E190+'Chino Total'!D190:E190+'Ontario Total'!D190:E190</f>
        <v>0</v>
      </c>
      <c r="E209" s="1422"/>
      <c r="F209" s="1431">
        <f>'CVWD Total'!F190:G190+'SAWC Total'!F189:G189+'FWC Total'!F191:G191+'Upland Total'!F190:G190+'MVWD Total '!F190:G190+'Chino Hills Total'!F190:G190+'Chino Total'!F190:G190+'Ontario Total'!F190:G190</f>
        <v>1.29E-2</v>
      </c>
      <c r="G209" s="1422"/>
      <c r="H209" s="969">
        <f>'CVWD Total'!H190+'SAWC Total'!H189+'FWC Total'!H191+'Upland Total'!H190+'MVWD Total '!H190+'Chino Hills Total'!H190+'Chino Total'!H190+'Ontario Total'!H190</f>
        <v>0.129</v>
      </c>
      <c r="I209" s="169">
        <f>'CVWD Total'!I190+'SAWC Total'!I189+'FWC Total'!I191+'Upland Total'!I190+'MVWD Total '!I190+'Chino Hills Total'!I190+'Chino Total'!I190+'Ontario Total'!I190</f>
        <v>0</v>
      </c>
      <c r="J209" s="169">
        <f>'CVWD Total'!J190+'SAWC Total'!J189+'FWC Total'!J191+'Upland Total'!J190+'MVWD Total '!J190+'Chino Hills Total'!J190+'Chino Total'!J190+'Ontario Total'!J190</f>
        <v>0</v>
      </c>
      <c r="K209" s="169">
        <f>'CVWD Total'!K190+'SAWC Total'!K189+'FWC Total'!K191+'Upland Total'!K190+'MVWD Total '!K190+'Chino Hills Total'!K190+'Chino Total'!K190+'Ontario Total'!K190</f>
        <v>980</v>
      </c>
      <c r="L209" s="169">
        <f>'CVWD Total'!L190+'SAWC Total'!L189+'FWC Total'!L191+'Upland Total'!L190+'MVWD Total '!L190+'Chino Hills Total'!L190+'Chino Total'!L190+'Ontario Total'!L190</f>
        <v>980</v>
      </c>
      <c r="M209" s="1427">
        <f t="shared" si="13"/>
        <v>105.36614736208324</v>
      </c>
      <c r="N209" s="1428"/>
      <c r="O209" s="121"/>
    </row>
    <row r="210" spans="1:15" s="57" customFormat="1" ht="14" thickBot="1">
      <c r="A210" s="258" t="s">
        <v>268</v>
      </c>
      <c r="B210" s="1429">
        <f>'Ontario Total'!B191:C191+'Chino Total'!B191:C191+'Chino Hills Total'!B191:C191+'MVWD Total '!B191:C191+'Upland Total'!B191:C191+'FWC Total'!B192:C192+'SAWC Total'!B190:C190+'CVWD Total'!B191:C191</f>
        <v>7874</v>
      </c>
      <c r="C210" s="1430"/>
      <c r="D210" s="1431">
        <f>'CVWD Total'!D191:E191+'SAWC Total'!D190:E190+'FWC Total'!D192:E192+'Upland Total'!D191:E191+'MVWD Total '!D191:E191+'Chino Hills Total'!D191:E191+'Chino Total'!D191:E191+'Ontario Total'!D191:E191</f>
        <v>10777773.719999999</v>
      </c>
      <c r="E210" s="1422"/>
      <c r="F210" s="1431">
        <f>'CVWD Total'!F191:G191+'SAWC Total'!F190:G190+'FWC Total'!F192:G192+'Upland Total'!F191:G191+'MVWD Total '!F191:G191+'Chino Hills Total'!F191:G191+'Chino Total'!F191:G191+'Ontario Total'!F191:G191</f>
        <v>33.070799999999998</v>
      </c>
      <c r="G210" s="1422"/>
      <c r="H210" s="969">
        <f>'CVWD Total'!H191+'SAWC Total'!H190+'FWC Total'!H192+'Upland Total'!H191+'MVWD Total '!H191+'Chino Hills Total'!H191+'Chino Total'!H191+'Ontario Total'!H191</f>
        <v>330.70799999999997</v>
      </c>
      <c r="I210" s="169">
        <f>'CVWD Total'!I191+'SAWC Total'!I190+'FWC Total'!I192+'Upland Total'!I191+'MVWD Total '!I191+'Chino Hills Total'!I191+'Chino Total'!I191+'Ontario Total'!I191</f>
        <v>0</v>
      </c>
      <c r="J210" s="169">
        <f>'CVWD Total'!J191+'SAWC Total'!J190+'FWC Total'!J192+'Upland Total'!J191+'MVWD Total '!J191+'Chino Hills Total'!J191+'Chino Total'!J191+'Ontario Total'!J191</f>
        <v>24085</v>
      </c>
      <c r="K210" s="169">
        <f>'CVWD Total'!K191+'SAWC Total'!K190+'FWC Total'!K192+'Upland Total'!K191+'MVWD Total '!K191+'Chino Hills Total'!K191+'Chino Total'!K191+'Ontario Total'!K191</f>
        <v>24085</v>
      </c>
      <c r="L210" s="169">
        <f>'CVWD Total'!L191+'SAWC Total'!L190+'FWC Total'!L192+'Upland Total'!L191+'MVWD Total '!L191+'Chino Hills Total'!L191+'Chino Total'!L191+'Ontario Total'!L191</f>
        <v>48170</v>
      </c>
      <c r="M210" s="1880">
        <f t="shared" si="13"/>
        <v>2.0202107638876132</v>
      </c>
      <c r="N210" s="1881"/>
      <c r="O210" s="121"/>
    </row>
    <row r="211" spans="1:15" s="1161" customFormat="1" ht="17" thickBot="1">
      <c r="A211" s="108" t="s">
        <v>192</v>
      </c>
      <c r="B211" s="1456"/>
      <c r="C211" s="1586"/>
      <c r="D211" s="1457"/>
      <c r="E211" s="1457"/>
      <c r="F211" s="1567"/>
      <c r="G211" s="1586"/>
      <c r="H211" s="194"/>
      <c r="I211" s="194"/>
      <c r="J211" s="194"/>
      <c r="K211" s="194"/>
      <c r="L211" s="194"/>
      <c r="M211" s="2104"/>
      <c r="N211" s="1985"/>
      <c r="O211" s="274"/>
    </row>
    <row r="212" spans="1:15" ht="14" thickBot="1">
      <c r="A212" s="76" t="s">
        <v>165</v>
      </c>
      <c r="B212" s="1769">
        <f>'Ontario Total'!B193:C193+'Chino Total'!B193:C193+'Chino Hills Total'!B193:C193+'MVWD Total '!B193:C193+'Upland Total'!B193:C193+'FWC Total'!B194:C194+'SAWC Total'!B192:C192+'CVWD Total'!B193:C193</f>
        <v>10890</v>
      </c>
      <c r="C212" s="1770"/>
      <c r="D212" s="1431">
        <f>'CVWD Total'!D193:E193+'SAWC Total'!D192:E192+'FWC Total'!D194:E194+'Upland Total'!D193:E193+'MVWD Total '!D193:E193+'Chino Hills Total'!D193:E193+'Chino Total'!D193:E193+'Ontario Total'!D193:E193</f>
        <v>14209240</v>
      </c>
      <c r="E212" s="1422"/>
      <c r="F212" s="1431">
        <f>'CVWD Total'!F193:G193+'SAWC Total'!F192:G192+'FWC Total'!F194:G194+'Upland Total'!F193:G193+'MVWD Total '!F193:G193+'Chino Hills Total'!F193:G193+'Chino Total'!F193:G193+'Ontario Total'!F193:G193</f>
        <v>43.599999999999994</v>
      </c>
      <c r="G212" s="1422"/>
      <c r="H212" s="969">
        <f>'CVWD Total'!H193+'SAWC Total'!H192+'FWC Total'!H194+'Upland Total'!H193+'MVWD Total '!H193+'Chino Hills Total'!H193+'Chino Total'!H193+'Ontario Total'!H193</f>
        <v>218</v>
      </c>
      <c r="I212" s="169">
        <f>'CVWD Total'!I193+'SAWC Total'!I192+'FWC Total'!I194+'Upland Total'!I193+'MVWD Total '!I193+'Chino Hills Total'!I193+'Chino Total'!I193+'Ontario Total'!I193</f>
        <v>0</v>
      </c>
      <c r="J212" s="169">
        <f>'CVWD Total'!J193+'SAWC Total'!J192+'FWC Total'!J194+'Upland Total'!J193+'MVWD Total '!J193+'Chino Hills Total'!J193+'Chino Total'!J193+'Ontario Total'!J193</f>
        <v>17211.55</v>
      </c>
      <c r="K212" s="169">
        <f>'CVWD Total'!K193+'SAWC Total'!K192+'FWC Total'!K194+'Upland Total'!K193+'MVWD Total '!K193+'Chino Hills Total'!K193+'Chino Total'!K193+'Ontario Total'!K193</f>
        <v>21780</v>
      </c>
      <c r="L212" s="169">
        <f>'CVWD Total'!L193+'SAWC Total'!L192+'FWC Total'!L194+'Upland Total'!L193+'MVWD Total '!L193+'Chino Hills Total'!L193+'Chino Total'!L193+'Ontario Total'!L193</f>
        <v>38991.550000000003</v>
      </c>
      <c r="M212" s="1561">
        <f>IF(ISERROR(L212/(F212*752)),0,L212/(F212*752))</f>
        <v>1.1892308583837596</v>
      </c>
      <c r="N212" s="1562"/>
    </row>
    <row r="213" spans="1:15" ht="14" thickBot="1">
      <c r="A213" s="53" t="s">
        <v>60</v>
      </c>
      <c r="B213" s="1438">
        <f>SUM(B199:B212)</f>
        <v>45316</v>
      </c>
      <c r="C213" s="1439"/>
      <c r="D213" s="1441">
        <f>SUM(D199:E212)</f>
        <v>310657591.82000005</v>
      </c>
      <c r="E213" s="1439"/>
      <c r="F213" s="1441">
        <f>SUM(F199:G212)</f>
        <v>953.24269999999979</v>
      </c>
      <c r="G213" s="1439"/>
      <c r="H213" s="786">
        <f>SUM(H199:H212)</f>
        <v>11689.725</v>
      </c>
      <c r="I213" s="146">
        <f>SUM(I199:I212)</f>
        <v>0</v>
      </c>
      <c r="J213" s="146">
        <f>SUM(J199:J212)</f>
        <v>1603371.2</v>
      </c>
      <c r="K213" s="146">
        <f>SUM(K199:K212)</f>
        <v>6564566.9100000001</v>
      </c>
      <c r="L213" s="146">
        <f>SUM(L199:L212)</f>
        <v>8167938.1100000003</v>
      </c>
      <c r="M213" s="1442"/>
      <c r="N213" s="1443"/>
    </row>
    <row r="214" spans="1:15" s="1161" customFormat="1" ht="17" thickBot="1">
      <c r="A214" s="1163" t="s">
        <v>17</v>
      </c>
      <c r="B214" s="1414">
        <f>SUM(,B197,B213)</f>
        <v>65868</v>
      </c>
      <c r="C214" s="1415"/>
      <c r="D214" s="1416">
        <f>SUM(,D197,D213)</f>
        <v>615299287.38060009</v>
      </c>
      <c r="E214" s="1415"/>
      <c r="F214" s="1416">
        <f>SUM(,F197,F213)</f>
        <v>1888.0132699999999</v>
      </c>
      <c r="G214" s="1415"/>
      <c r="H214" s="1164">
        <f>SUM(H197,H213)</f>
        <v>22097.8282</v>
      </c>
      <c r="I214" s="1165">
        <f>SUM(,I197,I213)</f>
        <v>252272.375</v>
      </c>
      <c r="J214" s="1165">
        <f>SUM(,J197,J213)</f>
        <v>1832040.9</v>
      </c>
      <c r="K214" s="1165">
        <f>SUM(,K197,K213)</f>
        <v>10349936.775</v>
      </c>
      <c r="L214" s="1165">
        <f>SUM(,L197,L213)</f>
        <v>12434250.050000001</v>
      </c>
      <c r="M214" s="1417"/>
      <c r="N214" s="1418"/>
      <c r="O214" s="274"/>
    </row>
    <row r="215" spans="1:15">
      <c r="A215" s="738"/>
      <c r="B215" s="339"/>
      <c r="C215" s="339"/>
      <c r="D215" s="339"/>
      <c r="E215" s="339"/>
      <c r="F215" s="422"/>
      <c r="G215" s="422"/>
      <c r="H215" s="422"/>
      <c r="I215" s="21"/>
      <c r="J215" s="21"/>
      <c r="K215" s="21"/>
      <c r="L215" s="21"/>
      <c r="M215" s="338"/>
      <c r="N215" s="744"/>
    </row>
    <row r="216" spans="1:15" ht="15">
      <c r="A216" s="745" t="s">
        <v>18</v>
      </c>
      <c r="B216" s="1695" t="s">
        <v>59</v>
      </c>
      <c r="C216" s="1695"/>
      <c r="D216" s="1695"/>
      <c r="E216" s="1695"/>
      <c r="F216" s="422"/>
      <c r="G216" s="422"/>
      <c r="H216" s="422"/>
      <c r="I216" s="21"/>
      <c r="J216" s="21"/>
      <c r="K216" s="21"/>
      <c r="L216" s="21"/>
      <c r="M216" s="338"/>
      <c r="N216" s="741"/>
    </row>
    <row r="217" spans="1:15">
      <c r="A217" s="3"/>
      <c r="B217" s="1696" t="s">
        <v>19</v>
      </c>
      <c r="C217" s="1696"/>
      <c r="D217" s="1696"/>
      <c r="E217" s="1696"/>
      <c r="F217" s="422"/>
      <c r="G217" s="422"/>
      <c r="H217" s="422"/>
      <c r="I217" s="21"/>
      <c r="J217" s="21"/>
      <c r="K217" s="21"/>
      <c r="L217" s="21"/>
      <c r="M217" s="338"/>
      <c r="N217" s="741"/>
    </row>
    <row r="218" spans="1:15" ht="14" thickBot="1">
      <c r="A218" s="737"/>
      <c r="B218" s="347"/>
      <c r="C218" s="347"/>
      <c r="D218" s="347"/>
      <c r="E218" s="347"/>
      <c r="F218" s="422"/>
      <c r="G218" s="422"/>
      <c r="H218" s="422"/>
      <c r="I218" s="21"/>
      <c r="J218" s="21"/>
      <c r="K218" s="21"/>
      <c r="L218" s="21"/>
      <c r="M218" s="346"/>
      <c r="N218" s="742"/>
    </row>
    <row r="219" spans="1:15" s="1168" customFormat="1" ht="17" thickBot="1">
      <c r="A219" s="1170" t="s">
        <v>171</v>
      </c>
      <c r="B219" s="1672"/>
      <c r="C219" s="1913"/>
      <c r="D219" s="1672"/>
      <c r="E219" s="1913"/>
      <c r="F219" s="1619"/>
      <c r="G219" s="1620"/>
      <c r="H219" s="1166"/>
      <c r="I219" s="1167"/>
      <c r="J219" s="1167"/>
      <c r="K219" s="1167"/>
      <c r="L219" s="1167"/>
      <c r="M219" s="2187"/>
      <c r="N219" s="2188"/>
      <c r="O219" s="121"/>
    </row>
    <row r="220" spans="1:15" s="121" customFormat="1" ht="14" thickBot="1">
      <c r="A220" s="335" t="s">
        <v>272</v>
      </c>
      <c r="B220" s="2208">
        <v>74</v>
      </c>
      <c r="C220" s="2190"/>
      <c r="D220" s="1843">
        <f>B220*325851</f>
        <v>24112974</v>
      </c>
      <c r="E220" s="1842"/>
      <c r="F220" s="2191">
        <v>57.82</v>
      </c>
      <c r="G220" s="2192"/>
      <c r="H220" s="393">
        <f>F220*5</f>
        <v>289.10000000000002</v>
      </c>
      <c r="I220" s="336">
        <v>0</v>
      </c>
      <c r="J220" s="337">
        <v>11618</v>
      </c>
      <c r="K220" s="337">
        <v>2357</v>
      </c>
      <c r="L220" s="336">
        <f>K220+J220</f>
        <v>13975</v>
      </c>
      <c r="M220" s="1561">
        <f>IF(ISERROR(L220/(F220*752)),0,L220/(F220*752))</f>
        <v>0.32140741258638328</v>
      </c>
      <c r="N220" s="1562"/>
    </row>
    <row r="221" spans="1:15" s="1168" customFormat="1" ht="17" thickBot="1">
      <c r="A221" s="1171" t="s">
        <v>172</v>
      </c>
      <c r="B221" s="1416">
        <f>B214+B220</f>
        <v>65942</v>
      </c>
      <c r="C221" s="1415"/>
      <c r="D221" s="1416">
        <f>D214+D220</f>
        <v>639412261.38060009</v>
      </c>
      <c r="E221" s="1415"/>
      <c r="F221" s="1416">
        <f>F214+F220</f>
        <v>1945.8332699999999</v>
      </c>
      <c r="G221" s="1415"/>
      <c r="H221" s="1164">
        <f>H214+H220</f>
        <v>22386.928199999998</v>
      </c>
      <c r="I221" s="1164">
        <f>I214+I220</f>
        <v>252272.375</v>
      </c>
      <c r="J221" s="1164">
        <f>J214+J220</f>
        <v>1843658.9</v>
      </c>
      <c r="K221" s="1164">
        <f>K214+K220</f>
        <v>10352293.775</v>
      </c>
      <c r="L221" s="1164">
        <f>L214+L220</f>
        <v>12448225.050000001</v>
      </c>
      <c r="M221" s="2187"/>
      <c r="N221" s="2188"/>
      <c r="O221" s="121"/>
    </row>
    <row r="222" spans="1:15" s="121" customFormat="1" ht="16">
      <c r="A222" s="343"/>
      <c r="B222" s="340"/>
      <c r="C222" s="340"/>
      <c r="D222" s="340"/>
      <c r="E222" s="340"/>
      <c r="F222" s="423"/>
      <c r="G222" s="423"/>
      <c r="H222" s="423"/>
      <c r="I222" s="341"/>
      <c r="J222" s="341"/>
      <c r="K222" s="341"/>
      <c r="L222" s="341"/>
      <c r="M222" s="342"/>
      <c r="N222" s="342"/>
    </row>
    <row r="223" spans="1:15" s="121" customFormat="1" ht="17" thickBot="1">
      <c r="A223" s="343"/>
      <c r="B223" s="340"/>
      <c r="C223" s="340"/>
      <c r="D223" s="340"/>
      <c r="E223" s="340"/>
      <c r="F223" s="423"/>
      <c r="G223" s="423"/>
      <c r="H223" s="423"/>
      <c r="I223" s="341"/>
      <c r="J223" s="341"/>
      <c r="K223" s="341"/>
      <c r="L223" s="341"/>
      <c r="M223" s="342"/>
      <c r="N223" s="342"/>
    </row>
    <row r="224" spans="1:15" ht="16">
      <c r="A224" s="98"/>
      <c r="B224" s="99"/>
      <c r="C224" s="99"/>
      <c r="D224" s="99"/>
      <c r="E224" s="99"/>
      <c r="F224" s="421"/>
      <c r="G224" s="421"/>
      <c r="H224" s="421"/>
      <c r="I224" s="2236" t="s">
        <v>0</v>
      </c>
      <c r="J224" s="2236"/>
      <c r="K224" s="2236"/>
      <c r="L224" s="2236"/>
      <c r="M224" s="371"/>
      <c r="N224" s="372"/>
    </row>
    <row r="225" spans="1:15" s="91" customFormat="1" ht="16">
      <c r="A225" s="97"/>
      <c r="B225" s="1469" t="s">
        <v>1</v>
      </c>
      <c r="C225" s="1469"/>
      <c r="D225" s="1469" t="s">
        <v>2</v>
      </c>
      <c r="E225" s="1469"/>
      <c r="F225" s="1863" t="s">
        <v>3</v>
      </c>
      <c r="G225" s="1863"/>
      <c r="H225" s="566" t="s">
        <v>3</v>
      </c>
      <c r="I225" s="196" t="s">
        <v>197</v>
      </c>
      <c r="J225" s="197"/>
      <c r="K225" s="197"/>
      <c r="L225" s="198"/>
      <c r="M225" s="2237" t="s">
        <v>4</v>
      </c>
      <c r="N225" s="2238"/>
      <c r="O225" s="274"/>
    </row>
    <row r="226" spans="1:15" ht="13.5" customHeight="1" thickBot="1">
      <c r="A226" s="103" t="s">
        <v>5</v>
      </c>
      <c r="B226" s="1469" t="s">
        <v>6</v>
      </c>
      <c r="C226" s="1469"/>
      <c r="D226" s="1469" t="s">
        <v>7</v>
      </c>
      <c r="E226" s="1469"/>
      <c r="F226" s="1863" t="s">
        <v>7</v>
      </c>
      <c r="G226" s="1863"/>
      <c r="H226" s="615" t="s">
        <v>58</v>
      </c>
      <c r="I226" s="644" t="s">
        <v>198</v>
      </c>
      <c r="J226" s="694" t="s">
        <v>8</v>
      </c>
      <c r="K226" s="694" t="s">
        <v>9</v>
      </c>
      <c r="L226" s="695" t="s">
        <v>10</v>
      </c>
      <c r="M226" s="2237" t="s">
        <v>217</v>
      </c>
      <c r="N226" s="2238"/>
    </row>
    <row r="227" spans="1:15" ht="24.75" customHeight="1" thickBot="1">
      <c r="A227" s="255" t="s">
        <v>232</v>
      </c>
      <c r="B227" s="1476"/>
      <c r="C227" s="1477"/>
      <c r="D227" s="1890"/>
      <c r="E227" s="1479"/>
      <c r="F227" s="1878"/>
      <c r="G227" s="1879"/>
      <c r="H227" s="632"/>
      <c r="I227" s="200"/>
      <c r="J227" s="200"/>
      <c r="K227" s="200"/>
      <c r="L227" s="201"/>
      <c r="M227" s="2239"/>
      <c r="N227" s="2240"/>
    </row>
    <row r="228" spans="1:15" s="1168" customFormat="1" ht="17.25" customHeight="1" thickBot="1">
      <c r="A228" s="110" t="str">
        <f>+'CVWD Total'!A204</f>
        <v>SoCal Water$mart Residential Rebates</v>
      </c>
      <c r="B228" s="1456"/>
      <c r="C228" s="1586"/>
      <c r="D228" s="1457"/>
      <c r="E228" s="1586"/>
      <c r="F228" s="1619"/>
      <c r="G228" s="1620"/>
      <c r="H228" s="1145"/>
      <c r="I228" s="1172"/>
      <c r="J228" s="1172"/>
      <c r="K228" s="1172"/>
      <c r="L228" s="1173"/>
      <c r="M228" s="2218"/>
      <c r="N228" s="2219"/>
      <c r="O228" s="121"/>
    </row>
    <row r="229" spans="1:15" s="57" customFormat="1" ht="13.5" customHeight="1">
      <c r="A229" s="68" t="str">
        <f>+'CVWD Total'!A205</f>
        <v>High Efficiency Toilets (HET)</v>
      </c>
      <c r="B229" s="1731">
        <f>'Ontario Total'!B205:C205+'Chino Total'!B205:C205+'Chino Hills Total'!B205:C205+'MVWD Total '!B205:C205+'Upland Total'!B205:C205+'FWC Total'!B207:C207+'SAWC Total'!B204:C204+'CVWD Total'!B205:C205</f>
        <v>1434</v>
      </c>
      <c r="C229" s="1732"/>
      <c r="D229" s="1767">
        <f t="shared" ref="D229:D232" si="14">F229*325900</f>
        <v>19861975.500000004</v>
      </c>
      <c r="E229" s="1732"/>
      <c r="F229" s="1855">
        <f>0.0425*B229</f>
        <v>60.945000000000007</v>
      </c>
      <c r="G229" s="1732"/>
      <c r="H229" s="626">
        <f>F229*20</f>
        <v>1218.9000000000001</v>
      </c>
      <c r="I229" s="202">
        <v>0</v>
      </c>
      <c r="J229" s="202">
        <f>50*B229</f>
        <v>71700</v>
      </c>
      <c r="K229" s="202">
        <f>B229*100</f>
        <v>143400</v>
      </c>
      <c r="L229" s="203">
        <f t="shared" ref="L229:L234" si="15">I229+J229+K229</f>
        <v>215100</v>
      </c>
      <c r="M229" s="2222">
        <f t="shared" ref="M229:M234" si="16">IF(ISERROR(L229/(F229*752)),0,L229/(F229*752))</f>
        <v>4.6933667083854811</v>
      </c>
      <c r="N229" s="2223"/>
      <c r="O229" s="121"/>
    </row>
    <row r="230" spans="1:15" ht="12.75" customHeight="1">
      <c r="A230" s="68" t="str">
        <f>+'CVWD Total'!A206</f>
        <v>High Efficiency Clothes Washers (HECW)</v>
      </c>
      <c r="B230" s="1421">
        <f>'Ontario Total'!B206:C206+'Chino Total'!B206:C206+'Chino Hills Total'!B206:C206+'MVWD Total '!B206:C206+'Upland Total'!B206:C206+'FWC Total'!B208:C208+'SAWC Total'!B205:C205+'CVWD Total'!B206:C206</f>
        <v>980</v>
      </c>
      <c r="C230" s="1422"/>
      <c r="D230" s="1444">
        <f t="shared" si="14"/>
        <v>8814943.1999999993</v>
      </c>
      <c r="E230" s="1422"/>
      <c r="F230" s="1431">
        <f>0.0276*B230</f>
        <v>27.047999999999998</v>
      </c>
      <c r="G230" s="1422"/>
      <c r="H230" s="626">
        <f>F230*15</f>
        <v>405.71999999999997</v>
      </c>
      <c r="I230" s="202">
        <f>0*B230</f>
        <v>0</v>
      </c>
      <c r="J230" s="204">
        <f>B230*50</f>
        <v>49000</v>
      </c>
      <c r="K230" s="202">
        <f>B230*100</f>
        <v>98000</v>
      </c>
      <c r="L230" s="203">
        <f t="shared" si="15"/>
        <v>147000</v>
      </c>
      <c r="M230" s="2224">
        <f t="shared" si="16"/>
        <v>7.2271045328399639</v>
      </c>
      <c r="N230" s="2225"/>
    </row>
    <row r="231" spans="1:15" ht="12.75" customHeight="1">
      <c r="A231" s="68" t="str">
        <f>+'CVWD Total'!A207</f>
        <v>Rotating Nozzles for Pop-up Spray Heads</v>
      </c>
      <c r="B231" s="1421">
        <f>'Ontario Total'!B207:C207+'Chino Total'!B207:C207+'Chino Hills Total'!B207:C207+'MVWD Total '!B207:C207+'Upland Total'!B207:C207+'FWC Total'!B209:C209+'SAWC Total'!B206:C206+'CVWD Total'!B207:C207</f>
        <v>1397</v>
      </c>
      <c r="C231" s="1422"/>
      <c r="D231" s="1444">
        <f t="shared" si="14"/>
        <v>2003242.1200000003</v>
      </c>
      <c r="E231" s="1422"/>
      <c r="F231" s="1431">
        <f>0.0044*B231</f>
        <v>6.1468000000000007</v>
      </c>
      <c r="G231" s="1422"/>
      <c r="H231" s="626">
        <f>F231*5</f>
        <v>30.734000000000002</v>
      </c>
      <c r="I231" s="202">
        <f>0*B231</f>
        <v>0</v>
      </c>
      <c r="J231" s="202">
        <f>0*B231</f>
        <v>0</v>
      </c>
      <c r="K231" s="202">
        <f>B231*4</f>
        <v>5588</v>
      </c>
      <c r="L231" s="203">
        <f t="shared" si="15"/>
        <v>5588</v>
      </c>
      <c r="M231" s="2224">
        <f t="shared" si="16"/>
        <v>1.2088974854932302</v>
      </c>
      <c r="N231" s="2225"/>
    </row>
    <row r="232" spans="1:15" s="91" customFormat="1" ht="16">
      <c r="A232" s="68" t="str">
        <f>+'CVWD Total'!A208</f>
        <v>Weather based Irrigation Controllers (WBIC)</v>
      </c>
      <c r="B232" s="1421">
        <f>'Ontario Total'!B208:C208+'Chino Total'!B208:C208+'Chino Hills Total'!B208:C208+'MVWD Total '!B208:C208+'Upland Total'!B208:C208+'FWC Total'!B210:C210+'SAWC Total'!B207:C207+'CVWD Total'!B208:C208</f>
        <v>69</v>
      </c>
      <c r="C232" s="1422"/>
      <c r="D232" s="1444">
        <f t="shared" si="14"/>
        <v>7308307.5</v>
      </c>
      <c r="E232" s="1422"/>
      <c r="F232" s="1431">
        <f>0.325*B232</f>
        <v>22.425000000000001</v>
      </c>
      <c r="G232" s="1422"/>
      <c r="H232" s="626">
        <f>F232*10</f>
        <v>224.25</v>
      </c>
      <c r="I232" s="204">
        <v>0</v>
      </c>
      <c r="J232" s="204">
        <f>70*B232</f>
        <v>4830</v>
      </c>
      <c r="K232" s="204">
        <f>B232*80</f>
        <v>5520</v>
      </c>
      <c r="L232" s="203">
        <f t="shared" si="15"/>
        <v>10350</v>
      </c>
      <c r="M232" s="2224">
        <f t="shared" si="16"/>
        <v>0.61374795417348604</v>
      </c>
      <c r="N232" s="2225"/>
      <c r="O232" s="274"/>
    </row>
    <row r="233" spans="1:15">
      <c r="A233" s="254" t="str">
        <f>+'CVWD Total'!A209</f>
        <v>Turf Removal (79,670 Sq. Ft.)</v>
      </c>
      <c r="B233" s="1421">
        <f>'Ontario Total'!B209:C209+'Chino Total'!B209:C209+'Chino Hills Total'!B209:C209+'MVWD Total '!B209:C209+'Upland Total'!B209:C209+'FWC Total'!B211:C211+'SAWC Total'!B208:C208+'CVWD Total'!B209:C209</f>
        <v>78</v>
      </c>
      <c r="C233" s="1422"/>
      <c r="D233" s="1444">
        <v>5047181</v>
      </c>
      <c r="E233" s="1422"/>
      <c r="F233" s="1431">
        <v>15.49</v>
      </c>
      <c r="G233" s="1422"/>
      <c r="H233" s="626">
        <f>F233*10</f>
        <v>154.9</v>
      </c>
      <c r="I233" s="204">
        <v>0</v>
      </c>
      <c r="J233" s="204">
        <v>0</v>
      </c>
      <c r="K233" s="204">
        <v>235430</v>
      </c>
      <c r="L233" s="203">
        <f t="shared" si="15"/>
        <v>235430</v>
      </c>
      <c r="M233" s="2224">
        <f t="shared" si="16"/>
        <v>20.211220691455022</v>
      </c>
      <c r="N233" s="2225"/>
    </row>
    <row r="234" spans="1:15" ht="14" thickBot="1">
      <c r="A234" s="254" t="str">
        <f>+'CVWD Total'!A210</f>
        <v>Rain Barrels</v>
      </c>
      <c r="B234" s="1429">
        <f>'Ontario Total'!B210:C210+'Chino Total'!B210:C210+'Chino Hills Total'!B210:C210+'MVWD Total '!B210:C210+'Upland Total'!B210:C210+'FWC Total'!B212:C212+'SAWC Total'!B209:C209+'CVWD Total'!B210:C210</f>
        <v>149</v>
      </c>
      <c r="C234" s="1430"/>
      <c r="D234" s="1444">
        <v>15781708</v>
      </c>
      <c r="E234" s="1422"/>
      <c r="F234" s="1734">
        <v>48.43</v>
      </c>
      <c r="G234" s="1430"/>
      <c r="H234" s="626">
        <v>484.25</v>
      </c>
      <c r="I234" s="204">
        <v>0</v>
      </c>
      <c r="J234" s="204">
        <v>0</v>
      </c>
      <c r="K234" s="204">
        <f>B234*75</f>
        <v>11175</v>
      </c>
      <c r="L234" s="203">
        <f t="shared" si="15"/>
        <v>11175</v>
      </c>
      <c r="M234" s="2234">
        <f t="shared" si="16"/>
        <v>0.30684229486734527</v>
      </c>
      <c r="N234" s="2235"/>
    </row>
    <row r="235" spans="1:15" s="1168" customFormat="1" ht="17.25" customHeight="1" thickBot="1">
      <c r="A235" s="110" t="str">
        <f>'CVWD Total'!A256</f>
        <v>IEUA Locally Implemented Residential Programs</v>
      </c>
      <c r="B235" s="1456"/>
      <c r="C235" s="1586"/>
      <c r="D235" s="1567"/>
      <c r="E235" s="1586"/>
      <c r="F235" s="1567"/>
      <c r="G235" s="1586"/>
      <c r="H235" s="1142"/>
      <c r="I235" s="205"/>
      <c r="J235" s="205"/>
      <c r="K235" s="205"/>
      <c r="L235" s="206"/>
      <c r="M235" s="2218"/>
      <c r="N235" s="2219"/>
      <c r="O235" s="121"/>
    </row>
    <row r="236" spans="1:15">
      <c r="A236" s="68" t="s">
        <v>165</v>
      </c>
      <c r="B236" s="1731">
        <f>'Ontario Total'!B212:C212+'Chino Total'!B212:C212+'Chino Hills Total'!B212:C212+'MVWD Total '!B212:C212+'Upland Total'!B212:C212+'FWC Total'!B214:C214+'SAWC Total'!B211:C211+'CVWD Total'!B212:C212</f>
        <v>16706</v>
      </c>
      <c r="C236" s="1732"/>
      <c r="D236" s="1767">
        <f>F236*325900</f>
        <v>21777941.599999998</v>
      </c>
      <c r="E236" s="1732"/>
      <c r="F236" s="1855">
        <f>B236*0.004</f>
        <v>66.823999999999998</v>
      </c>
      <c r="G236" s="1732"/>
      <c r="H236" s="631">
        <f>F236*5</f>
        <v>334.12</v>
      </c>
      <c r="I236" s="204">
        <v>0</v>
      </c>
      <c r="J236" s="204">
        <v>0</v>
      </c>
      <c r="K236" s="204">
        <f>B236*3.6</f>
        <v>60141.599999999999</v>
      </c>
      <c r="L236" s="203">
        <f>I236+J236+K236</f>
        <v>60141.599999999999</v>
      </c>
      <c r="M236" s="2222">
        <f>IF(ISERROR(L236/(F236*752)),0,L236/(F236*752))</f>
        <v>1.1968085106382977</v>
      </c>
      <c r="N236" s="2223"/>
    </row>
    <row r="237" spans="1:15" s="91" customFormat="1" ht="12" customHeight="1">
      <c r="A237" s="257" t="s">
        <v>279</v>
      </c>
      <c r="B237" s="1421">
        <f>'Ontario Total'!B213:C213+'Chino Total'!B213:C213+'Chino Hills Total'!B213:C213+'MVWD Total '!B213:C213+'Upland Total'!B213:C213+'FWC Total'!B215:C215+'SAWC Total'!B212:C212+'CVWD Total'!B213:C213</f>
        <v>249</v>
      </c>
      <c r="C237" s="1422"/>
      <c r="D237" s="1444">
        <f>F237*325900</f>
        <v>47581400</v>
      </c>
      <c r="E237" s="1422"/>
      <c r="F237" s="1868">
        <v>146</v>
      </c>
      <c r="G237" s="1579"/>
      <c r="H237" s="609">
        <v>1344</v>
      </c>
      <c r="I237" s="204">
        <v>119369</v>
      </c>
      <c r="J237" s="204">
        <v>0</v>
      </c>
      <c r="K237" s="204">
        <v>119369</v>
      </c>
      <c r="L237" s="203">
        <f>I237+J237+K237</f>
        <v>238738</v>
      </c>
      <c r="M237" s="2224">
        <f>IF(ISERROR(L237/(F237*752)),0,L237/(F237*752))</f>
        <v>2.174457155348295</v>
      </c>
      <c r="N237" s="2225"/>
      <c r="O237" s="274"/>
    </row>
    <row r="238" spans="1:15" ht="12.75" customHeight="1" thickBot="1">
      <c r="A238" s="257" t="s">
        <v>316</v>
      </c>
      <c r="B238" s="1429">
        <f>'Ontario Total'!B214:C214+'Chino Total'!B214:C214+'Chino Hills Total'!B214:C214+'MVWD Total '!B214:C214+'Upland Total'!B214:C214+'FWC Total'!B216:C216+'SAWC Total'!B213:C213+'CVWD Total'!B214:C214</f>
        <v>140</v>
      </c>
      <c r="C238" s="1430"/>
      <c r="D238" s="1768">
        <v>2641244</v>
      </c>
      <c r="E238" s="1430"/>
      <c r="F238" s="1744">
        <v>8.1</v>
      </c>
      <c r="G238" s="1437"/>
      <c r="H238" s="627">
        <f>F238*10</f>
        <v>81</v>
      </c>
      <c r="I238" s="204">
        <v>37623</v>
      </c>
      <c r="J238" s="204">
        <v>131809</v>
      </c>
      <c r="K238" s="204">
        <v>251322</v>
      </c>
      <c r="L238" s="203">
        <f>I238+J238+K238</f>
        <v>420754</v>
      </c>
      <c r="M238" s="2234">
        <f>IF(ISERROR(L238/(F238*752)),0,L238/(F238*752))</f>
        <v>69.075715786708699</v>
      </c>
      <c r="N238" s="2235"/>
    </row>
    <row r="239" spans="1:15" ht="13.5" customHeight="1" thickBot="1">
      <c r="A239" s="256" t="s">
        <v>60</v>
      </c>
      <c r="B239" s="1438">
        <f>SUM(B229:B238)</f>
        <v>21202</v>
      </c>
      <c r="C239" s="1439"/>
      <c r="D239" s="1440">
        <f>SUM(D229:E238)</f>
        <v>130817942.92</v>
      </c>
      <c r="E239" s="1439"/>
      <c r="F239" s="1441">
        <f>SUM(F229:G238)</f>
        <v>401.40880000000004</v>
      </c>
      <c r="G239" s="1439"/>
      <c r="H239" s="619">
        <f>SUM(H229:H238)</f>
        <v>4277.8739999999998</v>
      </c>
      <c r="I239" s="207">
        <f>SUM(I229:I238)</f>
        <v>156992</v>
      </c>
      <c r="J239" s="207">
        <f>SUM(J229:J238)</f>
        <v>257339</v>
      </c>
      <c r="K239" s="207">
        <f>SUM(K229:K238)</f>
        <v>929945.59999999998</v>
      </c>
      <c r="L239" s="207">
        <f>SUM(L229:L238)</f>
        <v>1344276.6</v>
      </c>
      <c r="M239" s="2165"/>
      <c r="N239" s="2166"/>
    </row>
    <row r="240" spans="1:15" ht="17.25" hidden="1" customHeight="1" thickBot="1">
      <c r="A240" s="110" t="s">
        <v>233</v>
      </c>
      <c r="B240" s="1647"/>
      <c r="C240" s="1648"/>
      <c r="D240" s="1989"/>
      <c r="E240" s="1648"/>
      <c r="F240" s="2026"/>
      <c r="G240" s="1648"/>
      <c r="H240" s="623"/>
      <c r="I240" s="205"/>
      <c r="J240" s="205"/>
      <c r="K240" s="205"/>
      <c r="L240" s="206"/>
      <c r="M240" s="2232"/>
      <c r="N240" s="2233"/>
    </row>
    <row r="241" spans="1:15" s="91" customFormat="1" ht="17" hidden="1" thickBot="1">
      <c r="A241" s="254" t="s">
        <v>146</v>
      </c>
      <c r="B241" s="1421">
        <f>'Ontario Total'!B217:C217+'Chino Total'!B217:C217+'Chino Hills Total'!B217:C217+'MVWD Total '!B217:C217+'Upland Total'!B217:C217+'FWC Total'!B219:C219+'SAWC Total'!B216:C216+'CVWD Total'!B217:C217</f>
        <v>0</v>
      </c>
      <c r="C241" s="1422"/>
      <c r="D241" s="1444">
        <f>F241*325851</f>
        <v>0</v>
      </c>
      <c r="E241" s="1422"/>
      <c r="F241" s="1467">
        <f>0.0425*B241</f>
        <v>0</v>
      </c>
      <c r="G241" s="1433"/>
      <c r="H241" s="631">
        <f>F241*20</f>
        <v>0</v>
      </c>
      <c r="I241" s="202">
        <f>73.34*B241</f>
        <v>0</v>
      </c>
      <c r="J241" s="202">
        <f>35.66*B241</f>
        <v>0</v>
      </c>
      <c r="K241" s="202">
        <f>B241*50</f>
        <v>0</v>
      </c>
      <c r="L241" s="203">
        <f>I241+J241+K241</f>
        <v>0</v>
      </c>
      <c r="M241" s="2224">
        <f>IF(ISERROR(L241/(F241*727)),0,L241/(F241*727))</f>
        <v>0</v>
      </c>
      <c r="N241" s="2225"/>
      <c r="O241" s="274"/>
    </row>
    <row r="242" spans="1:15" ht="14" hidden="1" thickBot="1">
      <c r="A242" s="254" t="s">
        <v>181</v>
      </c>
      <c r="B242" s="1429">
        <f>'Ontario Total'!B218:C218+'Chino Total'!B218:C218+'Chino Hills Total'!B218:C218+'MVWD Total '!B218:C218+'Upland Total'!B218:C218+'FWC Total'!B220:C220+'SAWC Total'!B217:C217+'CVWD Total'!B218:C218</f>
        <v>0</v>
      </c>
      <c r="C242" s="1430"/>
      <c r="D242" s="1768">
        <f>F242*325851</f>
        <v>0</v>
      </c>
      <c r="E242" s="1430"/>
      <c r="F242" s="1744">
        <f>0.0425*B242</f>
        <v>0</v>
      </c>
      <c r="G242" s="1437"/>
      <c r="H242" s="631">
        <f>F242*20</f>
        <v>0</v>
      </c>
      <c r="I242" s="202">
        <f>73.34*B242</f>
        <v>0</v>
      </c>
      <c r="J242" s="202">
        <f>35.66*B242</f>
        <v>0</v>
      </c>
      <c r="K242" s="202">
        <f>B242*50</f>
        <v>0</v>
      </c>
      <c r="L242" s="203">
        <f>I242+J242+K242</f>
        <v>0</v>
      </c>
      <c r="M242" s="2234">
        <f>IF(ISERROR(L242/(F242*727)),0,L242/(F242*727))</f>
        <v>0</v>
      </c>
      <c r="N242" s="2235"/>
    </row>
    <row r="243" spans="1:15" ht="14" hidden="1" thickBot="1">
      <c r="A243" s="256" t="s">
        <v>60</v>
      </c>
      <c r="B243" s="1438">
        <f>SUM(B239)</f>
        <v>21202</v>
      </c>
      <c r="C243" s="1439"/>
      <c r="D243" s="1440">
        <f>SUM(D241:D242)</f>
        <v>0</v>
      </c>
      <c r="E243" s="1439"/>
      <c r="F243" s="1441">
        <f>SUM(F241:F242)</f>
        <v>0</v>
      </c>
      <c r="G243" s="1439"/>
      <c r="H243" s="619">
        <f>SUM(H241:H242)</f>
        <v>0</v>
      </c>
      <c r="I243" s="207">
        <f>SUM(I241:I242)</f>
        <v>0</v>
      </c>
      <c r="J243" s="208">
        <f>SUM(J241+J242)</f>
        <v>0</v>
      </c>
      <c r="K243" s="208">
        <f>SUM(K241:K242)</f>
        <v>0</v>
      </c>
      <c r="L243" s="207">
        <f>SUM(L241:L242)</f>
        <v>0</v>
      </c>
      <c r="M243" s="2165"/>
      <c r="N243" s="2166"/>
    </row>
    <row r="244" spans="1:15" s="1168" customFormat="1" ht="17.25" customHeight="1" thickBot="1">
      <c r="A244" s="110" t="str">
        <f>'CVWD Total'!A265</f>
        <v>SoCal Water$mart Commercial Rebates</v>
      </c>
      <c r="B244" s="1456"/>
      <c r="C244" s="1586"/>
      <c r="D244" s="1567"/>
      <c r="E244" s="1586"/>
      <c r="F244" s="1457"/>
      <c r="G244" s="1586"/>
      <c r="H244" s="1142"/>
      <c r="I244" s="205"/>
      <c r="J244" s="205"/>
      <c r="K244" s="205"/>
      <c r="L244" s="206"/>
      <c r="M244" s="2218"/>
      <c r="N244" s="2219"/>
      <c r="O244" s="121"/>
    </row>
    <row r="245" spans="1:15" ht="12.75" customHeight="1">
      <c r="A245" s="672" t="str">
        <f>+'CVWD Total'!A221</f>
        <v>High Efficiency Toilets (HET)</v>
      </c>
      <c r="B245" s="1731">
        <f>'Ontario Total'!B221:C221+'Chino Total'!B221:C221+'Chino Hills Total'!B221:C221+'MVWD Total '!B221:C221+'Upland Total'!B221:C221+'FWC Total'!B223:C223+'SAWC Total'!B220:C220+'CVWD Total'!B221:C221</f>
        <v>2099</v>
      </c>
      <c r="C245" s="1732"/>
      <c r="D245" s="1767">
        <f>F245*325900</f>
        <v>29072724.250000004</v>
      </c>
      <c r="E245" s="1732"/>
      <c r="F245" s="1855">
        <f>0.0425*B245</f>
        <v>89.20750000000001</v>
      </c>
      <c r="G245" s="1732"/>
      <c r="H245" s="626">
        <f>F245*20</f>
        <v>1784.15</v>
      </c>
      <c r="I245" s="204">
        <v>0</v>
      </c>
      <c r="J245" s="202">
        <f>B245*50</f>
        <v>104950</v>
      </c>
      <c r="K245" s="202">
        <f>B245*100</f>
        <v>209900</v>
      </c>
      <c r="L245" s="203">
        <f>SUM(I245:K245)</f>
        <v>314850</v>
      </c>
      <c r="M245" s="2222">
        <f>IF(ISERROR(L245/(F245*752)),0,L245/(F245*752))</f>
        <v>4.6933667083854811</v>
      </c>
      <c r="N245" s="2223"/>
    </row>
    <row r="246" spans="1:15" ht="12.75" customHeight="1">
      <c r="A246" s="68" t="str">
        <f>+'CVWD Total'!A222</f>
        <v>Waterless Urinals</v>
      </c>
      <c r="B246" s="1421">
        <f>'Ontario Total'!B222:C222+'Chino Total'!B222:C222+'Chino Hills Total'!B222:C222+'MVWD Total '!B222:C222+'Upland Total'!B222:C222+'FWC Total'!B224:C224+'SAWC Total'!B221:C221+'CVWD Total'!B222:C222</f>
        <v>9</v>
      </c>
      <c r="C246" s="1422"/>
      <c r="D246" s="1444">
        <f>F246*325900</f>
        <v>124656.75</v>
      </c>
      <c r="E246" s="1422"/>
      <c r="F246" s="1871">
        <f>0.0425*B246</f>
        <v>0.38250000000000001</v>
      </c>
      <c r="G246" s="1450"/>
      <c r="H246" s="626">
        <f>F246*20</f>
        <v>7.65</v>
      </c>
      <c r="I246" s="204">
        <v>0</v>
      </c>
      <c r="J246" s="202">
        <f>B246*200</f>
        <v>1800</v>
      </c>
      <c r="K246" s="202">
        <f>200*B246</f>
        <v>1800</v>
      </c>
      <c r="L246" s="203">
        <f t="shared" ref="L246:L257" si="17">SUM(I246:K246)</f>
        <v>3600</v>
      </c>
      <c r="M246" s="2224">
        <f t="shared" ref="M246:M258" si="18">IF(ISERROR(L246/(F246*752)),0,L246/(F246*752))</f>
        <v>12.515644555694619</v>
      </c>
      <c r="N246" s="2225"/>
    </row>
    <row r="247" spans="1:15" s="57" customFormat="1">
      <c r="A247" s="257" t="str">
        <f>+'CVWD Total'!A223</f>
        <v>Cooling Tower Controller</v>
      </c>
      <c r="B247" s="1421">
        <f>'Ontario Total'!B223:C223+'Chino Total'!B223:C223+'Chino Hills Total'!B223:C223+'MVWD Total '!B223:C223+'Upland Total'!B223:C223+'FWC Total'!B225:C225+'SAWC Total'!B222:C222+'CVWD Total'!B223:C223</f>
        <v>0</v>
      </c>
      <c r="C247" s="1422"/>
      <c r="D247" s="1444">
        <f t="shared" ref="D247:D258" si="19">F247*325900</f>
        <v>0</v>
      </c>
      <c r="E247" s="1422"/>
      <c r="F247" s="1431">
        <f>0.644*B247</f>
        <v>0</v>
      </c>
      <c r="G247" s="1422"/>
      <c r="H247" s="626">
        <f>F247*5</f>
        <v>0</v>
      </c>
      <c r="I247" s="204">
        <v>0</v>
      </c>
      <c r="J247" s="202">
        <f>B247*1000</f>
        <v>0</v>
      </c>
      <c r="K247" s="202">
        <f>B247*1750</f>
        <v>0</v>
      </c>
      <c r="L247" s="203">
        <f t="shared" si="17"/>
        <v>0</v>
      </c>
      <c r="M247" s="2224">
        <f t="shared" si="18"/>
        <v>0</v>
      </c>
      <c r="N247" s="2225"/>
      <c r="O247" s="121"/>
    </row>
    <row r="248" spans="1:15" ht="12.75" hidden="1" customHeight="1">
      <c r="A248" s="2" t="str">
        <f>+'CVWD Total'!A224</f>
        <v>High Efficiency Clothes Washers</v>
      </c>
      <c r="B248" s="1421">
        <f>'Ontario Total'!B224:C224+'Chino Total'!B224:C224+'Chino Hills Total'!B224:C224+'MVWD Total '!B224:C224+'Upland Total'!B224:C224+'FWC Total'!B226:C226+'SAWC Total'!B223:C223+'CVWD Total'!B224:C224</f>
        <v>0</v>
      </c>
      <c r="C248" s="1422"/>
      <c r="D248" s="1444">
        <f t="shared" si="19"/>
        <v>0</v>
      </c>
      <c r="E248" s="1422"/>
      <c r="F248" s="1431">
        <f>0.0425*B248</f>
        <v>0</v>
      </c>
      <c r="G248" s="1422"/>
      <c r="H248" s="626">
        <f>F248*10</f>
        <v>0</v>
      </c>
      <c r="I248" s="204">
        <v>0</v>
      </c>
      <c r="J248" s="202">
        <f>100*B248</f>
        <v>0</v>
      </c>
      <c r="K248" s="202">
        <f>80*B248</f>
        <v>0</v>
      </c>
      <c r="L248" s="203">
        <f t="shared" si="17"/>
        <v>0</v>
      </c>
      <c r="M248" s="2224">
        <f t="shared" si="18"/>
        <v>0</v>
      </c>
      <c r="N248" s="2225"/>
    </row>
    <row r="249" spans="1:15" hidden="1">
      <c r="A249" s="2" t="str">
        <f>+'CVWD Total'!A225</f>
        <v xml:space="preserve">Water Brooms </v>
      </c>
      <c r="B249" s="1421">
        <f>'Ontario Total'!B225:C225+'Chino Total'!B225:C225+'Chino Hills Total'!B225:C225+'MVWD Total '!B225:C225+'Upland Total'!B225:C225+'FWC Total'!B227:C227+'SAWC Total'!B224:C224+'CVWD Total'!B225:C225</f>
        <v>0</v>
      </c>
      <c r="C249" s="1422"/>
      <c r="D249" s="1444">
        <f t="shared" si="19"/>
        <v>0</v>
      </c>
      <c r="E249" s="1422"/>
      <c r="F249" s="1431">
        <f>0.0425*B249</f>
        <v>0</v>
      </c>
      <c r="G249" s="1422"/>
      <c r="H249" s="626">
        <f>F249*5</f>
        <v>0</v>
      </c>
      <c r="I249" s="332">
        <v>0</v>
      </c>
      <c r="J249" s="202">
        <f>0*B249</f>
        <v>0</v>
      </c>
      <c r="K249" s="202">
        <f>150*B249</f>
        <v>0</v>
      </c>
      <c r="L249" s="203">
        <f t="shared" si="17"/>
        <v>0</v>
      </c>
      <c r="M249" s="2224">
        <f t="shared" si="18"/>
        <v>0</v>
      </c>
      <c r="N249" s="2225"/>
    </row>
    <row r="250" spans="1:15">
      <c r="A250" s="2" t="str">
        <f>+'CVWD Total'!A226</f>
        <v>Weather Based Irrigation Controllers (WBIC)</v>
      </c>
      <c r="B250" s="1421">
        <f>'Ontario Total'!B226:C226+'Chino Total'!B226:C226+'Chino Hills Total'!B226:C226+'MVWD Total '!B226:C226+'Upland Total'!B226:C226+'FWC Total'!B228:C228+'SAWC Total'!B225:C225+'CVWD Total'!B226:C226</f>
        <v>93</v>
      </c>
      <c r="C250" s="1422"/>
      <c r="D250" s="1444">
        <f t="shared" si="19"/>
        <v>9850327.5</v>
      </c>
      <c r="E250" s="1422"/>
      <c r="F250" s="1431">
        <f>0.325*B250</f>
        <v>30.225000000000001</v>
      </c>
      <c r="G250" s="1422"/>
      <c r="H250" s="626">
        <f>F250*10</f>
        <v>302.25</v>
      </c>
      <c r="I250" s="210">
        <v>0</v>
      </c>
      <c r="J250" s="204">
        <f>B250*15</f>
        <v>1395</v>
      </c>
      <c r="K250" s="204">
        <f>B250*35</f>
        <v>3255</v>
      </c>
      <c r="L250" s="203">
        <f t="shared" si="17"/>
        <v>4650</v>
      </c>
      <c r="M250" s="2224">
        <f t="shared" si="18"/>
        <v>0.20458265139116202</v>
      </c>
      <c r="N250" s="2225"/>
    </row>
    <row r="251" spans="1:15" ht="12.75" hidden="1" customHeight="1">
      <c r="A251" s="2" t="str">
        <f>+'CVWD Total'!A227</f>
        <v>Synthetic Turf (Sq. Ft.)</v>
      </c>
      <c r="B251" s="1421">
        <f>'Ontario Total'!B227:C227+'Chino Total'!B227:C227+'Chino Hills Total'!B227:C227+'MVWD Total '!B227:C227+'Upland Total'!B227:C227+'FWC Total'!B229:C229+'SAWC Total'!B226:C226+'CVWD Total'!B227:C227</f>
        <v>0</v>
      </c>
      <c r="C251" s="1422"/>
      <c r="D251" s="1444">
        <f t="shared" si="19"/>
        <v>0</v>
      </c>
      <c r="E251" s="1422"/>
      <c r="F251" s="1431">
        <f>0.0425*B251</f>
        <v>0</v>
      </c>
      <c r="G251" s="1422"/>
      <c r="H251" s="626">
        <f>F251*10</f>
        <v>0</v>
      </c>
      <c r="I251" s="209">
        <v>0</v>
      </c>
      <c r="J251" s="202"/>
      <c r="K251" s="202"/>
      <c r="L251" s="203">
        <f t="shared" si="17"/>
        <v>0</v>
      </c>
      <c r="M251" s="2224">
        <f t="shared" si="18"/>
        <v>0</v>
      </c>
      <c r="N251" s="2225"/>
    </row>
    <row r="252" spans="1:15">
      <c r="A252" s="69" t="str">
        <f>+'CVWD Total'!A228</f>
        <v>Rotating Nozzles for Pop-up Spray Heads</v>
      </c>
      <c r="B252" s="1421">
        <f>'Ontario Total'!B228:C228+'Chino Total'!B228:C228+'Chino Hills Total'!B228:C228+'MVWD Total '!B228:C228+'Upland Total'!B228:C228+'FWC Total'!B230:C230+'SAWC Total'!B227:C227+'CVWD Total'!B228:C228</f>
        <v>30810</v>
      </c>
      <c r="C252" s="1422"/>
      <c r="D252" s="1444">
        <f t="shared" si="19"/>
        <v>40163916</v>
      </c>
      <c r="E252" s="1422"/>
      <c r="F252" s="1431">
        <f>0.004*B252</f>
        <v>123.24000000000001</v>
      </c>
      <c r="G252" s="1422"/>
      <c r="H252" s="626">
        <f>F252*5</f>
        <v>616.20000000000005</v>
      </c>
      <c r="I252" s="204">
        <v>0</v>
      </c>
      <c r="J252" s="202">
        <f>B252*1</f>
        <v>30810</v>
      </c>
      <c r="K252" s="202">
        <f>B252*4</f>
        <v>123240</v>
      </c>
      <c r="L252" s="203">
        <f t="shared" si="17"/>
        <v>154050</v>
      </c>
      <c r="M252" s="2224">
        <f t="shared" si="18"/>
        <v>1.6622340425531914</v>
      </c>
      <c r="N252" s="2225"/>
    </row>
    <row r="253" spans="1:15" s="57" customFormat="1">
      <c r="A253" s="254" t="str">
        <f>+'CVWD Total'!A229</f>
        <v>Large Rotary Nozzles</v>
      </c>
      <c r="B253" s="1421">
        <f>'Ontario Total'!B229:C229+'Chino Total'!B229:C229+'Chino Hills Total'!B229:C229+'MVWD Total '!B229:C229+'Upland Total'!B229:C229+'FWC Total'!B231:C231+'SAWC Total'!B228:C228+'CVWD Total'!B229:C229</f>
        <v>0</v>
      </c>
      <c r="C253" s="1422"/>
      <c r="D253" s="1444">
        <f t="shared" si="19"/>
        <v>0</v>
      </c>
      <c r="E253" s="1422"/>
      <c r="F253" s="1431">
        <f>0.018*B253</f>
        <v>0</v>
      </c>
      <c r="G253" s="1422"/>
      <c r="H253" s="626">
        <f>F253*10</f>
        <v>0</v>
      </c>
      <c r="I253" s="204">
        <v>0</v>
      </c>
      <c r="J253" s="202">
        <f>0*B253</f>
        <v>0</v>
      </c>
      <c r="K253" s="202">
        <f>13*B253</f>
        <v>0</v>
      </c>
      <c r="L253" s="203">
        <f t="shared" si="17"/>
        <v>0</v>
      </c>
      <c r="M253" s="2224">
        <f t="shared" si="18"/>
        <v>0</v>
      </c>
      <c r="N253" s="2225"/>
      <c r="O253" s="121"/>
    </row>
    <row r="254" spans="1:15" s="57" customFormat="1" hidden="1">
      <c r="A254" s="69" t="str">
        <f>+'CVWD Total'!A230</f>
        <v>Pre-Rinse Nozzles</v>
      </c>
      <c r="B254" s="1421">
        <f>'Ontario Total'!B230:C230+'Chino Total'!B230:C230+'Chino Hills Total'!B230:C230+'MVWD Total '!B230:C230+'Upland Total'!B230:C230+'FWC Total'!B232:C232+'SAWC Total'!B229:C229+'CVWD Total'!B230:C230</f>
        <v>0</v>
      </c>
      <c r="C254" s="1422"/>
      <c r="D254" s="1444">
        <f t="shared" si="19"/>
        <v>0</v>
      </c>
      <c r="E254" s="1422"/>
      <c r="F254" s="1431">
        <f>0.153*B254</f>
        <v>0</v>
      </c>
      <c r="G254" s="1422"/>
      <c r="H254" s="626">
        <f>F254*5</f>
        <v>0</v>
      </c>
      <c r="I254" s="333">
        <v>0</v>
      </c>
      <c r="J254" s="202">
        <f>0*B254</f>
        <v>0</v>
      </c>
      <c r="K254" s="202">
        <f>60*B254</f>
        <v>0</v>
      </c>
      <c r="L254" s="203">
        <f t="shared" si="17"/>
        <v>0</v>
      </c>
      <c r="M254" s="2224">
        <f t="shared" si="18"/>
        <v>0</v>
      </c>
      <c r="N254" s="2225"/>
      <c r="O254" s="121"/>
    </row>
    <row r="255" spans="1:15" s="57" customFormat="1">
      <c r="A255" s="257" t="str">
        <f>+'CVWD Total'!A231</f>
        <v xml:space="preserve">Central Computerized Irrigation Controller </v>
      </c>
      <c r="B255" s="1421">
        <f>'Ontario Total'!B231:C231+'Chino Total'!B231:C231+'Chino Hills Total'!B231:C231+'MVWD Total '!B231:C231+'Upland Total'!B231:C231+'FWC Total'!B233:C233+'SAWC Total'!B230:C230+'CVWD Total'!B231:C231</f>
        <v>0</v>
      </c>
      <c r="C255" s="1422"/>
      <c r="D255" s="1444">
        <f t="shared" si="19"/>
        <v>0</v>
      </c>
      <c r="E255" s="1422"/>
      <c r="F255" s="1431">
        <f>0.0129*B255</f>
        <v>0</v>
      </c>
      <c r="G255" s="1422"/>
      <c r="H255" s="626">
        <f>F255*20</f>
        <v>0</v>
      </c>
      <c r="I255" s="210">
        <v>0</v>
      </c>
      <c r="J255" s="210">
        <v>0</v>
      </c>
      <c r="K255" s="210">
        <v>0</v>
      </c>
      <c r="L255" s="203">
        <f t="shared" si="17"/>
        <v>0</v>
      </c>
      <c r="M255" s="2224">
        <f t="shared" si="18"/>
        <v>0</v>
      </c>
      <c r="N255" s="2225"/>
      <c r="O255" s="121"/>
    </row>
    <row r="256" spans="1:15" s="57" customFormat="1">
      <c r="A256" s="258" t="str">
        <f>+'CVWD Total'!A232</f>
        <v>Laminar Flow Restrictor</v>
      </c>
      <c r="B256" s="1421">
        <f>'Ontario Total'!B232:C232+'Chino Total'!B232:C232+'Chino Hills Total'!B232:C232+'MVWD Total '!B232:C232+'Upland Total'!B232:C232+'FWC Total'!B234:C234+'SAWC Total'!B231:C231+'CVWD Total'!B232:C232</f>
        <v>0</v>
      </c>
      <c r="C256" s="1422"/>
      <c r="D256" s="1444">
        <f t="shared" si="19"/>
        <v>0</v>
      </c>
      <c r="E256" s="1422"/>
      <c r="F256" s="1736">
        <f>B256*0.023</f>
        <v>0</v>
      </c>
      <c r="G256" s="1446"/>
      <c r="H256" s="627">
        <f>F256*10</f>
        <v>0</v>
      </c>
      <c r="I256" s="210">
        <v>0</v>
      </c>
      <c r="J256" s="210">
        <f>B256*10</f>
        <v>0</v>
      </c>
      <c r="K256" s="210">
        <f>B256*10</f>
        <v>0</v>
      </c>
      <c r="L256" s="211">
        <f t="shared" si="17"/>
        <v>0</v>
      </c>
      <c r="M256" s="2224">
        <f t="shared" si="18"/>
        <v>0</v>
      </c>
      <c r="N256" s="2225"/>
      <c r="O256" s="121"/>
    </row>
    <row r="257" spans="1:15" s="91" customFormat="1" ht="16">
      <c r="A257" s="258" t="str">
        <f>+'CVWD Total'!A233</f>
        <v>Air-Cooled Ice Machine</v>
      </c>
      <c r="B257" s="1421">
        <f>'Ontario Total'!B233:C233+'Chino Total'!B233:C233+'Chino Hills Total'!B233:C233+'MVWD Total '!B233:C233+'Upland Total'!B233:C233+'FWC Total'!B235:C235+'SAWC Total'!B232:C232+'CVWD Total'!B233:C233</f>
        <v>1</v>
      </c>
      <c r="C257" s="1422"/>
      <c r="D257" s="1444">
        <f t="shared" si="19"/>
        <v>65180</v>
      </c>
      <c r="E257" s="1422"/>
      <c r="F257" s="1868">
        <v>0.2</v>
      </c>
      <c r="G257" s="1579"/>
      <c r="H257" s="627">
        <f>F257*7</f>
        <v>1.4000000000000001</v>
      </c>
      <c r="I257" s="210">
        <v>0</v>
      </c>
      <c r="J257" s="210">
        <f>B257*1000</f>
        <v>1000</v>
      </c>
      <c r="K257" s="210">
        <f>B257*1000</f>
        <v>1000</v>
      </c>
      <c r="L257" s="211">
        <f t="shared" si="17"/>
        <v>2000</v>
      </c>
      <c r="M257" s="2224">
        <f t="shared" si="18"/>
        <v>13.297872340425531</v>
      </c>
      <c r="N257" s="2225"/>
      <c r="O257" s="274"/>
    </row>
    <row r="258" spans="1:15" s="91" customFormat="1" ht="17" thickBot="1">
      <c r="A258" s="258" t="s">
        <v>277</v>
      </c>
      <c r="B258" s="1429">
        <v>95</v>
      </c>
      <c r="C258" s="1430"/>
      <c r="D258" s="1768">
        <f t="shared" si="19"/>
        <v>48143062.577999994</v>
      </c>
      <c r="E258" s="1430"/>
      <c r="F258" s="1895">
        <f>1136334*0.00013</f>
        <v>147.72341999999998</v>
      </c>
      <c r="G258" s="1896"/>
      <c r="H258" s="950">
        <f>F258*10</f>
        <v>1477.2341999999999</v>
      </c>
      <c r="I258" s="697">
        <v>0</v>
      </c>
      <c r="J258" s="698">
        <v>1054808.6499999999</v>
      </c>
      <c r="K258" s="698">
        <v>2269228</v>
      </c>
      <c r="L258" s="699">
        <f>SUM(I258:K258)</f>
        <v>3324036.65</v>
      </c>
      <c r="M258" s="2234">
        <f t="shared" si="18"/>
        <v>29.922550551967827</v>
      </c>
      <c r="N258" s="2235"/>
      <c r="O258" s="274"/>
    </row>
    <row r="259" spans="1:15" ht="14" thickBot="1">
      <c r="A259" s="53" t="s">
        <v>60</v>
      </c>
      <c r="B259" s="2149">
        <f>SUM(B245:B258)</f>
        <v>33107</v>
      </c>
      <c r="C259" s="2228"/>
      <c r="D259" s="2149">
        <f>SUM(D241:E258)</f>
        <v>127419867.07799999</v>
      </c>
      <c r="E259" s="2228"/>
      <c r="F259" s="2229">
        <f>SUM(F241:G258)</f>
        <v>390.97841999999997</v>
      </c>
      <c r="G259" s="2228"/>
      <c r="H259" s="645">
        <f>SUM(H241:H258)</f>
        <v>4188.8842000000004</v>
      </c>
      <c r="I259" s="696">
        <f>SUM(I245:I258)</f>
        <v>0</v>
      </c>
      <c r="J259" s="696">
        <f>SUM(J241:J258)</f>
        <v>1194763.6499999999</v>
      </c>
      <c r="K259" s="696">
        <f>SUM(K241:K258)</f>
        <v>2608423</v>
      </c>
      <c r="L259" s="696">
        <f>SUM(L241:L258)</f>
        <v>3803186.65</v>
      </c>
      <c r="M259" s="2230"/>
      <c r="N259" s="2231"/>
    </row>
    <row r="260" spans="1:15" s="1168" customFormat="1" ht="17.25" customHeight="1" thickBot="1">
      <c r="A260" s="108" t="str">
        <f>'CVWD Total'!A280</f>
        <v>IEUA Locally Implemented Commercial Programs</v>
      </c>
      <c r="B260" s="1457"/>
      <c r="C260" s="1586"/>
      <c r="D260" s="1457"/>
      <c r="E260" s="1586"/>
      <c r="F260" s="1567"/>
      <c r="G260" s="1586"/>
      <c r="H260" s="1142"/>
      <c r="I260" s="205"/>
      <c r="J260" s="205"/>
      <c r="K260" s="205"/>
      <c r="L260" s="206"/>
      <c r="M260" s="2218"/>
      <c r="N260" s="2219"/>
      <c r="O260" s="121"/>
    </row>
    <row r="261" spans="1:15" hidden="1">
      <c r="A261" s="33" t="s">
        <v>167</v>
      </c>
      <c r="B261" s="1767">
        <f>'Ontario Total'!B237:C237+'Chino Total'!B237:C237+'Chino Hills Total'!B237:C237+'MVWD Total '!B237:C237+'Upland Total'!B237:C237+'FWC Total'!B239:C239+'SAWC Total'!B236:C236+'CVWD Total'!B236:C236</f>
        <v>0</v>
      </c>
      <c r="C261" s="1732"/>
      <c r="D261" s="1767">
        <f>F261*325851</f>
        <v>49203501</v>
      </c>
      <c r="E261" s="1732"/>
      <c r="F261" s="2220">
        <v>151</v>
      </c>
      <c r="G261" s="2221"/>
      <c r="H261" s="463">
        <v>2880</v>
      </c>
      <c r="I261" s="210">
        <v>206033</v>
      </c>
      <c r="J261" s="204">
        <v>0</v>
      </c>
      <c r="K261" s="204">
        <v>32050</v>
      </c>
      <c r="L261" s="203">
        <f>SUM(I261:K261)</f>
        <v>238083</v>
      </c>
      <c r="M261" s="2222">
        <f>IF(ISERROR(L261/(F261*727)),0,L261/(F261*727))</f>
        <v>2.1687876331107607</v>
      </c>
      <c r="N261" s="2223"/>
    </row>
    <row r="262" spans="1:15" ht="14" thickBot="1">
      <c r="A262" s="33" t="s">
        <v>165</v>
      </c>
      <c r="B262" s="1444">
        <f>'Ontario Total'!B238:C238+'Chino Total'!B238:C238+'Chino Hills Total'!B238:C238+'MVWD Total '!B238:C238+'Upland Total'!B238:C238+'FWC Total'!B240:C240+'SAWC Total'!B237:C237+'CVWD Total'!B238:C238</f>
        <v>30456</v>
      </c>
      <c r="C262" s="1422"/>
      <c r="D262" s="1444">
        <f>F262*325851</f>
        <v>39696472.223999999</v>
      </c>
      <c r="E262" s="1422"/>
      <c r="F262" s="1431">
        <f>0.004*B262</f>
        <v>121.824</v>
      </c>
      <c r="G262" s="1422"/>
      <c r="H262" s="462">
        <f>F262*5</f>
        <v>609.12</v>
      </c>
      <c r="I262" s="210">
        <v>0</v>
      </c>
      <c r="J262" s="204">
        <v>0</v>
      </c>
      <c r="K262" s="204">
        <v>109642</v>
      </c>
      <c r="L262" s="203">
        <f>SUM(I262:K262)</f>
        <v>109642</v>
      </c>
      <c r="M262" s="2224">
        <f>IF(ISERROR(L262/(F262*752)),0,L262/(F262*752))</f>
        <v>1.1968128768953048</v>
      </c>
      <c r="N262" s="2225"/>
    </row>
    <row r="263" spans="1:15" ht="14" thickBot="1">
      <c r="A263" s="53"/>
      <c r="B263" s="1438"/>
      <c r="C263" s="1439"/>
      <c r="D263" s="1441"/>
      <c r="E263" s="1439"/>
      <c r="F263" s="1441"/>
      <c r="G263" s="1439"/>
      <c r="H263" s="619"/>
      <c r="I263" s="207"/>
      <c r="J263" s="207"/>
      <c r="K263" s="207"/>
      <c r="L263" s="207"/>
      <c r="M263" s="2165"/>
      <c r="N263" s="2166"/>
    </row>
    <row r="264" spans="1:15" s="1168" customFormat="1" ht="17.25" customHeight="1" thickBot="1">
      <c r="A264" s="1163" t="s">
        <v>17</v>
      </c>
      <c r="B264" s="1414">
        <f>B239+B259+B262</f>
        <v>84765</v>
      </c>
      <c r="C264" s="1415"/>
      <c r="D264" s="1416">
        <f>D239+D259+D262</f>
        <v>297934282.222</v>
      </c>
      <c r="E264" s="1415"/>
      <c r="F264" s="1416">
        <f>F239+F259+F262</f>
        <v>914.21122000000003</v>
      </c>
      <c r="G264" s="1415"/>
      <c r="H264" s="1164">
        <f>H239+H259+H262</f>
        <v>9075.878200000001</v>
      </c>
      <c r="I264" s="1174">
        <f>I239+I259+I262</f>
        <v>156992</v>
      </c>
      <c r="J264" s="1174">
        <f>J239+J259+J262</f>
        <v>1452102.65</v>
      </c>
      <c r="K264" s="1174">
        <f>K239+K259+K262</f>
        <v>3648010.6</v>
      </c>
      <c r="L264" s="1174">
        <f>L239+L259+L262</f>
        <v>5257105.25</v>
      </c>
      <c r="M264" s="2226"/>
      <c r="N264" s="2227"/>
      <c r="O264" s="121"/>
    </row>
    <row r="265" spans="1:15">
      <c r="A265" s="50"/>
      <c r="B265" s="20"/>
      <c r="C265" s="20"/>
      <c r="D265" s="20"/>
      <c r="E265" s="20"/>
      <c r="F265" s="422"/>
      <c r="G265" s="422"/>
      <c r="H265" s="484"/>
      <c r="I265" s="189"/>
      <c r="J265" s="189"/>
      <c r="K265" s="189"/>
      <c r="L265" s="189"/>
      <c r="M265" s="190"/>
      <c r="N265" s="190"/>
    </row>
    <row r="266" spans="1:15" s="91" customFormat="1" ht="16">
      <c r="A266" s="9" t="s">
        <v>18</v>
      </c>
      <c r="B266" s="1695" t="s">
        <v>59</v>
      </c>
      <c r="C266" s="1695"/>
      <c r="D266" s="1695"/>
      <c r="E266" s="1695"/>
      <c r="F266" s="422"/>
      <c r="G266" s="422"/>
      <c r="H266" s="422"/>
      <c r="I266" s="189"/>
      <c r="J266" s="189"/>
      <c r="K266" s="189"/>
      <c r="L266" s="189"/>
      <c r="M266" s="190"/>
      <c r="N266" s="190"/>
      <c r="O266" s="274"/>
    </row>
    <row r="267" spans="1:15" ht="15">
      <c r="A267" s="9"/>
      <c r="B267" s="1420" t="s">
        <v>19</v>
      </c>
      <c r="C267" s="1420"/>
      <c r="D267" s="1420"/>
      <c r="E267" s="1420"/>
      <c r="F267" s="422"/>
      <c r="G267" s="422"/>
      <c r="H267" s="422"/>
      <c r="I267" s="189"/>
      <c r="J267" s="189"/>
      <c r="K267" s="189"/>
      <c r="L267" s="189"/>
      <c r="M267" s="190"/>
      <c r="N267" s="190"/>
    </row>
    <row r="268" spans="1:15" ht="16" thickBot="1">
      <c r="A268" s="9"/>
      <c r="B268" s="250"/>
      <c r="C268" s="250"/>
      <c r="D268" s="250"/>
      <c r="E268" s="250"/>
      <c r="F268" s="422"/>
      <c r="G268" s="422"/>
      <c r="H268" s="422"/>
      <c r="I268" s="189"/>
      <c r="J268" s="189"/>
      <c r="K268" s="189"/>
      <c r="L268" s="189"/>
      <c r="M268" s="190"/>
      <c r="N268" s="190"/>
    </row>
    <row r="269" spans="1:15" s="1168" customFormat="1" ht="17" thickBot="1">
      <c r="A269" s="1170" t="s">
        <v>171</v>
      </c>
      <c r="B269" s="1672"/>
      <c r="C269" s="1913"/>
      <c r="D269" s="1672"/>
      <c r="E269" s="1913"/>
      <c r="F269" s="1619"/>
      <c r="G269" s="1620"/>
      <c r="H269" s="1166"/>
      <c r="I269" s="1167"/>
      <c r="J269" s="1167"/>
      <c r="K269" s="1167"/>
      <c r="L269" s="1167"/>
      <c r="M269" s="2187"/>
      <c r="N269" s="2188"/>
      <c r="O269" s="121"/>
    </row>
    <row r="270" spans="1:15" ht="14" thickBot="1">
      <c r="A270" s="335" t="s">
        <v>272</v>
      </c>
      <c r="B270" s="2209">
        <v>239</v>
      </c>
      <c r="C270" s="2210"/>
      <c r="D270" s="2211">
        <f>B270*325851</f>
        <v>77878389</v>
      </c>
      <c r="E270" s="2212"/>
      <c r="F270" s="2213">
        <v>281.55</v>
      </c>
      <c r="G270" s="2214"/>
      <c r="H270" s="392">
        <f>F270*5</f>
        <v>1407.75</v>
      </c>
      <c r="I270" s="158">
        <v>0</v>
      </c>
      <c r="J270" s="159">
        <v>28000</v>
      </c>
      <c r="K270" s="159">
        <v>1224</v>
      </c>
      <c r="L270" s="82">
        <f>J270+K270</f>
        <v>29224</v>
      </c>
      <c r="M270" s="2215"/>
      <c r="N270" s="2216"/>
    </row>
    <row r="271" spans="1:15" s="1168" customFormat="1" ht="17" thickBot="1">
      <c r="A271" s="1171" t="s">
        <v>172</v>
      </c>
      <c r="B271" s="1416">
        <f>B264+B270</f>
        <v>85004</v>
      </c>
      <c r="C271" s="1415"/>
      <c r="D271" s="1416">
        <f>D264+D270</f>
        <v>375812671.222</v>
      </c>
      <c r="E271" s="1415"/>
      <c r="F271" s="1416">
        <f>F264+F270</f>
        <v>1195.7612200000001</v>
      </c>
      <c r="G271" s="1415"/>
      <c r="H271" s="1164">
        <f>H264+H270</f>
        <v>10483.628200000001</v>
      </c>
      <c r="I271" s="1175">
        <f>I264+I270</f>
        <v>156992</v>
      </c>
      <c r="J271" s="1175">
        <f>J264+J270</f>
        <v>1480102.65</v>
      </c>
      <c r="K271" s="1175">
        <f>K264+K270</f>
        <v>3649234.6</v>
      </c>
      <c r="L271" s="1175">
        <f>L264+L270</f>
        <v>5286329.25</v>
      </c>
      <c r="M271" s="2187"/>
      <c r="N271" s="2188"/>
      <c r="O271" s="121"/>
    </row>
    <row r="273" spans="1:15" ht="14" thickBot="1"/>
    <row r="274" spans="1:15" ht="16">
      <c r="A274" s="98"/>
      <c r="B274" s="99"/>
      <c r="C274" s="99"/>
      <c r="D274" s="99"/>
      <c r="E274" s="99"/>
      <c r="F274" s="421"/>
      <c r="G274" s="421"/>
      <c r="H274" s="421"/>
      <c r="I274" s="2236" t="s">
        <v>0</v>
      </c>
      <c r="J274" s="2236"/>
      <c r="K274" s="2236"/>
      <c r="L274" s="2236"/>
      <c r="M274" s="371"/>
      <c r="N274" s="372"/>
    </row>
    <row r="275" spans="1:15" s="91" customFormat="1" ht="16">
      <c r="A275" s="97"/>
      <c r="B275" s="1469" t="s">
        <v>1</v>
      </c>
      <c r="C275" s="1469"/>
      <c r="D275" s="1469" t="s">
        <v>2</v>
      </c>
      <c r="E275" s="1469"/>
      <c r="F275" s="1863" t="s">
        <v>3</v>
      </c>
      <c r="G275" s="1863"/>
      <c r="H275" s="430" t="s">
        <v>3</v>
      </c>
      <c r="I275" s="196" t="s">
        <v>197</v>
      </c>
      <c r="J275" s="197"/>
      <c r="K275" s="197"/>
      <c r="L275" s="198"/>
      <c r="M275" s="2237" t="s">
        <v>4</v>
      </c>
      <c r="N275" s="2238"/>
      <c r="O275" s="274"/>
    </row>
    <row r="276" spans="1:15" ht="19" thickBot="1">
      <c r="A276" s="103" t="s">
        <v>5</v>
      </c>
      <c r="B276" s="1473" t="s">
        <v>6</v>
      </c>
      <c r="C276" s="1473"/>
      <c r="D276" s="1473" t="s">
        <v>7</v>
      </c>
      <c r="E276" s="1473"/>
      <c r="F276" s="1864" t="s">
        <v>7</v>
      </c>
      <c r="G276" s="1864"/>
      <c r="H276" s="431" t="s">
        <v>58</v>
      </c>
      <c r="I276" s="368" t="s">
        <v>198</v>
      </c>
      <c r="J276" s="253" t="s">
        <v>8</v>
      </c>
      <c r="K276" s="253" t="s">
        <v>9</v>
      </c>
      <c r="L276" s="199" t="s">
        <v>10</v>
      </c>
      <c r="M276" s="2250" t="s">
        <v>217</v>
      </c>
      <c r="N276" s="2251"/>
    </row>
    <row r="277" spans="1:15" ht="24" thickBot="1">
      <c r="A277" s="88" t="s">
        <v>211</v>
      </c>
      <c r="B277" s="1476"/>
      <c r="C277" s="1477"/>
      <c r="D277" s="1478"/>
      <c r="E277" s="1479"/>
      <c r="F277" s="1878"/>
      <c r="G277" s="1879"/>
      <c r="H277" s="434"/>
      <c r="I277" s="200"/>
      <c r="J277" s="200"/>
      <c r="K277" s="200"/>
      <c r="L277" s="201"/>
      <c r="M277" s="2239"/>
      <c r="N277" s="2240"/>
    </row>
    <row r="278" spans="1:15" s="1168" customFormat="1" ht="17" thickBot="1">
      <c r="A278" s="108" t="str">
        <f>'Ontario Total'!A249</f>
        <v>SoCal Water$mart Residential Rebates</v>
      </c>
      <c r="B278" s="1456"/>
      <c r="C278" s="1586"/>
      <c r="D278" s="1567"/>
      <c r="E278" s="1586"/>
      <c r="F278" s="1619"/>
      <c r="G278" s="1620"/>
      <c r="H278" s="1145"/>
      <c r="I278" s="1172"/>
      <c r="J278" s="1172"/>
      <c r="K278" s="1172"/>
      <c r="L278" s="1173"/>
      <c r="M278" s="2218"/>
      <c r="N278" s="2219"/>
      <c r="O278" s="121"/>
    </row>
    <row r="279" spans="1:15" s="57" customFormat="1">
      <c r="A279" s="32" t="str">
        <f>'Ontario Total'!A250</f>
        <v>High Efficiency Toilets (HET)</v>
      </c>
      <c r="B279" s="1731">
        <f>'CVWD Total'!B250:C250+'SAWC Total'!B249:C249+'FWC Total'!B252:C252+'Upland Total'!B250:C250+'MVWD Total '!B250:C250+'Chino Hills Total'!B250:C250+'Chino Total'!B250:C250+'Ontario Total'!B250:C250</f>
        <v>471</v>
      </c>
      <c r="C279" s="1732"/>
      <c r="D279" s="1855">
        <f t="shared" ref="D279:D283" si="20">F279*325851</f>
        <v>6522722.392500001</v>
      </c>
      <c r="E279" s="1732"/>
      <c r="F279" s="2101">
        <f>0.0425*B279</f>
        <v>20.017500000000002</v>
      </c>
      <c r="G279" s="2098"/>
      <c r="H279" s="630">
        <f>F279*20</f>
        <v>400.35</v>
      </c>
      <c r="I279" s="202">
        <v>0</v>
      </c>
      <c r="J279" s="202">
        <f>50*B279</f>
        <v>23550</v>
      </c>
      <c r="K279" s="202">
        <f>B279*50</f>
        <v>23550</v>
      </c>
      <c r="L279" s="203">
        <f t="shared" ref="L279:L284" si="21">I279+J279+K279</f>
        <v>47100</v>
      </c>
      <c r="M279" s="2222">
        <f t="shared" ref="M279:M284" si="22">IF(ISERROR(L279/(F279*752)),0,L279/(F279*752))</f>
        <v>3.1289111389236544</v>
      </c>
      <c r="N279" s="2223"/>
      <c r="O279" s="121"/>
    </row>
    <row r="280" spans="1:15" ht="12.75" customHeight="1">
      <c r="A280" s="32" t="str">
        <f>'Ontario Total'!A251</f>
        <v>High Efficiency Clothes Washers (HECW)</v>
      </c>
      <c r="B280" s="1421">
        <f>'CVWD Total'!B251:C251+'SAWC Total'!B250:C250+'FWC Total'!B253:C253+'Upland Total'!B251:C251+'MVWD Total '!B251:C251+'Chino Hills Total'!B251:C251+'Chino Total'!B251:C251+'Ontario Total'!B251:C251</f>
        <v>1083</v>
      </c>
      <c r="C280" s="1422"/>
      <c r="D280" s="1431">
        <f t="shared" si="20"/>
        <v>9739947.0707999989</v>
      </c>
      <c r="E280" s="1422"/>
      <c r="F280" s="1720">
        <f>0.0276*B280</f>
        <v>29.890799999999999</v>
      </c>
      <c r="G280" s="1721"/>
      <c r="H280" s="630">
        <f>F280*15</f>
        <v>448.36199999999997</v>
      </c>
      <c r="I280" s="202">
        <f>0*B280</f>
        <v>0</v>
      </c>
      <c r="J280" s="204">
        <f>B280*65</f>
        <v>70395</v>
      </c>
      <c r="K280" s="202">
        <f>B280*85</f>
        <v>92055</v>
      </c>
      <c r="L280" s="203">
        <f t="shared" si="21"/>
        <v>162450</v>
      </c>
      <c r="M280" s="2224">
        <f t="shared" si="22"/>
        <v>7.227104532839963</v>
      </c>
      <c r="N280" s="2225"/>
    </row>
    <row r="281" spans="1:15" ht="12.75" customHeight="1">
      <c r="A281" s="32" t="str">
        <f>'Ontario Total'!A252</f>
        <v>Rotating Nozzles for Pop-up Spray Heads</v>
      </c>
      <c r="B281" s="1421">
        <v>1651</v>
      </c>
      <c r="C281" s="1422"/>
      <c r="D281" s="1431">
        <f t="shared" si="20"/>
        <v>2367112.0044</v>
      </c>
      <c r="E281" s="1422"/>
      <c r="F281" s="1720">
        <f>0.0044*B281</f>
        <v>7.2644000000000002</v>
      </c>
      <c r="G281" s="1721"/>
      <c r="H281" s="630">
        <f>F281*5</f>
        <v>36.322000000000003</v>
      </c>
      <c r="I281" s="202">
        <f>0*B281</f>
        <v>0</v>
      </c>
      <c r="J281" s="202">
        <f>1*B281</f>
        <v>1651</v>
      </c>
      <c r="K281" s="202">
        <f>B281*4</f>
        <v>6604</v>
      </c>
      <c r="L281" s="203">
        <f t="shared" si="21"/>
        <v>8255</v>
      </c>
      <c r="M281" s="2224">
        <f t="shared" si="22"/>
        <v>1.5111218568665377</v>
      </c>
      <c r="N281" s="2225"/>
    </row>
    <row r="282" spans="1:15" s="91" customFormat="1" ht="16">
      <c r="A282" s="32" t="str">
        <f>'Ontario Total'!A253</f>
        <v>Weather based Irrigation Controllers (WBIC)</v>
      </c>
      <c r="B282" s="1421">
        <f>'CVWD Total'!B253:C253+'SAWC Total'!B252:C252+'FWC Total'!B255:C255+'Upland Total'!B253:C253+'MVWD Total '!B253:C253+'Chino Hills Total'!B253:C253+'Chino Total'!B253:C253+'Ontario Total'!B253:C253</f>
        <v>60</v>
      </c>
      <c r="C282" s="1422"/>
      <c r="D282" s="1431">
        <f t="shared" si="20"/>
        <v>6354094.5</v>
      </c>
      <c r="E282" s="1422"/>
      <c r="F282" s="1720">
        <f>0.325*B282</f>
        <v>19.5</v>
      </c>
      <c r="G282" s="1721"/>
      <c r="H282" s="630">
        <f>F282*10</f>
        <v>195</v>
      </c>
      <c r="I282" s="204">
        <v>0</v>
      </c>
      <c r="J282" s="204">
        <f>70*B282</f>
        <v>4200</v>
      </c>
      <c r="K282" s="204">
        <f>B282*80</f>
        <v>4800</v>
      </c>
      <c r="L282" s="203">
        <f t="shared" si="21"/>
        <v>9000</v>
      </c>
      <c r="M282" s="2224">
        <f t="shared" si="22"/>
        <v>0.61374795417348604</v>
      </c>
      <c r="N282" s="2225"/>
      <c r="O282" s="274"/>
    </row>
    <row r="283" spans="1:15" hidden="1">
      <c r="A283" s="76" t="s">
        <v>182</v>
      </c>
      <c r="B283" s="1421">
        <f>'CVWD Total'!B254:C254+'SAWC Total'!B253:C253+'FWC Total'!B256:C256+'Upland Total'!B254:C254+'MVWD Total '!B254:C254+'Chino Hills Total'!B254:C254+'Chino Total'!B254:C254+'Ontario Total'!B254:C254</f>
        <v>0</v>
      </c>
      <c r="C283" s="1422"/>
      <c r="D283" s="1431">
        <f t="shared" si="20"/>
        <v>0</v>
      </c>
      <c r="E283" s="1422"/>
      <c r="F283" s="1720">
        <f>0.325*B283</f>
        <v>0</v>
      </c>
      <c r="G283" s="1721"/>
      <c r="H283" s="630">
        <f>F283*10</f>
        <v>0</v>
      </c>
      <c r="I283" s="204">
        <v>0</v>
      </c>
      <c r="J283" s="204">
        <f>70*B283</f>
        <v>0</v>
      </c>
      <c r="K283" s="204">
        <f>B283*80</f>
        <v>0</v>
      </c>
      <c r="L283" s="203">
        <f t="shared" si="21"/>
        <v>0</v>
      </c>
      <c r="M283" s="2224">
        <f t="shared" si="22"/>
        <v>0</v>
      </c>
      <c r="N283" s="2225"/>
    </row>
    <row r="284" spans="1:15" ht="14" thickBot="1">
      <c r="A284" s="76" t="s">
        <v>214</v>
      </c>
      <c r="B284" s="1429">
        <f>'CVWD Total'!B255:C255+'SAWC Total'!B254:C254+'FWC Total'!B257:C257+'Upland Total'!B255:C255+'MVWD Total '!B255:C255+'Chino Hills Total'!B255:C255+'Chino Total'!B255:C255+'Ontario Total'!B255:C255</f>
        <v>58</v>
      </c>
      <c r="C284" s="1430"/>
      <c r="D284" s="1734">
        <v>6142291</v>
      </c>
      <c r="E284" s="1430"/>
      <c r="F284" s="1867">
        <v>18.850000000000001</v>
      </c>
      <c r="G284" s="1747"/>
      <c r="H284" s="630">
        <f>F284*10</f>
        <v>188.5</v>
      </c>
      <c r="I284" s="204">
        <v>0</v>
      </c>
      <c r="J284" s="204">
        <v>0</v>
      </c>
      <c r="K284" s="204">
        <f>B284*75</f>
        <v>4350</v>
      </c>
      <c r="L284" s="203">
        <f t="shared" si="21"/>
        <v>4350</v>
      </c>
      <c r="M284" s="2234">
        <f t="shared" si="22"/>
        <v>0.30687397708674302</v>
      </c>
      <c r="N284" s="2235"/>
    </row>
    <row r="285" spans="1:15" s="1168" customFormat="1" ht="17" thickBot="1">
      <c r="A285" s="108" t="str">
        <f>'Ontario Total'!A256</f>
        <v>IEUA Locally Implemented Residential Programs</v>
      </c>
      <c r="B285" s="1456"/>
      <c r="C285" s="1586"/>
      <c r="D285" s="1567"/>
      <c r="E285" s="1586"/>
      <c r="F285" s="1587"/>
      <c r="G285" s="1588"/>
      <c r="H285" s="1145"/>
      <c r="I285" s="205"/>
      <c r="J285" s="205"/>
      <c r="K285" s="205"/>
      <c r="L285" s="206"/>
      <c r="M285" s="2218"/>
      <c r="N285" s="2219"/>
      <c r="O285" s="121"/>
    </row>
    <row r="286" spans="1:15">
      <c r="A286" s="32" t="s">
        <v>165</v>
      </c>
      <c r="B286" s="1731">
        <f>'CVWD Total'!B257:C257+'SAWC Total'!B256:C256+'FWC Total'!B259:C259+'Upland Total'!B257:C257+'MVWD Total '!B257:C257+'Chino Hills Total'!B257:C257+'Chino Total'!B257:C257+'Ontario Total'!B257:C257</f>
        <v>11232</v>
      </c>
      <c r="C286" s="1732"/>
      <c r="D286" s="1855">
        <f>F286*325851</f>
        <v>14639833.728000002</v>
      </c>
      <c r="E286" s="1732"/>
      <c r="F286" s="2101">
        <f>B286*0.004</f>
        <v>44.928000000000004</v>
      </c>
      <c r="G286" s="2098"/>
      <c r="H286" s="637">
        <f>F286*5</f>
        <v>224.64000000000001</v>
      </c>
      <c r="I286" s="204">
        <v>0</v>
      </c>
      <c r="J286" s="204">
        <v>0</v>
      </c>
      <c r="K286" s="204">
        <f>B286*3.25</f>
        <v>36504</v>
      </c>
      <c r="L286" s="203">
        <f>I286+J286+K286</f>
        <v>36504</v>
      </c>
      <c r="M286" s="2222">
        <f>IF(ISERROR(L286/(F286*752)),0,L286/(F286*752))</f>
        <v>1.0804521276595744</v>
      </c>
      <c r="N286" s="2223"/>
    </row>
    <row r="287" spans="1:15" s="91" customFormat="1" ht="12" customHeight="1">
      <c r="A287" s="78" t="s">
        <v>216</v>
      </c>
      <c r="B287" s="1421">
        <f>'CVWD Total'!B258:C258+'SAWC Total'!B257:C257+'FWC Total'!B260:C260+'Upland Total'!B258:C258+'MVWD Total '!B258:C258+'Chino Hills Total'!B258:C258+'Chino Total'!B258:C258+'Ontario Total'!B258:C258</f>
        <v>185</v>
      </c>
      <c r="C287" s="1422"/>
      <c r="D287" s="1431">
        <f>F287*325851</f>
        <v>36169461</v>
      </c>
      <c r="E287" s="1422"/>
      <c r="F287" s="1723">
        <v>111</v>
      </c>
      <c r="G287" s="1724"/>
      <c r="H287" s="627">
        <v>1040</v>
      </c>
      <c r="I287" s="204">
        <v>93271</v>
      </c>
      <c r="J287" s="204">
        <v>0</v>
      </c>
      <c r="K287" s="204">
        <v>93271</v>
      </c>
      <c r="L287" s="203">
        <f>I287+J287+K287</f>
        <v>186542</v>
      </c>
      <c r="M287" s="2224">
        <f>IF(ISERROR(L287/(F287*752)),0,L287/(F287*752))</f>
        <v>2.2347853172321259</v>
      </c>
      <c r="N287" s="2225"/>
      <c r="O287" s="274"/>
    </row>
    <row r="288" spans="1:15" ht="12.75" customHeight="1" thickBot="1">
      <c r="A288" s="78" t="s">
        <v>215</v>
      </c>
      <c r="B288" s="1429">
        <f>'CVWD Total'!B259:C259+'SAWC Total'!B258:C258+'FWC Total'!B261:C261+'Upland Total'!B259:C259+'MVWD Total '!B259:C259+'Chino Hills Total'!B259:C259+'Chino Total'!B259:C259+'Ontario Total'!B259:C259</f>
        <v>65</v>
      </c>
      <c r="C288" s="1430"/>
      <c r="D288" s="1734">
        <f>F288*325851</f>
        <v>2640846.3954599998</v>
      </c>
      <c r="E288" s="1430"/>
      <c r="F288" s="1728">
        <f>57889*0.00014</f>
        <v>8.1044599999999996</v>
      </c>
      <c r="G288" s="1729"/>
      <c r="H288" s="640">
        <f>F288*10</f>
        <v>81.044600000000003</v>
      </c>
      <c r="I288" s="204">
        <v>0</v>
      </c>
      <c r="J288" s="204">
        <v>104477.3</v>
      </c>
      <c r="K288" s="204">
        <v>73268</v>
      </c>
      <c r="L288" s="203">
        <f>I288+J288+K288</f>
        <v>177745.3</v>
      </c>
      <c r="M288" s="2234">
        <f>IF(ISERROR(L288/(F288*752)),0,L288/(F288*752))</f>
        <v>29.16461193602829</v>
      </c>
      <c r="N288" s="2235"/>
    </row>
    <row r="289" spans="1:15" ht="13.5" customHeight="1" thickBot="1">
      <c r="A289" s="53" t="s">
        <v>60</v>
      </c>
      <c r="B289" s="1438">
        <f>SUM(B279:C288)</f>
        <v>14805</v>
      </c>
      <c r="C289" s="1439"/>
      <c r="D289" s="1441">
        <f>SUM(D279:E288)</f>
        <v>84576308.091159999</v>
      </c>
      <c r="E289" s="1439"/>
      <c r="F289" s="1511">
        <f>SUM(F279:G288)</f>
        <v>259.55516</v>
      </c>
      <c r="G289" s="1575"/>
      <c r="H289" s="700">
        <f>SUM(H279:H288)</f>
        <v>2614.2186000000002</v>
      </c>
      <c r="I289" s="207">
        <f>SUM(I279:I288)</f>
        <v>93271</v>
      </c>
      <c r="J289" s="207">
        <f>SUM(J279:J288)</f>
        <v>204273.3</v>
      </c>
      <c r="K289" s="207">
        <f>SUM(K279:K288)</f>
        <v>334402</v>
      </c>
      <c r="L289" s="207">
        <f>SUM(L279:L288)</f>
        <v>631946.30000000005</v>
      </c>
      <c r="M289" s="2165"/>
      <c r="N289" s="2166"/>
    </row>
    <row r="290" spans="1:15" s="1168" customFormat="1" ht="18" customHeight="1" thickBot="1">
      <c r="A290" s="108" t="str">
        <f>'Ontario Total'!A261</f>
        <v xml:space="preserve">IEUA High Efficiency Toilet (HET) Installation Prog. </v>
      </c>
      <c r="B290" s="1456"/>
      <c r="C290" s="1586"/>
      <c r="D290" s="1567"/>
      <c r="E290" s="1586"/>
      <c r="F290" s="1587"/>
      <c r="G290" s="1588"/>
      <c r="H290" s="1145"/>
      <c r="I290" s="205"/>
      <c r="J290" s="205"/>
      <c r="K290" s="205"/>
      <c r="L290" s="206"/>
      <c r="M290" s="2218"/>
      <c r="N290" s="2219"/>
      <c r="O290" s="121"/>
    </row>
    <row r="291" spans="1:15" s="91" customFormat="1" ht="16">
      <c r="A291" s="76" t="str">
        <f>'Ontario Total'!A262</f>
        <v>IEUA Multi-Family Direct Install Prog. (HET)</v>
      </c>
      <c r="B291" s="1731">
        <f>'CVWD Total'!B262:C262+'SAWC Total'!B261:C261+'FWC Total'!B264:C264+'Upland Total'!B262:C262+'MVWD Total '!B262:C262+'Chino Hills Total'!B262:C262+'Chino Total'!B262:C262+'Ontario Total'!B262:C262</f>
        <v>0</v>
      </c>
      <c r="C291" s="1732"/>
      <c r="D291" s="1855">
        <f>F291*325851</f>
        <v>0</v>
      </c>
      <c r="E291" s="1732"/>
      <c r="F291" s="2099">
        <f>0.0425*B291</f>
        <v>0</v>
      </c>
      <c r="G291" s="2100"/>
      <c r="H291" s="637">
        <f>F291*20</f>
        <v>0</v>
      </c>
      <c r="I291" s="202">
        <f>73.34*B291</f>
        <v>0</v>
      </c>
      <c r="J291" s="202">
        <f>35.66*B291</f>
        <v>0</v>
      </c>
      <c r="K291" s="202">
        <f>B291*50</f>
        <v>0</v>
      </c>
      <c r="L291" s="203">
        <f>I291+J291+K291</f>
        <v>0</v>
      </c>
      <c r="M291" s="2222">
        <f>IF(ISERROR(L291/(F291*727)),0,L291/(F291*727))</f>
        <v>0</v>
      </c>
      <c r="N291" s="2223"/>
      <c r="O291" s="274"/>
    </row>
    <row r="292" spans="1:15" ht="14" thickBot="1">
      <c r="A292" s="76" t="s">
        <v>181</v>
      </c>
      <c r="B292" s="1429">
        <f>'CVWD Total'!B263:C263+'SAWC Total'!B262:C262+'FWC Total'!B265:C265+'Upland Total'!B263:C263+'MVWD Total '!B263:C263+'Chino Hills Total'!B263:C263+'Chino Total'!B263:C263+'Ontario Total'!B263:C263</f>
        <v>0</v>
      </c>
      <c r="C292" s="1430"/>
      <c r="D292" s="1734">
        <f>F292*325851</f>
        <v>0</v>
      </c>
      <c r="E292" s="1430"/>
      <c r="F292" s="1746">
        <f>0.0425*B292</f>
        <v>0</v>
      </c>
      <c r="G292" s="2095"/>
      <c r="H292" s="637">
        <f>F292*20</f>
        <v>0</v>
      </c>
      <c r="I292" s="202">
        <f>73.34*B292</f>
        <v>0</v>
      </c>
      <c r="J292" s="202">
        <f>35.66*B292</f>
        <v>0</v>
      </c>
      <c r="K292" s="202">
        <f>B292*50</f>
        <v>0</v>
      </c>
      <c r="L292" s="203">
        <f>I292+J292+K292</f>
        <v>0</v>
      </c>
      <c r="M292" s="2234">
        <f>IF(ISERROR(L292/(F292*727)),0,L292/(F292*727))</f>
        <v>0</v>
      </c>
      <c r="N292" s="2235"/>
    </row>
    <row r="293" spans="1:15" ht="14" thickBot="1">
      <c r="A293" s="53" t="s">
        <v>60</v>
      </c>
      <c r="B293" s="1438">
        <f>SUM(B291:B292)</f>
        <v>0</v>
      </c>
      <c r="C293" s="1439"/>
      <c r="D293" s="1440">
        <f>SUM(D291:D292)</f>
        <v>0</v>
      </c>
      <c r="E293" s="1440"/>
      <c r="F293" s="1511">
        <f>SUM(F291:F292)</f>
        <v>0</v>
      </c>
      <c r="G293" s="1575"/>
      <c r="H293" s="612">
        <f>SUM(H291:H292)</f>
        <v>0</v>
      </c>
      <c r="I293" s="207">
        <f>SUM(I291:I292)</f>
        <v>0</v>
      </c>
      <c r="J293" s="208">
        <f>SUM(J291+J292)</f>
        <v>0</v>
      </c>
      <c r="K293" s="208">
        <f>SUM(K291:K292)</f>
        <v>0</v>
      </c>
      <c r="L293" s="207">
        <f>SUM(L291:L292)</f>
        <v>0</v>
      </c>
      <c r="M293" s="2165"/>
      <c r="N293" s="2166"/>
    </row>
    <row r="294" spans="1:15" s="1168" customFormat="1" ht="17" thickBot="1">
      <c r="A294" s="108" t="str">
        <f>'Ontario Total'!A265</f>
        <v>SoCal Water$mart Commercial Rebates</v>
      </c>
      <c r="B294" s="1456"/>
      <c r="C294" s="1586"/>
      <c r="D294" s="1457"/>
      <c r="E294" s="1586"/>
      <c r="F294" s="1587"/>
      <c r="G294" s="1588"/>
      <c r="H294" s="1145"/>
      <c r="I294" s="205"/>
      <c r="J294" s="205"/>
      <c r="K294" s="205"/>
      <c r="L294" s="206"/>
      <c r="M294" s="2218"/>
      <c r="N294" s="2219"/>
      <c r="O294" s="121"/>
    </row>
    <row r="295" spans="1:15" ht="12.75" customHeight="1">
      <c r="A295" s="122" t="s">
        <v>29</v>
      </c>
      <c r="B295" s="1731">
        <f>'CVWD Total'!B266:C266+'SAWC Total'!B265:C265+'FWC Total'!B268:C268+'Upland Total'!B266:C266+'MVWD Total '!B266:C266+'Chino Hills Total'!B266:C266+'Chino Total'!B266:C266+'Ontario Total'!B266:C266</f>
        <v>123</v>
      </c>
      <c r="C295" s="1732"/>
      <c r="D295" s="1767">
        <f t="shared" ref="D295:D307" si="23">F295*325851</f>
        <v>1703386.1025</v>
      </c>
      <c r="E295" s="1732"/>
      <c r="F295" s="2101">
        <f>0.0425*B295</f>
        <v>5.2275</v>
      </c>
      <c r="G295" s="2098"/>
      <c r="H295" s="630">
        <f>F295*20</f>
        <v>104.55</v>
      </c>
      <c r="I295" s="204">
        <v>0</v>
      </c>
      <c r="J295" s="202">
        <v>5040</v>
      </c>
      <c r="K295" s="202">
        <v>12066</v>
      </c>
      <c r="L295" s="203">
        <f>SUM(I295:K295)</f>
        <v>17106</v>
      </c>
      <c r="M295" s="2222">
        <f>IF(ISERROR(L295/(F295*752)),0,L295/(F295*752))</f>
        <v>4.3514759302787018</v>
      </c>
      <c r="N295" s="2223"/>
    </row>
    <row r="296" spans="1:15" ht="12.75" customHeight="1">
      <c r="A296" s="32" t="s">
        <v>51</v>
      </c>
      <c r="B296" s="1421">
        <f>'CVWD Total'!B267:C267+'SAWC Total'!B266:C266+'FWC Total'!B269:C269+'Upland Total'!B267:C267+'MVWD Total '!B267:C267+'Chino Hills Total'!B267:C267+'Chino Total'!B267:C267+'Ontario Total'!B267:C267</f>
        <v>0</v>
      </c>
      <c r="C296" s="1422"/>
      <c r="D296" s="1431">
        <f t="shared" si="23"/>
        <v>0</v>
      </c>
      <c r="E296" s="1422"/>
      <c r="F296" s="1720">
        <f>0.0425*B296</f>
        <v>0</v>
      </c>
      <c r="G296" s="1721"/>
      <c r="H296" s="630">
        <f>F296*20</f>
        <v>0</v>
      </c>
      <c r="I296" s="204">
        <v>0</v>
      </c>
      <c r="J296" s="202">
        <f>B296*100</f>
        <v>0</v>
      </c>
      <c r="K296" s="202">
        <f>200*B296</f>
        <v>0</v>
      </c>
      <c r="L296" s="203">
        <f t="shared" ref="L296:L307" si="24">SUM(I296:K296)</f>
        <v>0</v>
      </c>
      <c r="M296" s="2224">
        <f t="shared" ref="M296:M308" si="25">IF(ISERROR(L296/(F296*752)),0,L296/(F296*752))</f>
        <v>0</v>
      </c>
      <c r="N296" s="2225"/>
    </row>
    <row r="297" spans="1:15" s="57" customFormat="1">
      <c r="A297" s="78" t="s">
        <v>204</v>
      </c>
      <c r="B297" s="1421">
        <f>'CVWD Total'!B268:C268+'SAWC Total'!B267:C267+'FWC Total'!B270:C270+'Upland Total'!B268:C268+'MVWD Total '!B268:C268+'Chino Hills Total'!B268:C268+'Chino Total'!B268:C268+'Ontario Total'!B268:C268</f>
        <v>0</v>
      </c>
      <c r="C297" s="1422"/>
      <c r="D297" s="1431">
        <f t="shared" si="23"/>
        <v>0</v>
      </c>
      <c r="E297" s="1422"/>
      <c r="F297" s="1720">
        <f>0.644*B297</f>
        <v>0</v>
      </c>
      <c r="G297" s="1721"/>
      <c r="H297" s="630">
        <f>F297*5</f>
        <v>0</v>
      </c>
      <c r="I297" s="204">
        <v>0</v>
      </c>
      <c r="J297" s="202">
        <f>B297*1000</f>
        <v>0</v>
      </c>
      <c r="K297" s="202">
        <f>B297*1750</f>
        <v>0</v>
      </c>
      <c r="L297" s="203">
        <f t="shared" si="24"/>
        <v>0</v>
      </c>
      <c r="M297" s="2224">
        <f t="shared" si="25"/>
        <v>0</v>
      </c>
      <c r="N297" s="2225"/>
      <c r="O297" s="121"/>
    </row>
    <row r="298" spans="1:15" ht="12.75" hidden="1" customHeight="1">
      <c r="A298" s="34" t="s">
        <v>13</v>
      </c>
      <c r="B298" s="1421">
        <f>'CVWD Total'!B269:C269+'SAWC Total'!B268:C268+'FWC Total'!B271:C271+'Upland Total'!B269:C269+'MVWD Total '!B269:C269+'Chino Hills Total'!B269:C269+'Chino Total'!B269:C269+'Ontario Total'!B269:C269</f>
        <v>0</v>
      </c>
      <c r="C298" s="1422"/>
      <c r="D298" s="1431">
        <f t="shared" si="23"/>
        <v>0</v>
      </c>
      <c r="E298" s="1422"/>
      <c r="F298" s="1720">
        <f>0.0425*B298</f>
        <v>0</v>
      </c>
      <c r="G298" s="1721"/>
      <c r="H298" s="630">
        <f>F298*10</f>
        <v>0</v>
      </c>
      <c r="I298" s="204">
        <v>0</v>
      </c>
      <c r="J298" s="202">
        <f>100*B298</f>
        <v>0</v>
      </c>
      <c r="K298" s="202">
        <f>80*B298</f>
        <v>0</v>
      </c>
      <c r="L298" s="203">
        <f t="shared" si="24"/>
        <v>0</v>
      </c>
      <c r="M298" s="2224">
        <f t="shared" si="25"/>
        <v>0</v>
      </c>
      <c r="N298" s="2225"/>
    </row>
    <row r="299" spans="1:15" hidden="1">
      <c r="A299" s="34" t="s">
        <v>47</v>
      </c>
      <c r="B299" s="1421">
        <f>'CVWD Total'!B270:C270+'SAWC Total'!B269:C269+'FWC Total'!B272:C272+'Upland Total'!B270:C270+'MVWD Total '!B270:C270+'Chino Hills Total'!B270:C270+'Chino Total'!B270:C270+'Ontario Total'!B270:C270</f>
        <v>0</v>
      </c>
      <c r="C299" s="1422"/>
      <c r="D299" s="1431">
        <f t="shared" si="23"/>
        <v>0</v>
      </c>
      <c r="E299" s="1422"/>
      <c r="F299" s="1720">
        <f>0.0425*B299</f>
        <v>0</v>
      </c>
      <c r="G299" s="1721"/>
      <c r="H299" s="630">
        <f>F299*5</f>
        <v>0</v>
      </c>
      <c r="I299" s="332">
        <v>0</v>
      </c>
      <c r="J299" s="202">
        <f>0*B299</f>
        <v>0</v>
      </c>
      <c r="K299" s="202">
        <f>150*B299</f>
        <v>0</v>
      </c>
      <c r="L299" s="203">
        <f t="shared" si="24"/>
        <v>0</v>
      </c>
      <c r="M299" s="2224">
        <f t="shared" si="25"/>
        <v>0</v>
      </c>
      <c r="N299" s="2225"/>
    </row>
    <row r="300" spans="1:15">
      <c r="A300" s="34" t="s">
        <v>30</v>
      </c>
      <c r="B300" s="1421">
        <f>'CVWD Total'!B271:C271+'SAWC Total'!B270:C270+'FWC Total'!B273:C273+'Upland Total'!B271:C271+'MVWD Total '!B271:C271+'Chino Hills Total'!B271:C271+'Chino Total'!B271:C271+'Ontario Total'!B271:C271</f>
        <v>137</v>
      </c>
      <c r="C300" s="1422"/>
      <c r="D300" s="1431">
        <f t="shared" si="23"/>
        <v>14508515.775</v>
      </c>
      <c r="E300" s="1422"/>
      <c r="F300" s="1720">
        <f>0.325*B300</f>
        <v>44.524999999999999</v>
      </c>
      <c r="G300" s="1721"/>
      <c r="H300" s="630">
        <f>F300*10</f>
        <v>445.25</v>
      </c>
      <c r="I300" s="210">
        <v>0</v>
      </c>
      <c r="J300" s="204">
        <v>29732</v>
      </c>
      <c r="K300" s="204">
        <v>75737</v>
      </c>
      <c r="L300" s="203">
        <f t="shared" si="24"/>
        <v>105469</v>
      </c>
      <c r="M300" s="2224">
        <f t="shared" si="25"/>
        <v>3.1499456437334996</v>
      </c>
      <c r="N300" s="2225"/>
    </row>
    <row r="301" spans="1:15" ht="12.75" hidden="1" customHeight="1">
      <c r="A301" s="34" t="s">
        <v>150</v>
      </c>
      <c r="B301" s="1421">
        <f>'CVWD Total'!B272:C272+'SAWC Total'!B271:C271+'FWC Total'!B274:C274+'Upland Total'!B272:C272+'MVWD Total '!B272:C272+'Chino Hills Total'!B272:C272+'Chino Total'!B272:C272+'Ontario Total'!B272:C272</f>
        <v>0</v>
      </c>
      <c r="C301" s="1422"/>
      <c r="D301" s="1431">
        <f t="shared" si="23"/>
        <v>0</v>
      </c>
      <c r="E301" s="1422"/>
      <c r="F301" s="1720">
        <f>0.0425*B301</f>
        <v>0</v>
      </c>
      <c r="G301" s="1721"/>
      <c r="H301" s="630">
        <f>F301*10</f>
        <v>0</v>
      </c>
      <c r="I301" s="209">
        <v>0</v>
      </c>
      <c r="J301" s="202">
        <f>0.45*0</f>
        <v>0</v>
      </c>
      <c r="K301" s="202">
        <f>0.3*0</f>
        <v>0</v>
      </c>
      <c r="L301" s="203">
        <f t="shared" si="24"/>
        <v>0</v>
      </c>
      <c r="M301" s="2224">
        <f t="shared" si="25"/>
        <v>0</v>
      </c>
      <c r="N301" s="2225"/>
    </row>
    <row r="302" spans="1:15">
      <c r="A302" s="33" t="s">
        <v>56</v>
      </c>
      <c r="B302" s="1421">
        <f>'CVWD Total'!B273:C273+'SAWC Total'!B272:C272+'FWC Total'!B275:C275+'Upland Total'!B273:C273+'MVWD Total '!B273:C273+'Chino Hills Total'!B273:C273+'Chino Total'!B273:C273+'Ontario Total'!B273:C273</f>
        <v>2930</v>
      </c>
      <c r="C302" s="1422"/>
      <c r="D302" s="1431">
        <f t="shared" si="23"/>
        <v>3818973.72</v>
      </c>
      <c r="E302" s="1422"/>
      <c r="F302" s="1720">
        <f>0.004*B302</f>
        <v>11.72</v>
      </c>
      <c r="G302" s="1721"/>
      <c r="H302" s="630">
        <f>F302*5</f>
        <v>58.6</v>
      </c>
      <c r="I302" s="204">
        <v>0</v>
      </c>
      <c r="J302" s="202">
        <v>2727</v>
      </c>
      <c r="K302" s="202">
        <v>11611</v>
      </c>
      <c r="L302" s="203">
        <f t="shared" si="24"/>
        <v>14338</v>
      </c>
      <c r="M302" s="2224">
        <f t="shared" si="25"/>
        <v>1.6268335632851645</v>
      </c>
      <c r="N302" s="2225"/>
    </row>
    <row r="303" spans="1:15" s="57" customFormat="1">
      <c r="A303" s="76" t="s">
        <v>122</v>
      </c>
      <c r="B303" s="1421">
        <f>'CVWD Total'!B274:C274+'SAWC Total'!B273:C273+'FWC Total'!B276:C276+'Upland Total'!B274:C274+'MVWD Total '!B274:C274+'Chino Hills Total'!B274:C274+'Chino Total'!B274:C274+'Ontario Total'!B274:C274</f>
        <v>0</v>
      </c>
      <c r="C303" s="1422"/>
      <c r="D303" s="1431">
        <f t="shared" si="23"/>
        <v>0</v>
      </c>
      <c r="E303" s="1422"/>
      <c r="F303" s="1720">
        <f>0.018*B303</f>
        <v>0</v>
      </c>
      <c r="G303" s="1721"/>
      <c r="H303" s="630">
        <f>F303*10</f>
        <v>0</v>
      </c>
      <c r="I303" s="204">
        <v>0</v>
      </c>
      <c r="J303" s="202">
        <f>0*B303</f>
        <v>0</v>
      </c>
      <c r="K303" s="202">
        <f>13*B303</f>
        <v>0</v>
      </c>
      <c r="L303" s="203">
        <f t="shared" si="24"/>
        <v>0</v>
      </c>
      <c r="M303" s="2224">
        <f t="shared" si="25"/>
        <v>0</v>
      </c>
      <c r="N303" s="2225"/>
      <c r="O303" s="121"/>
    </row>
    <row r="304" spans="1:15" s="57" customFormat="1" hidden="1">
      <c r="A304" s="33" t="s">
        <v>119</v>
      </c>
      <c r="B304" s="1421">
        <f>'CVWD Total'!B275:C275+'SAWC Total'!B274:C274+'FWC Total'!B277:C277+'Upland Total'!B275:C275+'MVWD Total '!B275:C275+'Chino Hills Total'!B275:C275+'Chino Total'!B275:C275+'Ontario Total'!B275:C275</f>
        <v>0</v>
      </c>
      <c r="C304" s="1422"/>
      <c r="D304" s="1431">
        <f t="shared" si="23"/>
        <v>0</v>
      </c>
      <c r="E304" s="1422"/>
      <c r="F304" s="1720">
        <f>0.153*B304</f>
        <v>0</v>
      </c>
      <c r="G304" s="1721"/>
      <c r="H304" s="630">
        <f>F304*5</f>
        <v>0</v>
      </c>
      <c r="I304" s="333">
        <v>0</v>
      </c>
      <c r="J304" s="202">
        <f>0*B304</f>
        <v>0</v>
      </c>
      <c r="K304" s="202">
        <f>60*B304</f>
        <v>0</v>
      </c>
      <c r="L304" s="203">
        <f t="shared" si="24"/>
        <v>0</v>
      </c>
      <c r="M304" s="2224">
        <f t="shared" si="25"/>
        <v>0</v>
      </c>
      <c r="N304" s="2225"/>
      <c r="O304" s="121"/>
    </row>
    <row r="305" spans="1:15" s="57" customFormat="1">
      <c r="A305" s="78" t="s">
        <v>184</v>
      </c>
      <c r="B305" s="1421">
        <f>'CVWD Total'!B276:C276+'SAWC Total'!B275:C275+'FWC Total'!B278:C278+'Upland Total'!B276:C276+'MVWD Total '!B276:C276+'Chino Hills Total'!B276:C276+'Chino Total'!B276:C276+'Ontario Total'!B276:C276</f>
        <v>0</v>
      </c>
      <c r="C305" s="1422"/>
      <c r="D305" s="1431">
        <f t="shared" si="23"/>
        <v>0</v>
      </c>
      <c r="E305" s="1422"/>
      <c r="F305" s="1720">
        <f>0.0129*B305</f>
        <v>0</v>
      </c>
      <c r="G305" s="1721"/>
      <c r="H305" s="630">
        <f>F305*20</f>
        <v>0</v>
      </c>
      <c r="I305" s="210">
        <v>0</v>
      </c>
      <c r="J305" s="210">
        <v>0</v>
      </c>
      <c r="K305" s="210">
        <v>0</v>
      </c>
      <c r="L305" s="203">
        <f t="shared" si="24"/>
        <v>0</v>
      </c>
      <c r="M305" s="2224">
        <f t="shared" si="25"/>
        <v>0</v>
      </c>
      <c r="N305" s="2225"/>
      <c r="O305" s="121"/>
    </row>
    <row r="306" spans="1:15" s="57" customFormat="1">
      <c r="A306" s="107" t="s">
        <v>187</v>
      </c>
      <c r="B306" s="1945">
        <f>'CVWD Total'!B277:C277+'SAWC Total'!B276:C276+'FWC Total'!B279:C279+'Upland Total'!B277:C277+'MVWD Total '!B277:C277+'Chino Hills Total'!B277:C277+'Chino Total'!B277:C277+'Ontario Total'!B277:C277</f>
        <v>1486</v>
      </c>
      <c r="C306" s="1446"/>
      <c r="D306" s="1736">
        <f t="shared" si="23"/>
        <v>11136935.477999998</v>
      </c>
      <c r="E306" s="1446"/>
      <c r="F306" s="1723">
        <f>B306*0.023</f>
        <v>34.177999999999997</v>
      </c>
      <c r="G306" s="1724"/>
      <c r="H306" s="640">
        <f>F306*10</f>
        <v>341.78</v>
      </c>
      <c r="I306" s="210">
        <v>0</v>
      </c>
      <c r="J306" s="210">
        <f>B306*10</f>
        <v>14860</v>
      </c>
      <c r="K306" s="210">
        <f>B306*10</f>
        <v>14860</v>
      </c>
      <c r="L306" s="211">
        <f t="shared" si="24"/>
        <v>29720</v>
      </c>
      <c r="M306" s="2224">
        <f t="shared" si="25"/>
        <v>1.1563367252543941</v>
      </c>
      <c r="N306" s="2225"/>
      <c r="O306" s="121"/>
    </row>
    <row r="307" spans="1:15" s="91" customFormat="1" ht="16">
      <c r="A307" s="107" t="s">
        <v>188</v>
      </c>
      <c r="B307" s="1945">
        <f>'CVWD Total'!B278:C278+'SAWC Total'!B277:C277+'FWC Total'!B280:C280+'Upland Total'!B278:C278+'MVWD Total '!B278:C278+'Chino Hills Total'!B278:C278+'Chino Total'!B278:C278+'Ontario Total'!B278:C278</f>
        <v>1</v>
      </c>
      <c r="C307" s="1446"/>
      <c r="D307" s="1736">
        <f t="shared" si="23"/>
        <v>65170.200000000004</v>
      </c>
      <c r="E307" s="1446"/>
      <c r="F307" s="2093">
        <v>0.2</v>
      </c>
      <c r="G307" s="2094"/>
      <c r="H307" s="640">
        <f>F307*7</f>
        <v>1.4000000000000001</v>
      </c>
      <c r="I307" s="210">
        <v>0</v>
      </c>
      <c r="J307" s="210">
        <f>B307*1000</f>
        <v>1000</v>
      </c>
      <c r="K307" s="210">
        <f>B307*1000</f>
        <v>1000</v>
      </c>
      <c r="L307" s="211">
        <f t="shared" si="24"/>
        <v>2000</v>
      </c>
      <c r="M307" s="2224">
        <f t="shared" si="25"/>
        <v>13.297872340425531</v>
      </c>
      <c r="N307" s="2225"/>
      <c r="O307" s="274"/>
    </row>
    <row r="308" spans="1:15" ht="12.75" customHeight="1" thickBot="1">
      <c r="A308" s="107" t="s">
        <v>213</v>
      </c>
      <c r="B308" s="2163">
        <f>'CVWD Total'!B279:C279+'SAWC Total'!B278:C278+'FWC Total'!B281:C281+'Upland Total'!B279:C279+'MVWD Total '!B279:C279+'Chino Hills Total'!B279:C279+'Chino Total'!B279:C279+'Ontario Total'!B279:C279</f>
        <v>0</v>
      </c>
      <c r="C308" s="1726"/>
      <c r="D308" s="1737">
        <v>0</v>
      </c>
      <c r="E308" s="1726"/>
      <c r="F308" s="1728">
        <v>0</v>
      </c>
      <c r="G308" s="1729"/>
      <c r="H308" s="640">
        <v>0</v>
      </c>
      <c r="I308" s="210">
        <v>0</v>
      </c>
      <c r="J308" s="210">
        <f>B308*930</f>
        <v>0</v>
      </c>
      <c r="K308" s="210">
        <f>B308*1000</f>
        <v>0</v>
      </c>
      <c r="L308" s="211">
        <f>SUM(I308:K308)</f>
        <v>0</v>
      </c>
      <c r="M308" s="2234">
        <f t="shared" si="25"/>
        <v>0</v>
      </c>
      <c r="N308" s="2235"/>
    </row>
    <row r="309" spans="1:15" ht="14" thickBot="1">
      <c r="A309" s="53" t="s">
        <v>60</v>
      </c>
      <c r="B309" s="1438">
        <f>SUM(B291:C308)</f>
        <v>4677</v>
      </c>
      <c r="C309" s="1439"/>
      <c r="D309" s="1441">
        <f>SUM(D291:E308)</f>
        <v>31232981.275499996</v>
      </c>
      <c r="E309" s="1439"/>
      <c r="F309" s="1441">
        <f>SUM(F291:G308)</f>
        <v>95.850499999999997</v>
      </c>
      <c r="G309" s="1439"/>
      <c r="H309" s="482">
        <f>SUM(H291:H308)</f>
        <v>951.57999999999993</v>
      </c>
      <c r="I309" s="207">
        <v>0</v>
      </c>
      <c r="J309" s="207">
        <f>SUM(J291:J308)</f>
        <v>53359</v>
      </c>
      <c r="K309" s="207">
        <f>SUM(K291:K308)</f>
        <v>115274</v>
      </c>
      <c r="L309" s="207">
        <f>SUM(L291:L308)</f>
        <v>168633</v>
      </c>
      <c r="M309" s="2165"/>
      <c r="N309" s="2166"/>
    </row>
    <row r="310" spans="1:15" s="1168" customFormat="1" ht="17" thickBot="1">
      <c r="A310" s="108" t="str">
        <f>'Ontario Total'!A280</f>
        <v>IEUA Locally Implemented Commercial Programs</v>
      </c>
      <c r="B310" s="1456"/>
      <c r="C310" s="1457"/>
      <c r="D310" s="1567"/>
      <c r="E310" s="1586"/>
      <c r="F310" s="1567"/>
      <c r="G310" s="1586"/>
      <c r="H310" s="1142"/>
      <c r="I310" s="205"/>
      <c r="J310" s="205"/>
      <c r="K310" s="205"/>
      <c r="L310" s="206"/>
      <c r="M310" s="2218"/>
      <c r="N310" s="2219"/>
      <c r="O310" s="121"/>
    </row>
    <row r="311" spans="1:15" hidden="1">
      <c r="A311" s="33" t="s">
        <v>167</v>
      </c>
      <c r="B311" s="1731">
        <f>'CVWD Total'!B281:C281+'SAWC Total'!B280:C280+'FWC Total'!B283:C283+'Upland Total'!B281:C281+'MVWD Total '!B281:C281+'Chino Hills Total'!B281:C281+'Chino Total'!B281:C281+'Ontario Total'!B281:C281</f>
        <v>0</v>
      </c>
      <c r="C311" s="1732"/>
      <c r="D311" s="1855">
        <f>F311*325851</f>
        <v>49203501</v>
      </c>
      <c r="E311" s="1732"/>
      <c r="F311" s="2241">
        <v>151</v>
      </c>
      <c r="G311" s="2242"/>
      <c r="H311" s="478">
        <v>2880</v>
      </c>
      <c r="I311" s="210">
        <v>206033</v>
      </c>
      <c r="J311" s="204">
        <v>0</v>
      </c>
      <c r="K311" s="204">
        <v>32050</v>
      </c>
      <c r="L311" s="203">
        <f>SUM(I311:K311)</f>
        <v>238083</v>
      </c>
      <c r="M311" s="2222">
        <f>IF(ISERROR(L311/(F311*727)),0,L311/(F311*727))</f>
        <v>2.1687876331107607</v>
      </c>
      <c r="N311" s="2223"/>
    </row>
    <row r="312" spans="1:15" ht="14" thickBot="1">
      <c r="A312" s="33" t="s">
        <v>165</v>
      </c>
      <c r="B312" s="1429">
        <f>'CVWD Total'!B282:C282+'SAWC Total'!B281:C281+'FWC Total'!B284:C284+'Upland Total'!B282:C282+'MVWD Total '!B282:C282+'Chino Hills Total'!B282:C282+'Chino Total'!B282:C282+'Ontario Total'!B282:C282</f>
        <v>23032</v>
      </c>
      <c r="C312" s="1430"/>
      <c r="D312" s="1734">
        <f>F312*325851</f>
        <v>30020000.927999999</v>
      </c>
      <c r="E312" s="1430"/>
      <c r="F312" s="1867">
        <f>0.004*B312</f>
        <v>92.128</v>
      </c>
      <c r="G312" s="1747"/>
      <c r="H312" s="630">
        <f>F312*5</f>
        <v>460.64</v>
      </c>
      <c r="I312" s="210">
        <v>0</v>
      </c>
      <c r="J312" s="204">
        <v>0</v>
      </c>
      <c r="K312" s="204">
        <f>B312*3.25</f>
        <v>74854</v>
      </c>
      <c r="L312" s="203">
        <f>SUM(I312:K312)</f>
        <v>74854</v>
      </c>
      <c r="M312" s="2234">
        <f>IF(ISERROR(L312/(F312*752)),0,L312/(F312*752))</f>
        <v>1.0804521276595747</v>
      </c>
      <c r="N312" s="2235"/>
    </row>
    <row r="313" spans="1:15" ht="14" thickBot="1">
      <c r="A313" s="53"/>
      <c r="B313" s="1438"/>
      <c r="C313" s="1439"/>
      <c r="D313" s="1441"/>
      <c r="E313" s="1439"/>
      <c r="F313" s="1441"/>
      <c r="G313" s="1439"/>
      <c r="H313" s="482"/>
      <c r="I313" s="207"/>
      <c r="J313" s="207"/>
      <c r="K313" s="207"/>
      <c r="L313" s="207"/>
      <c r="M313" s="2165"/>
      <c r="N313" s="2166"/>
    </row>
    <row r="314" spans="1:15" s="1168" customFormat="1" ht="17" thickBot="1">
      <c r="A314" s="1163" t="s">
        <v>17</v>
      </c>
      <c r="B314" s="1414">
        <f>B289+B309+B312</f>
        <v>42514</v>
      </c>
      <c r="C314" s="1415"/>
      <c r="D314" s="1416">
        <f>D289+D309+D312</f>
        <v>145829290.29466</v>
      </c>
      <c r="E314" s="1415"/>
      <c r="F314" s="1416">
        <f>F289+F309+F312</f>
        <v>447.53366</v>
      </c>
      <c r="G314" s="1415"/>
      <c r="H314" s="1164">
        <f>H289+H309+H312</f>
        <v>4026.4386</v>
      </c>
      <c r="I314" s="1174">
        <f>I289+I309+I312</f>
        <v>93271</v>
      </c>
      <c r="J314" s="1174">
        <f>J289+J309+J312</f>
        <v>257632.3</v>
      </c>
      <c r="K314" s="1174">
        <f>K289+K309+K312</f>
        <v>524530</v>
      </c>
      <c r="L314" s="1174">
        <f>L289+L309+L312</f>
        <v>875433.3</v>
      </c>
      <c r="M314" s="2226"/>
      <c r="N314" s="2227"/>
      <c r="O314" s="121"/>
    </row>
    <row r="315" spans="1:15">
      <c r="A315" s="50"/>
      <c r="B315" s="20"/>
      <c r="C315" s="20"/>
      <c r="D315" s="20"/>
      <c r="E315" s="20"/>
      <c r="F315" s="484"/>
      <c r="G315" s="484"/>
      <c r="H315" s="484"/>
      <c r="I315" s="189"/>
      <c r="J315" s="189"/>
      <c r="K315" s="189"/>
      <c r="L315" s="189"/>
      <c r="M315" s="190"/>
      <c r="N315" s="190"/>
    </row>
    <row r="316" spans="1:15" s="91" customFormat="1" ht="16">
      <c r="A316" s="9" t="s">
        <v>18</v>
      </c>
      <c r="B316" s="1695" t="s">
        <v>59</v>
      </c>
      <c r="C316" s="1695"/>
      <c r="D316" s="1695"/>
      <c r="E316" s="1695"/>
      <c r="F316" s="484"/>
      <c r="G316" s="484"/>
      <c r="H316" s="484"/>
      <c r="I316" s="189"/>
      <c r="J316" s="189"/>
      <c r="K316" s="189"/>
      <c r="L316" s="189"/>
      <c r="M316" s="190"/>
      <c r="N316" s="190"/>
      <c r="O316" s="274"/>
    </row>
    <row r="317" spans="1:15" ht="15">
      <c r="A317" s="9"/>
      <c r="B317" s="1420" t="s">
        <v>19</v>
      </c>
      <c r="C317" s="1420"/>
      <c r="D317" s="1420"/>
      <c r="E317" s="1420"/>
      <c r="F317" s="484"/>
      <c r="G317" s="484"/>
      <c r="H317" s="484"/>
      <c r="I317" s="189"/>
      <c r="J317" s="189"/>
      <c r="K317" s="189"/>
      <c r="L317" s="189"/>
      <c r="M317" s="190"/>
      <c r="N317" s="190"/>
    </row>
    <row r="318" spans="1:15" ht="16" thickBot="1">
      <c r="A318" s="9"/>
      <c r="B318" s="250"/>
      <c r="C318" s="250"/>
      <c r="D318" s="250"/>
      <c r="E318" s="250"/>
      <c r="F318" s="484"/>
      <c r="G318" s="484"/>
      <c r="H318" s="484"/>
      <c r="I318" s="189"/>
      <c r="J318" s="189"/>
      <c r="K318" s="189"/>
      <c r="L318" s="189"/>
      <c r="M318" s="190"/>
      <c r="N318" s="190"/>
    </row>
    <row r="319" spans="1:15" s="1168" customFormat="1" ht="17" thickBot="1">
      <c r="A319" s="1170" t="s">
        <v>171</v>
      </c>
      <c r="B319" s="1672"/>
      <c r="C319" s="1913"/>
      <c r="D319" s="1672"/>
      <c r="E319" s="1913"/>
      <c r="F319" s="1567"/>
      <c r="G319" s="1586"/>
      <c r="H319" s="1176"/>
      <c r="I319" s="1167"/>
      <c r="J319" s="1167"/>
      <c r="K319" s="1167"/>
      <c r="L319" s="1167"/>
      <c r="M319" s="2187"/>
      <c r="N319" s="2188"/>
      <c r="O319" s="121"/>
    </row>
    <row r="320" spans="1:15" ht="14" thickBot="1">
      <c r="A320" s="335" t="s">
        <v>272</v>
      </c>
      <c r="B320" s="2209">
        <v>83</v>
      </c>
      <c r="C320" s="2210"/>
      <c r="D320" s="2211">
        <f>B320*325851</f>
        <v>27045633</v>
      </c>
      <c r="E320" s="2212"/>
      <c r="F320" s="2211">
        <v>38</v>
      </c>
      <c r="G320" s="2212"/>
      <c r="H320" s="485">
        <f>F320*5</f>
        <v>190</v>
      </c>
      <c r="I320" s="158">
        <v>0</v>
      </c>
      <c r="J320" s="158">
        <v>13983</v>
      </c>
      <c r="K320" s="159">
        <v>2242</v>
      </c>
      <c r="L320" s="82">
        <f>J320+K320</f>
        <v>16225</v>
      </c>
      <c r="M320" s="2215"/>
      <c r="N320" s="2216"/>
    </row>
    <row r="321" spans="1:15" s="1168" customFormat="1" ht="17" thickBot="1">
      <c r="A321" s="1171" t="s">
        <v>172</v>
      </c>
      <c r="B321" s="1416">
        <f>B314+B320</f>
        <v>42597</v>
      </c>
      <c r="C321" s="1415"/>
      <c r="D321" s="1416">
        <f>D314+D320</f>
        <v>172874923.29466</v>
      </c>
      <c r="E321" s="1415"/>
      <c r="F321" s="1416">
        <f>F314+F320</f>
        <v>485.53366</v>
      </c>
      <c r="G321" s="1415"/>
      <c r="H321" s="1177">
        <f>H314+H320</f>
        <v>4216.4385999999995</v>
      </c>
      <c r="I321" s="1175">
        <f>I314+I320</f>
        <v>93271</v>
      </c>
      <c r="J321" s="1175">
        <f>J314+J320</f>
        <v>271615.3</v>
      </c>
      <c r="K321" s="1175">
        <f>K314+K320</f>
        <v>526772</v>
      </c>
      <c r="L321" s="1175">
        <f>L314+L320</f>
        <v>891658.3</v>
      </c>
      <c r="M321" s="2187"/>
      <c r="N321" s="2188"/>
      <c r="O321" s="121"/>
    </row>
    <row r="323" spans="1:15" ht="14" thickBot="1"/>
    <row r="324" spans="1:15" ht="16">
      <c r="A324" s="98"/>
      <c r="B324" s="99"/>
      <c r="C324" s="99"/>
      <c r="D324" s="99"/>
      <c r="E324" s="99"/>
      <c r="F324" s="421"/>
      <c r="G324" s="421"/>
      <c r="H324" s="421"/>
      <c r="I324" s="1468" t="s">
        <v>0</v>
      </c>
      <c r="J324" s="1468"/>
      <c r="K324" s="1468"/>
      <c r="L324" s="1468"/>
      <c r="M324" s="99"/>
      <c r="N324" s="101"/>
    </row>
    <row r="325" spans="1:15" s="91" customFormat="1" ht="16">
      <c r="A325" s="97"/>
      <c r="B325" s="1469" t="s">
        <v>1</v>
      </c>
      <c r="C325" s="1469"/>
      <c r="D325" s="1469" t="s">
        <v>2</v>
      </c>
      <c r="E325" s="1469"/>
      <c r="F325" s="1863" t="s">
        <v>3</v>
      </c>
      <c r="G325" s="1863"/>
      <c r="H325" s="430" t="s">
        <v>3</v>
      </c>
      <c r="I325" s="127" t="s">
        <v>197</v>
      </c>
      <c r="J325" s="102"/>
      <c r="K325" s="102"/>
      <c r="L325" s="128"/>
      <c r="M325" s="1469" t="s">
        <v>4</v>
      </c>
      <c r="N325" s="1526"/>
      <c r="O325" s="274"/>
    </row>
    <row r="326" spans="1:15" ht="19" thickBot="1">
      <c r="A326" s="103" t="s">
        <v>5</v>
      </c>
      <c r="B326" s="1473" t="s">
        <v>6</v>
      </c>
      <c r="C326" s="1473"/>
      <c r="D326" s="1473" t="s">
        <v>7</v>
      </c>
      <c r="E326" s="1473"/>
      <c r="F326" s="1864" t="s">
        <v>7</v>
      </c>
      <c r="G326" s="1864"/>
      <c r="H326" s="431" t="s">
        <v>58</v>
      </c>
      <c r="I326" s="367" t="s">
        <v>198</v>
      </c>
      <c r="J326" s="365" t="s">
        <v>8</v>
      </c>
      <c r="K326" s="365" t="s">
        <v>9</v>
      </c>
      <c r="L326" s="366" t="s">
        <v>10</v>
      </c>
      <c r="M326" s="1473" t="s">
        <v>145</v>
      </c>
      <c r="N326" s="1475"/>
    </row>
    <row r="327" spans="1:15" ht="24" thickBot="1">
      <c r="A327" s="88" t="s">
        <v>185</v>
      </c>
      <c r="B327" s="1751"/>
      <c r="C327" s="1477"/>
      <c r="D327" s="1478"/>
      <c r="E327" s="1479"/>
      <c r="F327" s="1878"/>
      <c r="G327" s="1879"/>
      <c r="H327" s="434"/>
      <c r="I327" s="7"/>
      <c r="J327" s="7"/>
      <c r="K327" s="7"/>
      <c r="L327" s="8"/>
      <c r="M327" s="1764"/>
      <c r="N327" s="1765"/>
    </row>
    <row r="328" spans="1:15" s="1168" customFormat="1" ht="17" thickBot="1">
      <c r="A328" s="108" t="str">
        <f>'Ontario Total'!A293</f>
        <v>SoCal Water$mart Residential Rebates</v>
      </c>
      <c r="B328" s="1457"/>
      <c r="C328" s="1586"/>
      <c r="D328" s="1567"/>
      <c r="E328" s="1586"/>
      <c r="F328" s="1619"/>
      <c r="G328" s="1620"/>
      <c r="H328" s="1145"/>
      <c r="I328" s="109"/>
      <c r="J328" s="109"/>
      <c r="K328" s="109"/>
      <c r="L328" s="1141"/>
      <c r="M328" s="1617"/>
      <c r="N328" s="1486"/>
      <c r="O328" s="121"/>
    </row>
    <row r="329" spans="1:15" s="57" customFormat="1">
      <c r="A329" s="32" t="str">
        <f>'Ontario Total'!A294</f>
        <v>High Efficiency Toilets (HET)</v>
      </c>
      <c r="B329" s="1444">
        <f>'CVWD Total'!B294:C294+'SAWC Total'!B293:C293+'FWC Total'!B296:C296+'Upland Total'!B294:C294+'MVWD Total '!B294:C294+'Chino Hills Total'!B294:C294+'Chino Total'!B294:C294+'Ontario Total'!B294:C294</f>
        <v>6</v>
      </c>
      <c r="C329" s="1422"/>
      <c r="D329" s="1431">
        <f>F329*325851</f>
        <v>83092.005000000005</v>
      </c>
      <c r="E329" s="1422"/>
      <c r="F329" s="1871">
        <f>0.0425*B329</f>
        <v>0.255</v>
      </c>
      <c r="G329" s="1450"/>
      <c r="H329" s="626">
        <f>F329*20</f>
        <v>5.0999999999999996</v>
      </c>
      <c r="I329" s="131">
        <v>0</v>
      </c>
      <c r="J329" s="131">
        <f>50*B329</f>
        <v>300</v>
      </c>
      <c r="K329" s="131">
        <f>B329*50</f>
        <v>300</v>
      </c>
      <c r="L329" s="132">
        <f>I329+J329+K329</f>
        <v>600</v>
      </c>
      <c r="M329" s="1758">
        <f>IF(ISERROR(L329/(F329*727)),0,L329/(F329*727))</f>
        <v>3.2365078080750873</v>
      </c>
      <c r="N329" s="1759"/>
      <c r="O329" s="121"/>
    </row>
    <row r="330" spans="1:15" ht="12.75" customHeight="1">
      <c r="A330" s="32" t="str">
        <f>'Ontario Total'!A295</f>
        <v>High Efficiency Clothes Washers (HECW)</v>
      </c>
      <c r="B330" s="1444">
        <f>'CVWD Total'!B295:C295+'SAWC Total'!B294:C294+'FWC Total'!B297:C297+'Upland Total'!B295:C295+'MVWD Total '!B295:C295+'Chino Hills Total'!B295:C295+'Chino Total'!B295:C295+'Ontario Total'!B295:C295</f>
        <v>908</v>
      </c>
      <c r="C330" s="1422"/>
      <c r="D330" s="1431">
        <f t="shared" ref="D330:D336" si="26">F330*325851</f>
        <v>8166086.7407999998</v>
      </c>
      <c r="E330" s="1422"/>
      <c r="F330" s="1431">
        <f>0.0276*B330</f>
        <v>25.0608</v>
      </c>
      <c r="G330" s="1422"/>
      <c r="H330" s="626">
        <f>F330*15</f>
        <v>375.91200000000003</v>
      </c>
      <c r="I330" s="131">
        <f>0*B330</f>
        <v>0</v>
      </c>
      <c r="J330" s="130">
        <f>B330*65</f>
        <v>59020</v>
      </c>
      <c r="K330" s="131">
        <f>B330*85</f>
        <v>77180</v>
      </c>
      <c r="L330" s="132">
        <f t="shared" ref="L330:L336" si="27">I330+J330+K330</f>
        <v>136200</v>
      </c>
      <c r="M330" s="1758">
        <f t="shared" ref="M330:M336" si="28">IF(ISERROR(L330/(F330*727)),0,L330/(F330*727))</f>
        <v>7.4756294479995216</v>
      </c>
      <c r="N330" s="1759"/>
    </row>
    <row r="331" spans="1:15" s="91" customFormat="1" ht="16">
      <c r="A331" s="32" t="str">
        <f>'Ontario Total'!A296</f>
        <v>Rotating Nozzles for Pop-up Spray Heads</v>
      </c>
      <c r="B331" s="1444">
        <f>'CVWD Total'!B296:C296+'SAWC Total'!B295:C295+'FWC Total'!B298:C298+'Upland Total'!B296:C296+'MVWD Total '!B296:C296+'Chino Hills Total'!B296:C296+'Chino Total'!B296:C296+'Ontario Total'!B296:C296</f>
        <v>21</v>
      </c>
      <c r="C331" s="1422"/>
      <c r="D331" s="1431">
        <f t="shared" si="26"/>
        <v>27371.484</v>
      </c>
      <c r="E331" s="1422"/>
      <c r="F331" s="1871">
        <f>0.004*B331</f>
        <v>8.4000000000000005E-2</v>
      </c>
      <c r="G331" s="1450"/>
      <c r="H331" s="626">
        <f>F331*5</f>
        <v>0.42000000000000004</v>
      </c>
      <c r="I331" s="131">
        <f>0*B331</f>
        <v>0</v>
      </c>
      <c r="J331" s="131">
        <f>1*B331</f>
        <v>21</v>
      </c>
      <c r="K331" s="131">
        <f>B331*4</f>
        <v>84</v>
      </c>
      <c r="L331" s="132">
        <f t="shared" si="27"/>
        <v>105</v>
      </c>
      <c r="M331" s="1758">
        <f t="shared" si="28"/>
        <v>1.7193947730398897</v>
      </c>
      <c r="N331" s="1759"/>
      <c r="O331" s="274"/>
    </row>
    <row r="332" spans="1:15" ht="14" thickBot="1">
      <c r="A332" s="32" t="str">
        <f>'Ontario Total'!A297</f>
        <v>Weather based Irrigation Controllers (WBIC)</v>
      </c>
      <c r="B332" s="1444">
        <f>'CVWD Total'!B297:C297+'SAWC Total'!B296:C296+'FWC Total'!B299:C299+'Upland Total'!B297:C297+'MVWD Total '!B297:C297+'Chino Hills Total'!B297:C297+'Chino Total'!B297:C297+'Ontario Total'!B297:C297</f>
        <v>44</v>
      </c>
      <c r="C332" s="1422"/>
      <c r="D332" s="1431">
        <f t="shared" si="26"/>
        <v>4659669.3</v>
      </c>
      <c r="E332" s="1422"/>
      <c r="F332" s="1431">
        <f>0.325*B332</f>
        <v>14.3</v>
      </c>
      <c r="G332" s="1422"/>
      <c r="H332" s="626">
        <f>F332*10</f>
        <v>143</v>
      </c>
      <c r="I332" s="130">
        <v>0</v>
      </c>
      <c r="J332" s="130">
        <f>70*B332</f>
        <v>3080</v>
      </c>
      <c r="K332" s="130">
        <f>B332*80</f>
        <v>3520</v>
      </c>
      <c r="L332" s="132">
        <f t="shared" si="27"/>
        <v>6600</v>
      </c>
      <c r="M332" s="1758">
        <f t="shared" si="28"/>
        <v>0.63485345466088239</v>
      </c>
      <c r="N332" s="1759"/>
    </row>
    <row r="333" spans="1:15" ht="14" hidden="1" thickBot="1">
      <c r="A333" s="76" t="s">
        <v>182</v>
      </c>
      <c r="B333" s="1444">
        <f>'CVWD Total'!B298:C298+'SAWC Total'!B297:C297+'FWC Total'!B300:C300+'Upland Total'!B298:C298+'MVWD Total '!B298:C298+'Chino Hills Total'!B298:C298+'Chino Total'!B298:C298+'Ontario Total'!B298:C298</f>
        <v>0</v>
      </c>
      <c r="C333" s="1422"/>
      <c r="D333" s="1431">
        <f t="shared" si="26"/>
        <v>0</v>
      </c>
      <c r="E333" s="1422"/>
      <c r="F333" s="1431">
        <v>0</v>
      </c>
      <c r="G333" s="1422"/>
      <c r="H333" s="626">
        <f>F333*10</f>
        <v>0</v>
      </c>
      <c r="I333" s="133">
        <v>0</v>
      </c>
      <c r="J333" s="133"/>
      <c r="K333" s="133"/>
      <c r="L333" s="132">
        <f t="shared" si="27"/>
        <v>0</v>
      </c>
      <c r="M333" s="1758">
        <f t="shared" si="28"/>
        <v>0</v>
      </c>
      <c r="N333" s="1759"/>
    </row>
    <row r="334" spans="1:15" s="1168" customFormat="1" ht="17" thickBot="1">
      <c r="A334" s="108" t="str">
        <f>'Ontario Total'!A299</f>
        <v>IEUA Locally Implemented Residential Programs</v>
      </c>
      <c r="B334" s="1457"/>
      <c r="C334" s="1586"/>
      <c r="D334" s="1567"/>
      <c r="E334" s="1586"/>
      <c r="F334" s="1567"/>
      <c r="G334" s="1586"/>
      <c r="H334" s="1142"/>
      <c r="I334" s="161"/>
      <c r="J334" s="161"/>
      <c r="K334" s="161"/>
      <c r="L334" s="162"/>
      <c r="M334" s="1617"/>
      <c r="N334" s="1486"/>
      <c r="O334" s="121"/>
    </row>
    <row r="335" spans="1:15" ht="12.75" customHeight="1">
      <c r="A335" s="32" t="s">
        <v>165</v>
      </c>
      <c r="B335" s="1444">
        <f>'CVWD Total'!B300:C300+'SAWC Total'!B299:C299+'FWC Total'!B302:C302+'Upland Total'!B300:C300+'MVWD Total '!B300:C300+'Chino Hills Total'!B300:C300+'Chino Total'!B300:C300+'Ontario Total'!B300:C300</f>
        <v>18424</v>
      </c>
      <c r="C335" s="1422"/>
      <c r="D335" s="1431">
        <f t="shared" si="26"/>
        <v>24013915.296</v>
      </c>
      <c r="E335" s="1422"/>
      <c r="F335" s="1431">
        <f>B335*0.004</f>
        <v>73.695999999999998</v>
      </c>
      <c r="G335" s="1422"/>
      <c r="H335" s="631">
        <f>F335*5</f>
        <v>368.48</v>
      </c>
      <c r="I335" s="130">
        <v>0</v>
      </c>
      <c r="J335" s="130">
        <v>0</v>
      </c>
      <c r="K335" s="130">
        <f>B335*3.25</f>
        <v>59878</v>
      </c>
      <c r="L335" s="132">
        <f t="shared" si="27"/>
        <v>59878</v>
      </c>
      <c r="M335" s="1758">
        <f t="shared" si="28"/>
        <v>1.1176066024759286</v>
      </c>
      <c r="N335" s="1759"/>
    </row>
    <row r="336" spans="1:15" s="91" customFormat="1" ht="12.75" customHeight="1">
      <c r="A336" s="32" t="s">
        <v>166</v>
      </c>
      <c r="B336" s="1444">
        <f>'CVWD Total'!B301:C301+'SAWC Total'!B300:C300+'FWC Total'!B303:C303+'Upland Total'!B301:C301+'MVWD Total '!B301:C301+'Chino Hills Total'!B301:C301+'Chino Total'!B301:C301+'Ontario Total'!B301:C301</f>
        <v>157</v>
      </c>
      <c r="C336" s="1422"/>
      <c r="D336" s="1431">
        <f t="shared" si="26"/>
        <v>39102120</v>
      </c>
      <c r="E336" s="1422"/>
      <c r="F336" s="1736">
        <v>120</v>
      </c>
      <c r="G336" s="1446"/>
      <c r="H336" s="627">
        <v>1013</v>
      </c>
      <c r="I336" s="130">
        <v>78760</v>
      </c>
      <c r="J336" s="130">
        <v>12821</v>
      </c>
      <c r="K336" s="130">
        <v>91582</v>
      </c>
      <c r="L336" s="132">
        <f t="shared" si="27"/>
        <v>183163</v>
      </c>
      <c r="M336" s="1758">
        <f t="shared" si="28"/>
        <v>2.0995300320953691</v>
      </c>
      <c r="N336" s="1759"/>
      <c r="O336" s="274"/>
    </row>
    <row r="337" spans="1:15" ht="14" thickBot="1">
      <c r="A337" s="78" t="s">
        <v>209</v>
      </c>
      <c r="B337" s="1444">
        <f>'CVWD Total'!B302:C302+'SAWC Total'!B301:C301+'FWC Total'!B304:C304+'Upland Total'!B302:C302+'MVWD Total '!B302:C302+'Chino Hills Total'!B302:C302+'Chino Total'!B302:C302+'Ontario Total'!B302:C302</f>
        <v>27</v>
      </c>
      <c r="C337" s="1422"/>
      <c r="D337" s="1431">
        <f>F337*325851</f>
        <v>1024377.7887</v>
      </c>
      <c r="E337" s="1422"/>
      <c r="F337" s="1736">
        <f>22455*0.00014</f>
        <v>3.1436999999999999</v>
      </c>
      <c r="G337" s="1446"/>
      <c r="H337" s="627">
        <f>F337*10</f>
        <v>31.436999999999998</v>
      </c>
      <c r="I337" s="130">
        <v>6273</v>
      </c>
      <c r="J337" s="130">
        <v>17990</v>
      </c>
      <c r="K337" s="130">
        <v>22034</v>
      </c>
      <c r="L337" s="132">
        <f>I337+J337+K337</f>
        <v>46297</v>
      </c>
      <c r="M337" s="1758">
        <f>IF(ISERROR(L337/(F337*727)),0,L337/(F337*727))</f>
        <v>20.257103364170316</v>
      </c>
      <c r="N337" s="1759"/>
    </row>
    <row r="338" spans="1:15" ht="14" thickBot="1">
      <c r="A338" s="53" t="s">
        <v>60</v>
      </c>
      <c r="B338" s="1440">
        <f>SUM(B329:C337)</f>
        <v>19587</v>
      </c>
      <c r="C338" s="1609"/>
      <c r="D338" s="1440">
        <f>SUM(D329:E337)</f>
        <v>77076632.614500001</v>
      </c>
      <c r="E338" s="1609"/>
      <c r="F338" s="1440">
        <f>SUM(F329:G337)</f>
        <v>236.5395</v>
      </c>
      <c r="G338" s="1439"/>
      <c r="H338" s="619">
        <f>SUM(H329:H337)</f>
        <v>1937.3489999999999</v>
      </c>
      <c r="I338" s="136">
        <f>SUM(I329:I337)</f>
        <v>85033</v>
      </c>
      <c r="J338" s="136">
        <f>SUM(J329:J337)</f>
        <v>93232</v>
      </c>
      <c r="K338" s="136">
        <f>SUM(K329:K337)</f>
        <v>254578</v>
      </c>
      <c r="L338" s="136">
        <f>SUM(L329:L337)</f>
        <v>432843</v>
      </c>
      <c r="M338" s="1610"/>
      <c r="N338" s="1636"/>
    </row>
    <row r="339" spans="1:15" s="1168" customFormat="1" ht="17" thickBot="1">
      <c r="A339" s="108" t="str">
        <f>'Ontario Total'!A304</f>
        <v xml:space="preserve">IEUA High Efficiency Toilet (HET) Installation Prog. </v>
      </c>
      <c r="B339" s="1457"/>
      <c r="C339" s="1586"/>
      <c r="D339" s="1567"/>
      <c r="E339" s="1586"/>
      <c r="F339" s="1567"/>
      <c r="G339" s="1586"/>
      <c r="H339" s="1142"/>
      <c r="I339" s="161"/>
      <c r="J339" s="161"/>
      <c r="K339" s="161"/>
      <c r="L339" s="162"/>
      <c r="M339" s="1617"/>
      <c r="N339" s="1486"/>
      <c r="O339" s="121"/>
    </row>
    <row r="340" spans="1:15" s="91" customFormat="1" ht="16">
      <c r="A340" s="76" t="str">
        <f>'Ontario Total'!A305</f>
        <v>IEUA Multi-Family Direct Install Prog. (HET)</v>
      </c>
      <c r="B340" s="1444">
        <f>'CVWD Total'!B305:C305+'SAWC Total'!B304:C304+'FWC Total'!B307:C307+'Upland Total'!B305:C305+'MVWD Total '!B305:C305+'Chino Hills Total'!B305:C305+'Chino Total'!B305:C305+'Ontario Total'!B305:C305</f>
        <v>351</v>
      </c>
      <c r="C340" s="1422"/>
      <c r="D340" s="1431">
        <f>F340*325851</f>
        <v>4860882.2925000004</v>
      </c>
      <c r="E340" s="1422"/>
      <c r="F340" s="1467">
        <f>0.0425*B340</f>
        <v>14.9175</v>
      </c>
      <c r="G340" s="1433"/>
      <c r="H340" s="631">
        <f>F340*20</f>
        <v>298.35000000000002</v>
      </c>
      <c r="I340" s="131">
        <f>73.34*B340</f>
        <v>25742.34</v>
      </c>
      <c r="J340" s="131">
        <f>35.66*B340</f>
        <v>12516.659999999998</v>
      </c>
      <c r="K340" s="131">
        <f>B340*50</f>
        <v>17550</v>
      </c>
      <c r="L340" s="132">
        <f>I340+J340+K340</f>
        <v>55809</v>
      </c>
      <c r="M340" s="1758">
        <f>IF(ISERROR(L340/(F340*727)),0,L340/(F340*727))</f>
        <v>5.146047414839388</v>
      </c>
      <c r="N340" s="1759"/>
      <c r="O340" s="274"/>
    </row>
    <row r="341" spans="1:15" ht="14" thickBot="1">
      <c r="A341" s="76" t="s">
        <v>181</v>
      </c>
      <c r="B341" s="1444">
        <f>'CVWD Total'!B306:C306+'SAWC Total'!B305:C305+'FWC Total'!B308:C308+'Upland Total'!B306:C306+'MVWD Total '!B306:C306+'Chino Hills Total'!B306:C306+'Chino Total'!B306:C306+'Ontario Total'!B306:C306</f>
        <v>1389</v>
      </c>
      <c r="C341" s="1422"/>
      <c r="D341" s="1431">
        <f>F341*325851</f>
        <v>19235799.157500003</v>
      </c>
      <c r="E341" s="1422"/>
      <c r="F341" s="1467">
        <f>0.0425*B341</f>
        <v>59.032500000000006</v>
      </c>
      <c r="G341" s="1433"/>
      <c r="H341" s="631">
        <f>F341*20</f>
        <v>1180.6500000000001</v>
      </c>
      <c r="I341" s="131">
        <f>73.34*B341</f>
        <v>101869.26000000001</v>
      </c>
      <c r="J341" s="131">
        <f>35.66*B341</f>
        <v>49531.74</v>
      </c>
      <c r="K341" s="131">
        <f>B341*50</f>
        <v>69450</v>
      </c>
      <c r="L341" s="132">
        <f>I341+J341+K341</f>
        <v>220851</v>
      </c>
      <c r="M341" s="1758">
        <f>IF(ISERROR(L341/(F341*727)),0,L341/(F341*727))</f>
        <v>5.146047414839388</v>
      </c>
      <c r="N341" s="1759"/>
    </row>
    <row r="342" spans="1:15" ht="14" thickBot="1">
      <c r="A342" s="53" t="s">
        <v>60</v>
      </c>
      <c r="B342" s="1438">
        <f>SUM(B340:B341)</f>
        <v>1740</v>
      </c>
      <c r="C342" s="1609"/>
      <c r="D342" s="1441">
        <f>SUM(D340:D341)</f>
        <v>24096681.450000003</v>
      </c>
      <c r="E342" s="1609"/>
      <c r="F342" s="1440">
        <f>SUM(F340:F341)</f>
        <v>73.95</v>
      </c>
      <c r="G342" s="1439"/>
      <c r="H342" s="619">
        <f>SUM(H340:H341)</f>
        <v>1479</v>
      </c>
      <c r="I342" s="136">
        <f>SUM(I340:I341)</f>
        <v>127611.6</v>
      </c>
      <c r="J342" s="143">
        <f>SUM(J340+J341)</f>
        <v>62048.399999999994</v>
      </c>
      <c r="K342" s="143">
        <f>SUM(K340:K341)</f>
        <v>87000</v>
      </c>
      <c r="L342" s="136">
        <f>SUM(L340:L341)</f>
        <v>276660</v>
      </c>
      <c r="M342" s="1610"/>
      <c r="N342" s="1611"/>
    </row>
    <row r="343" spans="1:15" s="1168" customFormat="1" ht="17" thickBot="1">
      <c r="A343" s="108" t="str">
        <f>'Ontario Total'!A308</f>
        <v>SoCal Water$mart Commercial Rebates</v>
      </c>
      <c r="B343" s="1456"/>
      <c r="C343" s="1586"/>
      <c r="D343" s="1457"/>
      <c r="E343" s="1586"/>
      <c r="F343" s="1567"/>
      <c r="G343" s="1586"/>
      <c r="H343" s="1142"/>
      <c r="I343" s="161"/>
      <c r="J343" s="161"/>
      <c r="K343" s="161"/>
      <c r="L343" s="162"/>
      <c r="M343" s="1617"/>
      <c r="N343" s="1486"/>
      <c r="O343" s="121"/>
    </row>
    <row r="344" spans="1:15">
      <c r="A344" s="122" t="s">
        <v>29</v>
      </c>
      <c r="B344" s="1444">
        <f>'CVWD Total'!B309:C309+'SAWC Total'!B308:C308+'FWC Total'!B311:C311+'Upland Total'!B309:C309+'MVWD Total '!B309:C309+'Chino Hills Total'!B309:C309+'Chino Total'!B309:C309+'Ontario Total'!B309:C309</f>
        <v>12</v>
      </c>
      <c r="C344" s="1422"/>
      <c r="D344" s="1444">
        <f>F344*325851</f>
        <v>166184.01</v>
      </c>
      <c r="E344" s="1422"/>
      <c r="F344" s="1431">
        <f>0.0425*B344</f>
        <v>0.51</v>
      </c>
      <c r="G344" s="1422"/>
      <c r="H344" s="626">
        <f>F344*20</f>
        <v>10.199999999999999</v>
      </c>
      <c r="I344" s="130">
        <v>0</v>
      </c>
      <c r="J344" s="131">
        <f>50*B344</f>
        <v>600</v>
      </c>
      <c r="K344" s="131">
        <f>50*B344</f>
        <v>600</v>
      </c>
      <c r="L344" s="132">
        <f>SUM(I344:K344)</f>
        <v>1200</v>
      </c>
      <c r="M344" s="1758">
        <f>IF(ISERROR(L344/(F344*727)),0,L344/(F344*727))</f>
        <v>3.2365078080750873</v>
      </c>
      <c r="N344" s="1759"/>
    </row>
    <row r="345" spans="1:15" ht="12.75" customHeight="1">
      <c r="A345" s="32" t="s">
        <v>51</v>
      </c>
      <c r="B345" s="1444">
        <f>'CVWD Total'!B310:C310+'SAWC Total'!B309:C309+'FWC Total'!B312:C312+'Upland Total'!B310:C310+'MVWD Total '!B310:C310+'Chino Hills Total'!B310:C310+'Chino Total'!B310:C310+'Ontario Total'!B310:C310</f>
        <v>1</v>
      </c>
      <c r="C345" s="1422"/>
      <c r="D345" s="1444">
        <f t="shared" ref="D345:D359" si="29">F345*325851</f>
        <v>13848.667500000001</v>
      </c>
      <c r="E345" s="1422"/>
      <c r="F345" s="1871">
        <f t="shared" ref="F345:F350" si="30">0.0425*B345</f>
        <v>4.2500000000000003E-2</v>
      </c>
      <c r="G345" s="1450"/>
      <c r="H345" s="626">
        <f>F345*20</f>
        <v>0.85000000000000009</v>
      </c>
      <c r="I345" s="130">
        <v>0</v>
      </c>
      <c r="J345" s="131">
        <f>B345*100</f>
        <v>100</v>
      </c>
      <c r="K345" s="131">
        <f>200*B345</f>
        <v>200</v>
      </c>
      <c r="L345" s="132">
        <f t="shared" ref="L345:L359" si="31">SUM(I345:K345)</f>
        <v>300</v>
      </c>
      <c r="M345" s="1758">
        <f t="shared" ref="M345:M359" si="32">IF(ISERROR(L345/(F345*727)),0,L345/(F345*727))</f>
        <v>9.7095234242252602</v>
      </c>
      <c r="N345" s="1759"/>
    </row>
    <row r="346" spans="1:15" s="57" customFormat="1">
      <c r="A346" s="78" t="s">
        <v>204</v>
      </c>
      <c r="B346" s="1444">
        <f>'CVWD Total'!B311:C311+'SAWC Total'!B310:C310+'FWC Total'!B313:C313+'Upland Total'!B311:C311+'MVWD Total '!B311:C311+'Chino Hills Total'!B311:C311+'Chino Total'!B311:C311+'Ontario Total'!B311:C311</f>
        <v>4</v>
      </c>
      <c r="C346" s="1422"/>
      <c r="D346" s="1444">
        <f t="shared" si="29"/>
        <v>839392.17599999998</v>
      </c>
      <c r="E346" s="1422"/>
      <c r="F346" s="1431">
        <f>0.644*B346</f>
        <v>2.5760000000000001</v>
      </c>
      <c r="G346" s="1422"/>
      <c r="H346" s="626">
        <f>F346*5</f>
        <v>12.88</v>
      </c>
      <c r="I346" s="130">
        <v>0</v>
      </c>
      <c r="J346" s="131">
        <f>B346*1000</f>
        <v>4000</v>
      </c>
      <c r="K346" s="131">
        <f>B346*1750</f>
        <v>7000</v>
      </c>
      <c r="L346" s="132">
        <f t="shared" si="31"/>
        <v>11000</v>
      </c>
      <c r="M346" s="1758">
        <f t="shared" si="32"/>
        <v>5.8737088519996243</v>
      </c>
      <c r="N346" s="1759"/>
      <c r="O346" s="121"/>
    </row>
    <row r="347" spans="1:15" ht="12.75" customHeight="1">
      <c r="A347" s="34" t="s">
        <v>13</v>
      </c>
      <c r="B347" s="1444">
        <f>'CVWD Total'!B312:C312+'SAWC Total'!B311:C311+'FWC Total'!B314:C314+'Upland Total'!B312:C312+'MVWD Total '!B312:C312+'Chino Hills Total'!B312:C312+'Chino Total'!B312:C312+'Ontario Total'!B312:C312</f>
        <v>0</v>
      </c>
      <c r="C347" s="1422"/>
      <c r="D347" s="1444">
        <f t="shared" si="29"/>
        <v>0</v>
      </c>
      <c r="E347" s="1422"/>
      <c r="F347" s="1431">
        <f t="shared" si="30"/>
        <v>0</v>
      </c>
      <c r="G347" s="1422"/>
      <c r="H347" s="626">
        <f>F347*10</f>
        <v>0</v>
      </c>
      <c r="I347" s="130">
        <v>0</v>
      </c>
      <c r="J347" s="131">
        <f>100*B347</f>
        <v>0</v>
      </c>
      <c r="K347" s="131">
        <f>80*B347</f>
        <v>0</v>
      </c>
      <c r="L347" s="132">
        <f t="shared" si="31"/>
        <v>0</v>
      </c>
      <c r="M347" s="1758">
        <f t="shared" si="32"/>
        <v>0</v>
      </c>
      <c r="N347" s="1759"/>
    </row>
    <row r="348" spans="1:15" hidden="1">
      <c r="A348" s="34" t="s">
        <v>47</v>
      </c>
      <c r="B348" s="1444">
        <f>'CVWD Total'!B313:C313+'SAWC Total'!B312:C312+'FWC Total'!B315:C315+'Upland Total'!B313:C313+'MVWD Total '!B313:C313+'Chino Hills Total'!B313:C313+'Chino Total'!B313:C313+'Ontario Total'!B313:C313</f>
        <v>0</v>
      </c>
      <c r="C348" s="1422"/>
      <c r="D348" s="1444">
        <f t="shared" si="29"/>
        <v>0</v>
      </c>
      <c r="E348" s="1422"/>
      <c r="F348" s="1431">
        <f t="shared" si="30"/>
        <v>0</v>
      </c>
      <c r="G348" s="1422"/>
      <c r="H348" s="626">
        <f>F348*5</f>
        <v>0</v>
      </c>
      <c r="I348" s="334">
        <v>0</v>
      </c>
      <c r="J348" s="131">
        <f>0*B348</f>
        <v>0</v>
      </c>
      <c r="K348" s="131">
        <f>150*B348</f>
        <v>0</v>
      </c>
      <c r="L348" s="132">
        <f t="shared" si="31"/>
        <v>0</v>
      </c>
      <c r="M348" s="1758">
        <f t="shared" si="32"/>
        <v>0</v>
      </c>
      <c r="N348" s="1759"/>
    </row>
    <row r="349" spans="1:15">
      <c r="A349" s="34" t="s">
        <v>30</v>
      </c>
      <c r="B349" s="1444">
        <f>'CVWD Total'!B314:C314+'SAWC Total'!B313:C313+'FWC Total'!B316:C316+'Upland Total'!B314:C314+'MVWD Total '!B314:C314+'Chino Hills Total'!B314:C314+'Chino Total'!B314:C314+'Ontario Total'!B314:C314</f>
        <v>66</v>
      </c>
      <c r="C349" s="1422"/>
      <c r="D349" s="1444">
        <f t="shared" si="29"/>
        <v>6989503.9500000002</v>
      </c>
      <c r="E349" s="1422"/>
      <c r="F349" s="1431">
        <f>0.325*B349</f>
        <v>21.45</v>
      </c>
      <c r="G349" s="1422"/>
      <c r="H349" s="626">
        <f>F349*10</f>
        <v>214.5</v>
      </c>
      <c r="I349" s="149">
        <v>0</v>
      </c>
      <c r="J349" s="130">
        <v>16281</v>
      </c>
      <c r="K349" s="130">
        <v>30940</v>
      </c>
      <c r="L349" s="132">
        <f t="shared" si="31"/>
        <v>47221</v>
      </c>
      <c r="M349" s="1758">
        <f t="shared" si="32"/>
        <v>3.0281227255092453</v>
      </c>
      <c r="N349" s="1759"/>
    </row>
    <row r="350" spans="1:15" ht="12.75" hidden="1" customHeight="1">
      <c r="A350" s="34" t="s">
        <v>150</v>
      </c>
      <c r="B350" s="1444">
        <f>'CVWD Total'!B315:C315+'SAWC Total'!B314:C314+'FWC Total'!B317:C317+'Upland Total'!B315:C315+'MVWD Total '!B315:C315+'Chino Hills Total'!B315:C315+'Chino Total'!B315:C315+'Ontario Total'!B315:C315</f>
        <v>0</v>
      </c>
      <c r="C350" s="1422"/>
      <c r="D350" s="1444">
        <f t="shared" si="29"/>
        <v>0</v>
      </c>
      <c r="E350" s="1422"/>
      <c r="F350" s="1431">
        <f t="shared" si="30"/>
        <v>0</v>
      </c>
      <c r="G350" s="1422"/>
      <c r="H350" s="626">
        <f>F350*10</f>
        <v>0</v>
      </c>
      <c r="I350" s="163">
        <v>0</v>
      </c>
      <c r="J350" s="131">
        <f>0.45*0</f>
        <v>0</v>
      </c>
      <c r="K350" s="131">
        <f>0.3*0</f>
        <v>0</v>
      </c>
      <c r="L350" s="132">
        <f t="shared" si="31"/>
        <v>0</v>
      </c>
      <c r="M350" s="1758">
        <f t="shared" si="32"/>
        <v>0</v>
      </c>
      <c r="N350" s="1759"/>
    </row>
    <row r="351" spans="1:15">
      <c r="A351" s="33" t="s">
        <v>56</v>
      </c>
      <c r="B351" s="1444">
        <f>'CVWD Total'!B316:C316+'SAWC Total'!B315:C315+'FWC Total'!B318:C318+'Upland Total'!B316:C316+'MVWD Total '!B316:C316+'Chino Hills Total'!B316:C316+'Chino Total'!B316:C316+'Ontario Total'!B316:C316</f>
        <v>3055</v>
      </c>
      <c r="C351" s="1422"/>
      <c r="D351" s="1444">
        <f t="shared" si="29"/>
        <v>3981899.22</v>
      </c>
      <c r="E351" s="1422"/>
      <c r="F351" s="1431">
        <f>0.004*B351</f>
        <v>12.22</v>
      </c>
      <c r="G351" s="1422"/>
      <c r="H351" s="626">
        <f>F351*5</f>
        <v>61.1</v>
      </c>
      <c r="I351" s="130">
        <v>0</v>
      </c>
      <c r="J351" s="131">
        <f>1*B351</f>
        <v>3055</v>
      </c>
      <c r="K351" s="131">
        <f>4*B351</f>
        <v>12220</v>
      </c>
      <c r="L351" s="132">
        <f t="shared" si="31"/>
        <v>15275</v>
      </c>
      <c r="M351" s="1758">
        <f t="shared" si="32"/>
        <v>1.71939477303989</v>
      </c>
      <c r="N351" s="1759"/>
    </row>
    <row r="352" spans="1:15" s="57" customFormat="1">
      <c r="A352" s="76" t="s">
        <v>122</v>
      </c>
      <c r="B352" s="1444">
        <f>'CVWD Total'!B317:C317+'SAWC Total'!B316:C316+'FWC Total'!B319:C319+'Upland Total'!B317:C317+'MVWD Total '!B317:C317+'Chino Hills Total'!B317:C317+'Chino Total'!B317:C317+'Ontario Total'!B317:C317</f>
        <v>0</v>
      </c>
      <c r="C352" s="1422"/>
      <c r="D352" s="1444">
        <f t="shared" si="29"/>
        <v>0</v>
      </c>
      <c r="E352" s="1422"/>
      <c r="F352" s="1431">
        <f>0.018*B352</f>
        <v>0</v>
      </c>
      <c r="G352" s="1422"/>
      <c r="H352" s="626">
        <f>F352*10</f>
        <v>0</v>
      </c>
      <c r="I352" s="130">
        <v>0</v>
      </c>
      <c r="J352" s="131">
        <f>0*B352</f>
        <v>0</v>
      </c>
      <c r="K352" s="131">
        <f>13*B352</f>
        <v>0</v>
      </c>
      <c r="L352" s="132">
        <f t="shared" si="31"/>
        <v>0</v>
      </c>
      <c r="M352" s="1758">
        <f t="shared" si="32"/>
        <v>0</v>
      </c>
      <c r="N352" s="1759"/>
      <c r="O352" s="121"/>
    </row>
    <row r="353" spans="1:15" s="57" customFormat="1" hidden="1">
      <c r="A353" s="33" t="s">
        <v>119</v>
      </c>
      <c r="B353" s="1444">
        <f>'CVWD Total'!B318:C318+'SAWC Total'!B317:C317+'FWC Total'!B320:C320+'Upland Total'!B318:C318+'MVWD Total '!B318:C318+'Chino Hills Total'!B318:C318+'Chino Total'!B318:C318+'Ontario Total'!B318:C318</f>
        <v>0</v>
      </c>
      <c r="C353" s="1422"/>
      <c r="D353" s="1444">
        <f t="shared" si="29"/>
        <v>0</v>
      </c>
      <c r="E353" s="1422"/>
      <c r="F353" s="1431">
        <f>0.153*B353</f>
        <v>0</v>
      </c>
      <c r="G353" s="1422"/>
      <c r="H353" s="626">
        <f>F353*5</f>
        <v>0</v>
      </c>
      <c r="I353" s="133">
        <v>0</v>
      </c>
      <c r="J353" s="131">
        <f>0*B353</f>
        <v>0</v>
      </c>
      <c r="K353" s="131">
        <f>60*B353</f>
        <v>0</v>
      </c>
      <c r="L353" s="132">
        <f t="shared" si="31"/>
        <v>0</v>
      </c>
      <c r="M353" s="1758">
        <f t="shared" si="32"/>
        <v>0</v>
      </c>
      <c r="N353" s="1759"/>
      <c r="O353" s="121"/>
    </row>
    <row r="354" spans="1:15" s="91" customFormat="1" ht="16">
      <c r="A354" s="78" t="s">
        <v>184</v>
      </c>
      <c r="B354" s="1444">
        <f>'CVWD Total'!B319:C319+'SAWC Total'!B318:C318+'FWC Total'!B321:C321+'Upland Total'!B319:C319+'MVWD Total '!B319:C319+'Chino Hills Total'!B319:C319+'Chino Total'!B319:C319+'Ontario Total'!B319:C319</f>
        <v>0</v>
      </c>
      <c r="C354" s="1422"/>
      <c r="D354" s="1444">
        <f t="shared" si="29"/>
        <v>0</v>
      </c>
      <c r="E354" s="1422"/>
      <c r="F354" s="1431">
        <f>0.0129*B354</f>
        <v>0</v>
      </c>
      <c r="G354" s="1422"/>
      <c r="H354" s="626">
        <f>F354*20</f>
        <v>0</v>
      </c>
      <c r="I354" s="149">
        <v>0</v>
      </c>
      <c r="J354" s="149">
        <v>0</v>
      </c>
      <c r="K354" s="149">
        <v>0</v>
      </c>
      <c r="L354" s="132">
        <f t="shared" si="31"/>
        <v>0</v>
      </c>
      <c r="M354" s="1758">
        <f t="shared" si="32"/>
        <v>0</v>
      </c>
      <c r="N354" s="1759"/>
      <c r="O354" s="274"/>
    </row>
    <row r="355" spans="1:15">
      <c r="A355" s="107" t="s">
        <v>187</v>
      </c>
      <c r="B355" s="1445">
        <f>'CVWD Total'!B320:C320+'SAWC Total'!B319:C319+'FWC Total'!B322:C322+'Upland Total'!B320:C320+'MVWD Total '!B320:C320+'Chino Hills Total'!B320:C320+'Chino Total'!B320:C320+'Ontario Total'!B320:C320</f>
        <v>341</v>
      </c>
      <c r="C355" s="1446"/>
      <c r="D355" s="1445">
        <f t="shared" si="29"/>
        <v>2555649.3930000002</v>
      </c>
      <c r="E355" s="1446"/>
      <c r="F355" s="1736">
        <f>B355*0.023</f>
        <v>7.843</v>
      </c>
      <c r="G355" s="1446"/>
      <c r="H355" s="627">
        <f>F355*10</f>
        <v>78.430000000000007</v>
      </c>
      <c r="I355" s="149">
        <v>0</v>
      </c>
      <c r="J355" s="149">
        <f>B355*10</f>
        <v>3410</v>
      </c>
      <c r="K355" s="149">
        <f>B355*10</f>
        <v>3410</v>
      </c>
      <c r="L355" s="135">
        <f t="shared" si="31"/>
        <v>6820</v>
      </c>
      <c r="M355" s="1859">
        <f>IF(ISERROR(L355/(F355*727)),0,L355/(F355*727))</f>
        <v>1.1961007116799234</v>
      </c>
      <c r="N355" s="1860"/>
    </row>
    <row r="356" spans="1:15" ht="14" thickBot="1">
      <c r="A356" s="107" t="s">
        <v>188</v>
      </c>
      <c r="B356" s="1445">
        <f>'CVWD Total'!B321:C321+'SAWC Total'!B320:C320+'FWC Total'!B323:C323+'Upland Total'!B321:C321+'MVWD Total '!B321:C321+'Chino Hills Total'!B321:C321+'Chino Total'!B321:C321+'Ontario Total'!B321:C321</f>
        <v>1</v>
      </c>
      <c r="C356" s="1446"/>
      <c r="D356" s="1445">
        <f t="shared" si="29"/>
        <v>65170.200000000004</v>
      </c>
      <c r="E356" s="1446"/>
      <c r="F356" s="1897">
        <v>0.2</v>
      </c>
      <c r="G356" s="1898"/>
      <c r="H356" s="627">
        <f>F356*7</f>
        <v>1.4000000000000001</v>
      </c>
      <c r="I356" s="149">
        <v>0</v>
      </c>
      <c r="J356" s="149">
        <f>B356*930</f>
        <v>930</v>
      </c>
      <c r="K356" s="149">
        <f>B356*1000</f>
        <v>1000</v>
      </c>
      <c r="L356" s="135">
        <f t="shared" si="31"/>
        <v>1930</v>
      </c>
      <c r="M356" s="1859">
        <f t="shared" si="32"/>
        <v>13.27372764786795</v>
      </c>
      <c r="N356" s="1860"/>
    </row>
    <row r="357" spans="1:15" s="1168" customFormat="1" ht="17" thickBot="1">
      <c r="A357" s="108" t="str">
        <f>'Ontario Total'!A322</f>
        <v>IEUA Locally Implemented Commercial Programs</v>
      </c>
      <c r="B357" s="1456"/>
      <c r="C357" s="1457"/>
      <c r="D357" s="1567"/>
      <c r="E357" s="1586"/>
      <c r="F357" s="1567"/>
      <c r="G357" s="1586"/>
      <c r="H357" s="1142"/>
      <c r="I357" s="161"/>
      <c r="J357" s="161"/>
      <c r="K357" s="161"/>
      <c r="L357" s="162"/>
      <c r="M357" s="1617"/>
      <c r="N357" s="1486"/>
      <c r="O357" s="121"/>
    </row>
    <row r="358" spans="1:15">
      <c r="A358" s="33" t="s">
        <v>167</v>
      </c>
      <c r="B358" s="1444">
        <f>'CVWD Total'!B323:C323+'SAWC Total'!B322:C322+'FWC Total'!B325:C325+'Upland Total'!B323:C323+'MVWD Total '!B323:C323+'Chino Hills Total'!B323:C323+'Chino Total'!B323:C323+'Ontario Total'!B323:C323</f>
        <v>1764</v>
      </c>
      <c r="C358" s="1422"/>
      <c r="D358" s="1444">
        <f t="shared" si="29"/>
        <v>49203501</v>
      </c>
      <c r="E358" s="1422"/>
      <c r="F358" s="1736">
        <v>151</v>
      </c>
      <c r="G358" s="1446"/>
      <c r="H358" s="463">
        <v>2880</v>
      </c>
      <c r="I358" s="149">
        <v>206033</v>
      </c>
      <c r="J358" s="130">
        <v>0</v>
      </c>
      <c r="K358" s="130">
        <v>32050</v>
      </c>
      <c r="L358" s="132">
        <f t="shared" si="31"/>
        <v>238083</v>
      </c>
      <c r="M358" s="1758">
        <f t="shared" si="32"/>
        <v>2.1687876331107607</v>
      </c>
      <c r="N358" s="1759"/>
    </row>
    <row r="359" spans="1:15" ht="14" thickBot="1">
      <c r="A359" s="33" t="s">
        <v>165</v>
      </c>
      <c r="B359" s="1444">
        <f>'CVWD Total'!B324:C324+'SAWC Total'!B323:C323+'FWC Total'!B326:C326+'Upland Total'!B324:C324+'MVWD Total '!B324:C324+'Chino Hills Total'!B324:C324+'Chino Total'!B324:C324+'Ontario Total'!B324:C324</f>
        <v>35017</v>
      </c>
      <c r="C359" s="1422"/>
      <c r="D359" s="1444">
        <f t="shared" si="29"/>
        <v>45641297.868000001</v>
      </c>
      <c r="E359" s="1422"/>
      <c r="F359" s="1431">
        <f>0.004*B359</f>
        <v>140.06800000000001</v>
      </c>
      <c r="G359" s="1422"/>
      <c r="H359" s="462">
        <f>F359*5</f>
        <v>700.34</v>
      </c>
      <c r="I359" s="149">
        <v>0</v>
      </c>
      <c r="J359" s="130">
        <v>0</v>
      </c>
      <c r="K359" s="130">
        <f>B359*3.25</f>
        <v>113805.25</v>
      </c>
      <c r="L359" s="132">
        <f t="shared" si="31"/>
        <v>113805.25</v>
      </c>
      <c r="M359" s="1758">
        <f t="shared" si="32"/>
        <v>1.1176066024759284</v>
      </c>
      <c r="N359" s="1759"/>
    </row>
    <row r="360" spans="1:15" ht="14" thickBot="1">
      <c r="A360" s="53" t="s">
        <v>60</v>
      </c>
      <c r="B360" s="1440">
        <f>SUM(B344:C359)</f>
        <v>40261</v>
      </c>
      <c r="C360" s="1609"/>
      <c r="D360" s="1440">
        <f>SUM(D344:E359)</f>
        <v>109456446.48450001</v>
      </c>
      <c r="E360" s="1609"/>
      <c r="F360" s="1440">
        <f>SUM(F344:G359)</f>
        <v>335.90949999999998</v>
      </c>
      <c r="G360" s="1439"/>
      <c r="H360" s="482">
        <f>SUM(H344:H359)</f>
        <v>3959.7000000000003</v>
      </c>
      <c r="I360" s="136">
        <f>SUM(I344:I359)</f>
        <v>206033</v>
      </c>
      <c r="J360" s="136">
        <f>SUM(J344:J359)</f>
        <v>28376</v>
      </c>
      <c r="K360" s="136">
        <f>SUM(K344:K359)</f>
        <v>201225.25</v>
      </c>
      <c r="L360" s="136">
        <f>SUM(L344:L359)</f>
        <v>435634.25</v>
      </c>
      <c r="M360" s="1610"/>
      <c r="N360" s="1611"/>
    </row>
    <row r="361" spans="1:15" s="1168" customFormat="1" ht="17" thickBot="1">
      <c r="A361" s="1163" t="s">
        <v>17</v>
      </c>
      <c r="B361" s="1612">
        <f>SUM(,B338,B342,B360)</f>
        <v>61588</v>
      </c>
      <c r="C361" s="1415"/>
      <c r="D361" s="1612">
        <f>SUM(,D338,D342,D360)</f>
        <v>210629760.54900002</v>
      </c>
      <c r="E361" s="1415"/>
      <c r="F361" s="1612">
        <f>SUM(,F338,F342,F360)</f>
        <v>646.399</v>
      </c>
      <c r="G361" s="1415"/>
      <c r="H361" s="1164">
        <f>SUM(,H338,H342,H360)</f>
        <v>7376.0490000000009</v>
      </c>
      <c r="I361" s="1169">
        <f>SUM(,I338,I342,I360)</f>
        <v>418677.6</v>
      </c>
      <c r="J361" s="1169">
        <f>SUM(,J338,J342,J360)</f>
        <v>183656.4</v>
      </c>
      <c r="K361" s="1169">
        <f>SUM(,K338,K342,K360)</f>
        <v>542803.25</v>
      </c>
      <c r="L361" s="1169">
        <f>SUM(,L338,L342,L360)</f>
        <v>1145137.25</v>
      </c>
      <c r="M361" s="1631"/>
      <c r="N361" s="1640"/>
      <c r="O361" s="121"/>
    </row>
    <row r="362" spans="1:15">
      <c r="A362" s="50"/>
      <c r="B362" s="20"/>
      <c r="C362" s="20"/>
      <c r="D362" s="20"/>
      <c r="E362" s="20"/>
      <c r="F362" s="484"/>
      <c r="G362" s="484"/>
      <c r="H362" s="484"/>
      <c r="I362" s="21"/>
      <c r="J362" s="21"/>
      <c r="K362" s="21"/>
      <c r="L362" s="21"/>
      <c r="M362" s="18"/>
      <c r="N362" s="18"/>
    </row>
    <row r="363" spans="1:15" s="91" customFormat="1" ht="16">
      <c r="A363" s="9" t="s">
        <v>18</v>
      </c>
      <c r="B363" s="1695" t="s">
        <v>59</v>
      </c>
      <c r="C363" s="1566"/>
      <c r="D363" s="1566"/>
      <c r="E363" s="1821"/>
      <c r="F363" s="484"/>
      <c r="G363" s="484"/>
      <c r="H363" s="484"/>
      <c r="I363" s="21"/>
      <c r="J363" s="21"/>
      <c r="K363" s="21"/>
      <c r="L363" s="21"/>
      <c r="M363" s="18"/>
      <c r="N363" s="18"/>
      <c r="O363" s="274"/>
    </row>
    <row r="364" spans="1:15" ht="15">
      <c r="A364" s="9"/>
      <c r="B364" s="1420" t="s">
        <v>19</v>
      </c>
      <c r="C364" s="1420"/>
      <c r="D364" s="1420"/>
      <c r="E364" s="1420"/>
      <c r="F364" s="484"/>
      <c r="G364" s="484"/>
      <c r="H364" s="484"/>
      <c r="I364" s="21"/>
      <c r="J364" s="21"/>
      <c r="K364" s="21"/>
      <c r="L364" s="21"/>
      <c r="M364" s="18"/>
      <c r="N364" s="18"/>
    </row>
    <row r="365" spans="1:15" ht="14" thickBot="1">
      <c r="F365" s="484"/>
      <c r="G365" s="484"/>
      <c r="H365" s="484"/>
      <c r="I365" s="21"/>
      <c r="J365" s="21"/>
      <c r="K365" s="21"/>
      <c r="L365" s="21"/>
      <c r="M365" s="18"/>
      <c r="N365" s="18"/>
    </row>
    <row r="366" spans="1:15" s="1168" customFormat="1" ht="17" thickBot="1">
      <c r="A366" s="1170" t="s">
        <v>171</v>
      </c>
      <c r="B366" s="1672"/>
      <c r="C366" s="1913"/>
      <c r="D366" s="1672"/>
      <c r="E366" s="1913"/>
      <c r="F366" s="1567"/>
      <c r="G366" s="1586"/>
      <c r="H366" s="1176"/>
      <c r="I366" s="1178"/>
      <c r="J366" s="1178"/>
      <c r="K366" s="1178"/>
      <c r="L366" s="1178"/>
      <c r="M366" s="1672"/>
      <c r="N366" s="1673"/>
      <c r="O366" s="121"/>
    </row>
    <row r="367" spans="1:15" ht="14" thickBot="1">
      <c r="A367" s="335" t="s">
        <v>272</v>
      </c>
      <c r="B367" s="2209">
        <v>48</v>
      </c>
      <c r="C367" s="2210"/>
      <c r="D367" s="2243">
        <f>F367*325851</f>
        <v>15966699</v>
      </c>
      <c r="E367" s="2212"/>
      <c r="F367" s="2211">
        <v>49</v>
      </c>
      <c r="G367" s="2212"/>
      <c r="H367" s="485">
        <f>F367*5</f>
        <v>245</v>
      </c>
      <c r="I367" s="158">
        <v>0</v>
      </c>
      <c r="J367" s="158">
        <v>5600</v>
      </c>
      <c r="K367" s="159">
        <v>864</v>
      </c>
      <c r="L367" s="82">
        <f>SUM(I367:K367)</f>
        <v>6464</v>
      </c>
      <c r="M367" s="1875">
        <f>L367/(F367*861)</f>
        <v>0.15321529308587548</v>
      </c>
      <c r="N367" s="1455"/>
    </row>
    <row r="368" spans="1:15" s="1168" customFormat="1" ht="17" thickBot="1">
      <c r="A368" s="1171" t="s">
        <v>172</v>
      </c>
      <c r="B368" s="1416">
        <f>SUM(B361,B367)</f>
        <v>61636</v>
      </c>
      <c r="C368" s="1682"/>
      <c r="D368" s="1416">
        <f>SUM(D361,D367)</f>
        <v>226596459.54900002</v>
      </c>
      <c r="E368" s="1682"/>
      <c r="F368" s="1416">
        <f>SUM(F361,F367)</f>
        <v>695.399</v>
      </c>
      <c r="G368" s="1415"/>
      <c r="H368" s="1179">
        <f>SUM(H367,H361)</f>
        <v>7621.0490000000009</v>
      </c>
      <c r="I368" s="1175">
        <f>SUM(I367,I361)</f>
        <v>418677.6</v>
      </c>
      <c r="J368" s="1175">
        <f>SUM(J361,J367)</f>
        <v>189256.4</v>
      </c>
      <c r="K368" s="1175">
        <f>SUM(K367,K361)</f>
        <v>543667.25</v>
      </c>
      <c r="L368" s="1175">
        <f>SUM(L361,L367)</f>
        <v>1151601.25</v>
      </c>
      <c r="M368" s="2186"/>
      <c r="N368" s="1673"/>
      <c r="O368" s="121"/>
    </row>
    <row r="370" spans="1:15" ht="14" thickBot="1"/>
    <row r="371" spans="1:15" ht="16">
      <c r="A371" s="98"/>
      <c r="B371" s="99"/>
      <c r="C371" s="99"/>
      <c r="D371" s="99"/>
      <c r="E371" s="99"/>
      <c r="F371" s="421"/>
      <c r="G371" s="421"/>
      <c r="H371" s="421"/>
      <c r="I371" s="1468" t="s">
        <v>0</v>
      </c>
      <c r="J371" s="1468"/>
      <c r="K371" s="1468"/>
      <c r="L371" s="1468"/>
      <c r="M371" s="99"/>
      <c r="N371" s="101"/>
    </row>
    <row r="372" spans="1:15" s="91" customFormat="1" ht="16">
      <c r="A372" s="97"/>
      <c r="B372" s="1471" t="s">
        <v>278</v>
      </c>
      <c r="C372" s="1471"/>
      <c r="D372" s="1471" t="s">
        <v>2</v>
      </c>
      <c r="E372" s="1471"/>
      <c r="F372" s="1863" t="s">
        <v>3</v>
      </c>
      <c r="G372" s="1863"/>
      <c r="H372" s="430" t="s">
        <v>3</v>
      </c>
      <c r="I372" s="380"/>
      <c r="J372" s="614"/>
      <c r="K372" s="614"/>
      <c r="L372" s="400"/>
      <c r="M372" s="1469" t="s">
        <v>4</v>
      </c>
      <c r="N372" s="1526"/>
      <c r="O372" s="274"/>
    </row>
    <row r="373" spans="1:15" ht="19" thickBot="1">
      <c r="A373" s="103" t="s">
        <v>5</v>
      </c>
      <c r="B373" s="1473" t="s">
        <v>6</v>
      </c>
      <c r="C373" s="1473"/>
      <c r="D373" s="1473" t="s">
        <v>7</v>
      </c>
      <c r="E373" s="1473"/>
      <c r="F373" s="1864" t="s">
        <v>7</v>
      </c>
      <c r="G373" s="1864"/>
      <c r="H373" s="431" t="s">
        <v>58</v>
      </c>
      <c r="I373" s="379" t="s">
        <v>169</v>
      </c>
      <c r="J373" s="616" t="s">
        <v>8</v>
      </c>
      <c r="K373" s="616" t="s">
        <v>9</v>
      </c>
      <c r="L373" s="401" t="s">
        <v>10</v>
      </c>
      <c r="M373" s="1473" t="s">
        <v>145</v>
      </c>
      <c r="N373" s="1475"/>
    </row>
    <row r="374" spans="1:15" ht="24" thickBot="1">
      <c r="A374" s="88" t="s">
        <v>180</v>
      </c>
      <c r="B374" s="1751"/>
      <c r="C374" s="1477"/>
      <c r="D374" s="1478"/>
      <c r="E374" s="1479"/>
      <c r="F374" s="1878"/>
      <c r="G374" s="1879"/>
      <c r="H374" s="435"/>
      <c r="I374" s="7"/>
      <c r="J374" s="7"/>
      <c r="K374" s="7"/>
      <c r="L374" s="373"/>
      <c r="M374" s="1751"/>
      <c r="N374" s="1765"/>
    </row>
    <row r="375" spans="1:15" s="1168" customFormat="1" ht="17" thickBot="1">
      <c r="A375" s="108" t="s">
        <v>48</v>
      </c>
      <c r="B375" s="1457"/>
      <c r="C375" s="1586"/>
      <c r="D375" s="1567"/>
      <c r="E375" s="1586"/>
      <c r="F375" s="1619"/>
      <c r="G375" s="1620"/>
      <c r="H375" s="1158"/>
      <c r="I375" s="109"/>
      <c r="J375" s="109"/>
      <c r="K375" s="109"/>
      <c r="L375" s="1142"/>
      <c r="M375" s="1485"/>
      <c r="N375" s="1486"/>
      <c r="O375" s="121"/>
    </row>
    <row r="376" spans="1:15" ht="12.75" customHeight="1">
      <c r="A376" s="32" t="s">
        <v>33</v>
      </c>
      <c r="B376" s="1444">
        <f>'Ontario Total'!B337:C337+'Chino Total'!B337:C337+'Chino Hills Total'!B337:C337+'MVWD Total '!B337:C337+'Upland Total'!B337:C337+'FWC Total'!B338:C338+'SAWC Total'!B336:C336+'CVWD Total'!B337:C337</f>
        <v>1184</v>
      </c>
      <c r="C376" s="1422"/>
      <c r="D376" s="1431">
        <f>F376*325851</f>
        <v>10648289.318399999</v>
      </c>
      <c r="E376" s="1422"/>
      <c r="F376" s="1720">
        <f>0.0276*B376</f>
        <v>32.678399999999996</v>
      </c>
      <c r="G376" s="1721"/>
      <c r="H376" s="629">
        <f>F376*15</f>
        <v>490.17599999999993</v>
      </c>
      <c r="I376" s="4">
        <f>0*B376</f>
        <v>0</v>
      </c>
      <c r="J376" s="131">
        <v>0</v>
      </c>
      <c r="K376" s="131">
        <f>B376*85</f>
        <v>100640</v>
      </c>
      <c r="L376" s="169">
        <f>I376+J376+K376</f>
        <v>100640</v>
      </c>
      <c r="M376" s="1943">
        <f t="shared" ref="M376:M381" si="33">L376/(F376*681)</f>
        <v>4.5223350145778802</v>
      </c>
      <c r="N376" s="1759"/>
    </row>
    <row r="377" spans="1:15">
      <c r="A377" s="32" t="s">
        <v>56</v>
      </c>
      <c r="B377" s="1444">
        <f>'Ontario Total'!B338:C338+'Chino Total'!B338:C338+'Chino Hills Total'!B338:C338+'MVWD Total '!B338:C338+'Upland Total'!B338:C338+'FWC Total'!B339:C339+'SAWC Total'!B337:C337+'CVWD Total'!B338:C338</f>
        <v>778</v>
      </c>
      <c r="C377" s="1422"/>
      <c r="D377" s="1431">
        <f>F377*325851</f>
        <v>1014048.312</v>
      </c>
      <c r="E377" s="1422"/>
      <c r="F377" s="1720">
        <f>0.004*B377</f>
        <v>3.1120000000000001</v>
      </c>
      <c r="G377" s="1721"/>
      <c r="H377" s="629">
        <f>F377*5</f>
        <v>15.56</v>
      </c>
      <c r="I377" s="4">
        <f>0*B377</f>
        <v>0</v>
      </c>
      <c r="J377" s="131">
        <f>2*B377</f>
        <v>1556</v>
      </c>
      <c r="K377" s="131">
        <f>B377*3</f>
        <v>2334</v>
      </c>
      <c r="L377" s="169">
        <f>I377+J377+K377</f>
        <v>3890</v>
      </c>
      <c r="M377" s="1943">
        <f t="shared" si="33"/>
        <v>1.8355359765051396</v>
      </c>
      <c r="N377" s="1759"/>
    </row>
    <row r="378" spans="1:15">
      <c r="A378" s="107" t="s">
        <v>30</v>
      </c>
      <c r="B378" s="1444">
        <f>'Ontario Total'!B339:C339+'Chino Total'!B339:C339+'Chino Hills Total'!B339:C339+'MVWD Total '!B339:C339+'Upland Total'!B339:C339+'FWC Total'!B340:C340+'SAWC Total'!B338:C338+'CVWD Total'!B339:C339</f>
        <v>67</v>
      </c>
      <c r="C378" s="1422"/>
      <c r="D378" s="1431">
        <f>F378*325851</f>
        <v>7095405.5250000004</v>
      </c>
      <c r="E378" s="1422"/>
      <c r="F378" s="1720">
        <f>0.325*B378</f>
        <v>21.775000000000002</v>
      </c>
      <c r="G378" s="1721"/>
      <c r="H378" s="629">
        <f>F378*10</f>
        <v>217.75000000000003</v>
      </c>
      <c r="I378" s="4">
        <v>0</v>
      </c>
      <c r="J378" s="131">
        <f>45*B378</f>
        <v>3015</v>
      </c>
      <c r="K378" s="131">
        <f>B378*80</f>
        <v>5360</v>
      </c>
      <c r="L378" s="169">
        <f>I378+J378+K378</f>
        <v>8375</v>
      </c>
      <c r="M378" s="1943">
        <f t="shared" si="33"/>
        <v>0.56478030046311978</v>
      </c>
      <c r="N378" s="1759"/>
    </row>
    <row r="379" spans="1:15" hidden="1">
      <c r="A379" s="76" t="s">
        <v>182</v>
      </c>
      <c r="B379" s="1444">
        <f>'Ontario Total'!B340:C340+'Chino Total'!B340:C340+'Chino Hills Total'!B340:C340+'MVWD Total '!B340:C340+'Upland Total'!B340:C340+'FWC Total'!B341:C341+'SAWC Total'!B339:C339+'CVWD Total'!B340:C340</f>
        <v>0</v>
      </c>
      <c r="C379" s="1422"/>
      <c r="D379" s="1431">
        <v>0</v>
      </c>
      <c r="E379" s="1422"/>
      <c r="F379" s="1720">
        <v>0</v>
      </c>
      <c r="G379" s="1721"/>
      <c r="H379" s="629">
        <f>F379*10</f>
        <v>0</v>
      </c>
      <c r="I379" s="19">
        <v>0</v>
      </c>
      <c r="J379" s="133">
        <v>0</v>
      </c>
      <c r="K379" s="133">
        <v>0</v>
      </c>
      <c r="L379" s="169">
        <f>SUM(I379:K379)</f>
        <v>0</v>
      </c>
      <c r="M379" s="1943">
        <v>0</v>
      </c>
      <c r="N379" s="1759"/>
    </row>
    <row r="380" spans="1:15" s="91" customFormat="1" ht="16">
      <c r="A380" s="76" t="s">
        <v>165</v>
      </c>
      <c r="B380" s="1444">
        <f>'Ontario Total'!B341:C341+'Chino Total'!B341:C341+'Chino Hills Total'!B341:C341+'MVWD Total '!B341:C341+'Upland Total'!B341:C341+'FWC Total'!B342:C342+'SAWC Total'!B340:C340+'CVWD Total'!B341:C341</f>
        <v>40012</v>
      </c>
      <c r="C380" s="1422"/>
      <c r="D380" s="1431">
        <f>F380*325851</f>
        <v>52151800.847999997</v>
      </c>
      <c r="E380" s="1422"/>
      <c r="F380" s="1720">
        <f>B380*0.004</f>
        <v>160.048</v>
      </c>
      <c r="G380" s="1721"/>
      <c r="H380" s="636">
        <f>F380*5</f>
        <v>800.24</v>
      </c>
      <c r="I380" s="19">
        <v>0</v>
      </c>
      <c r="J380" s="133">
        <v>0</v>
      </c>
      <c r="K380" s="133">
        <v>75150</v>
      </c>
      <c r="L380" s="334">
        <f>SUM(I380:K380)</f>
        <v>75150</v>
      </c>
      <c r="M380" s="1943">
        <f t="shared" si="33"/>
        <v>0.68949579443347619</v>
      </c>
      <c r="N380" s="1759"/>
      <c r="O380" s="274"/>
    </row>
    <row r="381" spans="1:15" ht="14" thickBot="1">
      <c r="A381" s="76" t="s">
        <v>166</v>
      </c>
      <c r="B381" s="1444">
        <v>22</v>
      </c>
      <c r="C381" s="1422"/>
      <c r="D381" s="1431">
        <f>F381*325851</f>
        <v>5865318</v>
      </c>
      <c r="E381" s="1422"/>
      <c r="F381" s="1720">
        <v>18</v>
      </c>
      <c r="G381" s="1721"/>
      <c r="H381" s="643">
        <v>160</v>
      </c>
      <c r="I381" s="106">
        <v>0</v>
      </c>
      <c r="J381" s="130">
        <v>14499</v>
      </c>
      <c r="K381" s="130">
        <v>12310</v>
      </c>
      <c r="L381" s="149">
        <f>SUM(J381:K381)</f>
        <v>26809</v>
      </c>
      <c r="M381" s="1943">
        <f t="shared" si="33"/>
        <v>2.1870615108500573</v>
      </c>
      <c r="N381" s="1759"/>
    </row>
    <row r="382" spans="1:15" ht="14" thickBot="1">
      <c r="A382" s="53" t="s">
        <v>60</v>
      </c>
      <c r="B382" s="1440">
        <f>SUM(B376:C381)</f>
        <v>42063</v>
      </c>
      <c r="C382" s="1609"/>
      <c r="D382" s="1440">
        <f>SUM(D376:E381)</f>
        <v>76774862.003399998</v>
      </c>
      <c r="E382" s="1609"/>
      <c r="F382" s="1512">
        <f>SUM(F376:G381)</f>
        <v>235.61340000000001</v>
      </c>
      <c r="G382" s="1575"/>
      <c r="H382" s="611">
        <f>SUM(H376:H381)</f>
        <v>1683.7260000000001</v>
      </c>
      <c r="I382" s="136">
        <f>SUM(I376:I381)</f>
        <v>0</v>
      </c>
      <c r="J382" s="136">
        <f>SUM(J376:J381)</f>
        <v>19070</v>
      </c>
      <c r="K382" s="136">
        <f>SUM(K376:K381)</f>
        <v>195794</v>
      </c>
      <c r="L382" s="136">
        <f>SUM(L376:L381)</f>
        <v>214864</v>
      </c>
      <c r="M382" s="1637"/>
      <c r="N382" s="1611"/>
    </row>
    <row r="383" spans="1:15" s="1168" customFormat="1" ht="17" thickBot="1">
      <c r="A383" s="108" t="s">
        <v>125</v>
      </c>
      <c r="B383" s="1457"/>
      <c r="C383" s="1586"/>
      <c r="D383" s="1567"/>
      <c r="E383" s="1586"/>
      <c r="F383" s="1587"/>
      <c r="G383" s="1588"/>
      <c r="H383" s="1158"/>
      <c r="I383" s="109"/>
      <c r="J383" s="109"/>
      <c r="K383" s="109"/>
      <c r="L383" s="1142"/>
      <c r="M383" s="1485"/>
      <c r="N383" s="1486"/>
      <c r="O383" s="121"/>
    </row>
    <row r="384" spans="1:15" s="91" customFormat="1" ht="16">
      <c r="A384" s="76" t="s">
        <v>146</v>
      </c>
      <c r="B384" s="1444">
        <f>'Ontario Total'!B345:C345+'Chino Total'!B345:C345+'Chino Hills Total'!B345:C345+'MVWD Total '!B345:C345+'Upland Total'!B345:C345+'FWC Total'!B346:C346+'SAWC Total'!B344:C344+'CVWD Total'!B345:C345</f>
        <v>139</v>
      </c>
      <c r="C384" s="1422"/>
      <c r="D384" s="1431">
        <f>F384*325851</f>
        <v>1924964.7825000002</v>
      </c>
      <c r="E384" s="1422"/>
      <c r="F384" s="1710">
        <f>0.0425*B384</f>
        <v>5.9075000000000006</v>
      </c>
      <c r="G384" s="1711"/>
      <c r="H384" s="636">
        <f>F384*20</f>
        <v>118.15</v>
      </c>
      <c r="I384" s="131">
        <f>73.34*B384</f>
        <v>10194.26</v>
      </c>
      <c r="J384" s="131">
        <f>35.66*B384</f>
        <v>4956.74</v>
      </c>
      <c r="K384" s="131">
        <f>B384*50</f>
        <v>6950</v>
      </c>
      <c r="L384" s="169">
        <f>I384+J384+K384</f>
        <v>22101</v>
      </c>
      <c r="M384" s="1943">
        <f>L384/(F384*681)</f>
        <v>5.4936512049753814</v>
      </c>
      <c r="N384" s="1759"/>
      <c r="O384" s="274"/>
    </row>
    <row r="385" spans="1:15" ht="14" thickBot="1">
      <c r="A385" s="76" t="s">
        <v>181</v>
      </c>
      <c r="B385" s="1444">
        <f>'Ontario Total'!B346:C346+'Chino Total'!B346:C346+'Chino Hills Total'!B346:C346+'MVWD Total '!B346:C346+'Upland Total'!B346:C346+'FWC Total'!B347:C347+'SAWC Total'!B345:C345+'CVWD Total'!B346:C346</f>
        <v>2753</v>
      </c>
      <c r="C385" s="1422"/>
      <c r="D385" s="1431">
        <f>F385*325851</f>
        <v>38125381.627500005</v>
      </c>
      <c r="E385" s="1422"/>
      <c r="F385" s="1710">
        <f>0.0425*B385</f>
        <v>117.00250000000001</v>
      </c>
      <c r="G385" s="1711"/>
      <c r="H385" s="636">
        <f>F385*20</f>
        <v>2340.0500000000002</v>
      </c>
      <c r="I385" s="131">
        <f>73.34*B385</f>
        <v>201905.02000000002</v>
      </c>
      <c r="J385" s="131">
        <f>35.66*B385</f>
        <v>98171.98</v>
      </c>
      <c r="K385" s="131">
        <f>B385*50</f>
        <v>137650</v>
      </c>
      <c r="L385" s="169">
        <f>I385+J385+K385</f>
        <v>437727</v>
      </c>
      <c r="M385" s="1943">
        <f>L385/(F385*681)</f>
        <v>5.4936512049753814</v>
      </c>
      <c r="N385" s="1759"/>
    </row>
    <row r="386" spans="1:15" ht="14" thickBot="1">
      <c r="A386" s="53" t="s">
        <v>60</v>
      </c>
      <c r="B386" s="1440">
        <f>SUM(B384:B385)</f>
        <v>2892</v>
      </c>
      <c r="C386" s="1621"/>
      <c r="D386" s="1441">
        <f>SUM(D384:D385)</f>
        <v>40050346.410000004</v>
      </c>
      <c r="E386" s="1621"/>
      <c r="F386" s="1511">
        <f>SUM(F384:F385)</f>
        <v>122.91000000000001</v>
      </c>
      <c r="G386" s="1575"/>
      <c r="H386" s="611">
        <f>SUM(H384:H385)</f>
        <v>2458.2000000000003</v>
      </c>
      <c r="I386" s="143">
        <f>SUM(I384:I385)</f>
        <v>212099.28000000003</v>
      </c>
      <c r="J386" s="143">
        <f>SUM(J384:J385)</f>
        <v>103128.72</v>
      </c>
      <c r="K386" s="143">
        <f>SUM(K384:K385)</f>
        <v>144600</v>
      </c>
      <c r="L386" s="136">
        <f>SUM(L384:L385)</f>
        <v>459828</v>
      </c>
      <c r="M386" s="1637"/>
      <c r="N386" s="1611"/>
    </row>
    <row r="387" spans="1:15" s="1168" customFormat="1" ht="17" thickBot="1">
      <c r="A387" s="108" t="s">
        <v>50</v>
      </c>
      <c r="B387" s="1456"/>
      <c r="C387" s="1457"/>
      <c r="D387" s="1567"/>
      <c r="E387" s="1586"/>
      <c r="F387" s="1587"/>
      <c r="G387" s="1588"/>
      <c r="H387" s="1158"/>
      <c r="I387" s="109"/>
      <c r="J387" s="109"/>
      <c r="K387" s="109"/>
      <c r="L387" s="1142"/>
      <c r="M387" s="1485"/>
      <c r="N387" s="1486"/>
      <c r="O387" s="121"/>
    </row>
    <row r="388" spans="1:15">
      <c r="A388" s="122" t="s">
        <v>29</v>
      </c>
      <c r="B388" s="1444">
        <f>'Ontario Total'!B349:C349+'Chino Total'!B349:C349+'Chino Hills Total'!B349:C349+'MVWD Total '!B349:C349+'Upland Total'!B349:C349+'FWC Total'!B350:C350+'SAWC Total'!B348:C348+'CVWD Total'!B349:C349</f>
        <v>4</v>
      </c>
      <c r="C388" s="1422"/>
      <c r="D388" s="1444">
        <f t="shared" ref="D388:D393" si="34">F388*325851</f>
        <v>55394.670000000006</v>
      </c>
      <c r="E388" s="1422"/>
      <c r="F388" s="1756">
        <f>0.0425*B388</f>
        <v>0.17</v>
      </c>
      <c r="G388" s="1757"/>
      <c r="H388" s="629">
        <f>F388*20</f>
        <v>3.4000000000000004</v>
      </c>
      <c r="I388" s="131">
        <v>0</v>
      </c>
      <c r="J388" s="131">
        <f>35*B388</f>
        <v>140</v>
      </c>
      <c r="K388" s="131">
        <f>50*B388</f>
        <v>200</v>
      </c>
      <c r="L388" s="169">
        <f>SUM(I388:K388)</f>
        <v>340</v>
      </c>
      <c r="M388" s="1943">
        <f>L388/(F388*681)</f>
        <v>2.9368575624082229</v>
      </c>
      <c r="N388" s="1759"/>
    </row>
    <row r="389" spans="1:15" ht="12.75" customHeight="1">
      <c r="A389" s="32" t="s">
        <v>51</v>
      </c>
      <c r="B389" s="1444">
        <f>'Ontario Total'!B350:C350+'Chino Total'!B350:C350+'Chino Hills Total'!B350:C350+'MVWD Total '!B350:C350+'Upland Total'!B350:C350+'FWC Total'!B351:C351+'SAWC Total'!B349:C349+'CVWD Total'!B350:C350</f>
        <v>68</v>
      </c>
      <c r="C389" s="1422"/>
      <c r="D389" s="1444">
        <f t="shared" si="34"/>
        <v>2718770.4036000003</v>
      </c>
      <c r="E389" s="1422"/>
      <c r="F389" s="1720">
        <f>0.1227*B389</f>
        <v>8.3436000000000003</v>
      </c>
      <c r="G389" s="1721"/>
      <c r="H389" s="629">
        <f>F389*20</f>
        <v>166.87200000000001</v>
      </c>
      <c r="I389" s="131">
        <v>0</v>
      </c>
      <c r="J389" s="131">
        <f>B389*50</f>
        <v>3400</v>
      </c>
      <c r="K389" s="131">
        <f>200*B389</f>
        <v>13600</v>
      </c>
      <c r="L389" s="169">
        <f>SUM(I389:K389)</f>
        <v>17000</v>
      </c>
      <c r="M389" s="1943">
        <f t="shared" ref="M389:M399" si="35">L389/(F389*681)</f>
        <v>2.9919086821599663</v>
      </c>
      <c r="N389" s="1759"/>
    </row>
    <row r="390" spans="1:15" s="57" customFormat="1">
      <c r="A390" s="78" t="s">
        <v>170</v>
      </c>
      <c r="B390" s="1444">
        <f>'Ontario Total'!B351:C351+'Chino Total'!B351:C351+'Chino Hills Total'!B351:C351+'MVWD Total '!B351:C351+'Upland Total'!B351:C351+'FWC Total'!B352:C352+'SAWC Total'!B350:C350+'CVWD Total'!B351:C351</f>
        <v>1</v>
      </c>
      <c r="C390" s="1422"/>
      <c r="D390" s="1444">
        <f t="shared" si="34"/>
        <v>633454.34400000004</v>
      </c>
      <c r="E390" s="1422"/>
      <c r="F390" s="1720">
        <f>B390*1.944</f>
        <v>1.944</v>
      </c>
      <c r="G390" s="1721"/>
      <c r="H390" s="629">
        <f>F390*5</f>
        <v>9.7199999999999989</v>
      </c>
      <c r="I390" s="131">
        <v>0</v>
      </c>
      <c r="J390" s="131">
        <f>B390*500</f>
        <v>500</v>
      </c>
      <c r="K390" s="131">
        <f>B390*1750</f>
        <v>1750</v>
      </c>
      <c r="L390" s="169">
        <f>SUM(I390:K390)</f>
        <v>2250</v>
      </c>
      <c r="M390" s="1943">
        <f t="shared" si="35"/>
        <v>1.69957034861587</v>
      </c>
      <c r="N390" s="1759"/>
      <c r="O390" s="121"/>
    </row>
    <row r="391" spans="1:15" ht="12.75" customHeight="1">
      <c r="A391" s="34" t="s">
        <v>13</v>
      </c>
      <c r="B391" s="1444">
        <f>'Ontario Total'!B352:C352+'Chino Total'!B352:C352+'Chino Hills Total'!B352:C352+'MVWD Total '!B352:C352+'Upland Total'!B352:C352+'FWC Total'!B353:C353+'SAWC Total'!B351:C351+'CVWD Total'!B352:C352</f>
        <v>0</v>
      </c>
      <c r="C391" s="1422"/>
      <c r="D391" s="1444">
        <f t="shared" si="34"/>
        <v>0</v>
      </c>
      <c r="E391" s="1422"/>
      <c r="F391" s="1720">
        <f>0.0276*B391</f>
        <v>0</v>
      </c>
      <c r="G391" s="1721"/>
      <c r="H391" s="629">
        <f>F391*10</f>
        <v>0</v>
      </c>
      <c r="I391" s="131">
        <v>0</v>
      </c>
      <c r="J391" s="131">
        <f>100*B391</f>
        <v>0</v>
      </c>
      <c r="K391" s="131">
        <f>80*B391</f>
        <v>0</v>
      </c>
      <c r="L391" s="169">
        <f>SUM(I391:K391)</f>
        <v>0</v>
      </c>
      <c r="M391" s="1943">
        <v>0</v>
      </c>
      <c r="N391" s="1759"/>
    </row>
    <row r="392" spans="1:15" hidden="1">
      <c r="A392" s="34" t="s">
        <v>47</v>
      </c>
      <c r="B392" s="1444">
        <f>'Ontario Total'!B353:C353+'Chino Total'!B353:C353+'Chino Hills Total'!B353:C353+'MVWD Total '!B353:C353+'Upland Total'!B353:C353+'FWC Total'!B354:C354+'SAWC Total'!B352:C352+'CVWD Total'!B353:C353</f>
        <v>0</v>
      </c>
      <c r="C392" s="1422"/>
      <c r="D392" s="1444">
        <f t="shared" si="34"/>
        <v>0</v>
      </c>
      <c r="E392" s="1422"/>
      <c r="F392" s="1720">
        <f>0.1534*B392</f>
        <v>0</v>
      </c>
      <c r="G392" s="1721"/>
      <c r="H392" s="629">
        <f>F392*5</f>
        <v>0</v>
      </c>
      <c r="I392" s="131">
        <v>0</v>
      </c>
      <c r="J392" s="131">
        <f>0*B392</f>
        <v>0</v>
      </c>
      <c r="K392" s="131">
        <f>150*B392</f>
        <v>0</v>
      </c>
      <c r="L392" s="169">
        <f>SUM(I392:K392)</f>
        <v>0</v>
      </c>
      <c r="M392" s="1943">
        <v>0</v>
      </c>
      <c r="N392" s="1759"/>
    </row>
    <row r="393" spans="1:15">
      <c r="A393" s="34" t="s">
        <v>30</v>
      </c>
      <c r="B393" s="1444">
        <f>'Ontario Total'!B354:C354+'Chino Total'!B354:C354+'Chino Hills Total'!B354:C354+'MVWD Total '!B354:C354+'Upland Total'!B354:C354+'FWC Total'!B355:C355+'SAWC Total'!B353:C353+'CVWD Total'!B354:C354</f>
        <v>66</v>
      </c>
      <c r="C393" s="1422"/>
      <c r="D393" s="1444">
        <f t="shared" si="34"/>
        <v>6989503.9500000002</v>
      </c>
      <c r="E393" s="1422"/>
      <c r="F393" s="1720">
        <f>0.325*B393</f>
        <v>21.45</v>
      </c>
      <c r="G393" s="1721"/>
      <c r="H393" s="629">
        <f>F393*10</f>
        <v>214.5</v>
      </c>
      <c r="I393" s="131">
        <v>0</v>
      </c>
      <c r="J393" s="131">
        <v>11716</v>
      </c>
      <c r="K393" s="131">
        <v>22225</v>
      </c>
      <c r="L393" s="169">
        <f>SUM(J393:K393)</f>
        <v>33941</v>
      </c>
      <c r="M393" s="1943">
        <f t="shared" si="35"/>
        <v>2.3235403852143941</v>
      </c>
      <c r="N393" s="1759"/>
    </row>
    <row r="394" spans="1:15" ht="12.75" hidden="1" customHeight="1">
      <c r="A394" s="34" t="s">
        <v>150</v>
      </c>
      <c r="B394" s="1444">
        <v>0</v>
      </c>
      <c r="C394" s="1422"/>
      <c r="D394" s="1444">
        <f>F394*0</f>
        <v>0</v>
      </c>
      <c r="E394" s="1422"/>
      <c r="F394" s="1720">
        <f>0.00014*0</f>
        <v>0</v>
      </c>
      <c r="G394" s="1721"/>
      <c r="H394" s="629">
        <f>F394*10</f>
        <v>0</v>
      </c>
      <c r="I394" s="131">
        <v>0</v>
      </c>
      <c r="J394" s="131">
        <f>0.45*0</f>
        <v>0</v>
      </c>
      <c r="K394" s="131">
        <f>0.3*0</f>
        <v>0</v>
      </c>
      <c r="L394" s="169">
        <f t="shared" ref="L394:L399" si="36">SUM(I394:K394)</f>
        <v>0</v>
      </c>
      <c r="M394" s="1943" t="e">
        <f t="shared" si="35"/>
        <v>#DIV/0!</v>
      </c>
      <c r="N394" s="1759"/>
    </row>
    <row r="395" spans="1:15">
      <c r="A395" s="33" t="s">
        <v>56</v>
      </c>
      <c r="B395" s="1444">
        <f>'Ontario Total'!B356:C356+'Chino Total'!B356:C356+'Chino Hills Total'!B356:C356+'MVWD Total '!B356:C356+'Upland Total'!B356:C356+'FWC Total'!B357:C357+'SAWC Total'!B355:C355+'CVWD Total'!B356:C356</f>
        <v>4243</v>
      </c>
      <c r="C395" s="1422"/>
      <c r="D395" s="1444">
        <f t="shared" ref="D395:D400" si="37">F395*325851</f>
        <v>5530343.1720000003</v>
      </c>
      <c r="E395" s="1422"/>
      <c r="F395" s="1720">
        <f>0.004*B395</f>
        <v>16.972000000000001</v>
      </c>
      <c r="G395" s="1721"/>
      <c r="H395" s="629">
        <f>F395*5</f>
        <v>84.860000000000014</v>
      </c>
      <c r="I395" s="131">
        <v>0</v>
      </c>
      <c r="J395" s="131">
        <f>1*B395</f>
        <v>4243</v>
      </c>
      <c r="K395" s="131">
        <f>3*B395</f>
        <v>12729</v>
      </c>
      <c r="L395" s="169">
        <f t="shared" si="36"/>
        <v>16972</v>
      </c>
      <c r="M395" s="1943">
        <f t="shared" si="35"/>
        <v>1.4684287812041115</v>
      </c>
      <c r="N395" s="1759"/>
    </row>
    <row r="396" spans="1:15">
      <c r="A396" s="76" t="s">
        <v>122</v>
      </c>
      <c r="B396" s="1444">
        <f>'Ontario Total'!B357:C357+'Chino Total'!B357:C357+'Chino Hills Total'!B357:C357+'MVWD Total '!B357:C357+'Upland Total'!B357:C357+'FWC Total'!B358:C358+'SAWC Total'!B356:C356+'CVWD Total'!B357:C357</f>
        <v>0</v>
      </c>
      <c r="C396" s="1422"/>
      <c r="D396" s="1444">
        <f t="shared" si="37"/>
        <v>0</v>
      </c>
      <c r="E396" s="1422"/>
      <c r="F396" s="1720">
        <f>0.018*B396</f>
        <v>0</v>
      </c>
      <c r="G396" s="1721"/>
      <c r="H396" s="629">
        <f>F396*10</f>
        <v>0</v>
      </c>
      <c r="I396" s="131">
        <v>0</v>
      </c>
      <c r="J396" s="131">
        <f>0*B396</f>
        <v>0</v>
      </c>
      <c r="K396" s="131">
        <f>13*B396</f>
        <v>0</v>
      </c>
      <c r="L396" s="169">
        <f t="shared" si="36"/>
        <v>0</v>
      </c>
      <c r="M396" s="1943">
        <v>0</v>
      </c>
      <c r="N396" s="1759"/>
    </row>
    <row r="397" spans="1:15" hidden="1">
      <c r="A397" s="33" t="s">
        <v>119</v>
      </c>
      <c r="B397" s="1444">
        <f>'Ontario Total'!B358:C358+'Chino Total'!B358:C358+'Chino Hills Total'!B358:C358+'MVWD Total '!B358:C358+'Upland Total'!B358:C358+'FWC Total'!B359:C359+'SAWC Total'!B357:C357+'CVWD Total'!B358:C358</f>
        <v>0</v>
      </c>
      <c r="C397" s="1422"/>
      <c r="D397" s="1444">
        <f t="shared" si="37"/>
        <v>0</v>
      </c>
      <c r="E397" s="1422"/>
      <c r="F397" s="1720">
        <f>0.153*B397</f>
        <v>0</v>
      </c>
      <c r="G397" s="1721"/>
      <c r="H397" s="629">
        <f>F397*5</f>
        <v>0</v>
      </c>
      <c r="I397" s="131">
        <v>0</v>
      </c>
      <c r="J397" s="131">
        <f>0*B397</f>
        <v>0</v>
      </c>
      <c r="K397" s="131">
        <f>60*B397</f>
        <v>0</v>
      </c>
      <c r="L397" s="169">
        <f t="shared" si="36"/>
        <v>0</v>
      </c>
      <c r="M397" s="1943">
        <v>0</v>
      </c>
      <c r="N397" s="1759"/>
    </row>
    <row r="398" spans="1:15">
      <c r="A398" s="33" t="s">
        <v>167</v>
      </c>
      <c r="B398" s="1445">
        <f>'Ontario Total'!B359:C359+'Chino Total'!B359:C359+'Chino Hills Total'!B359:C359+'MVWD Total '!B359:C359+'Upland Total'!B359:C359+'FWC Total'!B360:C360+'SAWC Total'!B358:C358+'CVWD Total'!B359:C359</f>
        <v>2124</v>
      </c>
      <c r="C398" s="1446"/>
      <c r="D398" s="1445">
        <f t="shared" si="37"/>
        <v>12708189</v>
      </c>
      <c r="E398" s="1446"/>
      <c r="F398" s="1723">
        <v>39</v>
      </c>
      <c r="G398" s="1724"/>
      <c r="H398" s="643">
        <v>635</v>
      </c>
      <c r="I398" s="130">
        <v>339942</v>
      </c>
      <c r="J398" s="130">
        <v>0</v>
      </c>
      <c r="K398" s="130">
        <v>51978</v>
      </c>
      <c r="L398" s="149">
        <f t="shared" si="36"/>
        <v>391920</v>
      </c>
      <c r="M398" s="1943">
        <f t="shared" si="35"/>
        <v>14.756579690500395</v>
      </c>
      <c r="N398" s="1759"/>
    </row>
    <row r="399" spans="1:15">
      <c r="A399" s="33" t="s">
        <v>165</v>
      </c>
      <c r="B399" s="1444">
        <f>'Ontario Total'!B360:C360+'Chino Total'!B360:C360+'Chino Hills Total'!B360:C360+'MVWD Total '!B360:C360+'Upland Total'!B360:C360+'FWC Total'!B361:C361+'SAWC Total'!B359:C359+'CVWD Total'!B360:C360</f>
        <v>10044</v>
      </c>
      <c r="C399" s="1422"/>
      <c r="D399" s="1445">
        <f t="shared" si="37"/>
        <v>13091389.776000001</v>
      </c>
      <c r="E399" s="1446"/>
      <c r="F399" s="1723">
        <f>B399*0.004</f>
        <v>40.176000000000002</v>
      </c>
      <c r="G399" s="1724"/>
      <c r="H399" s="643">
        <f>F399*5</f>
        <v>200.88</v>
      </c>
      <c r="I399" s="130">
        <v>0</v>
      </c>
      <c r="J399" s="130">
        <v>0</v>
      </c>
      <c r="K399" s="130">
        <f>B399*3</f>
        <v>30132</v>
      </c>
      <c r="L399" s="149">
        <f t="shared" si="36"/>
        <v>30132</v>
      </c>
      <c r="M399" s="1943">
        <f t="shared" si="35"/>
        <v>1.1013215859030836</v>
      </c>
      <c r="N399" s="1759"/>
    </row>
    <row r="400" spans="1:15" ht="14" thickBot="1">
      <c r="A400" s="123" t="s">
        <v>184</v>
      </c>
      <c r="B400" s="1444">
        <f>'Ontario Total'!B361:C361+'Chino Total'!B361:C361+'Chino Hills Total'!B361:C361+'MVWD Total '!B361:C361+'Upland Total'!B361:C361+'FWC Total'!B362:C362+'SAWC Total'!B360:C360+'CVWD Total'!B361:C361</f>
        <v>11</v>
      </c>
      <c r="C400" s="1422"/>
      <c r="D400" s="1444">
        <f t="shared" si="37"/>
        <v>17470175.513999999</v>
      </c>
      <c r="E400" s="1422"/>
      <c r="F400" s="1867">
        <f>B400*4.874</f>
        <v>53.613999999999997</v>
      </c>
      <c r="G400" s="1747"/>
      <c r="H400" s="629">
        <f>F400*10</f>
        <v>536.14</v>
      </c>
      <c r="I400" s="131">
        <v>0</v>
      </c>
      <c r="J400" s="169">
        <v>3480</v>
      </c>
      <c r="K400" s="169">
        <v>8700</v>
      </c>
      <c r="L400" s="169">
        <f>J400+K400</f>
        <v>12180</v>
      </c>
      <c r="M400" s="1909">
        <f>L400/(F400*681)</f>
        <v>0.33359686938236432</v>
      </c>
      <c r="N400" s="1755"/>
    </row>
    <row r="401" spans="1:15" ht="14" thickBot="1">
      <c r="A401" s="53" t="s">
        <v>60</v>
      </c>
      <c r="B401" s="1440">
        <f>SUM(B388:C400)</f>
        <v>16561</v>
      </c>
      <c r="C401" s="1609"/>
      <c r="D401" s="1440">
        <f>SUM(D388:E400)</f>
        <v>59197220.829599999</v>
      </c>
      <c r="E401" s="1609"/>
      <c r="F401" s="1440">
        <f>SUM(F388:G400)</f>
        <v>181.6696</v>
      </c>
      <c r="G401" s="1439"/>
      <c r="H401" s="466">
        <f>SUM(H388:H400)</f>
        <v>1851.3719999999998</v>
      </c>
      <c r="I401" s="143">
        <f>SUM(I388:I400)</f>
        <v>339942</v>
      </c>
      <c r="J401" s="136">
        <f>SUM(J388:J400)</f>
        <v>23479</v>
      </c>
      <c r="K401" s="136">
        <f>SUM(K388:K400)</f>
        <v>141314</v>
      </c>
      <c r="L401" s="136">
        <f>SUM(L388:L400)</f>
        <v>504735</v>
      </c>
      <c r="M401" s="1637"/>
      <c r="N401" s="1611"/>
    </row>
    <row r="402" spans="1:15" s="1168" customFormat="1" ht="17" thickBot="1">
      <c r="A402" s="1163" t="s">
        <v>17</v>
      </c>
      <c r="B402" s="1612">
        <f>SUM(,B382,B386,B401)</f>
        <v>61516</v>
      </c>
      <c r="C402" s="1415"/>
      <c r="D402" s="1612">
        <f>SUM(,D382,D386,D401)</f>
        <v>176022429.243</v>
      </c>
      <c r="E402" s="1415"/>
      <c r="F402" s="1612">
        <f>SUM(,F382,F386,F401)</f>
        <v>540.19299999999998</v>
      </c>
      <c r="G402" s="1415"/>
      <c r="H402" s="1180">
        <f>SUM(,H382,H386,H401)</f>
        <v>5993.2980000000007</v>
      </c>
      <c r="I402" s="1175">
        <f>SUM(,I382,I386,I401)</f>
        <v>552041.28</v>
      </c>
      <c r="J402" s="1169">
        <f>SUM(,J382,J386,J401)</f>
        <v>145677.72</v>
      </c>
      <c r="K402" s="1169">
        <f>SUM(,K382,K386,K401)</f>
        <v>481708</v>
      </c>
      <c r="L402" s="1169">
        <f>SUM(,L382,L386,L401)</f>
        <v>1179427</v>
      </c>
      <c r="M402" s="1639"/>
      <c r="N402" s="1640"/>
      <c r="O402" s="121"/>
    </row>
    <row r="403" spans="1:15">
      <c r="A403" s="50"/>
      <c r="B403" s="20"/>
      <c r="C403" s="20"/>
      <c r="D403" s="20"/>
      <c r="E403" s="20"/>
      <c r="F403" s="484"/>
      <c r="G403" s="484"/>
      <c r="H403" s="484"/>
      <c r="I403" s="21"/>
      <c r="J403" s="21"/>
      <c r="K403" s="21"/>
      <c r="L403" s="21"/>
      <c r="M403" s="18"/>
      <c r="N403" s="18"/>
    </row>
    <row r="404" spans="1:15" s="91" customFormat="1" ht="16">
      <c r="A404" s="9" t="s">
        <v>18</v>
      </c>
      <c r="B404" s="1695" t="s">
        <v>59</v>
      </c>
      <c r="C404" s="1566"/>
      <c r="D404" s="1566"/>
      <c r="E404" s="1821"/>
      <c r="F404" s="484"/>
      <c r="G404" s="484"/>
      <c r="H404" s="484"/>
      <c r="I404" s="21"/>
      <c r="J404" s="21"/>
      <c r="K404" s="21"/>
      <c r="L404" s="21"/>
      <c r="M404" s="18"/>
      <c r="N404" s="18"/>
      <c r="O404" s="274"/>
    </row>
    <row r="405" spans="1:15" ht="15">
      <c r="A405" s="9"/>
      <c r="B405" s="1420" t="s">
        <v>19</v>
      </c>
      <c r="C405" s="1420"/>
      <c r="D405" s="1420"/>
      <c r="E405" s="1420"/>
      <c r="F405" s="484"/>
      <c r="G405" s="484"/>
      <c r="H405" s="484"/>
      <c r="I405" s="21"/>
      <c r="J405" s="21"/>
      <c r="K405" s="21"/>
      <c r="L405" s="21"/>
      <c r="M405" s="18"/>
      <c r="N405" s="18"/>
    </row>
    <row r="406" spans="1:15" ht="14" thickBot="1">
      <c r="F406" s="484"/>
      <c r="G406" s="484"/>
      <c r="H406" s="484"/>
      <c r="I406" s="21"/>
      <c r="J406" s="21"/>
      <c r="K406" s="21"/>
      <c r="L406" s="21"/>
      <c r="M406" s="18"/>
      <c r="N406" s="18"/>
    </row>
    <row r="407" spans="1:15" s="1168" customFormat="1" ht="17" thickBot="1">
      <c r="A407" s="1170" t="s">
        <v>171</v>
      </c>
      <c r="B407" s="1672"/>
      <c r="C407" s="1913"/>
      <c r="D407" s="1672"/>
      <c r="E407" s="1913"/>
      <c r="F407" s="1567"/>
      <c r="G407" s="1586"/>
      <c r="H407" s="1176"/>
      <c r="I407" s="1178"/>
      <c r="J407" s="1178"/>
      <c r="K407" s="1178"/>
      <c r="L407" s="1178"/>
      <c r="M407" s="1672"/>
      <c r="N407" s="1673"/>
      <c r="O407" s="121"/>
    </row>
    <row r="408" spans="1:15" ht="14" thickBot="1">
      <c r="A408" s="335" t="s">
        <v>272</v>
      </c>
      <c r="B408" s="2209">
        <v>114</v>
      </c>
      <c r="C408" s="2210"/>
      <c r="D408" s="2243">
        <f>F408*325851</f>
        <v>23135421</v>
      </c>
      <c r="E408" s="2212"/>
      <c r="F408" s="2211">
        <v>71</v>
      </c>
      <c r="G408" s="2212"/>
      <c r="H408" s="848">
        <f>F408*5</f>
        <v>355</v>
      </c>
      <c r="I408" s="82">
        <v>0</v>
      </c>
      <c r="J408" s="82">
        <v>18750</v>
      </c>
      <c r="K408" s="83">
        <v>15100</v>
      </c>
      <c r="L408" s="82">
        <f>SUM(I408:K408)</f>
        <v>33850</v>
      </c>
      <c r="M408" s="1875">
        <f>L408/(F408*861)</f>
        <v>0.55372887732901477</v>
      </c>
      <c r="N408" s="1455"/>
    </row>
    <row r="409" spans="1:15" s="1168" customFormat="1" ht="17" thickBot="1">
      <c r="A409" s="1171" t="s">
        <v>172</v>
      </c>
      <c r="B409" s="1416">
        <f>SUM(B402,B408)</f>
        <v>61630</v>
      </c>
      <c r="C409" s="1682"/>
      <c r="D409" s="1416">
        <f>SUM(D402,D408)</f>
        <v>199157850.243</v>
      </c>
      <c r="E409" s="1682"/>
      <c r="F409" s="1416">
        <f>SUM(F402,F408)</f>
        <v>611.19299999999998</v>
      </c>
      <c r="G409" s="1415"/>
      <c r="H409" s="1179">
        <f>SUM(H408,H402)</f>
        <v>6348.2980000000007</v>
      </c>
      <c r="I409" s="1175">
        <f>SUM(I408,I402)</f>
        <v>552041.28</v>
      </c>
      <c r="J409" s="1175">
        <f>SUM(J402,J408)</f>
        <v>164427.72</v>
      </c>
      <c r="K409" s="1175">
        <f>SUM(K408,K402)</f>
        <v>496808</v>
      </c>
      <c r="L409" s="1175">
        <f>SUM(L402,L408)</f>
        <v>1213277</v>
      </c>
      <c r="M409" s="2186"/>
      <c r="N409" s="1673"/>
      <c r="O409" s="121"/>
    </row>
    <row r="410" spans="1:15" ht="16">
      <c r="A410" s="343"/>
      <c r="B410" s="340"/>
      <c r="C410" s="882"/>
      <c r="D410" s="340"/>
      <c r="E410" s="882"/>
      <c r="F410" s="340"/>
      <c r="G410" s="340"/>
      <c r="H410" s="340"/>
      <c r="I410" s="341"/>
      <c r="J410" s="341"/>
      <c r="K410" s="341"/>
      <c r="L410" s="341"/>
      <c r="M410" s="883"/>
      <c r="N410" s="883"/>
    </row>
    <row r="411" spans="1:15" ht="17" thickBot="1">
      <c r="A411" s="343"/>
      <c r="B411" s="340"/>
      <c r="C411" s="882"/>
      <c r="D411" s="340"/>
      <c r="E411" s="882"/>
      <c r="F411" s="340"/>
      <c r="G411" s="340"/>
      <c r="H411" s="340"/>
      <c r="I411" s="341"/>
      <c r="J411" s="341"/>
      <c r="K411" s="341"/>
      <c r="L411" s="341"/>
      <c r="M411" s="883"/>
      <c r="N411" s="883"/>
    </row>
    <row r="412" spans="1:15" ht="16">
      <c r="A412" s="98"/>
      <c r="B412" s="99"/>
      <c r="C412" s="99"/>
      <c r="D412" s="99"/>
      <c r="E412" s="99"/>
      <c r="F412" s="421"/>
      <c r="G412" s="421"/>
      <c r="H412" s="421"/>
      <c r="I412" s="1853" t="s">
        <v>0</v>
      </c>
      <c r="J412" s="1853"/>
      <c r="K412" s="1853"/>
      <c r="L412" s="1853"/>
      <c r="M412" s="99"/>
      <c r="N412" s="101"/>
    </row>
    <row r="413" spans="1:15" s="91" customFormat="1" ht="16">
      <c r="A413" s="97"/>
      <c r="B413" s="1469" t="s">
        <v>1</v>
      </c>
      <c r="C413" s="1469"/>
      <c r="D413" s="1469" t="s">
        <v>2</v>
      </c>
      <c r="E413" s="1469"/>
      <c r="F413" s="1863" t="s">
        <v>3</v>
      </c>
      <c r="G413" s="1863"/>
      <c r="H413" s="794" t="s">
        <v>3</v>
      </c>
      <c r="I413" s="127" t="s">
        <v>195</v>
      </c>
      <c r="J413" s="349"/>
      <c r="K413" s="349"/>
      <c r="L413" s="128"/>
      <c r="M413" s="1469" t="s">
        <v>4</v>
      </c>
      <c r="N413" s="1526"/>
      <c r="O413" s="274"/>
    </row>
    <row r="414" spans="1:15" ht="19" thickBot="1">
      <c r="A414" s="103" t="s">
        <v>5</v>
      </c>
      <c r="B414" s="1473" t="s">
        <v>6</v>
      </c>
      <c r="C414" s="1473"/>
      <c r="D414" s="1473" t="s">
        <v>7</v>
      </c>
      <c r="E414" s="1473"/>
      <c r="F414" s="1864" t="s">
        <v>7</v>
      </c>
      <c r="G414" s="1864"/>
      <c r="H414" s="796" t="s">
        <v>58</v>
      </c>
      <c r="I414" s="797" t="s">
        <v>196</v>
      </c>
      <c r="J414" s="795" t="s">
        <v>8</v>
      </c>
      <c r="K414" s="795" t="s">
        <v>9</v>
      </c>
      <c r="L414" s="401" t="s">
        <v>10</v>
      </c>
      <c r="M414" s="1473" t="s">
        <v>145</v>
      </c>
      <c r="N414" s="1475"/>
    </row>
    <row r="415" spans="1:15" ht="24" thickBot="1">
      <c r="A415" s="88" t="s">
        <v>163</v>
      </c>
      <c r="B415" s="1751"/>
      <c r="C415" s="1477"/>
      <c r="D415" s="1478"/>
      <c r="E415" s="1479"/>
      <c r="F415" s="1878"/>
      <c r="G415" s="1879"/>
      <c r="H415" s="435"/>
      <c r="I415" s="7"/>
      <c r="J415" s="7"/>
      <c r="K415" s="7"/>
      <c r="L415" s="373"/>
      <c r="M415" s="1751"/>
      <c r="N415" s="1765"/>
    </row>
    <row r="416" spans="1:15" s="1168" customFormat="1" ht="17" thickBot="1">
      <c r="A416" s="108" t="s">
        <v>48</v>
      </c>
      <c r="B416" s="1457"/>
      <c r="C416" s="1586"/>
      <c r="D416" s="1567"/>
      <c r="E416" s="1586"/>
      <c r="F416" s="1619"/>
      <c r="G416" s="1620"/>
      <c r="H416" s="1158"/>
      <c r="I416" s="109"/>
      <c r="J416" s="109"/>
      <c r="K416" s="109"/>
      <c r="L416" s="1142"/>
      <c r="M416" s="1485"/>
      <c r="N416" s="1486"/>
      <c r="O416" s="121"/>
    </row>
    <row r="417" spans="1:15" s="57" customFormat="1">
      <c r="A417" s="32" t="s">
        <v>29</v>
      </c>
      <c r="B417" s="1444">
        <f>'Ontario Total'!B373:C373+'Chino Total'!B373:C373+'Chino Hills Total'!B373:C373+'MVWD Total '!B373:C373+'Upland Total'!B372:C372+'FWC Total'!B374:C374+'SAWC Total'!B335:C335+'CVWD Total'!B373:C373</f>
        <v>105</v>
      </c>
      <c r="C417" s="1422"/>
      <c r="D417" s="1431">
        <f>F417*325851</f>
        <v>1454110.0875000001</v>
      </c>
      <c r="E417" s="1422"/>
      <c r="F417" s="1431">
        <f>0.0425*B417</f>
        <v>4.4625000000000004</v>
      </c>
      <c r="G417" s="1422"/>
      <c r="H417" s="806">
        <f>F417*20</f>
        <v>89.25</v>
      </c>
      <c r="I417" s="131">
        <v>0</v>
      </c>
      <c r="J417" s="131">
        <f>35*B417</f>
        <v>3675</v>
      </c>
      <c r="K417" s="131">
        <f>B417*50</f>
        <v>5250</v>
      </c>
      <c r="L417" s="169">
        <f>I417+J417+K417</f>
        <v>8925</v>
      </c>
      <c r="M417" s="1942">
        <f t="shared" ref="M417:M423" si="38">L417/(F417*498.5)</f>
        <v>4.0120361083249749</v>
      </c>
      <c r="N417" s="1793"/>
      <c r="O417" s="121"/>
    </row>
    <row r="418" spans="1:15">
      <c r="A418" s="32" t="s">
        <v>33</v>
      </c>
      <c r="B418" s="1444">
        <f>'Ontario Total'!B374:C374+'Chino Total'!B374:C374+'Chino Hills Total'!B374:C374+'MVWD Total '!B374:C374+'Upland Total'!B373:C373+'FWC Total'!B375:C375+'SAWC Total'!B336:C336+'CVWD Total'!B374:C374</f>
        <v>2137</v>
      </c>
      <c r="C418" s="1422"/>
      <c r="D418" s="1431">
        <f>F418*325851</f>
        <v>19219083.001200002</v>
      </c>
      <c r="E418" s="1422"/>
      <c r="F418" s="1431">
        <f>0.0276*B418</f>
        <v>58.981200000000001</v>
      </c>
      <c r="G418" s="1422"/>
      <c r="H418" s="806">
        <f>F418*15</f>
        <v>884.71800000000007</v>
      </c>
      <c r="I418" s="131">
        <f>0*B418</f>
        <v>0</v>
      </c>
      <c r="J418" s="131">
        <v>0</v>
      </c>
      <c r="K418" s="131">
        <f>B418*85</f>
        <v>181645</v>
      </c>
      <c r="L418" s="169">
        <f>I418+J418+K418</f>
        <v>181645</v>
      </c>
      <c r="M418" s="1758">
        <f t="shared" si="38"/>
        <v>6.177954152312009</v>
      </c>
      <c r="N418" s="1759"/>
    </row>
    <row r="419" spans="1:15">
      <c r="A419" s="32" t="s">
        <v>56</v>
      </c>
      <c r="B419" s="1444">
        <f>'Ontario Total'!B375:C375+'Chino Total'!B375:C375+'Chino Hills Total'!B375:C375+'MVWD Total '!B375:C375+'Upland Total'!B374:C374+'FWC Total'!B376:C376+'SAWC Total'!B337:C337+'CVWD Total'!B375:C375</f>
        <v>1219</v>
      </c>
      <c r="C419" s="1422"/>
      <c r="D419" s="1431">
        <f>F419*325851</f>
        <v>1588849.476</v>
      </c>
      <c r="E419" s="1422"/>
      <c r="F419" s="1431">
        <f>0.004*B419</f>
        <v>4.8760000000000003</v>
      </c>
      <c r="G419" s="1422"/>
      <c r="H419" s="806">
        <f>F419*5</f>
        <v>24.380000000000003</v>
      </c>
      <c r="I419" s="131">
        <f>0*B419</f>
        <v>0</v>
      </c>
      <c r="J419" s="131">
        <f>2*B419</f>
        <v>2438</v>
      </c>
      <c r="K419" s="131">
        <f>B419*3</f>
        <v>3657</v>
      </c>
      <c r="L419" s="169">
        <f>I419+J419+K419</f>
        <v>6095</v>
      </c>
      <c r="M419" s="1943">
        <f t="shared" si="38"/>
        <v>2.5075225677031092</v>
      </c>
      <c r="N419" s="1759"/>
    </row>
    <row r="420" spans="1:15">
      <c r="A420" s="107" t="s">
        <v>30</v>
      </c>
      <c r="B420" s="1444">
        <f>'Ontario Total'!B376:C376+'Chino Total'!B376:C376+'Chino Hills Total'!B376:C376+'MVWD Total '!B376:C376+'Upland Total'!B375:C375+'FWC Total'!B377:C377+'SAWC Total'!B338:C338+'CVWD Total'!B376:C376</f>
        <v>28</v>
      </c>
      <c r="C420" s="1422"/>
      <c r="D420" s="1431">
        <f>F420*325851</f>
        <v>2965244.1</v>
      </c>
      <c r="E420" s="1422"/>
      <c r="F420" s="1431">
        <f>0.325*B420</f>
        <v>9.1</v>
      </c>
      <c r="G420" s="1422"/>
      <c r="H420" s="806">
        <f>F420*10</f>
        <v>91</v>
      </c>
      <c r="I420" s="131">
        <v>0</v>
      </c>
      <c r="J420" s="131">
        <f>45*B420</f>
        <v>1260</v>
      </c>
      <c r="K420" s="131">
        <f>B420*80</f>
        <v>2240</v>
      </c>
      <c r="L420" s="169">
        <f>I420+J420+K420</f>
        <v>3500</v>
      </c>
      <c r="M420" s="1943">
        <f t="shared" si="38"/>
        <v>0.7715454054471107</v>
      </c>
      <c r="N420" s="1759"/>
    </row>
    <row r="421" spans="1:15">
      <c r="A421" s="76" t="s">
        <v>177</v>
      </c>
      <c r="B421" s="1444">
        <f>'Ontario Total'!B377:C377+'Chino Total'!B377:C377+'Chino Hills Total'!B377:C377+'MVWD Total '!B377:C377+'Upland Total'!B376:C376+'FWC Total'!B378:C378+'SAWC Total'!B339:C339+'CVWD Total'!B377:C377</f>
        <v>11</v>
      </c>
      <c r="C421" s="1422"/>
      <c r="D421" s="1431">
        <f>F421*325900</f>
        <v>4622689.4419999998</v>
      </c>
      <c r="E421" s="1422"/>
      <c r="F421" s="1431">
        <f>0.00014*101317</f>
        <v>14.184379999999999</v>
      </c>
      <c r="G421" s="1422"/>
      <c r="H421" s="806">
        <f>F421*10</f>
        <v>141.84379999999999</v>
      </c>
      <c r="I421" s="133">
        <v>0</v>
      </c>
      <c r="J421" s="133">
        <f>9477*0.45</f>
        <v>4264.6500000000005</v>
      </c>
      <c r="K421" s="133">
        <f>9477*0.3</f>
        <v>2843.1</v>
      </c>
      <c r="L421" s="169">
        <f>SUM(I421:K421)</f>
        <v>7107.75</v>
      </c>
      <c r="M421" s="1943">
        <f t="shared" si="38"/>
        <v>1.0052095914289818</v>
      </c>
      <c r="N421" s="1759"/>
    </row>
    <row r="422" spans="1:15" s="91" customFormat="1" ht="16">
      <c r="A422" s="76" t="s">
        <v>165</v>
      </c>
      <c r="B422" s="1444">
        <v>24931</v>
      </c>
      <c r="C422" s="1422"/>
      <c r="D422" s="1431">
        <f>F422*325900</f>
        <v>32500051.600000001</v>
      </c>
      <c r="E422" s="1422"/>
      <c r="F422" s="1431">
        <f>B422*0.004</f>
        <v>99.724000000000004</v>
      </c>
      <c r="G422" s="1422"/>
      <c r="H422" s="813">
        <f>F422*5</f>
        <v>498.62</v>
      </c>
      <c r="I422" s="133">
        <v>0</v>
      </c>
      <c r="J422" s="133">
        <v>0</v>
      </c>
      <c r="K422" s="133">
        <v>74793</v>
      </c>
      <c r="L422" s="334">
        <f>SUM(I422:K422)</f>
        <v>74793</v>
      </c>
      <c r="M422" s="1943">
        <f t="shared" si="38"/>
        <v>1.5045135406218655</v>
      </c>
      <c r="N422" s="1759"/>
      <c r="O422" s="274"/>
    </row>
    <row r="423" spans="1:15" ht="14" thickBot="1">
      <c r="A423" s="76" t="s">
        <v>166</v>
      </c>
      <c r="B423" s="1444">
        <f>'Ontario Total'!B379:C379+'Chino Total'!B379:C379+'Chino Hills Total'!B379:C379+'MVWD Total '!B379:C379+'Upland Total'!B378:C378+'FWC Total'!B380:C380+'SAWC Total'!B341:C341+'CVWD Total'!B379:C379</f>
        <v>507</v>
      </c>
      <c r="C423" s="1422"/>
      <c r="D423" s="1431">
        <f>F423*325900</f>
        <v>19879900</v>
      </c>
      <c r="E423" s="1422"/>
      <c r="F423" s="1431">
        <v>61</v>
      </c>
      <c r="G423" s="1422"/>
      <c r="H423" s="813">
        <v>553</v>
      </c>
      <c r="I423" s="133">
        <v>0</v>
      </c>
      <c r="J423" s="133">
        <v>46746.34</v>
      </c>
      <c r="K423" s="133">
        <v>38512.519999999997</v>
      </c>
      <c r="L423" s="334">
        <f>SUM(J423:K423)</f>
        <v>85258.859999999986</v>
      </c>
      <c r="M423" s="1943">
        <f t="shared" si="38"/>
        <v>2.8037838104477362</v>
      </c>
      <c r="N423" s="1759"/>
    </row>
    <row r="424" spans="1:15" ht="14" thickBot="1">
      <c r="A424" s="53" t="s">
        <v>60</v>
      </c>
      <c r="B424" s="1440">
        <f>SUM(B417:C423)</f>
        <v>28938</v>
      </c>
      <c r="C424" s="1609"/>
      <c r="D424" s="1440">
        <f>SUM(D417:E423)</f>
        <v>82229927.706699997</v>
      </c>
      <c r="E424" s="1609"/>
      <c r="F424" s="1440">
        <f>SUM(F417:G423)</f>
        <v>252.32808</v>
      </c>
      <c r="G424" s="1439"/>
      <c r="H424" s="792">
        <f>SUM(H417:H423)</f>
        <v>2282.8117999999999</v>
      </c>
      <c r="I424" s="143">
        <f>SUM(I417:I423)</f>
        <v>0</v>
      </c>
      <c r="J424" s="136">
        <f>SUM(J417:J423)</f>
        <v>58383.99</v>
      </c>
      <c r="K424" s="136">
        <f>SUM(K417:K423)</f>
        <v>308940.62</v>
      </c>
      <c r="L424" s="136">
        <f>SUM(L417:L423)</f>
        <v>367324.61</v>
      </c>
      <c r="M424" s="1637"/>
      <c r="N424" s="1611"/>
    </row>
    <row r="425" spans="1:15" s="1161" customFormat="1" ht="17" thickBot="1">
      <c r="A425" s="108" t="s">
        <v>125</v>
      </c>
      <c r="B425" s="1457"/>
      <c r="C425" s="1586"/>
      <c r="D425" s="1567"/>
      <c r="E425" s="1586"/>
      <c r="F425" s="1567"/>
      <c r="G425" s="1586"/>
      <c r="H425" s="1141"/>
      <c r="I425" s="161"/>
      <c r="J425" s="161"/>
      <c r="K425" s="161"/>
      <c r="L425" s="374"/>
      <c r="M425" s="1485"/>
      <c r="N425" s="1486"/>
      <c r="O425" s="274"/>
    </row>
    <row r="426" spans="1:15" ht="14" thickBot="1">
      <c r="A426" s="76" t="s">
        <v>125</v>
      </c>
      <c r="B426" s="1444">
        <v>1428</v>
      </c>
      <c r="C426" s="1422"/>
      <c r="D426" s="1431">
        <f>F426*325851</f>
        <v>19775897.190000001</v>
      </c>
      <c r="E426" s="1422"/>
      <c r="F426" s="1467">
        <f>0.0425*B426</f>
        <v>60.690000000000005</v>
      </c>
      <c r="G426" s="1433"/>
      <c r="H426" s="813">
        <f>F426*20</f>
        <v>1213.8000000000002</v>
      </c>
      <c r="I426" s="131">
        <f>73.34*B426</f>
        <v>104729.52</v>
      </c>
      <c r="J426" s="131">
        <f>35.66*B426</f>
        <v>50922.479999999996</v>
      </c>
      <c r="K426" s="131">
        <f>B426*50</f>
        <v>71400</v>
      </c>
      <c r="L426" s="169">
        <f>I426+J426+K426</f>
        <v>227052</v>
      </c>
      <c r="M426" s="1943">
        <f>L426/(F426*498.5)</f>
        <v>7.5048675438078929</v>
      </c>
      <c r="N426" s="1759"/>
    </row>
    <row r="427" spans="1:15" ht="14" thickBot="1">
      <c r="A427" s="53" t="s">
        <v>60</v>
      </c>
      <c r="B427" s="1438">
        <f>SUM(B426)</f>
        <v>1428</v>
      </c>
      <c r="C427" s="1609"/>
      <c r="D427" s="1440">
        <f>SUM(D426)</f>
        <v>19775897.190000001</v>
      </c>
      <c r="E427" s="1621"/>
      <c r="F427" s="1441">
        <f>SUM(F426)</f>
        <v>60.690000000000005</v>
      </c>
      <c r="G427" s="1439"/>
      <c r="H427" s="792">
        <f>SUM(H426)</f>
        <v>1213.8000000000002</v>
      </c>
      <c r="I427" s="143">
        <f>SUM(I426)</f>
        <v>104729.52</v>
      </c>
      <c r="J427" s="143">
        <f>SUM(J426)</f>
        <v>50922.479999999996</v>
      </c>
      <c r="K427" s="143">
        <f>SUM(K426)</f>
        <v>71400</v>
      </c>
      <c r="L427" s="136">
        <f>SUM(L426)</f>
        <v>227052</v>
      </c>
      <c r="M427" s="1637"/>
      <c r="N427" s="1611"/>
    </row>
    <row r="428" spans="1:15" s="1168" customFormat="1" ht="17" thickBot="1">
      <c r="A428" s="108" t="s">
        <v>50</v>
      </c>
      <c r="B428" s="1456"/>
      <c r="C428" s="1586"/>
      <c r="D428" s="1457"/>
      <c r="E428" s="1586"/>
      <c r="F428" s="1567"/>
      <c r="G428" s="1586"/>
      <c r="H428" s="1141"/>
      <c r="I428" s="161"/>
      <c r="J428" s="161"/>
      <c r="K428" s="161"/>
      <c r="L428" s="374"/>
      <c r="M428" s="1485"/>
      <c r="N428" s="1486"/>
      <c r="O428" s="121"/>
    </row>
    <row r="429" spans="1:15">
      <c r="A429" s="32" t="s">
        <v>29</v>
      </c>
      <c r="B429" s="1444">
        <f>'Ontario Total'!B385:C385+'Chino Total'!B385:C385+'Chino Hills Total'!B385:C385+'MVWD Total '!B385:C385+'Upland Total'!B384:C384+'FWC Total'!B385:C385+'SAWC Total'!B348:C348+'CVWD Total'!B385:C385</f>
        <v>31</v>
      </c>
      <c r="C429" s="1422"/>
      <c r="D429" s="1444">
        <f t="shared" ref="D429:D434" si="39">F429*325851</f>
        <v>429308.69250000006</v>
      </c>
      <c r="E429" s="1422"/>
      <c r="F429" s="1431">
        <f>0.0425*B429</f>
        <v>1.3175000000000001</v>
      </c>
      <c r="G429" s="1422"/>
      <c r="H429" s="806">
        <f>F429*20</f>
        <v>26.35</v>
      </c>
      <c r="I429" s="131">
        <v>0</v>
      </c>
      <c r="J429" s="131">
        <f>35*B429</f>
        <v>1085</v>
      </c>
      <c r="K429" s="131">
        <f>50*B429</f>
        <v>1550</v>
      </c>
      <c r="L429" s="169">
        <f t="shared" ref="L429:L436" si="40">SUM(I429:K429)</f>
        <v>2635</v>
      </c>
      <c r="M429" s="1943">
        <f t="shared" ref="M429:M434" si="41">L429/(F429*498.5)</f>
        <v>4.0120361083249749</v>
      </c>
      <c r="N429" s="1759"/>
    </row>
    <row r="430" spans="1:15">
      <c r="A430" s="32" t="s">
        <v>51</v>
      </c>
      <c r="B430" s="1444">
        <f>'Ontario Total'!B386:C386+'Chino Total'!B386:C386+'Chino Hills Total'!B386:C386+'MVWD Total '!B386:C386+'Upland Total'!B385:C385+'FWC Total'!B386:C386+'SAWC Total'!B349:C349+'CVWD Total'!B386:C386</f>
        <v>238</v>
      </c>
      <c r="C430" s="1422"/>
      <c r="D430" s="1444">
        <f t="shared" si="39"/>
        <v>9515696.4125999995</v>
      </c>
      <c r="E430" s="1422"/>
      <c r="F430" s="1431">
        <f>0.1227*B430</f>
        <v>29.2026</v>
      </c>
      <c r="G430" s="1422"/>
      <c r="H430" s="806">
        <f>F430*20</f>
        <v>584.05200000000002</v>
      </c>
      <c r="I430" s="131">
        <v>0</v>
      </c>
      <c r="J430" s="131">
        <f>B430*50</f>
        <v>11900</v>
      </c>
      <c r="K430" s="131">
        <f>200*B430</f>
        <v>47600</v>
      </c>
      <c r="L430" s="169">
        <f t="shared" si="40"/>
        <v>59500</v>
      </c>
      <c r="M430" s="1943">
        <f t="shared" si="41"/>
        <v>4.0872413491493225</v>
      </c>
      <c r="N430" s="1759"/>
    </row>
    <row r="431" spans="1:15" s="57" customFormat="1">
      <c r="A431" s="78" t="s">
        <v>170</v>
      </c>
      <c r="B431" s="1444">
        <f>'Ontario Total'!B387:C387+'Chino Total'!B387:C387+'Chino Hills Total'!B387:C387+'MVWD Total '!B387:C387+'Upland Total'!B386:C386+'FWC Total'!B387:C387+'SAWC Total'!B350:C350+'CVWD Total'!B387:C387</f>
        <v>5</v>
      </c>
      <c r="C431" s="1422"/>
      <c r="D431" s="1444">
        <f t="shared" si="39"/>
        <v>3167271.7199999997</v>
      </c>
      <c r="E431" s="1422"/>
      <c r="F431" s="1431">
        <f>B431*1.944</f>
        <v>9.7199999999999989</v>
      </c>
      <c r="G431" s="1422"/>
      <c r="H431" s="806">
        <f>F431*5</f>
        <v>48.599999999999994</v>
      </c>
      <c r="I431" s="131">
        <v>0</v>
      </c>
      <c r="J431" s="131">
        <f>B431*500</f>
        <v>2500</v>
      </c>
      <c r="K431" s="131">
        <f>B431*1750</f>
        <v>8750</v>
      </c>
      <c r="L431" s="169">
        <f t="shared" si="40"/>
        <v>11250</v>
      </c>
      <c r="M431" s="1943">
        <f t="shared" si="41"/>
        <v>2.3217801552806572</v>
      </c>
      <c r="N431" s="1759"/>
      <c r="O431" s="121"/>
    </row>
    <row r="432" spans="1:15" hidden="1">
      <c r="A432" s="34" t="s">
        <v>13</v>
      </c>
      <c r="B432" s="1444">
        <f>'Ontario Total'!B388:C388+'Chino Total'!B388:C388+'Chino Hills Total'!B388:C388+'MVWD Total '!B388:C388+'Upland Total'!B387:C387+'FWC Total'!B388:C388+'SAWC Total'!B351:C351+'CVWD Total'!B388:C388</f>
        <v>0</v>
      </c>
      <c r="C432" s="1422"/>
      <c r="D432" s="1444">
        <f t="shared" si="39"/>
        <v>0</v>
      </c>
      <c r="E432" s="1422"/>
      <c r="F432" s="1431">
        <f>0.0276*B432</f>
        <v>0</v>
      </c>
      <c r="G432" s="1422"/>
      <c r="H432" s="806">
        <f>F432*10</f>
        <v>0</v>
      </c>
      <c r="I432" s="131">
        <v>0</v>
      </c>
      <c r="J432" s="131">
        <f>100*B432</f>
        <v>0</v>
      </c>
      <c r="K432" s="131">
        <f>80*B432</f>
        <v>0</v>
      </c>
      <c r="L432" s="169">
        <f t="shared" si="40"/>
        <v>0</v>
      </c>
      <c r="M432" s="1943">
        <v>0</v>
      </c>
      <c r="N432" s="1759"/>
    </row>
    <row r="433" spans="1:15" hidden="1">
      <c r="A433" s="34" t="s">
        <v>47</v>
      </c>
      <c r="B433" s="1444">
        <f>'Ontario Total'!B389:C389+'Chino Total'!B389:C389+'Chino Hills Total'!B389:C389+'MVWD Total '!B389:C389+'Upland Total'!B388:C388+'FWC Total'!B389:C389+'SAWC Total'!B352:C352+'CVWD Total'!B389:C389</f>
        <v>0</v>
      </c>
      <c r="C433" s="1422"/>
      <c r="D433" s="1444">
        <f t="shared" si="39"/>
        <v>0</v>
      </c>
      <c r="E433" s="1422"/>
      <c r="F433" s="1431">
        <f>0.1534*B433</f>
        <v>0</v>
      </c>
      <c r="G433" s="1422"/>
      <c r="H433" s="806">
        <f>F433*5</f>
        <v>0</v>
      </c>
      <c r="I433" s="131">
        <v>0</v>
      </c>
      <c r="J433" s="131">
        <f>0*B433</f>
        <v>0</v>
      </c>
      <c r="K433" s="131">
        <f>150*B433</f>
        <v>0</v>
      </c>
      <c r="L433" s="169">
        <f t="shared" si="40"/>
        <v>0</v>
      </c>
      <c r="M433" s="1943">
        <v>0</v>
      </c>
      <c r="N433" s="1759"/>
    </row>
    <row r="434" spans="1:15">
      <c r="A434" s="34" t="s">
        <v>30</v>
      </c>
      <c r="B434" s="1444">
        <f>'Ontario Total'!B390:C390+'Chino Total'!B390:C390+'Chino Hills Total'!B390:C390+'MVWD Total '!B390:C390+'Upland Total'!B389:C389+'FWC Total'!B390:C390+'SAWC Total'!B353:C353+'CVWD Total'!B390:C390</f>
        <v>46</v>
      </c>
      <c r="C434" s="1422"/>
      <c r="D434" s="1444">
        <f t="shared" si="39"/>
        <v>4871472.45</v>
      </c>
      <c r="E434" s="1422"/>
      <c r="F434" s="1431">
        <f>0.325*B434</f>
        <v>14.950000000000001</v>
      </c>
      <c r="G434" s="1422"/>
      <c r="H434" s="806">
        <f>F434*10</f>
        <v>149.5</v>
      </c>
      <c r="I434" s="131">
        <v>0</v>
      </c>
      <c r="J434" s="131">
        <v>10715</v>
      </c>
      <c r="K434" s="131">
        <v>24975</v>
      </c>
      <c r="L434" s="169">
        <f>SUM(J434:K434)</f>
        <v>35690</v>
      </c>
      <c r="M434" s="1943">
        <f t="shared" si="41"/>
        <v>4.7889487861578042</v>
      </c>
      <c r="N434" s="1759"/>
    </row>
    <row r="435" spans="1:15">
      <c r="A435" s="34" t="s">
        <v>150</v>
      </c>
      <c r="B435" s="1444">
        <f>'Ontario Total'!B391:C391+'Chino Total'!B391:C391+'Chino Hills Total'!B391:C391+'MVWD Total '!B391:C391+'Upland Total'!B390:C390+'FWC Total'!B391:C391+'SAWC Total'!B354:C354+'CVWD Total'!B391:C391</f>
        <v>0</v>
      </c>
      <c r="C435" s="1422"/>
      <c r="D435" s="1444">
        <f>F435*0</f>
        <v>0</v>
      </c>
      <c r="E435" s="1422"/>
      <c r="F435" s="1431">
        <f>0.00014*0</f>
        <v>0</v>
      </c>
      <c r="G435" s="1422"/>
      <c r="H435" s="806">
        <f>F435*10</f>
        <v>0</v>
      </c>
      <c r="I435" s="131">
        <v>0</v>
      </c>
      <c r="J435" s="131">
        <f>0.45*0</f>
        <v>0</v>
      </c>
      <c r="K435" s="131">
        <f>0.3*0</f>
        <v>0</v>
      </c>
      <c r="L435" s="169">
        <f t="shared" si="40"/>
        <v>0</v>
      </c>
      <c r="M435" s="1943">
        <v>0</v>
      </c>
      <c r="N435" s="1759"/>
    </row>
    <row r="436" spans="1:15">
      <c r="A436" s="33" t="s">
        <v>56</v>
      </c>
      <c r="B436" s="1444">
        <f>'Ontario Total'!B392:C392+'Chino Total'!B392:C392+'Chino Hills Total'!B392:C392+'MVWD Total '!B392:C392+'Upland Total'!B391:C391+'FWC Total'!B392:C392+'SAWC Total'!B355:C355+'CVWD Total'!B392:C392</f>
        <v>3069</v>
      </c>
      <c r="C436" s="1422"/>
      <c r="D436" s="1444">
        <f>F436*325851</f>
        <v>4000146.8760000002</v>
      </c>
      <c r="E436" s="1422"/>
      <c r="F436" s="1431">
        <f>0.004*B436</f>
        <v>12.276</v>
      </c>
      <c r="G436" s="1422"/>
      <c r="H436" s="806">
        <f>F436*5</f>
        <v>61.379999999999995</v>
      </c>
      <c r="I436" s="131">
        <v>0</v>
      </c>
      <c r="J436" s="131">
        <f>1*B436</f>
        <v>3069</v>
      </c>
      <c r="K436" s="131">
        <f>3*B436</f>
        <v>9207</v>
      </c>
      <c r="L436" s="169">
        <f t="shared" si="40"/>
        <v>12276</v>
      </c>
      <c r="M436" s="1943">
        <f>L436/(F436*498.5)</f>
        <v>2.0060180541624875</v>
      </c>
      <c r="N436" s="1759"/>
    </row>
    <row r="437" spans="1:15">
      <c r="A437" s="76" t="s">
        <v>122</v>
      </c>
      <c r="B437" s="1444">
        <f>'Ontario Total'!B393:C393+'Chino Total'!B393:C393+'Chino Hills Total'!B393:C393+'MVWD Total '!B393:C393+'Upland Total'!B392:C392+'FWC Total'!B393:C393+'SAWC Total'!B356:C356+'CVWD Total'!B393:C393</f>
        <v>0</v>
      </c>
      <c r="C437" s="1422"/>
      <c r="D437" s="1444">
        <f>F437*325851</f>
        <v>0</v>
      </c>
      <c r="E437" s="1422"/>
      <c r="F437" s="1431">
        <f>0.018*B437</f>
        <v>0</v>
      </c>
      <c r="G437" s="1422"/>
      <c r="H437" s="806">
        <f>F437*10</f>
        <v>0</v>
      </c>
      <c r="I437" s="131">
        <v>0</v>
      </c>
      <c r="J437" s="131">
        <f>0*B437</f>
        <v>0</v>
      </c>
      <c r="K437" s="131">
        <f>13*B437</f>
        <v>0</v>
      </c>
      <c r="L437" s="169">
        <f>SUM(I437:K437)</f>
        <v>0</v>
      </c>
      <c r="M437" s="1943">
        <v>0</v>
      </c>
      <c r="N437" s="1759"/>
    </row>
    <row r="438" spans="1:15" hidden="1">
      <c r="A438" s="33" t="s">
        <v>119</v>
      </c>
      <c r="B438" s="1444">
        <f>'Ontario Total'!B394:C394+'Chino Total'!B394:C394+'Chino Hills Total'!B394:C394+'MVWD Total '!B394:C394+'Upland Total'!B393:C393+'FWC Total'!B394:C394+'SAWC Total'!B357:C357+'CVWD Total'!B394:C394</f>
        <v>0</v>
      </c>
      <c r="C438" s="1422"/>
      <c r="D438" s="1444">
        <f>F438*325851</f>
        <v>0</v>
      </c>
      <c r="E438" s="1422"/>
      <c r="F438" s="1431">
        <f>0.153*B438</f>
        <v>0</v>
      </c>
      <c r="G438" s="1422"/>
      <c r="H438" s="806">
        <f>F438*5</f>
        <v>0</v>
      </c>
      <c r="I438" s="131">
        <v>0</v>
      </c>
      <c r="J438" s="131">
        <f>0*B438</f>
        <v>0</v>
      </c>
      <c r="K438" s="131">
        <f>60*B438</f>
        <v>0</v>
      </c>
      <c r="L438" s="169">
        <f>SUM(I438:K438)</f>
        <v>0</v>
      </c>
      <c r="M438" s="1943">
        <v>0</v>
      </c>
      <c r="N438" s="1759"/>
    </row>
    <row r="439" spans="1:15" ht="14" thickBot="1">
      <c r="A439" s="33" t="s">
        <v>167</v>
      </c>
      <c r="B439" s="1444">
        <f>'FWC Total'!B395:C395</f>
        <v>1899</v>
      </c>
      <c r="C439" s="1422"/>
      <c r="D439" s="1444">
        <f>F439*325900</f>
        <v>28679200</v>
      </c>
      <c r="E439" s="1422"/>
      <c r="F439" s="1431">
        <v>88</v>
      </c>
      <c r="G439" s="1422"/>
      <c r="H439" s="806">
        <v>709</v>
      </c>
      <c r="I439" s="131">
        <v>321643</v>
      </c>
      <c r="J439" s="131">
        <v>0</v>
      </c>
      <c r="K439" s="131">
        <v>33900</v>
      </c>
      <c r="L439" s="169">
        <f>SUM(I439:K439)</f>
        <v>355543</v>
      </c>
      <c r="M439" s="1943">
        <f>L439/(F439*498.5)</f>
        <v>8.1048372389896972</v>
      </c>
      <c r="N439" s="1759"/>
    </row>
    <row r="440" spans="1:15" ht="14" thickBot="1">
      <c r="A440" s="53" t="s">
        <v>60</v>
      </c>
      <c r="B440" s="1440">
        <f>SUM(B429:C439)</f>
        <v>5288</v>
      </c>
      <c r="C440" s="1609"/>
      <c r="D440" s="1440">
        <f>SUM(D429:E439)</f>
        <v>50663096.151100002</v>
      </c>
      <c r="E440" s="1609"/>
      <c r="F440" s="1440">
        <f>SUM(F429:G439)</f>
        <v>155.46609999999998</v>
      </c>
      <c r="G440" s="1439"/>
      <c r="H440" s="792">
        <f>SUM(H429:H439)</f>
        <v>1578.8820000000001</v>
      </c>
      <c r="I440" s="143">
        <f>SUM(I429:I439)</f>
        <v>321643</v>
      </c>
      <c r="J440" s="136">
        <f>SUM(J429:J439)</f>
        <v>29269</v>
      </c>
      <c r="K440" s="136">
        <f>SUM(K429:K439)</f>
        <v>125982</v>
      </c>
      <c r="L440" s="136">
        <f>SUM(L429:L439)</f>
        <v>476894</v>
      </c>
      <c r="M440" s="1637"/>
      <c r="N440" s="1611"/>
    </row>
    <row r="441" spans="1:15" s="1168" customFormat="1" ht="17" thickBot="1">
      <c r="A441" s="1163" t="s">
        <v>17</v>
      </c>
      <c r="B441" s="1612">
        <f>SUM(,B424,B427,B440)</f>
        <v>35654</v>
      </c>
      <c r="C441" s="1415"/>
      <c r="D441" s="1612">
        <f>SUM(,D424,D427,D440)</f>
        <v>152668921.0478</v>
      </c>
      <c r="E441" s="1415"/>
      <c r="F441" s="1612">
        <f>SUM(,F424,F427,F440)</f>
        <v>468.48417999999998</v>
      </c>
      <c r="G441" s="1415"/>
      <c r="H441" s="1180">
        <f>SUM(,H424,H427,H440)</f>
        <v>5075.4938000000002</v>
      </c>
      <c r="I441" s="1175">
        <f>SUM(,I424,I427,I440)</f>
        <v>426372.52</v>
      </c>
      <c r="J441" s="1169">
        <f>SUM(,J424,J427,J440)</f>
        <v>138575.47</v>
      </c>
      <c r="K441" s="1169">
        <f>SUM(,K424,K427,K440)</f>
        <v>506322.62</v>
      </c>
      <c r="L441" s="1169">
        <f>SUM(,L424,L427,L440)</f>
        <v>1071270.6099999999</v>
      </c>
      <c r="M441" s="1639"/>
      <c r="N441" s="1640"/>
      <c r="O441" s="121"/>
    </row>
    <row r="442" spans="1:15">
      <c r="A442" s="50"/>
      <c r="B442" s="20"/>
      <c r="C442" s="20"/>
      <c r="D442" s="20"/>
      <c r="E442" s="20"/>
      <c r="F442" s="484"/>
      <c r="G442" s="484"/>
      <c r="H442" s="484"/>
      <c r="I442" s="21"/>
      <c r="J442" s="21"/>
      <c r="K442" s="21"/>
      <c r="L442" s="21"/>
      <c r="M442" s="18"/>
      <c r="N442" s="18"/>
    </row>
    <row r="443" spans="1:15" s="91" customFormat="1" ht="16">
      <c r="A443" s="9" t="s">
        <v>18</v>
      </c>
      <c r="B443" s="1695" t="s">
        <v>59</v>
      </c>
      <c r="C443" s="1566"/>
      <c r="D443" s="1566"/>
      <c r="E443" s="1821"/>
      <c r="F443" s="484"/>
      <c r="G443" s="484"/>
      <c r="H443" s="484"/>
      <c r="I443" s="21"/>
      <c r="J443" s="21"/>
      <c r="K443" s="21"/>
      <c r="L443" s="21"/>
      <c r="M443" s="18"/>
      <c r="N443" s="18"/>
      <c r="O443" s="274"/>
    </row>
    <row r="444" spans="1:15" ht="15">
      <c r="A444" s="9"/>
      <c r="B444" s="1420" t="s">
        <v>19</v>
      </c>
      <c r="C444" s="1420"/>
      <c r="D444" s="1420"/>
      <c r="E444" s="1420"/>
      <c r="F444" s="484"/>
      <c r="G444" s="484"/>
      <c r="H444" s="484"/>
      <c r="I444" s="21"/>
      <c r="J444" s="21"/>
      <c r="K444" s="21"/>
      <c r="L444" s="21"/>
      <c r="M444" s="18"/>
      <c r="N444" s="18"/>
    </row>
    <row r="445" spans="1:15" ht="14" thickBot="1">
      <c r="F445" s="484"/>
      <c r="G445" s="484"/>
      <c r="H445" s="484"/>
      <c r="I445" s="21"/>
      <c r="J445" s="21"/>
      <c r="K445" s="21"/>
      <c r="L445" s="21"/>
      <c r="M445" s="18"/>
      <c r="N445" s="18"/>
    </row>
    <row r="446" spans="1:15" s="1168" customFormat="1" ht="17" thickBot="1">
      <c r="A446" s="1170" t="s">
        <v>171</v>
      </c>
      <c r="B446" s="1672"/>
      <c r="C446" s="1913"/>
      <c r="D446" s="1672"/>
      <c r="E446" s="1913"/>
      <c r="F446" s="1567"/>
      <c r="G446" s="1586"/>
      <c r="H446" s="1176"/>
      <c r="I446" s="1178"/>
      <c r="J446" s="1178"/>
      <c r="K446" s="1178"/>
      <c r="L446" s="1178"/>
      <c r="M446" s="1672"/>
      <c r="N446" s="1673"/>
      <c r="O446" s="121"/>
    </row>
    <row r="447" spans="1:15" ht="14" thickBot="1">
      <c r="A447" s="335" t="s">
        <v>272</v>
      </c>
      <c r="B447" s="2244">
        <v>121</v>
      </c>
      <c r="C447" s="2245"/>
      <c r="D447" s="1986">
        <f>F447*325851</f>
        <v>56372223</v>
      </c>
      <c r="E447" s="1646"/>
      <c r="F447" s="1987">
        <v>173</v>
      </c>
      <c r="G447" s="1646"/>
      <c r="H447" s="803">
        <f>F447*5</f>
        <v>865</v>
      </c>
      <c r="I447" s="82">
        <v>0</v>
      </c>
      <c r="J447" s="82">
        <v>18750</v>
      </c>
      <c r="K447" s="83">
        <v>15100</v>
      </c>
      <c r="L447" s="82">
        <f>SUM(I447:K447)</f>
        <v>33850</v>
      </c>
      <c r="M447" s="1875">
        <f>L447/(F447*498.5)</f>
        <v>0.3925070007710994</v>
      </c>
      <c r="N447" s="1455"/>
    </row>
    <row r="448" spans="1:15" s="1168" customFormat="1" ht="17" thickBot="1">
      <c r="A448" s="1171" t="s">
        <v>172</v>
      </c>
      <c r="B448" s="1416">
        <f>SUM(B441,B447)</f>
        <v>35775</v>
      </c>
      <c r="C448" s="1682"/>
      <c r="D448" s="1416">
        <f>SUM(D441,D447)</f>
        <v>209041144.0478</v>
      </c>
      <c r="E448" s="1682"/>
      <c r="F448" s="1416">
        <f>SUM(F441,F447)</f>
        <v>641.48417999999992</v>
      </c>
      <c r="G448" s="1415"/>
      <c r="H448" s="1179">
        <f>SUM(H447,H441)</f>
        <v>5940.4938000000002</v>
      </c>
      <c r="I448" s="1175">
        <f>SUM(I447,I441)</f>
        <v>426372.52</v>
      </c>
      <c r="J448" s="1175">
        <f>SUM(J441,J447)</f>
        <v>157325.47</v>
      </c>
      <c r="K448" s="1175">
        <f>SUM(K447,K441)</f>
        <v>521422.62</v>
      </c>
      <c r="L448" s="1175">
        <f>SUM(L441,L447)</f>
        <v>1105120.6099999999</v>
      </c>
      <c r="M448" s="2186"/>
      <c r="N448" s="1673"/>
      <c r="O448" s="121"/>
    </row>
    <row r="449" spans="1:15" ht="16">
      <c r="A449" s="343"/>
      <c r="B449" s="340"/>
      <c r="C449" s="882"/>
      <c r="D449" s="340"/>
      <c r="E449" s="882"/>
      <c r="F449" s="340"/>
      <c r="G449" s="340"/>
      <c r="H449" s="340"/>
      <c r="I449" s="341"/>
      <c r="J449" s="341"/>
      <c r="K449" s="341"/>
      <c r="L449" s="341"/>
      <c r="M449" s="883"/>
      <c r="N449" s="883"/>
    </row>
    <row r="450" spans="1:15" ht="17" thickBot="1">
      <c r="A450" s="343"/>
      <c r="B450" s="340"/>
      <c r="C450" s="882"/>
      <c r="D450" s="340"/>
      <c r="E450" s="882"/>
      <c r="F450" s="340"/>
      <c r="G450" s="340"/>
      <c r="H450" s="340"/>
      <c r="I450" s="341"/>
      <c r="J450" s="341"/>
      <c r="K450" s="341"/>
      <c r="L450" s="341"/>
      <c r="M450" s="883"/>
      <c r="N450" s="883"/>
    </row>
    <row r="451" spans="1:15" ht="16">
      <c r="A451" s="98"/>
      <c r="B451" s="99"/>
      <c r="C451" s="99"/>
      <c r="D451" s="99"/>
      <c r="E451" s="99"/>
      <c r="F451" s="421"/>
      <c r="G451" s="421"/>
      <c r="H451" s="421"/>
      <c r="I451" s="1468" t="s">
        <v>0</v>
      </c>
      <c r="J451" s="1468"/>
      <c r="K451" s="1468"/>
      <c r="L451" s="1468"/>
      <c r="M451" s="99"/>
      <c r="N451" s="101"/>
    </row>
    <row r="452" spans="1:15" s="91" customFormat="1" ht="16">
      <c r="A452" s="97"/>
      <c r="B452" s="1469" t="s">
        <v>1</v>
      </c>
      <c r="C452" s="1469"/>
      <c r="D452" s="1469" t="s">
        <v>2</v>
      </c>
      <c r="E452" s="1469"/>
      <c r="F452" s="1863" t="s">
        <v>3</v>
      </c>
      <c r="G452" s="1863"/>
      <c r="H452" s="794" t="s">
        <v>3</v>
      </c>
      <c r="I452" s="127" t="s">
        <v>195</v>
      </c>
      <c r="J452" s="102"/>
      <c r="K452" s="102"/>
      <c r="L452" s="128"/>
      <c r="M452" s="1469" t="s">
        <v>4</v>
      </c>
      <c r="N452" s="1526"/>
      <c r="O452" s="274"/>
    </row>
    <row r="453" spans="1:15" ht="19" thickBot="1">
      <c r="A453" s="103" t="s">
        <v>5</v>
      </c>
      <c r="B453" s="1473" t="s">
        <v>6</v>
      </c>
      <c r="C453" s="1473"/>
      <c r="D453" s="1473" t="s">
        <v>7</v>
      </c>
      <c r="E453" s="1473"/>
      <c r="F453" s="1864" t="s">
        <v>7</v>
      </c>
      <c r="G453" s="1864"/>
      <c r="H453" s="796" t="s">
        <v>58</v>
      </c>
      <c r="I453" s="797" t="s">
        <v>196</v>
      </c>
      <c r="J453" s="795" t="s">
        <v>8</v>
      </c>
      <c r="K453" s="795" t="s">
        <v>9</v>
      </c>
      <c r="L453" s="401" t="s">
        <v>10</v>
      </c>
      <c r="M453" s="1473" t="s">
        <v>145</v>
      </c>
      <c r="N453" s="1475"/>
    </row>
    <row r="454" spans="1:15" ht="24" thickBot="1">
      <c r="A454" s="88" t="s">
        <v>144</v>
      </c>
      <c r="B454" s="1751"/>
      <c r="C454" s="1477"/>
      <c r="D454" s="1478"/>
      <c r="E454" s="1479"/>
      <c r="F454" s="1878"/>
      <c r="G454" s="1879"/>
      <c r="H454" s="435"/>
      <c r="I454" s="7"/>
      <c r="J454" s="7"/>
      <c r="K454" s="7"/>
      <c r="L454" s="373"/>
      <c r="M454" s="1751"/>
      <c r="N454" s="1765"/>
    </row>
    <row r="455" spans="1:15" s="1168" customFormat="1" ht="17" thickBot="1">
      <c r="A455" s="108" t="s">
        <v>48</v>
      </c>
      <c r="B455" s="1457"/>
      <c r="C455" s="1586"/>
      <c r="D455" s="1567"/>
      <c r="E455" s="1586"/>
      <c r="F455" s="1619"/>
      <c r="G455" s="1620"/>
      <c r="H455" s="1158"/>
      <c r="I455" s="109"/>
      <c r="J455" s="109"/>
      <c r="K455" s="109"/>
      <c r="L455" s="1142"/>
      <c r="M455" s="1485"/>
      <c r="N455" s="1486"/>
      <c r="O455" s="121"/>
    </row>
    <row r="456" spans="1:15" hidden="1">
      <c r="A456" s="32" t="s">
        <v>28</v>
      </c>
      <c r="B456" s="1444">
        <f>'Ontario Total'!B407:C407+'Chino Total'!B407:C407+'Chino Hills Total'!B407:C407+'MVWD Total '!B407:C407+'Upland Total'!B405:C405+'FWC Total'!B407:C407+'SAWC Total'!B406:C406+'CVWD Total'!B407:C407</f>
        <v>0</v>
      </c>
      <c r="C456" s="1422"/>
      <c r="D456" s="1431">
        <f t="shared" ref="D456:D462" si="42">F456*325851</f>
        <v>0</v>
      </c>
      <c r="E456" s="1422"/>
      <c r="F456" s="1431">
        <f>0.0379*B456</f>
        <v>0</v>
      </c>
      <c r="G456" s="1422"/>
      <c r="H456" s="806">
        <f>F456*20</f>
        <v>0</v>
      </c>
      <c r="I456" s="4">
        <v>0</v>
      </c>
      <c r="J456" s="4">
        <f>0*B456</f>
        <v>0</v>
      </c>
      <c r="K456" s="4">
        <f>60*B456</f>
        <v>0</v>
      </c>
      <c r="L456" s="805">
        <f t="shared" ref="L456:L462" si="43">I456+J456+K456</f>
        <v>0</v>
      </c>
      <c r="M456" s="1943" t="e">
        <f t="shared" ref="M456:M462" si="44">L456/(F456*498.5)</f>
        <v>#DIV/0!</v>
      </c>
      <c r="N456" s="1759"/>
    </row>
    <row r="457" spans="1:15" s="57" customFormat="1">
      <c r="A457" s="32" t="s">
        <v>29</v>
      </c>
      <c r="B457" s="1444">
        <f>'Ontario Total'!B408:C408+'Chino Total'!B408:C408+'Chino Hills Total'!B408:C408+'MVWD Total '!B408:C408+'Upland Total'!B406:C406+'FWC Total'!B408:C408+'SAWC Total'!B407:C407+'CVWD Total'!B408:C408</f>
        <v>477</v>
      </c>
      <c r="C457" s="1422"/>
      <c r="D457" s="1431">
        <f t="shared" si="42"/>
        <v>6605814.3975</v>
      </c>
      <c r="E457" s="1422"/>
      <c r="F457" s="1431">
        <f>0.0425*B457</f>
        <v>20.272500000000001</v>
      </c>
      <c r="G457" s="1422"/>
      <c r="H457" s="806">
        <f>F457*20</f>
        <v>405.45000000000005</v>
      </c>
      <c r="I457" s="131">
        <v>0</v>
      </c>
      <c r="J457" s="131">
        <f>35*B457</f>
        <v>16695</v>
      </c>
      <c r="K457" s="131">
        <f>B457*50</f>
        <v>23850</v>
      </c>
      <c r="L457" s="169">
        <f t="shared" si="43"/>
        <v>40545</v>
      </c>
      <c r="M457" s="1943">
        <f t="shared" si="44"/>
        <v>4.012036108324974</v>
      </c>
      <c r="N457" s="1759"/>
      <c r="O457" s="121"/>
    </row>
    <row r="458" spans="1:15" s="57" customFormat="1">
      <c r="A458" s="32" t="s">
        <v>33</v>
      </c>
      <c r="B458" s="1444">
        <f>'Ontario Total'!B409:C409+'Chino Total'!B409:C409+'Chino Hills Total'!B409:C409+'MVWD Total '!B409:C409+'Upland Total'!B407:C407+'FWC Total'!B409:C409+'SAWC Total'!B408:C408+'CVWD Total'!B409:C409</f>
        <v>512</v>
      </c>
      <c r="C458" s="1422"/>
      <c r="D458" s="1431">
        <f t="shared" si="42"/>
        <v>4604665.6512000002</v>
      </c>
      <c r="E458" s="1422"/>
      <c r="F458" s="1431">
        <f>0.0276*B458</f>
        <v>14.1312</v>
      </c>
      <c r="G458" s="1422"/>
      <c r="H458" s="806">
        <f>F458*15</f>
        <v>211.96799999999999</v>
      </c>
      <c r="I458" s="131">
        <f>0*B458</f>
        <v>0</v>
      </c>
      <c r="J458" s="131">
        <f>50*B458</f>
        <v>25600</v>
      </c>
      <c r="K458" s="131">
        <f>B458*110</f>
        <v>56320</v>
      </c>
      <c r="L458" s="169">
        <f t="shared" si="43"/>
        <v>81920</v>
      </c>
      <c r="M458" s="1943">
        <f t="shared" si="44"/>
        <v>11.629090169057898</v>
      </c>
      <c r="N458" s="1759"/>
      <c r="O458" s="121"/>
    </row>
    <row r="459" spans="1:15">
      <c r="A459" s="32" t="s">
        <v>56</v>
      </c>
      <c r="B459" s="1444">
        <f>'Ontario Total'!B410:C410+'Chino Total'!B410:C410+'Chino Hills Total'!B410:C410+'MVWD Total '!B410:C410+'Upland Total'!B408:C408+'FWC Total'!B410:C410+'SAWC Total'!B409:C409+'CVWD Total'!B410:C410</f>
        <v>575</v>
      </c>
      <c r="C459" s="1422"/>
      <c r="D459" s="1431">
        <f t="shared" si="42"/>
        <v>749457.3</v>
      </c>
      <c r="E459" s="1422"/>
      <c r="F459" s="1431">
        <f>0.004*B459</f>
        <v>2.3000000000000003</v>
      </c>
      <c r="G459" s="1422"/>
      <c r="H459" s="806">
        <f>F459*5</f>
        <v>11.500000000000002</v>
      </c>
      <c r="I459" s="131">
        <f>0*B459</f>
        <v>0</v>
      </c>
      <c r="J459" s="131">
        <f>2*B459</f>
        <v>1150</v>
      </c>
      <c r="K459" s="131">
        <f>B459*4</f>
        <v>2300</v>
      </c>
      <c r="L459" s="169">
        <f t="shared" si="43"/>
        <v>3450</v>
      </c>
      <c r="M459" s="1943">
        <f t="shared" si="44"/>
        <v>3.0090270812437305</v>
      </c>
      <c r="N459" s="1759"/>
    </row>
    <row r="460" spans="1:15">
      <c r="A460" s="107" t="s">
        <v>30</v>
      </c>
      <c r="B460" s="1445">
        <f>'Ontario Total'!B411:C411+'Chino Total'!B411:C411+'Chino Hills Total'!B411:C411+'MVWD Total '!B411:C411+'Upland Total'!B409:C409+'FWC Total'!B411:C411+'SAWC Total'!B410:C410+'CVWD Total'!B411:C411</f>
        <v>10</v>
      </c>
      <c r="C460" s="1446"/>
      <c r="D460" s="1736">
        <f t="shared" si="42"/>
        <v>1059015.75</v>
      </c>
      <c r="E460" s="1446"/>
      <c r="F460" s="1736">
        <f>0.325*B460</f>
        <v>3.25</v>
      </c>
      <c r="G460" s="1446"/>
      <c r="H460" s="808">
        <f>F460*10</f>
        <v>32.5</v>
      </c>
      <c r="I460" s="130">
        <v>0</v>
      </c>
      <c r="J460" s="151">
        <f>45*B460</f>
        <v>450</v>
      </c>
      <c r="K460" s="151">
        <f>B460*80</f>
        <v>800</v>
      </c>
      <c r="L460" s="149">
        <f t="shared" si="43"/>
        <v>1250</v>
      </c>
      <c r="M460" s="1944">
        <f t="shared" si="44"/>
        <v>0.77154540544711059</v>
      </c>
      <c r="N460" s="1860"/>
    </row>
    <row r="461" spans="1:15" s="91" customFormat="1" ht="16">
      <c r="A461" s="107" t="s">
        <v>161</v>
      </c>
      <c r="B461" s="1445">
        <v>2</v>
      </c>
      <c r="C461" s="1446"/>
      <c r="D461" s="1868">
        <f t="shared" si="42"/>
        <v>83483.026199999993</v>
      </c>
      <c r="E461" s="1579"/>
      <c r="F461" s="2247">
        <f>0.00014*1830</f>
        <v>0.25619999999999998</v>
      </c>
      <c r="G461" s="2248"/>
      <c r="H461" s="782">
        <f>F461*10</f>
        <v>2.5619999999999998</v>
      </c>
      <c r="I461" s="151">
        <v>0</v>
      </c>
      <c r="J461" s="151">
        <v>3228</v>
      </c>
      <c r="K461" s="151">
        <f>B461*0</f>
        <v>0</v>
      </c>
      <c r="L461" s="220">
        <f t="shared" si="43"/>
        <v>3228</v>
      </c>
      <c r="M461" s="2151">
        <f t="shared" si="44"/>
        <v>25.274887895536729</v>
      </c>
      <c r="N461" s="1690"/>
      <c r="O461" s="274"/>
    </row>
    <row r="462" spans="1:15" ht="14" thickBot="1">
      <c r="A462" s="76" t="s">
        <v>160</v>
      </c>
      <c r="B462" s="1444">
        <v>32</v>
      </c>
      <c r="C462" s="1422"/>
      <c r="D462" s="1467">
        <f t="shared" si="42"/>
        <v>4621994.4073799998</v>
      </c>
      <c r="E462" s="1433"/>
      <c r="F462" s="1467">
        <f>0.00014*101317</f>
        <v>14.184379999999999</v>
      </c>
      <c r="G462" s="1433"/>
      <c r="H462" s="813">
        <f>F462*10</f>
        <v>141.84379999999999</v>
      </c>
      <c r="I462" s="133">
        <v>0</v>
      </c>
      <c r="J462" s="133">
        <f>0.45*41748</f>
        <v>18786.600000000002</v>
      </c>
      <c r="K462" s="133">
        <f>41748*0.3</f>
        <v>12524.4</v>
      </c>
      <c r="L462" s="334">
        <f t="shared" si="43"/>
        <v>31311</v>
      </c>
      <c r="M462" s="1943">
        <f t="shared" si="44"/>
        <v>4.4281407642689814</v>
      </c>
      <c r="N462" s="1759"/>
    </row>
    <row r="463" spans="1:15" ht="14" thickBot="1">
      <c r="A463" s="53" t="s">
        <v>60</v>
      </c>
      <c r="B463" s="1438">
        <f>SUM(B456:C462)</f>
        <v>1608</v>
      </c>
      <c r="C463" s="1609"/>
      <c r="D463" s="1441">
        <f>SUM(D456:E462)</f>
        <v>17724430.532280002</v>
      </c>
      <c r="E463" s="1609"/>
      <c r="F463" s="1440">
        <f>SUM(F456:G462)</f>
        <v>54.394279999999995</v>
      </c>
      <c r="G463" s="1439"/>
      <c r="H463" s="792">
        <f>SUM(H456:H462)</f>
        <v>805.82380000000001</v>
      </c>
      <c r="I463" s="143">
        <f>SUM(I456:I462)</f>
        <v>0</v>
      </c>
      <c r="J463" s="143">
        <f>SUM(J456:J462)</f>
        <v>65909.600000000006</v>
      </c>
      <c r="K463" s="143">
        <f>SUM(K456:K462)</f>
        <v>95794.4</v>
      </c>
      <c r="L463" s="136">
        <f>SUM(L456:L462)</f>
        <v>161704</v>
      </c>
      <c r="M463" s="1637"/>
      <c r="N463" s="1611"/>
    </row>
    <row r="464" spans="1:15" s="1161" customFormat="1" ht="17" thickBot="1">
      <c r="A464" s="108" t="s">
        <v>125</v>
      </c>
      <c r="B464" s="1457"/>
      <c r="C464" s="1586"/>
      <c r="D464" s="1567"/>
      <c r="E464" s="1586"/>
      <c r="F464" s="1567"/>
      <c r="G464" s="1586"/>
      <c r="H464" s="1141"/>
      <c r="I464" s="161"/>
      <c r="J464" s="161"/>
      <c r="K464" s="161"/>
      <c r="L464" s="374"/>
      <c r="M464" s="1485"/>
      <c r="N464" s="1486"/>
      <c r="O464" s="274"/>
    </row>
    <row r="465" spans="1:15" ht="14" thickBot="1">
      <c r="A465" s="76" t="s">
        <v>125</v>
      </c>
      <c r="B465" s="1444">
        <f>'Ontario Total'!B416:C416+'Chino Total'!B416:C416+'Chino Hills Total'!B416:C416+'MVWD Total '!B416:C416+'Upland Total'!B414:C414+'FWC Total'!B416:C416+'SAWC Total'!B415:C415+'CVWD Total'!B416:C416</f>
        <v>410</v>
      </c>
      <c r="C465" s="1422"/>
      <c r="D465" s="1431">
        <f>F465*325851</f>
        <v>5677953.6749999998</v>
      </c>
      <c r="E465" s="1422"/>
      <c r="F465" s="1467">
        <f>0.0425*B465</f>
        <v>17.425000000000001</v>
      </c>
      <c r="G465" s="1433"/>
      <c r="H465" s="813">
        <f>F465*20</f>
        <v>348.5</v>
      </c>
      <c r="I465" s="131">
        <f>73.34*B465</f>
        <v>30069.4</v>
      </c>
      <c r="J465" s="131">
        <f>35.66*B465</f>
        <v>14620.599999999999</v>
      </c>
      <c r="K465" s="131">
        <f>B465*165</f>
        <v>67650</v>
      </c>
      <c r="L465" s="169">
        <f>I465+J465+K465</f>
        <v>112340</v>
      </c>
      <c r="M465" s="1943">
        <f>L465/(F465*498.5)</f>
        <v>12.932916396247565</v>
      </c>
      <c r="N465" s="1759"/>
    </row>
    <row r="466" spans="1:15" ht="14" thickBot="1">
      <c r="A466" s="53" t="s">
        <v>60</v>
      </c>
      <c r="B466" s="1438">
        <f>SUM(B465)</f>
        <v>410</v>
      </c>
      <c r="C466" s="1609"/>
      <c r="D466" s="1440">
        <f>SUM(D465)</f>
        <v>5677953.6749999998</v>
      </c>
      <c r="E466" s="1621"/>
      <c r="F466" s="1441">
        <f>SUM(F465)</f>
        <v>17.425000000000001</v>
      </c>
      <c r="G466" s="1439"/>
      <c r="H466" s="792">
        <f>SUM(H465)</f>
        <v>348.5</v>
      </c>
      <c r="I466" s="143">
        <f>SUM(I465)</f>
        <v>30069.4</v>
      </c>
      <c r="J466" s="143">
        <f>SUM(J465)</f>
        <v>14620.599999999999</v>
      </c>
      <c r="K466" s="143">
        <f>SUM(K465)</f>
        <v>67650</v>
      </c>
      <c r="L466" s="136">
        <f>SUM(L465)</f>
        <v>112340</v>
      </c>
      <c r="M466" s="1637"/>
      <c r="N466" s="1611"/>
    </row>
    <row r="467" spans="1:15" s="1168" customFormat="1" ht="17" thickBot="1">
      <c r="A467" s="108" t="s">
        <v>50</v>
      </c>
      <c r="B467" s="1456"/>
      <c r="C467" s="1586"/>
      <c r="D467" s="1457"/>
      <c r="E467" s="1586"/>
      <c r="F467" s="1567"/>
      <c r="G467" s="1586"/>
      <c r="H467" s="1141"/>
      <c r="I467" s="161"/>
      <c r="J467" s="161"/>
      <c r="K467" s="161"/>
      <c r="L467" s="374"/>
      <c r="M467" s="1485"/>
      <c r="N467" s="1486"/>
      <c r="O467" s="121"/>
    </row>
    <row r="468" spans="1:15" hidden="1">
      <c r="A468" s="36" t="s">
        <v>26</v>
      </c>
      <c r="B468" s="1421">
        <f>'Ontario Total'!B419:C419+'Chino Total'!B419:C419+'Chino Hills Total'!B419:C419+'MVWD Total '!B419:C419+'Upland Total'!B417:C417+'FWC Total'!B419:C419+'SAWC Total'!B418:C418+'CVWD Total'!B419:C419</f>
        <v>0</v>
      </c>
      <c r="C468" s="1422"/>
      <c r="D468" s="1444">
        <f t="shared" ref="D468:D475" si="45">F468*325851</f>
        <v>0</v>
      </c>
      <c r="E468" s="1422"/>
      <c r="F468" s="1431">
        <f>0.0379*B468</f>
        <v>0</v>
      </c>
      <c r="G468" s="1422"/>
      <c r="H468" s="806">
        <f>F468*20</f>
        <v>0</v>
      </c>
      <c r="I468" s="131">
        <v>0</v>
      </c>
      <c r="J468" s="131">
        <f>0*B468</f>
        <v>0</v>
      </c>
      <c r="K468" s="131">
        <f>135*B468</f>
        <v>0</v>
      </c>
      <c r="L468" s="169">
        <f>SUM(I468:K468)</f>
        <v>0</v>
      </c>
      <c r="M468" s="1943">
        <v>0</v>
      </c>
      <c r="N468" s="1759"/>
    </row>
    <row r="469" spans="1:15">
      <c r="A469" s="34" t="s">
        <v>25</v>
      </c>
      <c r="B469" s="1444">
        <f>'Ontario Total'!B420:C420+'Chino Total'!B420:C420+'Chino Hills Total'!B420:C420+'MVWD Total '!B420:C420+'Upland Total'!B418:C418+'FWC Total'!B420:C420+'SAWC Total'!B419:C419+'CVWD Total'!B420:C420</f>
        <v>7</v>
      </c>
      <c r="C469" s="1422"/>
      <c r="D469" s="1444">
        <f t="shared" si="45"/>
        <v>86448.270300000018</v>
      </c>
      <c r="E469" s="1422"/>
      <c r="F469" s="1871">
        <f>0.0379*B469</f>
        <v>0.26530000000000004</v>
      </c>
      <c r="G469" s="1450"/>
      <c r="H469" s="806">
        <f>F469*20</f>
        <v>5.3060000000000009</v>
      </c>
      <c r="I469" s="131">
        <v>0</v>
      </c>
      <c r="J469" s="131">
        <f>0*B469</f>
        <v>0</v>
      </c>
      <c r="K469" s="131">
        <f>60*B469</f>
        <v>420</v>
      </c>
      <c r="L469" s="169">
        <f t="shared" ref="L469:L477" si="46">SUM(I469:K469)</f>
        <v>420</v>
      </c>
      <c r="M469" s="1943">
        <f>L469/(F469*498.5)</f>
        <v>3.1757541754551246</v>
      </c>
      <c r="N469" s="1759"/>
    </row>
    <row r="470" spans="1:15">
      <c r="A470" s="32" t="s">
        <v>29</v>
      </c>
      <c r="B470" s="1444">
        <f>'Ontario Total'!B421:C421+'Chino Total'!B421:C421+'Chino Hills Total'!B421:C421+'MVWD Total '!B421:C421+'Upland Total'!B419:C419+'FWC Total'!B421:C421+'SAWC Total'!B420:C420+'CVWD Total'!B421:C421</f>
        <v>308</v>
      </c>
      <c r="C470" s="1422"/>
      <c r="D470" s="1444">
        <f t="shared" si="45"/>
        <v>4265389.5900000008</v>
      </c>
      <c r="E470" s="1422"/>
      <c r="F470" s="1431">
        <f>0.0425*B470</f>
        <v>13.090000000000002</v>
      </c>
      <c r="G470" s="1422"/>
      <c r="H470" s="806">
        <f>F470*20</f>
        <v>261.8</v>
      </c>
      <c r="I470" s="131">
        <v>0</v>
      </c>
      <c r="J470" s="131">
        <f>135*B470</f>
        <v>41580</v>
      </c>
      <c r="K470" s="131">
        <f>165*B470</f>
        <v>50820</v>
      </c>
      <c r="L470" s="169">
        <f t="shared" si="46"/>
        <v>92400</v>
      </c>
      <c r="M470" s="1943">
        <f>L470/(F470*498.5)</f>
        <v>14.160127441146969</v>
      </c>
      <c r="N470" s="1759"/>
    </row>
    <row r="471" spans="1:15">
      <c r="A471" s="32" t="s">
        <v>51</v>
      </c>
      <c r="B471" s="1444">
        <f>'Ontario Total'!B422:C422+'Chino Total'!B422:C422+'Chino Hills Total'!B422:C422+'MVWD Total '!B422:C422+'Upland Total'!B420:C420+'FWC Total'!B422:C422+'SAWC Total'!B421:C421+'CVWD Total'!B422:C422</f>
        <v>284</v>
      </c>
      <c r="C471" s="1422"/>
      <c r="D471" s="1444">
        <f t="shared" si="45"/>
        <v>11354864.626800001</v>
      </c>
      <c r="E471" s="1422"/>
      <c r="F471" s="1431">
        <f>0.1227*B471</f>
        <v>34.846800000000002</v>
      </c>
      <c r="G471" s="1422"/>
      <c r="H471" s="806">
        <f>F471*20</f>
        <v>696.93600000000004</v>
      </c>
      <c r="I471" s="131">
        <v>0</v>
      </c>
      <c r="J471" s="131">
        <f>0*B471</f>
        <v>0</v>
      </c>
      <c r="K471" s="131">
        <f>400*B471</f>
        <v>113600</v>
      </c>
      <c r="L471" s="169">
        <f t="shared" si="46"/>
        <v>113600</v>
      </c>
      <c r="M471" s="1943">
        <f>L471/(F471*498.5)</f>
        <v>6.5395861586389152</v>
      </c>
      <c r="N471" s="1759"/>
    </row>
    <row r="472" spans="1:15" s="57" customFormat="1" hidden="1">
      <c r="A472" s="34" t="s">
        <v>20</v>
      </c>
      <c r="B472" s="1444">
        <f>'Ontario Total'!B423:C423+'Chino Total'!B423:C423+'Chino Hills Total'!B423:C423+'MVWD Total '!B423:C423+'Upland Total'!B421:C421+'FWC Total'!B423:C423+'SAWC Total'!B422:C422+'CVWD Total'!B423:C423</f>
        <v>0</v>
      </c>
      <c r="C472" s="1422"/>
      <c r="D472" s="1444">
        <f t="shared" si="45"/>
        <v>0</v>
      </c>
      <c r="E472" s="1422"/>
      <c r="F472" s="1431">
        <f>0.644*B472</f>
        <v>0</v>
      </c>
      <c r="G472" s="1422"/>
      <c r="H472" s="806">
        <f>F472*5</f>
        <v>0</v>
      </c>
      <c r="I472" s="131">
        <v>0</v>
      </c>
      <c r="J472" s="131">
        <f>43.75*B472</f>
        <v>0</v>
      </c>
      <c r="K472" s="131">
        <f>625*B472</f>
        <v>0</v>
      </c>
      <c r="L472" s="169">
        <f t="shared" si="46"/>
        <v>0</v>
      </c>
      <c r="M472" s="1943" t="e">
        <f t="shared" ref="M472:M477" si="47">L472/(F472*498.5)</f>
        <v>#DIV/0!</v>
      </c>
      <c r="N472" s="1759"/>
      <c r="O472" s="121"/>
    </row>
    <row r="473" spans="1:15">
      <c r="A473" s="34" t="s">
        <v>13</v>
      </c>
      <c r="B473" s="1444">
        <f>'Ontario Total'!B424:C424+'Chino Total'!B424:C424+'Chino Hills Total'!B424:C424+'MVWD Total '!B424:C424+'Upland Total'!B422:C422+'FWC Total'!B424:C424+'SAWC Total'!B423:C423+'CVWD Total'!B424:C424</f>
        <v>33</v>
      </c>
      <c r="C473" s="1422"/>
      <c r="D473" s="1444">
        <f t="shared" si="45"/>
        <v>296785.09080000001</v>
      </c>
      <c r="E473" s="1422"/>
      <c r="F473" s="1431">
        <f>0.0276*B473</f>
        <v>0.91079999999999994</v>
      </c>
      <c r="G473" s="1422"/>
      <c r="H473" s="806">
        <f>F473*10</f>
        <v>9.1079999999999988</v>
      </c>
      <c r="I473" s="131">
        <v>0</v>
      </c>
      <c r="J473" s="131">
        <f>100*B473</f>
        <v>3300</v>
      </c>
      <c r="K473" s="131">
        <f>80*B473</f>
        <v>2640</v>
      </c>
      <c r="L473" s="169">
        <f t="shared" si="46"/>
        <v>5940</v>
      </c>
      <c r="M473" s="1943">
        <f t="shared" si="47"/>
        <v>13.082726440190136</v>
      </c>
      <c r="N473" s="1759"/>
    </row>
    <row r="474" spans="1:15">
      <c r="A474" s="35" t="s">
        <v>47</v>
      </c>
      <c r="B474" s="1444">
        <f>'Ontario Total'!B425:C425+'Chino Total'!B425:C425+'Chino Hills Total'!B425:C425+'MVWD Total '!B425:C425+'Upland Total'!B423:C423+'FWC Total'!B425:C425+'SAWC Total'!B424:C424+'CVWD Total'!B425:C425</f>
        <v>1</v>
      </c>
      <c r="C474" s="1422"/>
      <c r="D474" s="1444">
        <f t="shared" si="45"/>
        <v>49985.543400000002</v>
      </c>
      <c r="E474" s="1422"/>
      <c r="F474" s="1871">
        <f>0.1534*B474</f>
        <v>0.15340000000000001</v>
      </c>
      <c r="G474" s="1450"/>
      <c r="H474" s="806">
        <f>F474*5</f>
        <v>0.76700000000000002</v>
      </c>
      <c r="I474" s="131">
        <v>0</v>
      </c>
      <c r="J474" s="131">
        <f>0*B474</f>
        <v>0</v>
      </c>
      <c r="K474" s="131">
        <f>150*B474</f>
        <v>150</v>
      </c>
      <c r="L474" s="169">
        <f t="shared" si="46"/>
        <v>150</v>
      </c>
      <c r="M474" s="1943">
        <f t="shared" si="47"/>
        <v>1.9615561155435013</v>
      </c>
      <c r="N474" s="1759"/>
    </row>
    <row r="475" spans="1:15">
      <c r="A475" s="107" t="s">
        <v>30</v>
      </c>
      <c r="B475" s="1445">
        <f>'Ontario Total'!B426:C426+'Chino Total'!B426:C426+'Chino Hills Total'!B426:C426+'MVWD Total '!B426:C426+'Upland Total'!B424:C424+'FWC Total'!B426:C426+'SAWC Total'!B425:C425+'CVWD Total'!B426:C426</f>
        <v>102</v>
      </c>
      <c r="C475" s="1446"/>
      <c r="D475" s="1445">
        <f t="shared" si="45"/>
        <v>10801960.65</v>
      </c>
      <c r="E475" s="1446"/>
      <c r="F475" s="1736">
        <f>0.325*B475</f>
        <v>33.15</v>
      </c>
      <c r="G475" s="1446"/>
      <c r="H475" s="808">
        <f>F475*10</f>
        <v>331.5</v>
      </c>
      <c r="I475" s="130">
        <v>0</v>
      </c>
      <c r="J475" s="130">
        <v>28605</v>
      </c>
      <c r="K475" s="130">
        <v>60212</v>
      </c>
      <c r="L475" s="149">
        <f t="shared" si="46"/>
        <v>88817</v>
      </c>
      <c r="M475" s="1944">
        <f t="shared" si="47"/>
        <v>5.3746155510271398</v>
      </c>
      <c r="N475" s="1860"/>
    </row>
    <row r="476" spans="1:15">
      <c r="A476" s="76" t="s">
        <v>150</v>
      </c>
      <c r="B476" s="1444">
        <f>'Ontario Total'!B427:C427+'Chino Total'!B427:C427+'Chino Hills Total'!B427:C427+'MVWD Total '!B427:C427+'Upland Total'!B425:C425+'FWC Total'!B427:C427+'SAWC Total'!B426:C426+'CVWD Total'!B427:C427</f>
        <v>0</v>
      </c>
      <c r="C476" s="1422"/>
      <c r="D476" s="1445">
        <f>F476*0</f>
        <v>0</v>
      </c>
      <c r="E476" s="1446"/>
      <c r="F476" s="1736">
        <f>0.00014*0</f>
        <v>0</v>
      </c>
      <c r="G476" s="1446"/>
      <c r="H476" s="808">
        <f>F476*10</f>
        <v>0</v>
      </c>
      <c r="I476" s="130">
        <v>0</v>
      </c>
      <c r="J476" s="130">
        <f>0.45*0</f>
        <v>0</v>
      </c>
      <c r="K476" s="130">
        <f>0.3*0</f>
        <v>0</v>
      </c>
      <c r="L476" s="149">
        <f t="shared" si="46"/>
        <v>0</v>
      </c>
      <c r="M476" s="1944">
        <v>0</v>
      </c>
      <c r="N476" s="1860"/>
    </row>
    <row r="477" spans="1:15">
      <c r="A477" s="33" t="s">
        <v>56</v>
      </c>
      <c r="B477" s="1444">
        <f>'Ontario Total'!B428:C428+'Chino Total'!B428:C428+'Chino Hills Total'!B428:C428+'MVWD Total '!B428:C428+'Upland Total'!B426:C426+'FWC Total'!B428:C428+'SAWC Total'!B427:C427+'CVWD Total'!B428:C428</f>
        <v>11320</v>
      </c>
      <c r="C477" s="1422"/>
      <c r="D477" s="1444">
        <f>F477*325851</f>
        <v>14754533.280000001</v>
      </c>
      <c r="E477" s="1422"/>
      <c r="F477" s="1431">
        <f>0.004*B477</f>
        <v>45.28</v>
      </c>
      <c r="G477" s="1422"/>
      <c r="H477" s="806">
        <f>F477*5</f>
        <v>226.4</v>
      </c>
      <c r="I477" s="131">
        <v>0</v>
      </c>
      <c r="J477" s="131">
        <f>0*B477</f>
        <v>0</v>
      </c>
      <c r="K477" s="131">
        <f>4*B477</f>
        <v>45280</v>
      </c>
      <c r="L477" s="169">
        <f t="shared" si="46"/>
        <v>45280</v>
      </c>
      <c r="M477" s="1943">
        <f t="shared" si="47"/>
        <v>2.0060180541624875</v>
      </c>
      <c r="N477" s="1759"/>
    </row>
    <row r="478" spans="1:15" s="91" customFormat="1" ht="16" hidden="1">
      <c r="A478" s="76" t="s">
        <v>122</v>
      </c>
      <c r="B478" s="1444">
        <f>'Ontario Total'!B429:C429+'Chino Total'!B429:C429+'Chino Hills Total'!B429:C429+'MVWD Total '!B429:C429+'Upland Total'!B427:C427+'FWC Total'!B429:C429+'SAWC Total'!B428:C428+'CVWD Total'!B429:C429</f>
        <v>0</v>
      </c>
      <c r="C478" s="1422"/>
      <c r="D478" s="1444">
        <f>F478*325851</f>
        <v>0</v>
      </c>
      <c r="E478" s="1422"/>
      <c r="F478" s="1431">
        <f>0.018*B478</f>
        <v>0</v>
      </c>
      <c r="G478" s="1422"/>
      <c r="H478" s="806">
        <f>F478*10</f>
        <v>0</v>
      </c>
      <c r="I478" s="131">
        <v>0</v>
      </c>
      <c r="J478" s="131">
        <f>0*B478</f>
        <v>0</v>
      </c>
      <c r="K478" s="131">
        <f>13*B478</f>
        <v>0</v>
      </c>
      <c r="L478" s="169">
        <f>SUM(I478:K478)</f>
        <v>0</v>
      </c>
      <c r="M478" s="1943" t="e">
        <f>L478/(F478*498.5)</f>
        <v>#DIV/0!</v>
      </c>
      <c r="N478" s="1759"/>
      <c r="O478" s="274"/>
    </row>
    <row r="479" spans="1:15" ht="14" thickBot="1">
      <c r="A479" s="33" t="s">
        <v>119</v>
      </c>
      <c r="B479" s="1444">
        <f>'Ontario Total'!B430:C430+'Chino Total'!B430:C430+'Chino Hills Total'!B430:C430+'MVWD Total '!B430:C430+'Upland Total'!B428:C428+'FWC Total'!B430:C430+'SAWC Total'!B429:C429+'CVWD Total'!B430:C430</f>
        <v>1</v>
      </c>
      <c r="C479" s="1422"/>
      <c r="D479" s="1444">
        <f>F479*325851</f>
        <v>49855.203000000001</v>
      </c>
      <c r="E479" s="1422"/>
      <c r="F479" s="1871">
        <f>0.153*B479</f>
        <v>0.153</v>
      </c>
      <c r="G479" s="1450"/>
      <c r="H479" s="806">
        <f>F479*5</f>
        <v>0.76500000000000001</v>
      </c>
      <c r="I479" s="131">
        <v>0</v>
      </c>
      <c r="J479" s="131">
        <f>0*B479</f>
        <v>0</v>
      </c>
      <c r="K479" s="131">
        <f>60*B479</f>
        <v>60</v>
      </c>
      <c r="L479" s="169">
        <f>SUM(I479:K479)</f>
        <v>60</v>
      </c>
      <c r="M479" s="1943">
        <f>L479/(F479*498.5)</f>
        <v>0.78667374673038726</v>
      </c>
      <c r="N479" s="1759"/>
    </row>
    <row r="480" spans="1:15" ht="14" thickBot="1">
      <c r="A480" s="53" t="s">
        <v>60</v>
      </c>
      <c r="B480" s="1440">
        <f>SUM(B468:C479)</f>
        <v>12056</v>
      </c>
      <c r="C480" s="1621"/>
      <c r="D480" s="1441">
        <f>SUM(D468:E479)</f>
        <v>41659822.254300006</v>
      </c>
      <c r="E480" s="1440"/>
      <c r="F480" s="1441">
        <f>SUM(F468:G479)</f>
        <v>127.84930000000001</v>
      </c>
      <c r="G480" s="1439"/>
      <c r="H480" s="792">
        <f>SUM(H468:H479)</f>
        <v>1532.5820000000001</v>
      </c>
      <c r="I480" s="143">
        <f>SUM(I468:I479)</f>
        <v>0</v>
      </c>
      <c r="J480" s="143">
        <f>SUM(J468:J479)</f>
        <v>73485</v>
      </c>
      <c r="K480" s="143">
        <f>SUM(K468:K479)</f>
        <v>273182</v>
      </c>
      <c r="L480" s="136">
        <f>SUM(L468:L479)</f>
        <v>346667</v>
      </c>
      <c r="M480" s="1637"/>
      <c r="N480" s="1611"/>
    </row>
    <row r="481" spans="1:15" ht="17" hidden="1" thickBot="1">
      <c r="A481" s="87" t="s">
        <v>54</v>
      </c>
      <c r="B481" s="1998"/>
      <c r="C481" s="2246"/>
      <c r="D481" s="92"/>
      <c r="E481" s="849"/>
      <c r="F481" s="542"/>
      <c r="G481" s="543"/>
      <c r="H481" s="544"/>
      <c r="I481" s="171"/>
      <c r="J481" s="171"/>
      <c r="K481" s="171"/>
      <c r="L481" s="376"/>
      <c r="M481" s="375"/>
      <c r="N481" s="96"/>
    </row>
    <row r="482" spans="1:15" ht="14" hidden="1" thickBot="1">
      <c r="A482" s="36" t="s">
        <v>29</v>
      </c>
      <c r="B482" s="1444">
        <f>'Ontario Total'!B433:C433+'Chino Total'!B433:C433+'Chino Hills Total'!B433:C433+'MVWD Total '!B433:C433+'Upland Total'!B431:C431+'FWC Total'!B433:C433+'SAWC Total'!B432:C432+'CVWD Total'!B433:C433</f>
        <v>0</v>
      </c>
      <c r="C482" s="1422"/>
      <c r="D482" s="1444">
        <f>F482*325851</f>
        <v>0</v>
      </c>
      <c r="E482" s="1422"/>
      <c r="F482" s="1871">
        <f>0.0425*B482</f>
        <v>0</v>
      </c>
      <c r="G482" s="1450"/>
      <c r="H482" s="835">
        <f>F482*20</f>
        <v>0</v>
      </c>
      <c r="I482" s="131">
        <v>0</v>
      </c>
      <c r="J482" s="131">
        <v>0</v>
      </c>
      <c r="K482" s="131">
        <f>321.27*B482</f>
        <v>0</v>
      </c>
      <c r="L482" s="169">
        <f t="shared" ref="L482:L487" si="48">SUM(I482:K482)</f>
        <v>0</v>
      </c>
      <c r="M482" s="1943" t="e">
        <f t="shared" ref="M482:M487" si="49">L482/(F482*498.5)</f>
        <v>#DIV/0!</v>
      </c>
      <c r="N482" s="1759"/>
    </row>
    <row r="483" spans="1:15" ht="14" hidden="1" thickBot="1">
      <c r="A483" s="34" t="s">
        <v>51</v>
      </c>
      <c r="B483" s="1444">
        <f>'Ontario Total'!B434:C434+'Chino Total'!B434:C434+'Chino Hills Total'!B434:C434+'MVWD Total '!B434:C434+'Upland Total'!B432:C432+'FWC Total'!B434:C434+'SAWC Total'!B433:C433+'CVWD Total'!B434:C434</f>
        <v>0</v>
      </c>
      <c r="C483" s="1422"/>
      <c r="D483" s="1444">
        <f>F483*325851</f>
        <v>0</v>
      </c>
      <c r="E483" s="1422"/>
      <c r="F483" s="1871">
        <f>0.125*B483</f>
        <v>0</v>
      </c>
      <c r="G483" s="1450"/>
      <c r="H483" s="835">
        <f>F483*20</f>
        <v>0</v>
      </c>
      <c r="I483" s="131">
        <v>0</v>
      </c>
      <c r="J483" s="131">
        <f>0*B483</f>
        <v>0</v>
      </c>
      <c r="K483" s="131">
        <f>535.7*B483</f>
        <v>0</v>
      </c>
      <c r="L483" s="169">
        <f t="shared" si="48"/>
        <v>0</v>
      </c>
      <c r="M483" s="1943" t="e">
        <f t="shared" si="49"/>
        <v>#DIV/0!</v>
      </c>
      <c r="N483" s="1759"/>
    </row>
    <row r="484" spans="1:15" ht="14" hidden="1" thickBot="1">
      <c r="A484" s="78" t="s">
        <v>15</v>
      </c>
      <c r="B484" s="1444">
        <f>'Ontario Total'!B435:C435+'Chino Total'!B435:C435+'Chino Hills Total'!B435:C435+'MVWD Total '!B435:C435+'Upland Total'!B433:C433+'FWC Total'!B435:C435+'SAWC Total'!B434:C434+'CVWD Total'!B435:C435</f>
        <v>0</v>
      </c>
      <c r="C484" s="1422"/>
      <c r="D484" s="1536">
        <f>F484*325851</f>
        <v>0</v>
      </c>
      <c r="E484" s="1424"/>
      <c r="F484" s="1941">
        <f>0.1534*B484</f>
        <v>0</v>
      </c>
      <c r="G484" s="1940"/>
      <c r="H484" s="847">
        <f>F484*5</f>
        <v>0</v>
      </c>
      <c r="I484" s="150">
        <v>0</v>
      </c>
      <c r="J484" s="150">
        <f>0*B484</f>
        <v>0</v>
      </c>
      <c r="K484" s="150">
        <f>340.93*B484</f>
        <v>0</v>
      </c>
      <c r="L484" s="221">
        <f t="shared" si="48"/>
        <v>0</v>
      </c>
      <c r="M484" s="1634" t="e">
        <f t="shared" si="49"/>
        <v>#DIV/0!</v>
      </c>
      <c r="N484" s="1540"/>
    </row>
    <row r="485" spans="1:15" ht="14" hidden="1" thickBot="1">
      <c r="A485" s="78" t="s">
        <v>30</v>
      </c>
      <c r="B485" s="1444">
        <f>'Ontario Total'!B436:C436+'Chino Total'!B436:C436+'Chino Hills Total'!B436:C436+'MVWD Total '!B436:C436+'Upland Total'!B434:C434+'FWC Total'!B436:C436+'SAWC Total'!B435:C435+'CVWD Total'!B436:C436</f>
        <v>0</v>
      </c>
      <c r="C485" s="1422"/>
      <c r="D485" s="1536">
        <f>F485*325851</f>
        <v>0</v>
      </c>
      <c r="E485" s="1424"/>
      <c r="F485" s="1941">
        <f>0.609*B485</f>
        <v>0</v>
      </c>
      <c r="G485" s="1940"/>
      <c r="H485" s="847">
        <f>F485*10</f>
        <v>0</v>
      </c>
      <c r="I485" s="150">
        <v>0</v>
      </c>
      <c r="J485" s="150">
        <f>0*B485</f>
        <v>0</v>
      </c>
      <c r="K485" s="150">
        <f>1658.03*B485</f>
        <v>0</v>
      </c>
      <c r="L485" s="221">
        <f t="shared" si="48"/>
        <v>0</v>
      </c>
      <c r="M485" s="1634" t="e">
        <f t="shared" si="49"/>
        <v>#DIV/0!</v>
      </c>
      <c r="N485" s="1540"/>
    </row>
    <row r="486" spans="1:15" ht="14" hidden="1" thickBot="1">
      <c r="A486" s="78" t="s">
        <v>55</v>
      </c>
      <c r="B486" s="1444">
        <f>'Ontario Total'!B437:C437+'Chino Total'!B437:C437+'Chino Hills Total'!B437:C437+'MVWD Total '!B437:C437+'Upland Total'!B435:C435+'FWC Total'!B437:C437+'SAWC Total'!B436:C436+'CVWD Total'!B437:C437</f>
        <v>0</v>
      </c>
      <c r="C486" s="1422"/>
      <c r="D486" s="1536">
        <f>F486*325851</f>
        <v>0</v>
      </c>
      <c r="E486" s="1424"/>
      <c r="F486" s="1903">
        <f>0.992*B486</f>
        <v>0</v>
      </c>
      <c r="G486" s="1904"/>
      <c r="H486" s="847">
        <f>F486*10</f>
        <v>0</v>
      </c>
      <c r="I486" s="150">
        <v>0</v>
      </c>
      <c r="J486" s="150">
        <f>0*B486</f>
        <v>0</v>
      </c>
      <c r="K486" s="150">
        <f>4085.18*B486</f>
        <v>0</v>
      </c>
      <c r="L486" s="221">
        <f t="shared" si="48"/>
        <v>0</v>
      </c>
      <c r="M486" s="1634" t="e">
        <f t="shared" si="49"/>
        <v>#DIV/0!</v>
      </c>
      <c r="N486" s="1540"/>
    </row>
    <row r="487" spans="1:15" ht="14" hidden="1" thickBot="1">
      <c r="A487" s="47" t="s">
        <v>120</v>
      </c>
      <c r="B487" s="1444">
        <f>'Ontario Total'!B438:C438+'Chino Total'!B438:C438+'Chino Hills Total'!B438:C438+'MVWD Total '!B438:C438+'Upland Total'!B436:C436+'FWC Total'!B438:C438+'SAWC Total'!B437:C437+'CVWD Total'!B438:C438</f>
        <v>0</v>
      </c>
      <c r="C487" s="1422"/>
      <c r="D487" s="1444">
        <v>0</v>
      </c>
      <c r="E487" s="1422"/>
      <c r="F487" s="1871">
        <v>0</v>
      </c>
      <c r="G487" s="1450"/>
      <c r="H487" s="835">
        <v>0</v>
      </c>
      <c r="I487" s="131">
        <v>0</v>
      </c>
      <c r="J487" s="131">
        <v>0</v>
      </c>
      <c r="K487" s="131">
        <v>0</v>
      </c>
      <c r="L487" s="169">
        <f t="shared" si="48"/>
        <v>0</v>
      </c>
      <c r="M487" s="1943" t="e">
        <f t="shared" si="49"/>
        <v>#DIV/0!</v>
      </c>
      <c r="N487" s="1759"/>
    </row>
    <row r="488" spans="1:15" ht="14" hidden="1" thickBot="1">
      <c r="A488" s="53" t="s">
        <v>60</v>
      </c>
      <c r="B488" s="1440">
        <f>SUM(B482:C487)</f>
        <v>0</v>
      </c>
      <c r="C488" s="1609"/>
      <c r="D488" s="1438">
        <f>SUM(D482:E487)</f>
        <v>0</v>
      </c>
      <c r="E488" s="1609"/>
      <c r="F488" s="1438">
        <f>SUM(F482:G487)</f>
        <v>0</v>
      </c>
      <c r="G488" s="1439"/>
      <c r="H488" s="792">
        <f>SUM(H482:H487)</f>
        <v>0</v>
      </c>
      <c r="I488" s="143">
        <f>SUM(I482:I487)</f>
        <v>0</v>
      </c>
      <c r="J488" s="136">
        <f>SUM(J482:J487)</f>
        <v>0</v>
      </c>
      <c r="K488" s="136">
        <f>SUM(K482:K487)</f>
        <v>0</v>
      </c>
      <c r="L488" s="136">
        <f>SUM(L482:L487)</f>
        <v>0</v>
      </c>
      <c r="M488" s="1637"/>
      <c r="N488" s="1611"/>
    </row>
    <row r="489" spans="1:15" s="1168" customFormat="1" ht="17" thickBot="1">
      <c r="A489" s="1163" t="s">
        <v>17</v>
      </c>
      <c r="B489" s="1612">
        <f>SUM(B488,B463,B466,B480)</f>
        <v>14074</v>
      </c>
      <c r="C489" s="1415"/>
      <c r="D489" s="1416">
        <f>SUM(D463+D466+D480+D488)</f>
        <v>65062206.461580008</v>
      </c>
      <c r="E489" s="1415"/>
      <c r="F489" s="1416">
        <f>SUM(F488,F463,F466,F480)</f>
        <v>199.66858000000002</v>
      </c>
      <c r="G489" s="1415"/>
      <c r="H489" s="1180">
        <f>SUM(H488,H463,H466,H480)</f>
        <v>2686.9058000000005</v>
      </c>
      <c r="I489" s="1175">
        <f>SUM(I463+I466+I480+I488)</f>
        <v>30069.4</v>
      </c>
      <c r="J489" s="1169">
        <f>SUM(J463+J466+J480+J488)</f>
        <v>154015.20000000001</v>
      </c>
      <c r="K489" s="1169">
        <f>SUM(K463+K466+K480+K488)</f>
        <v>436626.4</v>
      </c>
      <c r="L489" s="1169">
        <f>SUM(L463,L466,L480,L488)</f>
        <v>620711</v>
      </c>
      <c r="M489" s="1639"/>
      <c r="N489" s="1640"/>
      <c r="O489" s="121"/>
    </row>
    <row r="490" spans="1:15">
      <c r="A490" s="50"/>
      <c r="B490" s="20"/>
      <c r="C490" s="20"/>
      <c r="D490" s="20"/>
      <c r="E490" s="20"/>
      <c r="F490" s="484"/>
      <c r="G490" s="484"/>
      <c r="H490" s="484"/>
      <c r="I490" s="21"/>
      <c r="J490" s="21"/>
      <c r="K490" s="21"/>
      <c r="L490" s="21"/>
      <c r="M490" s="18"/>
      <c r="N490" s="18"/>
    </row>
    <row r="491" spans="1:15" s="91" customFormat="1" ht="16">
      <c r="A491" s="9" t="s">
        <v>18</v>
      </c>
      <c r="B491" s="1695" t="s">
        <v>59</v>
      </c>
      <c r="C491" s="1566"/>
      <c r="D491" s="1566"/>
      <c r="E491" s="1821"/>
      <c r="F491" s="484"/>
      <c r="G491" s="484"/>
      <c r="H491" s="484"/>
      <c r="I491" s="21"/>
      <c r="J491" s="21"/>
      <c r="K491" s="21"/>
      <c r="L491" s="21"/>
      <c r="M491" s="18"/>
      <c r="N491" s="18"/>
      <c r="O491" s="274"/>
    </row>
    <row r="492" spans="1:15" ht="15">
      <c r="A492" s="9"/>
      <c r="B492" s="1420" t="s">
        <v>19</v>
      </c>
      <c r="C492" s="1420"/>
      <c r="D492" s="1420"/>
      <c r="E492" s="1420"/>
      <c r="F492" s="484"/>
      <c r="G492" s="484"/>
      <c r="H492" s="484"/>
      <c r="I492" s="21"/>
      <c r="J492" s="21"/>
      <c r="K492" s="21"/>
      <c r="L492" s="21"/>
      <c r="M492" s="18"/>
      <c r="N492" s="18"/>
    </row>
    <row r="493" spans="1:15" ht="14" thickBot="1">
      <c r="F493" s="484"/>
      <c r="G493" s="484"/>
      <c r="H493" s="484"/>
      <c r="I493" s="21"/>
      <c r="J493" s="21"/>
      <c r="K493" s="21"/>
      <c r="L493" s="21"/>
      <c r="M493" s="18"/>
      <c r="N493" s="18"/>
    </row>
    <row r="494" spans="1:15" s="1168" customFormat="1" ht="17" thickBot="1">
      <c r="A494" s="1170" t="s">
        <v>128</v>
      </c>
      <c r="B494" s="1672"/>
      <c r="C494" s="1913"/>
      <c r="D494" s="1672"/>
      <c r="E494" s="1913"/>
      <c r="F494" s="1567"/>
      <c r="G494" s="1586"/>
      <c r="H494" s="1176"/>
      <c r="I494" s="1178"/>
      <c r="J494" s="1178"/>
      <c r="K494" s="1178"/>
      <c r="L494" s="1178"/>
      <c r="M494" s="1672"/>
      <c r="N494" s="1673"/>
      <c r="O494" s="121"/>
    </row>
    <row r="495" spans="1:15" ht="14" thickBot="1">
      <c r="A495" s="81" t="s">
        <v>129</v>
      </c>
      <c r="B495" s="2244">
        <v>105</v>
      </c>
      <c r="C495" s="2245"/>
      <c r="D495" s="1986">
        <f>F495*325851</f>
        <v>98586220.049999997</v>
      </c>
      <c r="E495" s="1646"/>
      <c r="F495" s="1987">
        <v>302.55</v>
      </c>
      <c r="G495" s="1646"/>
      <c r="H495" s="469">
        <f>F495*10</f>
        <v>3025.5</v>
      </c>
      <c r="I495" s="83">
        <v>0</v>
      </c>
      <c r="J495" s="83">
        <v>59250</v>
      </c>
      <c r="K495" s="83">
        <f>113.61*200</f>
        <v>22722</v>
      </c>
      <c r="L495" s="83">
        <f>SUM(I495:K495)</f>
        <v>81972</v>
      </c>
      <c r="M495" s="1875">
        <f>L495/(F495*498.5)</f>
        <v>0.54350458415404856</v>
      </c>
      <c r="N495" s="1455"/>
    </row>
    <row r="496" spans="1:15" s="1168" customFormat="1" ht="17" thickBot="1">
      <c r="A496" s="1163" t="s">
        <v>130</v>
      </c>
      <c r="B496" s="1612">
        <f>SUM(B489,B495)</f>
        <v>14179</v>
      </c>
      <c r="C496" s="1682"/>
      <c r="D496" s="1416">
        <f>SUM(D489,D495)</f>
        <v>163648426.51157999</v>
      </c>
      <c r="E496" s="1682"/>
      <c r="F496" s="1416">
        <f>SUM(F489,F495)</f>
        <v>502.21858000000003</v>
      </c>
      <c r="G496" s="1415"/>
      <c r="H496" s="1164">
        <f>SUM(H495,H489)</f>
        <v>5712.4058000000005</v>
      </c>
      <c r="I496" s="1175">
        <f>SUM(I495,I489)</f>
        <v>30069.4</v>
      </c>
      <c r="J496" s="1175">
        <f>SUM(J489,J495)</f>
        <v>213265.2</v>
      </c>
      <c r="K496" s="1175">
        <f>SUM(K495,K489)</f>
        <v>459348.4</v>
      </c>
      <c r="L496" s="1181">
        <f>SUM(L489,L495)</f>
        <v>702683</v>
      </c>
      <c r="M496" s="1672"/>
      <c r="N496" s="1673"/>
      <c r="O496" s="121"/>
    </row>
    <row r="497" spans="1:15" ht="16">
      <c r="A497" s="343"/>
      <c r="B497" s="878"/>
      <c r="C497" s="879"/>
      <c r="D497" s="878"/>
      <c r="E497" s="879"/>
      <c r="F497" s="878"/>
      <c r="G497" s="878"/>
      <c r="H497" s="878"/>
      <c r="I497" s="880"/>
      <c r="J497" s="880"/>
      <c r="K497" s="880"/>
      <c r="L497" s="880"/>
      <c r="M497" s="881"/>
      <c r="N497" s="881"/>
      <c r="O497" s="1222"/>
    </row>
    <row r="498" spans="1:15" ht="17" thickBot="1">
      <c r="A498" s="986"/>
      <c r="B498" s="340"/>
      <c r="C498" s="882"/>
      <c r="D498" s="340"/>
      <c r="E498" s="882"/>
      <c r="F498" s="340"/>
      <c r="G498" s="340"/>
      <c r="H498" s="340"/>
      <c r="I498" s="341"/>
      <c r="J498" s="341"/>
      <c r="K498" s="341"/>
      <c r="L498" s="341"/>
      <c r="M498" s="883"/>
      <c r="N498" s="883"/>
      <c r="O498" s="1222"/>
    </row>
    <row r="499" spans="1:15" ht="16">
      <c r="A499" s="98"/>
      <c r="B499" s="99"/>
      <c r="C499" s="99"/>
      <c r="D499" s="99"/>
      <c r="E499" s="99"/>
      <c r="F499" s="421"/>
      <c r="G499" s="421"/>
      <c r="H499" s="421"/>
      <c r="I499" s="1468" t="s">
        <v>0</v>
      </c>
      <c r="J499" s="1468"/>
      <c r="K499" s="1468"/>
      <c r="L499" s="1468"/>
      <c r="M499" s="99"/>
      <c r="N499" s="101"/>
      <c r="O499" s="1223"/>
    </row>
    <row r="500" spans="1:15" s="91" customFormat="1" ht="16">
      <c r="A500" s="97"/>
      <c r="B500" s="1469" t="s">
        <v>1</v>
      </c>
      <c r="C500" s="1469"/>
      <c r="D500" s="1469" t="s">
        <v>2</v>
      </c>
      <c r="E500" s="1469"/>
      <c r="F500" s="1863" t="s">
        <v>3</v>
      </c>
      <c r="G500" s="1863"/>
      <c r="H500" s="430" t="s">
        <v>3</v>
      </c>
      <c r="I500" s="127" t="s">
        <v>195</v>
      </c>
      <c r="J500" s="102"/>
      <c r="K500" s="102"/>
      <c r="L500" s="128"/>
      <c r="M500" s="1469" t="s">
        <v>4</v>
      </c>
      <c r="N500" s="1526"/>
      <c r="O500" s="274"/>
    </row>
    <row r="501" spans="1:15" ht="19" thickBot="1">
      <c r="A501" s="103" t="s">
        <v>5</v>
      </c>
      <c r="B501" s="1473" t="s">
        <v>6</v>
      </c>
      <c r="C501" s="1473"/>
      <c r="D501" s="1473" t="s">
        <v>7</v>
      </c>
      <c r="E501" s="1473"/>
      <c r="F501" s="1864" t="s">
        <v>7</v>
      </c>
      <c r="G501" s="1864"/>
      <c r="H501" s="431" t="s">
        <v>58</v>
      </c>
      <c r="I501" s="398" t="s">
        <v>196</v>
      </c>
      <c r="J501" s="397" t="s">
        <v>8</v>
      </c>
      <c r="K501" s="397" t="s">
        <v>9</v>
      </c>
      <c r="L501" s="401" t="s">
        <v>10</v>
      </c>
      <c r="M501" s="1473" t="s">
        <v>145</v>
      </c>
      <c r="N501" s="1475"/>
    </row>
    <row r="502" spans="1:15" ht="24" thickBot="1">
      <c r="A502" s="88" t="s">
        <v>131</v>
      </c>
      <c r="B502" s="1751"/>
      <c r="C502" s="1477"/>
      <c r="D502" s="1478"/>
      <c r="E502" s="1479"/>
      <c r="F502" s="1878"/>
      <c r="G502" s="1879"/>
      <c r="H502" s="435"/>
      <c r="I502" s="7"/>
      <c r="J502" s="7"/>
      <c r="K502" s="7"/>
      <c r="L502" s="373"/>
      <c r="M502" s="1751"/>
      <c r="N502" s="1765"/>
    </row>
    <row r="503" spans="1:15" s="1168" customFormat="1" ht="17" thickBot="1">
      <c r="A503" s="108" t="s">
        <v>48</v>
      </c>
      <c r="B503" s="1457"/>
      <c r="C503" s="1586"/>
      <c r="D503" s="1567"/>
      <c r="E503" s="1586"/>
      <c r="F503" s="1619"/>
      <c r="G503" s="1620"/>
      <c r="H503" s="1158"/>
      <c r="I503" s="109"/>
      <c r="J503" s="109"/>
      <c r="K503" s="109"/>
      <c r="L503" s="1142"/>
      <c r="M503" s="1485"/>
      <c r="N503" s="1486"/>
      <c r="O503" s="121"/>
    </row>
    <row r="504" spans="1:15">
      <c r="A504" s="32" t="s">
        <v>28</v>
      </c>
      <c r="B504" s="1444">
        <f>'Ontario Total'!B450:C450+'Chino Total'!B450:C450+'Chino Hills Total'!B450:C450+'MVWD Total '!B450:C450+'Upland Total'!B447:C447+'FWC Total'!B450:C450+'SAWC Total'!B449:C449+'CVWD Total'!B450:C450</f>
        <v>4</v>
      </c>
      <c r="C504" s="1422"/>
      <c r="D504" s="1431">
        <f t="shared" ref="D504:D510" si="50">F504*325851</f>
        <v>49399.011600000005</v>
      </c>
      <c r="E504" s="1422"/>
      <c r="F504" s="1871">
        <f>0.0379*B504</f>
        <v>0.15160000000000001</v>
      </c>
      <c r="G504" s="1450"/>
      <c r="H504" s="633">
        <f>F504*20</f>
        <v>3.032</v>
      </c>
      <c r="I504" s="131">
        <v>0</v>
      </c>
      <c r="J504" s="131">
        <f>0*B504</f>
        <v>0</v>
      </c>
      <c r="K504" s="131">
        <f>60*B504</f>
        <v>240</v>
      </c>
      <c r="L504" s="169">
        <f t="shared" ref="L504:L510" si="51">I504+J504+K504</f>
        <v>240</v>
      </c>
      <c r="M504" s="1943">
        <f t="shared" ref="M504:M510" si="52">L504/(F504*498.5)</f>
        <v>3.1757541754551251</v>
      </c>
      <c r="N504" s="1759"/>
    </row>
    <row r="505" spans="1:15">
      <c r="A505" s="32" t="s">
        <v>29</v>
      </c>
      <c r="B505" s="1444">
        <f>'Ontario Total'!B451:C451+'Chino Total'!B451:C451+'Chino Hills Total'!B451:C451+'MVWD Total '!B451:C451+'Upland Total'!B448:C448+'FWC Total'!B451:C451+'SAWC Total'!B450:C450+'CVWD Total'!B451:C451</f>
        <v>2096</v>
      </c>
      <c r="C505" s="1422"/>
      <c r="D505" s="1431">
        <f>F505*325851</f>
        <v>29026807.080000006</v>
      </c>
      <c r="E505" s="1422"/>
      <c r="F505" s="1431">
        <f>0.0425*B505</f>
        <v>89.080000000000013</v>
      </c>
      <c r="G505" s="1422"/>
      <c r="H505" s="633">
        <f>F505*20</f>
        <v>1781.6000000000004</v>
      </c>
      <c r="I505" s="131">
        <v>0</v>
      </c>
      <c r="J505" s="131">
        <f>0*B505</f>
        <v>0</v>
      </c>
      <c r="K505" s="131">
        <f>B505*165</f>
        <v>345840</v>
      </c>
      <c r="L505" s="169">
        <f t="shared" si="51"/>
        <v>345840</v>
      </c>
      <c r="M505" s="1943">
        <f t="shared" si="52"/>
        <v>7.7880700926308331</v>
      </c>
      <c r="N505" s="1759"/>
    </row>
    <row r="506" spans="1:15">
      <c r="A506" s="32" t="s">
        <v>33</v>
      </c>
      <c r="B506" s="1444">
        <f>'Ontario Total'!B452:C452+'Chino Total'!B452:C452+'Chino Hills Total'!B452:C452+'MVWD Total '!B452:C452+'Upland Total'!B449:C449+'FWC Total'!B452:C452+'SAWC Total'!B451:C451+'CVWD Total'!B452:C452</f>
        <v>1191</v>
      </c>
      <c r="C506" s="1422"/>
      <c r="D506" s="1431">
        <f>F506*325851</f>
        <v>10711243.7316</v>
      </c>
      <c r="E506" s="1422"/>
      <c r="F506" s="1431">
        <f>0.0276*B506</f>
        <v>32.871600000000001</v>
      </c>
      <c r="G506" s="1422"/>
      <c r="H506" s="633">
        <f>F506*15</f>
        <v>493.07400000000001</v>
      </c>
      <c r="I506" s="131">
        <f>0*B506</f>
        <v>0</v>
      </c>
      <c r="J506" s="131">
        <f>0*B506</f>
        <v>0</v>
      </c>
      <c r="K506" s="131">
        <f>B506*110</f>
        <v>131010</v>
      </c>
      <c r="L506" s="169">
        <f t="shared" si="51"/>
        <v>131010</v>
      </c>
      <c r="M506" s="1943">
        <f t="shared" si="52"/>
        <v>7.9949994912273041</v>
      </c>
      <c r="N506" s="1759"/>
    </row>
    <row r="507" spans="1:15">
      <c r="A507" s="32" t="s">
        <v>56</v>
      </c>
      <c r="B507" s="1444">
        <f>'Ontario Total'!B453:C453+'Chino Total'!B453:C453+'Chino Hills Total'!B453:C453+'MVWD Total '!B453:C453+'Upland Total'!B450:C450+'FWC Total'!B453:C453+'SAWC Total'!B452:C452+'CVWD Total'!B453:C453</f>
        <v>958</v>
      </c>
      <c r="C507" s="1422"/>
      <c r="D507" s="1431">
        <f t="shared" si="50"/>
        <v>1248661.0320000001</v>
      </c>
      <c r="E507" s="1422"/>
      <c r="F507" s="1431">
        <f>0.004*B507</f>
        <v>3.8320000000000003</v>
      </c>
      <c r="G507" s="1422"/>
      <c r="H507" s="633">
        <f>F507*5</f>
        <v>19.16</v>
      </c>
      <c r="I507" s="131">
        <f>0*B507</f>
        <v>0</v>
      </c>
      <c r="J507" s="131">
        <f>0*B507</f>
        <v>0</v>
      </c>
      <c r="K507" s="131">
        <f>B507*4</f>
        <v>3832</v>
      </c>
      <c r="L507" s="169">
        <f t="shared" si="51"/>
        <v>3832</v>
      </c>
      <c r="M507" s="1943">
        <f t="shared" si="52"/>
        <v>2.0060180541624875</v>
      </c>
      <c r="N507" s="1759"/>
    </row>
    <row r="508" spans="1:15">
      <c r="A508" s="78" t="s">
        <v>30</v>
      </c>
      <c r="B508" s="1435">
        <f>'Ontario Total'!B454:C454+'Chino Total'!B454:C454+'Chino Hills Total'!B454:C454+'MVWD Total '!B454:C454+'Upland Total'!B451:C451+'FWC Total'!B454:C454+'SAWC Total'!B453:C453+'CVWD Total'!B454:C454</f>
        <v>10</v>
      </c>
      <c r="C508" s="1433"/>
      <c r="D508" s="1467">
        <f>F508*325851</f>
        <v>1059015.75</v>
      </c>
      <c r="E508" s="1433"/>
      <c r="F508" s="1467">
        <f>0.325*B508</f>
        <v>3.25</v>
      </c>
      <c r="G508" s="1433"/>
      <c r="H508" s="638">
        <f>F508*10</f>
        <v>32.5</v>
      </c>
      <c r="I508" s="133">
        <v>0</v>
      </c>
      <c r="J508" s="133">
        <f>0*B508</f>
        <v>0</v>
      </c>
      <c r="K508" s="133">
        <f>B508*80</f>
        <v>800</v>
      </c>
      <c r="L508" s="334">
        <f t="shared" si="51"/>
        <v>800</v>
      </c>
      <c r="M508" s="1943">
        <f t="shared" si="52"/>
        <v>0.49378905948615076</v>
      </c>
      <c r="N508" s="1759"/>
    </row>
    <row r="509" spans="1:15" s="91" customFormat="1" ht="16">
      <c r="A509" s="76" t="s">
        <v>141</v>
      </c>
      <c r="B509" s="1451">
        <f>'Ontario Total'!B455:C455+'Chino Total'!B455:C455+'Chino Hills Total'!B455:C455+'MVWD Total '!B455:C455+'Upland Total'!B452:C452+'FWC Total'!B455:C455+'SAWC Total'!B454:C454+'CVWD Total'!B455:C455</f>
        <v>117</v>
      </c>
      <c r="C509" s="1448"/>
      <c r="D509" s="1447">
        <f>F509*325851</f>
        <v>7288068.1872599991</v>
      </c>
      <c r="E509" s="1448"/>
      <c r="F509" s="1447">
        <f>0.00014*159759</f>
        <v>22.366259999999997</v>
      </c>
      <c r="G509" s="1448"/>
      <c r="H509" s="613">
        <f>F509*10</f>
        <v>223.66259999999997</v>
      </c>
      <c r="I509" s="173">
        <v>0</v>
      </c>
      <c r="J509" s="173">
        <v>206799</v>
      </c>
      <c r="K509" s="173">
        <f>B509*0</f>
        <v>0</v>
      </c>
      <c r="L509" s="286">
        <f t="shared" si="51"/>
        <v>206799</v>
      </c>
      <c r="M509" s="1634">
        <f t="shared" si="52"/>
        <v>18.547693158478364</v>
      </c>
      <c r="N509" s="1540"/>
      <c r="O509" s="274"/>
    </row>
    <row r="510" spans="1:15" ht="14" thickBot="1">
      <c r="A510" s="76" t="s">
        <v>142</v>
      </c>
      <c r="B510" s="1432">
        <f>'Ontario Total'!B456:C456+'Chino Total'!B456:C456+'Chino Hills Total'!B456:C456+'MVWD Total '!B456:C456+'Upland Total'!B453:C453+'FWC Total'!B456:C456+'SAWC Total'!B455:C455+'CVWD Total'!B456:C456</f>
        <v>114</v>
      </c>
      <c r="C510" s="1433"/>
      <c r="D510" s="1467">
        <f t="shared" si="50"/>
        <v>4621994.4073799998</v>
      </c>
      <c r="E510" s="1433"/>
      <c r="F510" s="1467">
        <f>0.00014*101317</f>
        <v>14.184379999999999</v>
      </c>
      <c r="G510" s="1433"/>
      <c r="H510" s="638">
        <f>F510*10</f>
        <v>141.84379999999999</v>
      </c>
      <c r="I510" s="133">
        <v>0</v>
      </c>
      <c r="J510" s="133">
        <f>0.3*101317</f>
        <v>30395.1</v>
      </c>
      <c r="K510" s="133">
        <f>101317*0.3</f>
        <v>30395.1</v>
      </c>
      <c r="L510" s="334">
        <f t="shared" si="51"/>
        <v>60790.2</v>
      </c>
      <c r="M510" s="1943">
        <f t="shared" si="52"/>
        <v>8.5972202321249469</v>
      </c>
      <c r="N510" s="1759"/>
    </row>
    <row r="511" spans="1:15" ht="14" thickBot="1">
      <c r="A511" s="53" t="s">
        <v>60</v>
      </c>
      <c r="B511" s="1440">
        <f>SUM(B504:C510)</f>
        <v>4490</v>
      </c>
      <c r="C511" s="1621"/>
      <c r="D511" s="1441">
        <f>SUM(D504:E510)</f>
        <v>54005189.199840002</v>
      </c>
      <c r="E511" s="1621"/>
      <c r="F511" s="1441">
        <f>SUM(F504:G510)</f>
        <v>165.73584000000002</v>
      </c>
      <c r="G511" s="1439"/>
      <c r="H511" s="610">
        <f>SUM(H504:H510)</f>
        <v>2694.8724000000002</v>
      </c>
      <c r="I511" s="143">
        <f>SUM(I504:I510)</f>
        <v>0</v>
      </c>
      <c r="J511" s="143">
        <f>SUM(J504:J510)</f>
        <v>237194.1</v>
      </c>
      <c r="K511" s="143">
        <f>SUM(K504:K510)</f>
        <v>512117.1</v>
      </c>
      <c r="L511" s="136">
        <f>SUM(L504:L510)</f>
        <v>749311.2</v>
      </c>
      <c r="M511" s="1637"/>
      <c r="N511" s="1611"/>
    </row>
    <row r="512" spans="1:15" s="1161" customFormat="1" ht="17" thickBot="1">
      <c r="A512" s="108" t="s">
        <v>125</v>
      </c>
      <c r="B512" s="1457"/>
      <c r="C512" s="1586"/>
      <c r="D512" s="1567"/>
      <c r="E512" s="1586"/>
      <c r="F512" s="1567"/>
      <c r="G512" s="1586"/>
      <c r="H512" s="1141"/>
      <c r="I512" s="161"/>
      <c r="J512" s="161"/>
      <c r="K512" s="161"/>
      <c r="L512" s="374"/>
      <c r="M512" s="1485"/>
      <c r="N512" s="1486"/>
      <c r="O512" s="274"/>
    </row>
    <row r="513" spans="1:15" ht="14" thickBot="1">
      <c r="A513" s="76" t="s">
        <v>125</v>
      </c>
      <c r="B513" s="1933">
        <f>'Ontario Total'!B459:C459+'Chino Total'!B459:C459+'Chino Hills Total'!B459:C459+'MVWD Total '!B459:C459+'Upland Total'!B456:C456+'FWC Total'!B459:C459+'SAWC Total'!B458:C458+'CVWD Total'!B459:C459</f>
        <v>1682</v>
      </c>
      <c r="C513" s="1770"/>
      <c r="D513" s="1431">
        <f>F513*325851</f>
        <v>23293458.734999999</v>
      </c>
      <c r="E513" s="1422"/>
      <c r="F513" s="1467">
        <f>0.0425*B513</f>
        <v>71.484999999999999</v>
      </c>
      <c r="G513" s="1433"/>
      <c r="H513" s="638">
        <f>F513*20</f>
        <v>1429.7</v>
      </c>
      <c r="I513" s="131">
        <f>73.34*B513</f>
        <v>123357.88</v>
      </c>
      <c r="J513" s="131">
        <f>35.66*B513</f>
        <v>59980.119999999995</v>
      </c>
      <c r="K513" s="131">
        <f>B513*165</f>
        <v>277530</v>
      </c>
      <c r="L513" s="169">
        <f>I513+J513+K513</f>
        <v>460868</v>
      </c>
      <c r="M513" s="1943">
        <f>L513/(F513*498.5)</f>
        <v>12.932916396247567</v>
      </c>
      <c r="N513" s="1759"/>
    </row>
    <row r="514" spans="1:15" ht="14" thickBot="1">
      <c r="A514" s="53" t="s">
        <v>60</v>
      </c>
      <c r="B514" s="1438">
        <f>SUM(B513)</f>
        <v>1682</v>
      </c>
      <c r="C514" s="1609"/>
      <c r="D514" s="1440">
        <f>SUM(D513)</f>
        <v>23293458.734999999</v>
      </c>
      <c r="E514" s="1621"/>
      <c r="F514" s="1441">
        <f>SUM(F513)</f>
        <v>71.484999999999999</v>
      </c>
      <c r="G514" s="1439"/>
      <c r="H514" s="610">
        <f>SUM(H513)</f>
        <v>1429.7</v>
      </c>
      <c r="I514" s="143">
        <f>SUM(I513)</f>
        <v>123357.88</v>
      </c>
      <c r="J514" s="143">
        <f>SUM(J513)</f>
        <v>59980.119999999995</v>
      </c>
      <c r="K514" s="143">
        <f>SUM(K513)</f>
        <v>277530</v>
      </c>
      <c r="L514" s="136">
        <f>SUM(L513)</f>
        <v>460868</v>
      </c>
      <c r="M514" s="1637"/>
      <c r="N514" s="1611"/>
    </row>
    <row r="515" spans="1:15" s="1168" customFormat="1" ht="17" thickBot="1">
      <c r="A515" s="108" t="s">
        <v>50</v>
      </c>
      <c r="B515" s="1989"/>
      <c r="C515" s="1648"/>
      <c r="D515" s="1567"/>
      <c r="E515" s="1586"/>
      <c r="F515" s="1567"/>
      <c r="G515" s="1586"/>
      <c r="H515" s="1141"/>
      <c r="I515" s="161"/>
      <c r="J515" s="161"/>
      <c r="K515" s="161"/>
      <c r="L515" s="374"/>
      <c r="M515" s="1485"/>
      <c r="N515" s="1486"/>
      <c r="O515" s="121"/>
    </row>
    <row r="516" spans="1:15">
      <c r="A516" s="36" t="s">
        <v>26</v>
      </c>
      <c r="B516" s="1767">
        <f>'Ontario Total'!B462:C462+'Chino Total'!B462:C462+'Chino Hills Total'!B462:C462+'MVWD Total '!B462:C462+'Upland Total'!B459:C459+'FWC Total'!B462:C462+'SAWC Total'!B461:C461+'CVWD Total'!B462:C462</f>
        <v>0</v>
      </c>
      <c r="C516" s="1732"/>
      <c r="D516" s="1444">
        <f t="shared" ref="D516:D524" si="53">F516*325851</f>
        <v>0</v>
      </c>
      <c r="E516" s="1422"/>
      <c r="F516" s="1431">
        <f>0.0379*B516</f>
        <v>0</v>
      </c>
      <c r="G516" s="1422"/>
      <c r="H516" s="633">
        <f>F516*20</f>
        <v>0</v>
      </c>
      <c r="I516" s="131">
        <v>0</v>
      </c>
      <c r="J516" s="131">
        <f>35.66*B516</f>
        <v>0</v>
      </c>
      <c r="K516" s="131">
        <f>135*B516</f>
        <v>0</v>
      </c>
      <c r="L516" s="169">
        <f>SUM(I516:K516)</f>
        <v>0</v>
      </c>
      <c r="M516" s="1943">
        <v>0</v>
      </c>
      <c r="N516" s="1759"/>
    </row>
    <row r="517" spans="1:15">
      <c r="A517" s="34" t="s">
        <v>25</v>
      </c>
      <c r="B517" s="1444">
        <f>'Ontario Total'!B463:C463+'Chino Total'!B463:C463+'Chino Hills Total'!B463:C463+'MVWD Total '!B463:C463+'Upland Total'!B460:C460+'FWC Total'!B463:C463+'SAWC Total'!B462:C462+'CVWD Total'!B463:C463</f>
        <v>1</v>
      </c>
      <c r="C517" s="1422"/>
      <c r="D517" s="1444">
        <f t="shared" si="53"/>
        <v>12349.752900000001</v>
      </c>
      <c r="E517" s="1422"/>
      <c r="F517" s="1871">
        <f>0.0379*B517</f>
        <v>3.7900000000000003E-2</v>
      </c>
      <c r="G517" s="1450"/>
      <c r="H517" s="633">
        <f>F517*20</f>
        <v>0.75800000000000001</v>
      </c>
      <c r="I517" s="131">
        <v>0</v>
      </c>
      <c r="J517" s="131">
        <f>0*B517</f>
        <v>0</v>
      </c>
      <c r="K517" s="131">
        <f>60*B517</f>
        <v>60</v>
      </c>
      <c r="L517" s="169">
        <f t="shared" ref="L517:L525" si="54">SUM(I517:K517)</f>
        <v>60</v>
      </c>
      <c r="M517" s="1943">
        <f>L517/(F517*498.5)</f>
        <v>3.1757541754551251</v>
      </c>
      <c r="N517" s="1759"/>
    </row>
    <row r="518" spans="1:15">
      <c r="A518" s="32" t="s">
        <v>29</v>
      </c>
      <c r="B518" s="1444">
        <f>'Ontario Total'!B464:C464+'Chino Total'!B464:C464+'Chino Hills Total'!B464:C464+'MVWD Total '!B464:C464+'Upland Total'!B461:C461+'FWC Total'!B464:C464+'SAWC Total'!B463:C463+'CVWD Total'!B464:C464</f>
        <v>1554</v>
      </c>
      <c r="C518" s="1422"/>
      <c r="D518" s="1444">
        <f t="shared" si="53"/>
        <v>21520829.295000002</v>
      </c>
      <c r="E518" s="1422"/>
      <c r="F518" s="1431">
        <f>0.0425*B518</f>
        <v>66.045000000000002</v>
      </c>
      <c r="G518" s="1422"/>
      <c r="H518" s="633">
        <f>F518*20</f>
        <v>1320.9</v>
      </c>
      <c r="I518" s="131">
        <v>0</v>
      </c>
      <c r="J518" s="131">
        <f>135*B518</f>
        <v>209790</v>
      </c>
      <c r="K518" s="131">
        <f>165*B518</f>
        <v>256410</v>
      </c>
      <c r="L518" s="169">
        <f t="shared" si="54"/>
        <v>466200</v>
      </c>
      <c r="M518" s="1943">
        <f>L518/(F518*498.5)</f>
        <v>14.160127441146969</v>
      </c>
      <c r="N518" s="1759"/>
    </row>
    <row r="519" spans="1:15">
      <c r="A519" s="32" t="s">
        <v>51</v>
      </c>
      <c r="B519" s="1444">
        <f>'Ontario Total'!B465:C465+'Chino Total'!B465:C465+'Chino Hills Total'!B465:C465+'MVWD Total '!B465:C465+'Upland Total'!B462:C462+'FWC Total'!B465:C465+'SAWC Total'!B464:C464+'CVWD Total'!B465:C465</f>
        <v>332</v>
      </c>
      <c r="C519" s="1422"/>
      <c r="D519" s="1444">
        <f t="shared" si="53"/>
        <v>13273996.6764</v>
      </c>
      <c r="E519" s="1422"/>
      <c r="F519" s="1431">
        <f>0.1227*B519</f>
        <v>40.736400000000003</v>
      </c>
      <c r="G519" s="1422"/>
      <c r="H519" s="633">
        <f>F519*20</f>
        <v>814.72800000000007</v>
      </c>
      <c r="I519" s="131">
        <v>0</v>
      </c>
      <c r="J519" s="131">
        <f>0*B519</f>
        <v>0</v>
      </c>
      <c r="K519" s="131">
        <f>400*B519</f>
        <v>132800</v>
      </c>
      <c r="L519" s="169">
        <f t="shared" si="54"/>
        <v>132800</v>
      </c>
      <c r="M519" s="1943">
        <f>L519/(F519*498.5)</f>
        <v>6.5395861586389152</v>
      </c>
      <c r="N519" s="1759"/>
    </row>
    <row r="520" spans="1:15">
      <c r="A520" s="34" t="s">
        <v>20</v>
      </c>
      <c r="B520" s="1444">
        <f>'Ontario Total'!B466:C466+'Chino Total'!B466:C466+'Chino Hills Total'!B466:C466+'MVWD Total '!B466:C466+'Upland Total'!B463:C463+'FWC Total'!B466:C466+'SAWC Total'!B465:C465+'CVWD Total'!B466:C466</f>
        <v>4</v>
      </c>
      <c r="C520" s="1422"/>
      <c r="D520" s="1444">
        <f t="shared" si="53"/>
        <v>839392.17599999998</v>
      </c>
      <c r="E520" s="1422"/>
      <c r="F520" s="1431">
        <f>0.644*B520</f>
        <v>2.5760000000000001</v>
      </c>
      <c r="G520" s="1422"/>
      <c r="H520" s="633">
        <f>F520*5</f>
        <v>12.88</v>
      </c>
      <c r="I520" s="131">
        <v>0</v>
      </c>
      <c r="J520" s="131">
        <f>43.75*B520</f>
        <v>175</v>
      </c>
      <c r="K520" s="131">
        <f>625*B520</f>
        <v>2500</v>
      </c>
      <c r="L520" s="169">
        <f t="shared" si="54"/>
        <v>2675</v>
      </c>
      <c r="M520" s="1943">
        <f t="shared" ref="M520:M527" si="55">L520/(F520*498.5)</f>
        <v>2.0831126921136081</v>
      </c>
      <c r="N520" s="1759"/>
    </row>
    <row r="521" spans="1:15">
      <c r="A521" s="34" t="s">
        <v>13</v>
      </c>
      <c r="B521" s="1444">
        <f>'Ontario Total'!B467:C467+'Chino Total'!B467:C467+'Chino Hills Total'!B467:C467+'MVWD Total '!B467:C467+'Upland Total'!B464:C464+'FWC Total'!B467:C467+'SAWC Total'!B466:C466+'CVWD Total'!B467:C467</f>
        <v>19</v>
      </c>
      <c r="C521" s="1422"/>
      <c r="D521" s="1444">
        <f t="shared" si="53"/>
        <v>170876.26439999999</v>
      </c>
      <c r="E521" s="1422"/>
      <c r="F521" s="1431">
        <f>0.0276*B521</f>
        <v>0.52439999999999998</v>
      </c>
      <c r="G521" s="1422"/>
      <c r="H521" s="633">
        <f>F521*10</f>
        <v>5.2439999999999998</v>
      </c>
      <c r="I521" s="131">
        <v>0</v>
      </c>
      <c r="J521" s="131">
        <f>100*B521</f>
        <v>1900</v>
      </c>
      <c r="K521" s="131">
        <f>80*B521</f>
        <v>1520</v>
      </c>
      <c r="L521" s="169">
        <f t="shared" si="54"/>
        <v>3420</v>
      </c>
      <c r="M521" s="1943">
        <f t="shared" si="55"/>
        <v>13.082726440190138</v>
      </c>
      <c r="N521" s="1759"/>
    </row>
    <row r="522" spans="1:15">
      <c r="A522" s="35" t="s">
        <v>47</v>
      </c>
      <c r="B522" s="1444">
        <f>'Ontario Total'!B468:C468+'Chino Total'!B468:C468+'Chino Hills Total'!B468:C468+'MVWD Total '!B468:C468+'Upland Total'!B465:C465+'FWC Total'!B468:C468+'SAWC Total'!B467:C467+'CVWD Total'!B468:C468</f>
        <v>5</v>
      </c>
      <c r="C522" s="1422"/>
      <c r="D522" s="1444">
        <f t="shared" si="53"/>
        <v>249927.717</v>
      </c>
      <c r="E522" s="1422"/>
      <c r="F522" s="1431">
        <f>0.1534*B522</f>
        <v>0.76700000000000002</v>
      </c>
      <c r="G522" s="1422"/>
      <c r="H522" s="633">
        <f>F522*5</f>
        <v>3.835</v>
      </c>
      <c r="I522" s="131">
        <v>0</v>
      </c>
      <c r="J522" s="131">
        <f>0*B522</f>
        <v>0</v>
      </c>
      <c r="K522" s="131">
        <f>150*B522</f>
        <v>750</v>
      </c>
      <c r="L522" s="169">
        <f t="shared" si="54"/>
        <v>750</v>
      </c>
      <c r="M522" s="1943">
        <f t="shared" si="55"/>
        <v>1.9615561155435013</v>
      </c>
      <c r="N522" s="1759"/>
    </row>
    <row r="523" spans="1:15">
      <c r="A523" s="76" t="s">
        <v>30</v>
      </c>
      <c r="B523" s="1444">
        <f>'Ontario Total'!B469:C469+'Chino Total'!B469:C469+'Chino Hills Total'!B469:C469+'MVWD Total '!B469:C469+'Upland Total'!B466:C466+'FWC Total'!B469:C469+'SAWC Total'!B468:C468+'CVWD Total'!B469:C469</f>
        <v>57</v>
      </c>
      <c r="C523" s="1422"/>
      <c r="D523" s="1444">
        <f t="shared" si="53"/>
        <v>6036389.7750000004</v>
      </c>
      <c r="E523" s="1422"/>
      <c r="F523" s="1431">
        <f>0.325*B523</f>
        <v>18.525000000000002</v>
      </c>
      <c r="G523" s="1422"/>
      <c r="H523" s="633">
        <f>F523*10</f>
        <v>185.25000000000003</v>
      </c>
      <c r="I523" s="131">
        <v>0</v>
      </c>
      <c r="J523" s="131">
        <f>0*B523</f>
        <v>0</v>
      </c>
      <c r="K523" s="131">
        <f>669*B523</f>
        <v>38133</v>
      </c>
      <c r="L523" s="169">
        <f t="shared" si="54"/>
        <v>38133</v>
      </c>
      <c r="M523" s="1943">
        <f t="shared" si="55"/>
        <v>4.1293110099529349</v>
      </c>
      <c r="N523" s="1759"/>
    </row>
    <row r="524" spans="1:15">
      <c r="A524" s="76" t="s">
        <v>204</v>
      </c>
      <c r="B524" s="1444">
        <v>2</v>
      </c>
      <c r="C524" s="1422"/>
      <c r="D524" s="1444">
        <f t="shared" si="53"/>
        <v>87816.844499999992</v>
      </c>
      <c r="E524" s="1422"/>
      <c r="F524" s="1871">
        <f>0.00014*1925</f>
        <v>0.26949999999999996</v>
      </c>
      <c r="G524" s="1450"/>
      <c r="H524" s="633">
        <f>F524*10</f>
        <v>2.6949999999999994</v>
      </c>
      <c r="I524" s="131">
        <v>0</v>
      </c>
      <c r="J524" s="131">
        <f>0.3*1925</f>
        <v>577.5</v>
      </c>
      <c r="K524" s="131">
        <f>0.3*1925</f>
        <v>577.5</v>
      </c>
      <c r="L524" s="169">
        <f t="shared" si="54"/>
        <v>1155</v>
      </c>
      <c r="M524" s="1943">
        <f t="shared" si="55"/>
        <v>8.5972202321249469</v>
      </c>
      <c r="N524" s="1759"/>
    </row>
    <row r="525" spans="1:15">
      <c r="A525" s="33" t="s">
        <v>56</v>
      </c>
      <c r="B525" s="1444">
        <f>'Ontario Total'!B471:C471+'Chino Total'!B471:C471+'Chino Hills Total'!B471:C471+'MVWD Total '!B471:C471+'Upland Total'!B468:C468+'FWC Total'!B471:C471+'SAWC Total'!B470:C470+'CVWD Total'!B471:C471</f>
        <v>43</v>
      </c>
      <c r="C525" s="1422"/>
      <c r="D525" s="1444">
        <f>F525*325851</f>
        <v>56046.372000000003</v>
      </c>
      <c r="E525" s="1422"/>
      <c r="F525" s="1871">
        <f>0.004*B525</f>
        <v>0.17200000000000001</v>
      </c>
      <c r="G525" s="1450"/>
      <c r="H525" s="633">
        <f>F525*5</f>
        <v>0.8600000000000001</v>
      </c>
      <c r="I525" s="131">
        <v>0</v>
      </c>
      <c r="J525" s="131">
        <f>0*B525</f>
        <v>0</v>
      </c>
      <c r="K525" s="131">
        <f>4*B525</f>
        <v>172</v>
      </c>
      <c r="L525" s="169">
        <f t="shared" si="54"/>
        <v>172</v>
      </c>
      <c r="M525" s="1943">
        <f t="shared" si="55"/>
        <v>2.0060180541624875</v>
      </c>
      <c r="N525" s="1759"/>
    </row>
    <row r="526" spans="1:15" s="91" customFormat="1" ht="16">
      <c r="A526" s="76" t="s">
        <v>122</v>
      </c>
      <c r="B526" s="1444">
        <f>'Ontario Total'!B472:C472+'Chino Total'!B472:C472+'Chino Hills Total'!B472:C472+'MVWD Total '!B472:C472+'Upland Total'!B469:C469+'FWC Total'!B472:C472+'SAWC Total'!B471:C471+'CVWD Total'!B472:C472</f>
        <v>120</v>
      </c>
      <c r="C526" s="1422"/>
      <c r="D526" s="1444">
        <f>F526*325851</f>
        <v>703838.15999999992</v>
      </c>
      <c r="E526" s="1422"/>
      <c r="F526" s="1431">
        <f>0.018*B526</f>
        <v>2.1599999999999997</v>
      </c>
      <c r="G526" s="1422"/>
      <c r="H526" s="633">
        <f>F526*10</f>
        <v>21.599999999999998</v>
      </c>
      <c r="I526" s="131">
        <v>0</v>
      </c>
      <c r="J526" s="131">
        <f>0*B526</f>
        <v>0</v>
      </c>
      <c r="K526" s="131">
        <f>13*B526</f>
        <v>1560</v>
      </c>
      <c r="L526" s="169">
        <f>SUM(I526:K526)</f>
        <v>1560</v>
      </c>
      <c r="M526" s="1943">
        <f>L526/(F526*498.5)</f>
        <v>1.4487908168951302</v>
      </c>
      <c r="N526" s="1759"/>
      <c r="O526" s="274"/>
    </row>
    <row r="527" spans="1:15" ht="14" thickBot="1">
      <c r="A527" s="33" t="s">
        <v>119</v>
      </c>
      <c r="B527" s="1444">
        <f>'Ontario Total'!B473:C473+'Chino Total'!B473:C473+'Chino Hills Total'!B473:C473+'MVWD Total '!B473:C473+'Upland Total'!B470:C470+'FWC Total'!B473:C473+'SAWC Total'!B472:C472+'CVWD Total'!B473:C473</f>
        <v>31</v>
      </c>
      <c r="C527" s="1422"/>
      <c r="D527" s="1444">
        <f>F527*325851</f>
        <v>1545511.2930000001</v>
      </c>
      <c r="E527" s="1422"/>
      <c r="F527" s="1431">
        <f>0.153*B527</f>
        <v>4.7430000000000003</v>
      </c>
      <c r="G527" s="1422"/>
      <c r="H527" s="633">
        <f>F527*5</f>
        <v>23.715000000000003</v>
      </c>
      <c r="I527" s="131">
        <v>0</v>
      </c>
      <c r="J527" s="131">
        <f>0*B527</f>
        <v>0</v>
      </c>
      <c r="K527" s="131">
        <f>60*B527</f>
        <v>1860</v>
      </c>
      <c r="L527" s="169">
        <f>SUM(I527:K527)</f>
        <v>1860</v>
      </c>
      <c r="M527" s="1943">
        <f t="shared" si="55"/>
        <v>0.78667374673038715</v>
      </c>
      <c r="N527" s="1759"/>
    </row>
    <row r="528" spans="1:15" ht="14" thickBot="1">
      <c r="A528" s="53" t="s">
        <v>60</v>
      </c>
      <c r="B528" s="1438">
        <f>SUM(B516:C527)</f>
        <v>2168</v>
      </c>
      <c r="C528" s="1609"/>
      <c r="D528" s="1441">
        <f>SUM(D516:E527)</f>
        <v>44496974.326199993</v>
      </c>
      <c r="E528" s="1439"/>
      <c r="F528" s="1440">
        <f>SUM(F516:G527)</f>
        <v>136.55619999999996</v>
      </c>
      <c r="G528" s="1439"/>
      <c r="H528" s="610">
        <f>SUM(H516:H527)</f>
        <v>2392.4650000000011</v>
      </c>
      <c r="I528" s="143">
        <f>SUM(I516:I527)</f>
        <v>0</v>
      </c>
      <c r="J528" s="143">
        <f>SUM(J516:J527)</f>
        <v>212442.5</v>
      </c>
      <c r="K528" s="143">
        <f>SUM(K516:K527)</f>
        <v>436342.5</v>
      </c>
      <c r="L528" s="136">
        <f>SUM(L516:L527)</f>
        <v>648785</v>
      </c>
      <c r="M528" s="1637"/>
      <c r="N528" s="1611"/>
    </row>
    <row r="529" spans="1:15" s="1168" customFormat="1" ht="17" thickBot="1">
      <c r="A529" s="108" t="s">
        <v>54</v>
      </c>
      <c r="B529" s="1457"/>
      <c r="C529" s="1586"/>
      <c r="D529" s="1148"/>
      <c r="E529" s="1142"/>
      <c r="F529" s="1148"/>
      <c r="G529" s="1142"/>
      <c r="H529" s="1141"/>
      <c r="I529" s="109"/>
      <c r="J529" s="109"/>
      <c r="K529" s="109"/>
      <c r="L529" s="1142"/>
      <c r="M529" s="412"/>
      <c r="N529" s="1155"/>
      <c r="O529" s="121"/>
    </row>
    <row r="530" spans="1:15">
      <c r="A530" s="36" t="s">
        <v>29</v>
      </c>
      <c r="B530" s="1767">
        <f>'Ontario Total'!B476:C476+'Chino Total'!B476:C476+'Chino Hills Total'!B476:C476+'MVWD Total '!B476:C476+'Upland Total'!B473:C473+'FWC Total'!B476:C476+'SAWC Total'!B475:C475+'CVWD Total'!B476:C476</f>
        <v>4</v>
      </c>
      <c r="C530" s="1732"/>
      <c r="D530" s="1444">
        <f>F530*325851</f>
        <v>55394.670000000006</v>
      </c>
      <c r="E530" s="1422"/>
      <c r="F530" s="1871">
        <f>0.0425*B530</f>
        <v>0.17</v>
      </c>
      <c r="G530" s="1450"/>
      <c r="H530" s="633">
        <f>F530*20</f>
        <v>3.4000000000000004</v>
      </c>
      <c r="I530" s="131">
        <v>0</v>
      </c>
      <c r="J530" s="131">
        <v>0</v>
      </c>
      <c r="K530" s="131">
        <f>321.27*B530</f>
        <v>1285.08</v>
      </c>
      <c r="L530" s="169">
        <f t="shared" ref="L530:L535" si="56">SUM(I530:K530)</f>
        <v>1285.08</v>
      </c>
      <c r="M530" s="1943">
        <f t="shared" ref="M530:M535" si="57">L530/(F530*498.5)</f>
        <v>15.164080476724289</v>
      </c>
      <c r="N530" s="1759"/>
    </row>
    <row r="531" spans="1:15">
      <c r="A531" s="34" t="s">
        <v>51</v>
      </c>
      <c r="B531" s="1444">
        <f>'Ontario Total'!B477:C477+'Chino Total'!B477:C477+'Chino Hills Total'!B477:C477+'MVWD Total '!B477:C477+'Upland Total'!B474:C474+'FWC Total'!B477:C477+'SAWC Total'!B476:C476+'CVWD Total'!B477:C477</f>
        <v>2</v>
      </c>
      <c r="C531" s="1422"/>
      <c r="D531" s="1444">
        <f>F531*325851</f>
        <v>81462.75</v>
      </c>
      <c r="E531" s="1422"/>
      <c r="F531" s="1871">
        <f>0.125*B531</f>
        <v>0.25</v>
      </c>
      <c r="G531" s="1450"/>
      <c r="H531" s="633">
        <f>F531*20</f>
        <v>5</v>
      </c>
      <c r="I531" s="131">
        <v>0</v>
      </c>
      <c r="J531" s="131">
        <f>0*B531</f>
        <v>0</v>
      </c>
      <c r="K531" s="131">
        <f>535.7*B531</f>
        <v>1071.4000000000001</v>
      </c>
      <c r="L531" s="169">
        <f t="shared" si="56"/>
        <v>1071.4000000000001</v>
      </c>
      <c r="M531" s="1943">
        <f t="shared" si="57"/>
        <v>8.596990972918757</v>
      </c>
      <c r="N531" s="1759"/>
    </row>
    <row r="532" spans="1:15">
      <c r="A532" s="78" t="s">
        <v>15</v>
      </c>
      <c r="B532" s="1536">
        <f>'Ontario Total'!B478:C478+'Chino Total'!B478:C478+'Chino Hills Total'!B478:C478+'MVWD Total '!B478:C478+'Upland Total'!B475:C475+'FWC Total'!B478:C478+'SAWC Total'!B477:C477+'CVWD Total'!B478:C478</f>
        <v>49</v>
      </c>
      <c r="C532" s="1424"/>
      <c r="D532" s="1536">
        <f>F532*325851</f>
        <v>2449291.6266000001</v>
      </c>
      <c r="E532" s="1424"/>
      <c r="F532" s="1423">
        <f>0.1534*B532</f>
        <v>7.5166000000000004</v>
      </c>
      <c r="G532" s="1424"/>
      <c r="H532" s="608">
        <f>F532*5</f>
        <v>37.582999999999998</v>
      </c>
      <c r="I532" s="150">
        <v>0</v>
      </c>
      <c r="J532" s="150">
        <f>0*B532</f>
        <v>0</v>
      </c>
      <c r="K532" s="150">
        <f>340.93*B532</f>
        <v>16705.57</v>
      </c>
      <c r="L532" s="221">
        <f t="shared" si="56"/>
        <v>16705.57</v>
      </c>
      <c r="M532" s="1634">
        <f t="shared" si="57"/>
        <v>4.4583555098149725</v>
      </c>
      <c r="N532" s="1540"/>
    </row>
    <row r="533" spans="1:15">
      <c r="A533" s="78" t="s">
        <v>30</v>
      </c>
      <c r="B533" s="1536">
        <f>'Ontario Total'!B479:C479+'Chino Total'!B479:C479+'Chino Hills Total'!B479:C479+'MVWD Total '!B479:C479+'Upland Total'!B476:C476+'FWC Total'!B479:C479+'SAWC Total'!B478:C478+'CVWD Total'!B479:C479</f>
        <v>73</v>
      </c>
      <c r="C533" s="1424"/>
      <c r="D533" s="1536">
        <f>F533*325851</f>
        <v>14486357.907</v>
      </c>
      <c r="E533" s="1424"/>
      <c r="F533" s="1423">
        <f>0.609*B533</f>
        <v>44.457000000000001</v>
      </c>
      <c r="G533" s="1424"/>
      <c r="H533" s="608">
        <f>F533*10</f>
        <v>444.57</v>
      </c>
      <c r="I533" s="150">
        <v>0</v>
      </c>
      <c r="J533" s="150">
        <f>0*B533</f>
        <v>0</v>
      </c>
      <c r="K533" s="150">
        <f>1658.03*B533</f>
        <v>121036.19</v>
      </c>
      <c r="L533" s="221">
        <f t="shared" si="56"/>
        <v>121036.19</v>
      </c>
      <c r="M533" s="1634">
        <f t="shared" si="57"/>
        <v>5.4614747361954503</v>
      </c>
      <c r="N533" s="1540"/>
    </row>
    <row r="534" spans="1:15">
      <c r="A534" s="78" t="s">
        <v>55</v>
      </c>
      <c r="B534" s="1536">
        <f>'Ontario Total'!B480:C480+'Chino Total'!B480:C480+'Chino Hills Total'!B480:C480+'MVWD Total '!B480:C480+'Upland Total'!B477:C477+'FWC Total'!B480:C480+'SAWC Total'!B479:C479+'CVWD Total'!B480:C480</f>
        <v>515</v>
      </c>
      <c r="C534" s="1424"/>
      <c r="D534" s="1536">
        <f>F534*325851</f>
        <v>166470758.88</v>
      </c>
      <c r="E534" s="1424"/>
      <c r="F534" s="1447">
        <f>0.992*B534</f>
        <v>510.88</v>
      </c>
      <c r="G534" s="1448"/>
      <c r="H534" s="608">
        <f>F534*10</f>
        <v>5108.8</v>
      </c>
      <c r="I534" s="150">
        <v>0</v>
      </c>
      <c r="J534" s="150">
        <f>0*B534</f>
        <v>0</v>
      </c>
      <c r="K534" s="150">
        <f>4085.18*B534</f>
        <v>2103867.6999999997</v>
      </c>
      <c r="L534" s="221">
        <f t="shared" si="56"/>
        <v>2103867.6999999997</v>
      </c>
      <c r="M534" s="1634">
        <f t="shared" si="57"/>
        <v>8.261033099297892</v>
      </c>
      <c r="N534" s="1540"/>
    </row>
    <row r="535" spans="1:15" ht="14" thickBot="1">
      <c r="A535" s="47" t="s">
        <v>120</v>
      </c>
      <c r="B535" s="1768">
        <f>'Ontario Total'!B481:C481+'Chino Total'!B481:C481+'Chino Hills Total'!B481:C481+'MVWD Total '!B481:C481+'Upland Total'!B478:C478+'FWC Total'!B481:C481+'SAWC Total'!B480:C480+'CVWD Total'!B481:C481</f>
        <v>2</v>
      </c>
      <c r="C535" s="1430"/>
      <c r="D535" s="1444">
        <f>F535*163285</f>
        <v>4243071.7588</v>
      </c>
      <c r="E535" s="1422"/>
      <c r="F535" s="1431">
        <f>0.00014*185612</f>
        <v>25.985679999999999</v>
      </c>
      <c r="G535" s="1422"/>
      <c r="H535" s="633">
        <f>F535*10</f>
        <v>259.85679999999996</v>
      </c>
      <c r="I535" s="131">
        <v>0</v>
      </c>
      <c r="J535" s="131">
        <v>0</v>
      </c>
      <c r="K535" s="131">
        <f>0.75*185612</f>
        <v>139209</v>
      </c>
      <c r="L535" s="169">
        <f t="shared" si="56"/>
        <v>139209</v>
      </c>
      <c r="M535" s="1943">
        <f t="shared" si="57"/>
        <v>10.746525290156184</v>
      </c>
      <c r="N535" s="1759"/>
    </row>
    <row r="536" spans="1:15" ht="14" thickBot="1">
      <c r="A536" s="53" t="s">
        <v>60</v>
      </c>
      <c r="B536" s="1440">
        <f>SUM(B530:C535)</f>
        <v>645</v>
      </c>
      <c r="C536" s="1621"/>
      <c r="D536" s="1441">
        <f>SUM(D530:E535)</f>
        <v>187786337.59239998</v>
      </c>
      <c r="E536" s="1621"/>
      <c r="F536" s="1441">
        <f>SUM(F530:G535)</f>
        <v>589.25927999999999</v>
      </c>
      <c r="G536" s="1439"/>
      <c r="H536" s="466">
        <f>SUM(H530:H535)</f>
        <v>5859.2097999999996</v>
      </c>
      <c r="I536" s="143">
        <f>SUM(I530:I535)</f>
        <v>0</v>
      </c>
      <c r="J536" s="136">
        <f>SUM(J530:J535)</f>
        <v>0</v>
      </c>
      <c r="K536" s="136">
        <f>SUM(K530:K535)</f>
        <v>2383174.9399999995</v>
      </c>
      <c r="L536" s="136">
        <f>SUM(L530:L535)</f>
        <v>2383174.9399999995</v>
      </c>
      <c r="M536" s="1637"/>
      <c r="N536" s="1611"/>
    </row>
    <row r="537" spans="1:15" s="1168" customFormat="1" ht="17" thickBot="1">
      <c r="A537" s="1163" t="s">
        <v>17</v>
      </c>
      <c r="B537" s="1612">
        <f>SUM(B536,B511,B514,B528)</f>
        <v>8985</v>
      </c>
      <c r="C537" s="1415"/>
      <c r="D537" s="1416">
        <f>SUM(D511+D514+D528+D536)</f>
        <v>309581959.85343999</v>
      </c>
      <c r="E537" s="1415"/>
      <c r="F537" s="1416">
        <f>SUM(F536,F511,F514,F528)</f>
        <v>963.03632000000005</v>
      </c>
      <c r="G537" s="1415"/>
      <c r="H537" s="1180">
        <f>SUM(H536,H511,H514,H528)</f>
        <v>12376.247200000002</v>
      </c>
      <c r="I537" s="1175">
        <f>SUM(I511+I514+I528+I536)</f>
        <v>123357.88</v>
      </c>
      <c r="J537" s="1169">
        <f>SUM(J511+J514+J528+J536)</f>
        <v>509616.72</v>
      </c>
      <c r="K537" s="1169">
        <f>SUM(K511+K514+K528+K536)</f>
        <v>3609164.5399999996</v>
      </c>
      <c r="L537" s="1169">
        <f>SUM(L511,L514,L528,L536)</f>
        <v>4242139.1399999997</v>
      </c>
      <c r="M537" s="1639"/>
      <c r="N537" s="1640"/>
      <c r="O537" s="121"/>
    </row>
    <row r="538" spans="1:15" s="91" customFormat="1" ht="16">
      <c r="A538" s="50"/>
      <c r="B538" s="20"/>
      <c r="C538" s="20"/>
      <c r="D538" s="20"/>
      <c r="E538" s="20"/>
      <c r="F538" s="484"/>
      <c r="G538" s="484"/>
      <c r="H538" s="484"/>
      <c r="I538" s="21"/>
      <c r="J538" s="21"/>
      <c r="K538" s="21"/>
      <c r="L538" s="21"/>
      <c r="M538" s="18"/>
      <c r="N538" s="18"/>
      <c r="O538" s="274"/>
    </row>
    <row r="539" spans="1:15" ht="15">
      <c r="A539" s="9" t="s">
        <v>18</v>
      </c>
      <c r="B539" s="1695" t="s">
        <v>59</v>
      </c>
      <c r="C539" s="1566"/>
      <c r="D539" s="1566"/>
      <c r="E539" s="1821"/>
      <c r="F539" s="484"/>
      <c r="G539" s="484"/>
      <c r="H539" s="484"/>
      <c r="I539" s="21"/>
      <c r="J539" s="21"/>
      <c r="K539" s="21"/>
      <c r="L539" s="21"/>
      <c r="M539" s="18"/>
      <c r="N539" s="18"/>
    </row>
    <row r="540" spans="1:15">
      <c r="B540" s="1420" t="s">
        <v>19</v>
      </c>
      <c r="C540" s="1420"/>
      <c r="D540" s="1420"/>
      <c r="E540" s="1420"/>
      <c r="F540" s="484"/>
      <c r="G540" s="484"/>
      <c r="H540" s="484"/>
      <c r="I540" s="21"/>
      <c r="J540" s="21"/>
      <c r="K540" s="21"/>
      <c r="L540" s="21"/>
      <c r="M540" s="18"/>
      <c r="N540" s="18"/>
    </row>
    <row r="541" spans="1:15" ht="14" thickBot="1">
      <c r="B541" s="346"/>
      <c r="C541" s="346"/>
      <c r="D541" s="346"/>
      <c r="E541" s="346"/>
      <c r="F541" s="484"/>
      <c r="G541" s="484"/>
      <c r="H541" s="484"/>
      <c r="I541" s="21"/>
      <c r="J541" s="21"/>
      <c r="K541" s="21"/>
      <c r="L541" s="21"/>
      <c r="M541" s="346"/>
      <c r="N541" s="346"/>
    </row>
    <row r="542" spans="1:15" s="1168" customFormat="1" ht="17" thickBot="1">
      <c r="A542" s="1170" t="s">
        <v>128</v>
      </c>
      <c r="B542" s="1672"/>
      <c r="C542" s="1913"/>
      <c r="D542" s="1672"/>
      <c r="E542" s="1913"/>
      <c r="F542" s="1567"/>
      <c r="G542" s="1586"/>
      <c r="H542" s="1176"/>
      <c r="I542" s="1178"/>
      <c r="J542" s="1178"/>
      <c r="K542" s="1178"/>
      <c r="L542" s="1178"/>
      <c r="M542" s="1672"/>
      <c r="N542" s="1673"/>
      <c r="O542" s="121"/>
    </row>
    <row r="543" spans="1:15" ht="14" thickBot="1">
      <c r="A543" s="81" t="s">
        <v>129</v>
      </c>
      <c r="B543" s="2244">
        <v>135</v>
      </c>
      <c r="C543" s="2245"/>
      <c r="D543" s="1986">
        <f>F543*325851</f>
        <v>251231121</v>
      </c>
      <c r="E543" s="1646"/>
      <c r="F543" s="1987">
        <v>771</v>
      </c>
      <c r="G543" s="1646"/>
      <c r="H543" s="469">
        <f>F543*10</f>
        <v>7710</v>
      </c>
      <c r="I543" s="82">
        <v>54596.9</v>
      </c>
      <c r="J543" s="83">
        <v>0</v>
      </c>
      <c r="K543" s="82">
        <v>66346.399999999994</v>
      </c>
      <c r="L543" s="82">
        <f>SUM(I543:K543)</f>
        <v>120943.29999999999</v>
      </c>
      <c r="M543" s="1875">
        <f>L543/(F543*498.5)</f>
        <v>0.31467502377430601</v>
      </c>
      <c r="N543" s="1455"/>
    </row>
    <row r="544" spans="1:15" s="1168" customFormat="1" ht="17" thickBot="1">
      <c r="A544" s="1163" t="s">
        <v>130</v>
      </c>
      <c r="B544" s="1612">
        <f>SUM(B537,B543)</f>
        <v>9120</v>
      </c>
      <c r="C544" s="1682"/>
      <c r="D544" s="1416">
        <f>SUM(D537,D543)</f>
        <v>560813080.85344005</v>
      </c>
      <c r="E544" s="1682"/>
      <c r="F544" s="1416">
        <f>SUM(F537,F543)</f>
        <v>1734.0363200000002</v>
      </c>
      <c r="G544" s="1415"/>
      <c r="H544" s="1179">
        <f>SUM(H543,H537)</f>
        <v>20086.247200000002</v>
      </c>
      <c r="I544" s="1175">
        <f>SUM(I543,I537)</f>
        <v>177954.78</v>
      </c>
      <c r="J544" s="1175">
        <f>SUM(J537,J543)</f>
        <v>509616.72</v>
      </c>
      <c r="K544" s="1175">
        <f>SUM(K543,K537)</f>
        <v>3675510.9399999995</v>
      </c>
      <c r="L544" s="1175">
        <f>SUM(L537,L543)</f>
        <v>4363082.4399999995</v>
      </c>
      <c r="M544" s="2186"/>
      <c r="N544" s="1673"/>
      <c r="O544" s="121"/>
    </row>
    <row r="545" spans="1:15" ht="16">
      <c r="A545" s="343"/>
      <c r="B545" s="878"/>
      <c r="C545" s="879"/>
      <c r="D545" s="878"/>
      <c r="E545" s="879"/>
      <c r="F545" s="878"/>
      <c r="G545" s="878"/>
      <c r="H545" s="878"/>
      <c r="I545" s="880"/>
      <c r="J545" s="880"/>
      <c r="K545" s="880"/>
      <c r="L545" s="880"/>
      <c r="M545" s="881"/>
      <c r="N545" s="881"/>
      <c r="O545" s="1222"/>
    </row>
    <row r="546" spans="1:15" ht="17" thickBot="1">
      <c r="A546" s="986"/>
      <c r="B546" s="340"/>
      <c r="C546" s="882"/>
      <c r="D546" s="340"/>
      <c r="E546" s="882"/>
      <c r="F546" s="340"/>
      <c r="G546" s="340"/>
      <c r="H546" s="340"/>
      <c r="I546" s="341"/>
      <c r="J546" s="341"/>
      <c r="K546" s="341"/>
      <c r="L546" s="341"/>
      <c r="M546" s="883"/>
      <c r="N546" s="883"/>
      <c r="O546" s="1222"/>
    </row>
    <row r="547" spans="1:15" ht="16">
      <c r="A547" s="98"/>
      <c r="B547" s="99"/>
      <c r="C547" s="99"/>
      <c r="D547" s="99"/>
      <c r="E547" s="99"/>
      <c r="F547" s="421"/>
      <c r="G547" s="421"/>
      <c r="H547" s="421"/>
      <c r="I547" s="1468" t="s">
        <v>0</v>
      </c>
      <c r="J547" s="1468"/>
      <c r="K547" s="1468"/>
      <c r="L547" s="1468"/>
      <c r="M547" s="99"/>
      <c r="N547" s="101"/>
    </row>
    <row r="548" spans="1:15" s="91" customFormat="1" ht="16">
      <c r="A548" s="97"/>
      <c r="B548" s="1469" t="s">
        <v>1</v>
      </c>
      <c r="C548" s="1469"/>
      <c r="D548" s="1469" t="s">
        <v>2</v>
      </c>
      <c r="E548" s="1469"/>
      <c r="F548" s="1863" t="s">
        <v>3</v>
      </c>
      <c r="G548" s="1863"/>
      <c r="H548" s="430" t="s">
        <v>3</v>
      </c>
      <c r="I548" s="127" t="s">
        <v>195</v>
      </c>
      <c r="J548" s="102"/>
      <c r="K548" s="102"/>
      <c r="L548" s="128"/>
      <c r="M548" s="1469" t="s">
        <v>4</v>
      </c>
      <c r="N548" s="1526"/>
      <c r="O548" s="274"/>
    </row>
    <row r="549" spans="1:15" ht="19" thickBot="1">
      <c r="A549" s="103" t="s">
        <v>5</v>
      </c>
      <c r="B549" s="1473" t="s">
        <v>6</v>
      </c>
      <c r="C549" s="1473"/>
      <c r="D549" s="1473" t="s">
        <v>7</v>
      </c>
      <c r="E549" s="1473"/>
      <c r="F549" s="1864" t="s">
        <v>7</v>
      </c>
      <c r="G549" s="1864"/>
      <c r="H549" s="431" t="s">
        <v>58</v>
      </c>
      <c r="I549" s="398" t="s">
        <v>196</v>
      </c>
      <c r="J549" s="397" t="s">
        <v>8</v>
      </c>
      <c r="K549" s="397" t="s">
        <v>9</v>
      </c>
      <c r="L549" s="401" t="s">
        <v>10</v>
      </c>
      <c r="M549" s="1473" t="s">
        <v>145</v>
      </c>
      <c r="N549" s="1475"/>
    </row>
    <row r="550" spans="1:15" ht="24" thickBot="1">
      <c r="A550" s="88" t="s">
        <v>132</v>
      </c>
      <c r="B550" s="1764"/>
      <c r="C550" s="1477"/>
      <c r="D550" s="1478"/>
      <c r="E550" s="1479"/>
      <c r="F550" s="1878"/>
      <c r="G550" s="1879"/>
      <c r="H550" s="435"/>
      <c r="I550" s="7"/>
      <c r="J550" s="7"/>
      <c r="K550" s="7"/>
      <c r="L550" s="373"/>
      <c r="M550" s="1751"/>
      <c r="N550" s="1765"/>
    </row>
    <row r="551" spans="1:15" s="1168" customFormat="1" ht="17" thickBot="1">
      <c r="A551" s="108" t="s">
        <v>48</v>
      </c>
      <c r="B551" s="1567"/>
      <c r="C551" s="1586"/>
      <c r="D551" s="1567"/>
      <c r="E551" s="1586"/>
      <c r="F551" s="1619"/>
      <c r="G551" s="1620"/>
      <c r="H551" s="1158"/>
      <c r="I551" s="109"/>
      <c r="J551" s="109"/>
      <c r="K551" s="109"/>
      <c r="L551" s="1142"/>
      <c r="M551" s="1485"/>
      <c r="N551" s="1486"/>
      <c r="O551" s="121"/>
    </row>
    <row r="552" spans="1:15">
      <c r="A552" s="32" t="s">
        <v>28</v>
      </c>
      <c r="B552" s="1431">
        <f>'Ontario Total'!B493:C493+'Chino Total'!B493:C493+'Chino Hills Total'!B493:C493+'MVWD Total '!B493:C493+'Upland Total'!B489:C489+'FWC Total'!B493:C493+'SAWC Total'!B492:C492+'CVWD Total'!B493:C493</f>
        <v>110</v>
      </c>
      <c r="C552" s="1422"/>
      <c r="D552" s="1431">
        <f t="shared" ref="D552:D558" si="58">F552*325851</f>
        <v>1358472.8190000001</v>
      </c>
      <c r="E552" s="1422"/>
      <c r="F552" s="1431">
        <f>0.0379*B552</f>
        <v>4.1690000000000005</v>
      </c>
      <c r="G552" s="1422"/>
      <c r="H552" s="633">
        <f>F552*20</f>
        <v>83.38000000000001</v>
      </c>
      <c r="I552" s="131">
        <v>0</v>
      </c>
      <c r="J552" s="131">
        <f>0*B552</f>
        <v>0</v>
      </c>
      <c r="K552" s="131">
        <f>60*B552</f>
        <v>6600</v>
      </c>
      <c r="L552" s="169">
        <f t="shared" ref="L552:L558" si="59">I552+J552+K552</f>
        <v>6600</v>
      </c>
      <c r="M552" s="1943">
        <f>L552/(F552*458)</f>
        <v>3.4565795992672048</v>
      </c>
      <c r="N552" s="1759"/>
    </row>
    <row r="553" spans="1:15">
      <c r="A553" s="32" t="s">
        <v>29</v>
      </c>
      <c r="B553" s="1421">
        <f>'Ontario Total'!B494:C494+'Chino Total'!B494:C494+'Chino Hills Total'!B494:C494+'MVWD Total '!B494:C494+'Upland Total'!B490:C490+'FWC Total'!B494:C494+'SAWC Total'!B493:C493+'CVWD Total'!B494:C494</f>
        <v>93</v>
      </c>
      <c r="C553" s="1422"/>
      <c r="D553" s="1431">
        <f t="shared" si="58"/>
        <v>1287926.0775000001</v>
      </c>
      <c r="E553" s="1422"/>
      <c r="F553" s="1431">
        <f>0.0425*B553</f>
        <v>3.9525000000000001</v>
      </c>
      <c r="G553" s="1422"/>
      <c r="H553" s="633">
        <f>F553*20</f>
        <v>79.05</v>
      </c>
      <c r="I553" s="131">
        <v>0</v>
      </c>
      <c r="J553" s="131">
        <f>0*B553</f>
        <v>0</v>
      </c>
      <c r="K553" s="131">
        <f>B553*165</f>
        <v>15345</v>
      </c>
      <c r="L553" s="169">
        <f t="shared" si="59"/>
        <v>15345</v>
      </c>
      <c r="M553" s="1943">
        <f t="shared" ref="M553:M558" si="60">L553/(F553*458)</f>
        <v>8.4767531466735164</v>
      </c>
      <c r="N553" s="1759"/>
    </row>
    <row r="554" spans="1:15">
      <c r="A554" s="32" t="s">
        <v>33</v>
      </c>
      <c r="B554" s="1421">
        <f>'Ontario Total'!B495:C495+'Chino Total'!B495:C495+'Chino Hills Total'!B495:C495+'MVWD Total '!B495:C495+'Upland Total'!B491:C491+'FWC Total'!B495:C495+'SAWC Total'!B494:C494+'CVWD Total'!B495:C495</f>
        <v>1547</v>
      </c>
      <c r="C554" s="1422"/>
      <c r="D554" s="1431">
        <f t="shared" si="58"/>
        <v>13912925.317200001</v>
      </c>
      <c r="E554" s="1422"/>
      <c r="F554" s="1431">
        <f>0.0276*B554</f>
        <v>42.697200000000002</v>
      </c>
      <c r="G554" s="1422"/>
      <c r="H554" s="633">
        <f>F554*15</f>
        <v>640.45800000000008</v>
      </c>
      <c r="I554" s="131">
        <f>0*B554</f>
        <v>0</v>
      </c>
      <c r="J554" s="131">
        <f>0*B554</f>
        <v>0</v>
      </c>
      <c r="K554" s="131">
        <f>B554*110</f>
        <v>170170</v>
      </c>
      <c r="L554" s="169">
        <f t="shared" si="59"/>
        <v>170170</v>
      </c>
      <c r="M554" s="1943">
        <f t="shared" si="60"/>
        <v>8.7019808872856146</v>
      </c>
      <c r="N554" s="1759"/>
    </row>
    <row r="555" spans="1:15">
      <c r="A555" s="32" t="s">
        <v>56</v>
      </c>
      <c r="B555" s="1421">
        <f>'Ontario Total'!B496:C496+'Chino Total'!B496:C496+'Chino Hills Total'!B496:C496+'MVWD Total '!B496:C496+'Upland Total'!B492:C492+'FWC Total'!B496:C496+'SAWC Total'!B495:C495+'CVWD Total'!B496:C496</f>
        <v>1193</v>
      </c>
      <c r="C555" s="1422"/>
      <c r="D555" s="1431">
        <f>F555*325851</f>
        <v>1554960.9720000001</v>
      </c>
      <c r="E555" s="1422"/>
      <c r="F555" s="1431">
        <f>0.004*B555</f>
        <v>4.7720000000000002</v>
      </c>
      <c r="G555" s="1422"/>
      <c r="H555" s="633">
        <f>F555*5</f>
        <v>23.86</v>
      </c>
      <c r="I555" s="131">
        <f>0*B555</f>
        <v>0</v>
      </c>
      <c r="J555" s="131">
        <f>0*B555</f>
        <v>0</v>
      </c>
      <c r="K555" s="131">
        <f>B555*4</f>
        <v>4772</v>
      </c>
      <c r="L555" s="169">
        <f>I555+J555+K555</f>
        <v>4772</v>
      </c>
      <c r="M555" s="1943">
        <f t="shared" si="60"/>
        <v>2.1834061135371177</v>
      </c>
      <c r="N555" s="1759"/>
    </row>
    <row r="556" spans="1:15">
      <c r="A556" s="78" t="s">
        <v>30</v>
      </c>
      <c r="B556" s="1421">
        <f>'Ontario Total'!B497:C497+'Chino Total'!B497:C497+'Chino Hills Total'!B497:C497+'MVWD Total '!B497:C497+'Upland Total'!B493:C493+'FWC Total'!B497:C497+'SAWC Total'!B496:C496+'CVWD Total'!B497:C497</f>
        <v>25</v>
      </c>
      <c r="C556" s="1422"/>
      <c r="D556" s="1431">
        <f t="shared" si="58"/>
        <v>2647539.375</v>
      </c>
      <c r="E556" s="1422"/>
      <c r="F556" s="1431">
        <f>0.325*B556</f>
        <v>8.125</v>
      </c>
      <c r="G556" s="1422"/>
      <c r="H556" s="633">
        <f>F556*10</f>
        <v>81.25</v>
      </c>
      <c r="I556" s="131">
        <v>0</v>
      </c>
      <c r="J556" s="131">
        <f>160*B556</f>
        <v>4000</v>
      </c>
      <c r="K556" s="131">
        <f>B556*80</f>
        <v>2000</v>
      </c>
      <c r="L556" s="169">
        <f t="shared" si="59"/>
        <v>6000</v>
      </c>
      <c r="M556" s="1943">
        <f t="shared" si="60"/>
        <v>1.6123614376889486</v>
      </c>
      <c r="N556" s="1759"/>
    </row>
    <row r="557" spans="1:15" s="91" customFormat="1" ht="16">
      <c r="A557" s="33" t="s">
        <v>77</v>
      </c>
      <c r="B557" s="1421">
        <f>'Ontario Total'!B498:C498+'Chino Total'!B498:C498+'Chino Hills Total'!B498:C498+'MVWD Total '!B498:C498+'Upland Total'!B494:C494+'FWC Total'!B498:C498+'SAWC Total'!B497:C497+'CVWD Total'!B498:C498</f>
        <v>20</v>
      </c>
      <c r="C557" s="1422"/>
      <c r="D557" s="1431">
        <f>F557*325851</f>
        <v>981085.22483999981</v>
      </c>
      <c r="E557" s="1422"/>
      <c r="F557" s="1467">
        <f>0.00014*21506</f>
        <v>3.0108399999999995</v>
      </c>
      <c r="G557" s="1433"/>
      <c r="H557" s="633">
        <f>F557*10</f>
        <v>30.108399999999996</v>
      </c>
      <c r="I557" s="131">
        <v>0</v>
      </c>
      <c r="J557" s="131">
        <f>2*21506</f>
        <v>43012</v>
      </c>
      <c r="K557" s="131">
        <f>B557*0</f>
        <v>0</v>
      </c>
      <c r="L557" s="169">
        <f t="shared" si="59"/>
        <v>43012</v>
      </c>
      <c r="M557" s="1943">
        <f>L557/(F557*458)</f>
        <v>31.191515907673118</v>
      </c>
      <c r="N557" s="1759"/>
      <c r="O557" s="274"/>
    </row>
    <row r="558" spans="1:15" ht="14" thickBot="1">
      <c r="A558" s="33" t="s">
        <v>78</v>
      </c>
      <c r="B558" s="1421">
        <f>'Ontario Total'!B499:C499+'Chino Total'!B499:C499+'Chino Hills Total'!B499:C499+'MVWD Total '!B499:C499+'Upland Total'!B495:C495+'FWC Total'!B499:C499+'SAWC Total'!B498:C498+'CVWD Total'!B499:C499</f>
        <v>68</v>
      </c>
      <c r="C558" s="1422"/>
      <c r="D558" s="1431">
        <f t="shared" si="58"/>
        <v>2827018.1057999996</v>
      </c>
      <c r="E558" s="1422"/>
      <c r="F558" s="1431">
        <f>0.00014*61970</f>
        <v>8.6757999999999988</v>
      </c>
      <c r="G558" s="1422"/>
      <c r="H558" s="633">
        <f>F558*10</f>
        <v>86.757999999999981</v>
      </c>
      <c r="I558" s="131">
        <v>0</v>
      </c>
      <c r="J558" s="131">
        <f>0.3*61970</f>
        <v>18591</v>
      </c>
      <c r="K558" s="131">
        <f>61970*0.3</f>
        <v>18591</v>
      </c>
      <c r="L558" s="169">
        <f t="shared" si="59"/>
        <v>37182</v>
      </c>
      <c r="M558" s="1943">
        <f t="shared" si="60"/>
        <v>9.357454772301935</v>
      </c>
      <c r="N558" s="1759"/>
    </row>
    <row r="559" spans="1:15" ht="14" thickBot="1">
      <c r="A559" s="53" t="s">
        <v>60</v>
      </c>
      <c r="B559" s="1438">
        <f>SUM(B552:C558)</f>
        <v>3056</v>
      </c>
      <c r="C559" s="1609"/>
      <c r="D559" s="1440">
        <f>SUM(D552:E558)</f>
        <v>24569927.891340002</v>
      </c>
      <c r="E559" s="1609"/>
      <c r="F559" s="1440">
        <f>SUM(F552:G558)</f>
        <v>75.402339999999995</v>
      </c>
      <c r="G559" s="1439"/>
      <c r="H559" s="610">
        <f>SUM(H552:H558)</f>
        <v>1024.8644000000002</v>
      </c>
      <c r="I559" s="143">
        <f>SUM(I552:I558)</f>
        <v>0</v>
      </c>
      <c r="J559" s="143">
        <f>SUM(J552:J558)</f>
        <v>65603</v>
      </c>
      <c r="K559" s="143">
        <f>SUM(K552:K558)</f>
        <v>217478</v>
      </c>
      <c r="L559" s="136">
        <f>SUM(L552:L558)</f>
        <v>283081</v>
      </c>
      <c r="M559" s="1856"/>
      <c r="N559" s="1622"/>
    </row>
    <row r="560" spans="1:15" s="1161" customFormat="1" ht="17" thickBot="1">
      <c r="A560" s="108" t="s">
        <v>49</v>
      </c>
      <c r="B560" s="1456"/>
      <c r="C560" s="1586"/>
      <c r="D560" s="1457"/>
      <c r="E560" s="1586"/>
      <c r="F560" s="1457"/>
      <c r="G560" s="1586"/>
      <c r="H560" s="1141"/>
      <c r="I560" s="161"/>
      <c r="J560" s="161"/>
      <c r="K560" s="161"/>
      <c r="L560" s="374"/>
      <c r="M560" s="1485"/>
      <c r="N560" s="1486"/>
      <c r="O560" s="274"/>
    </row>
    <row r="561" spans="1:15" ht="14" thickBot="1">
      <c r="A561" s="33" t="s">
        <v>49</v>
      </c>
      <c r="B561" s="1769">
        <f>'Ontario Total'!B502:C502+'Chino Total'!B502:C502+'Chino Hills Total'!B502:C502+'MVWD Total '!B502:C502+'Upland Total'!B498:C498+'FWC Total'!B502:C502+'SAWC Total'!B501:C501+'CVWD Total'!B502:C502</f>
        <v>4213</v>
      </c>
      <c r="C561" s="1770"/>
      <c r="D561" s="1444">
        <f>F561*325851</f>
        <v>52029508.967700005</v>
      </c>
      <c r="E561" s="1422"/>
      <c r="F561" s="1444">
        <f>0.0379*B561</f>
        <v>159.67270000000002</v>
      </c>
      <c r="G561" s="1422"/>
      <c r="H561" s="633">
        <f>F561*10</f>
        <v>1596.7270000000003</v>
      </c>
      <c r="I561" s="131">
        <f>73.34*B561</f>
        <v>308981.42000000004</v>
      </c>
      <c r="J561" s="131">
        <f>35.66*B561</f>
        <v>150235.57999999999</v>
      </c>
      <c r="K561" s="131">
        <f>B561*60</f>
        <v>252780</v>
      </c>
      <c r="L561" s="169">
        <f>I561+J561+K561</f>
        <v>711997</v>
      </c>
      <c r="M561" s="1943">
        <f>L561/(F561*458)</f>
        <v>9.7360325379359605</v>
      </c>
      <c r="N561" s="1759"/>
    </row>
    <row r="562" spans="1:15" ht="14" thickBot="1">
      <c r="A562" s="53" t="s">
        <v>60</v>
      </c>
      <c r="B562" s="1438">
        <f>SUM(B561)</f>
        <v>4213</v>
      </c>
      <c r="C562" s="1609"/>
      <c r="D562" s="1440">
        <f>SUM(D561)</f>
        <v>52029508.967700005</v>
      </c>
      <c r="E562" s="1609"/>
      <c r="F562" s="1440">
        <f>SUM(F561)</f>
        <v>159.67270000000002</v>
      </c>
      <c r="G562" s="1439"/>
      <c r="H562" s="610">
        <f>SUM(H561)</f>
        <v>1596.7270000000003</v>
      </c>
      <c r="I562" s="143">
        <f>SUM(I561)</f>
        <v>308981.42000000004</v>
      </c>
      <c r="J562" s="136">
        <f>SUM(J561)</f>
        <v>150235.57999999999</v>
      </c>
      <c r="K562" s="136">
        <f>SUM(K561)</f>
        <v>252780</v>
      </c>
      <c r="L562" s="136">
        <f>SUM(L561)</f>
        <v>711997</v>
      </c>
      <c r="M562" s="1856"/>
      <c r="N562" s="1622"/>
    </row>
    <row r="563" spans="1:15" s="1168" customFormat="1" ht="17" thickBot="1">
      <c r="A563" s="108" t="s">
        <v>50</v>
      </c>
      <c r="B563" s="1456"/>
      <c r="C563" s="1586"/>
      <c r="D563" s="1457"/>
      <c r="E563" s="1586"/>
      <c r="F563" s="1457"/>
      <c r="G563" s="1586"/>
      <c r="H563" s="1141"/>
      <c r="I563" s="161"/>
      <c r="J563" s="161"/>
      <c r="K563" s="161"/>
      <c r="L563" s="374"/>
      <c r="M563" s="1485"/>
      <c r="N563" s="1486"/>
      <c r="O563" s="121"/>
    </row>
    <row r="564" spans="1:15">
      <c r="A564" s="36" t="s">
        <v>26</v>
      </c>
      <c r="B564" s="1731">
        <f>'Ontario Total'!B505:C505+'Chino Total'!B505:C505+'Chino Hills Total'!B505:C505+'MVWD Total '!B505:C505+'Upland Total'!B501:C501+'FWC Total'!B505:C505+'SAWC Total'!B504:C504+'CVWD Total'!B505:C505</f>
        <v>0</v>
      </c>
      <c r="C564" s="1732"/>
      <c r="D564" s="1444">
        <f t="shared" ref="D564:D572" si="61">F564*325851</f>
        <v>0</v>
      </c>
      <c r="E564" s="1422"/>
      <c r="F564" s="1444">
        <f>0.0379*B564</f>
        <v>0</v>
      </c>
      <c r="G564" s="1422"/>
      <c r="H564" s="633">
        <f>F564*20</f>
        <v>0</v>
      </c>
      <c r="I564" s="131">
        <v>0</v>
      </c>
      <c r="J564" s="131">
        <f>35.66*B564</f>
        <v>0</v>
      </c>
      <c r="K564" s="131">
        <f>135*B564</f>
        <v>0</v>
      </c>
      <c r="L564" s="169">
        <f>SUM(I564:K564)</f>
        <v>0</v>
      </c>
      <c r="M564" s="1942">
        <v>0</v>
      </c>
      <c r="N564" s="1793"/>
    </row>
    <row r="565" spans="1:15">
      <c r="A565" s="34" t="s">
        <v>25</v>
      </c>
      <c r="B565" s="1421">
        <f>'Ontario Total'!B506:C506+'Chino Total'!B506:C506+'Chino Hills Total'!B506:C506+'MVWD Total '!B506:C506+'Upland Total'!B502:C502+'FWC Total'!B506:C506+'SAWC Total'!B505:C505+'CVWD Total'!B506:C506</f>
        <v>9</v>
      </c>
      <c r="C565" s="1422"/>
      <c r="D565" s="1444">
        <f t="shared" si="61"/>
        <v>111147.7761</v>
      </c>
      <c r="E565" s="1422"/>
      <c r="F565" s="1449">
        <f>0.0379*B565</f>
        <v>0.34110000000000001</v>
      </c>
      <c r="G565" s="1450"/>
      <c r="H565" s="633">
        <f>F565*20</f>
        <v>6.8220000000000001</v>
      </c>
      <c r="I565" s="131">
        <v>0</v>
      </c>
      <c r="J565" s="131">
        <f>0*B565</f>
        <v>0</v>
      </c>
      <c r="K565" s="131">
        <f>135*B565</f>
        <v>1215</v>
      </c>
      <c r="L565" s="169">
        <f t="shared" ref="L565:L580" si="62">SUM(I565:K565)</f>
        <v>1215</v>
      </c>
      <c r="M565" s="1943">
        <f t="shared" ref="M565:M573" si="63">L565/(F565*458)</f>
        <v>7.7773040983512107</v>
      </c>
      <c r="N565" s="1759"/>
    </row>
    <row r="566" spans="1:15">
      <c r="A566" s="32" t="s">
        <v>29</v>
      </c>
      <c r="B566" s="1421">
        <f>'Ontario Total'!B507:C507+'Chino Total'!B507:C507+'Chino Hills Total'!B507:C507+'MVWD Total '!B507:C507+'Upland Total'!B503:C503+'FWC Total'!B507:C507+'SAWC Total'!B506:C506+'CVWD Total'!B507:C507</f>
        <v>1916</v>
      </c>
      <c r="C566" s="1422"/>
      <c r="D566" s="1444">
        <f t="shared" si="61"/>
        <v>26534046.930000003</v>
      </c>
      <c r="E566" s="1422"/>
      <c r="F566" s="1444">
        <f>0.0425*B566</f>
        <v>81.430000000000007</v>
      </c>
      <c r="G566" s="1422"/>
      <c r="H566" s="633">
        <f>F566*20</f>
        <v>1628.6000000000001</v>
      </c>
      <c r="I566" s="131">
        <v>0</v>
      </c>
      <c r="J566" s="131">
        <f>135*B566</f>
        <v>258660</v>
      </c>
      <c r="K566" s="131">
        <f>165*B566</f>
        <v>316140</v>
      </c>
      <c r="L566" s="169">
        <f t="shared" si="62"/>
        <v>574800</v>
      </c>
      <c r="M566" s="1943">
        <f t="shared" si="63"/>
        <v>15.412278448497302</v>
      </c>
      <c r="N566" s="1759"/>
    </row>
    <row r="567" spans="1:15">
      <c r="A567" s="32" t="s">
        <v>51</v>
      </c>
      <c r="B567" s="1421">
        <f>'Ontario Total'!B508:C508+'Chino Total'!B508:C508+'Chino Hills Total'!B508:C508+'MVWD Total '!B508:C508+'Upland Total'!B504:C504+'FWC Total'!B508:C508+'SAWC Total'!B507:C507+'CVWD Total'!B508:C508</f>
        <v>606</v>
      </c>
      <c r="C567" s="1422"/>
      <c r="D567" s="1444">
        <f t="shared" si="61"/>
        <v>24229042.126200002</v>
      </c>
      <c r="E567" s="1422"/>
      <c r="F567" s="1444">
        <f>0.1227*B567</f>
        <v>74.356200000000001</v>
      </c>
      <c r="G567" s="1422"/>
      <c r="H567" s="633">
        <f>F567*20</f>
        <v>1487.124</v>
      </c>
      <c r="I567" s="131">
        <v>0</v>
      </c>
      <c r="J567" s="131">
        <f>0*B567</f>
        <v>0</v>
      </c>
      <c r="K567" s="131">
        <f>400*B567</f>
        <v>242400</v>
      </c>
      <c r="L567" s="169">
        <f t="shared" si="62"/>
        <v>242400</v>
      </c>
      <c r="M567" s="1943">
        <f t="shared" si="63"/>
        <v>7.1178683407892995</v>
      </c>
      <c r="N567" s="1759"/>
    </row>
    <row r="568" spans="1:15">
      <c r="A568" s="34" t="s">
        <v>20</v>
      </c>
      <c r="B568" s="1421">
        <f>'Ontario Total'!B509:C509+'Chino Total'!B509:C509+'Chino Hills Total'!B509:C509+'MVWD Total '!B509:C509+'Upland Total'!B505:C505+'FWC Total'!B509:C509+'SAWC Total'!B508:C508+'CVWD Total'!B509:C509</f>
        <v>12</v>
      </c>
      <c r="C568" s="1422"/>
      <c r="D568" s="1444">
        <f t="shared" si="61"/>
        <v>2518176.5279999999</v>
      </c>
      <c r="E568" s="1422"/>
      <c r="F568" s="1444">
        <f>0.644*B568</f>
        <v>7.7279999999999998</v>
      </c>
      <c r="G568" s="1422"/>
      <c r="H568" s="633">
        <f>F568*5</f>
        <v>38.64</v>
      </c>
      <c r="I568" s="131">
        <v>0</v>
      </c>
      <c r="J568" s="131">
        <f>175*B568</f>
        <v>2100</v>
      </c>
      <c r="K568" s="131">
        <f>625*B568</f>
        <v>7500</v>
      </c>
      <c r="L568" s="169">
        <f t="shared" si="62"/>
        <v>9600</v>
      </c>
      <c r="M568" s="1943">
        <f t="shared" si="63"/>
        <v>2.7123057311020098</v>
      </c>
      <c r="N568" s="1759"/>
    </row>
    <row r="569" spans="1:15">
      <c r="A569" s="34" t="s">
        <v>13</v>
      </c>
      <c r="B569" s="1421">
        <f>'Ontario Total'!B510:C510+'Chino Total'!B510:C510+'Chino Hills Total'!B510:C510+'MVWD Total '!B510:C510+'Upland Total'!B506:C506+'FWC Total'!B510:C510+'SAWC Total'!B509:C509+'CVWD Total'!B510:C510</f>
        <v>48</v>
      </c>
      <c r="C569" s="1422"/>
      <c r="D569" s="1444">
        <f t="shared" si="61"/>
        <v>431687.40480000002</v>
      </c>
      <c r="E569" s="1422"/>
      <c r="F569" s="1444">
        <f>0.0276*B569</f>
        <v>1.3248</v>
      </c>
      <c r="G569" s="1422"/>
      <c r="H569" s="633">
        <f>F569*10</f>
        <v>13.247999999999999</v>
      </c>
      <c r="I569" s="131">
        <v>0</v>
      </c>
      <c r="J569" s="131">
        <f>290*B569</f>
        <v>13920</v>
      </c>
      <c r="K569" s="131">
        <f>130*B569</f>
        <v>6240</v>
      </c>
      <c r="L569" s="169">
        <f t="shared" si="62"/>
        <v>20160</v>
      </c>
      <c r="M569" s="1943">
        <f t="shared" si="63"/>
        <v>33.225745205999623</v>
      </c>
      <c r="N569" s="1759"/>
    </row>
    <row r="570" spans="1:15">
      <c r="A570" s="35" t="s">
        <v>47</v>
      </c>
      <c r="B570" s="1421">
        <f>'Ontario Total'!B511:C511+'Chino Total'!B511:C511+'Chino Hills Total'!B511:C511+'MVWD Total '!B511:C511+'Upland Total'!B507:C507+'FWC Total'!B511:C511+'SAWC Total'!B510:C510+'CVWD Total'!B511:C511</f>
        <v>1</v>
      </c>
      <c r="C570" s="1422"/>
      <c r="D570" s="1444">
        <f t="shared" si="61"/>
        <v>49985.543400000002</v>
      </c>
      <c r="E570" s="1422"/>
      <c r="F570" s="1444">
        <f>0.1534*B570</f>
        <v>0.15340000000000001</v>
      </c>
      <c r="G570" s="1422"/>
      <c r="H570" s="633">
        <f>F570*5</f>
        <v>0.76700000000000002</v>
      </c>
      <c r="I570" s="131">
        <v>0</v>
      </c>
      <c r="J570" s="131">
        <f>0*B570</f>
        <v>0</v>
      </c>
      <c r="K570" s="131">
        <f>150*B570</f>
        <v>150</v>
      </c>
      <c r="L570" s="169">
        <f t="shared" si="62"/>
        <v>150</v>
      </c>
      <c r="M570" s="1943">
        <f t="shared" si="63"/>
        <v>2.1350124969398157</v>
      </c>
      <c r="N570" s="1759"/>
    </row>
    <row r="571" spans="1:15">
      <c r="A571" s="76" t="s">
        <v>30</v>
      </c>
      <c r="B571" s="1421">
        <f>'Ontario Total'!B512:C512+'Chino Total'!B512:C512+'Chino Hills Total'!B512:C512+'MVWD Total '!B512:C512+'Upland Total'!B508:C508+'FWC Total'!B512:C512+'SAWC Total'!B511:C511+'CVWD Total'!B512:C512</f>
        <v>6</v>
      </c>
      <c r="C571" s="1422"/>
      <c r="D571" s="1444">
        <f t="shared" si="61"/>
        <v>635409.45000000007</v>
      </c>
      <c r="E571" s="1422"/>
      <c r="F571" s="1444">
        <f>0.325*B571</f>
        <v>1.9500000000000002</v>
      </c>
      <c r="G571" s="1422"/>
      <c r="H571" s="633">
        <f>F571*10</f>
        <v>19.5</v>
      </c>
      <c r="I571" s="131">
        <v>0</v>
      </c>
      <c r="J571" s="131">
        <f>0*B571</f>
        <v>0</v>
      </c>
      <c r="K571" s="131">
        <f>630*B571</f>
        <v>3780</v>
      </c>
      <c r="L571" s="169">
        <f t="shared" si="62"/>
        <v>3780</v>
      </c>
      <c r="M571" s="1943">
        <f t="shared" si="63"/>
        <v>4.2324487739334895</v>
      </c>
      <c r="N571" s="1759"/>
    </row>
    <row r="572" spans="1:15" s="91" customFormat="1" ht="16">
      <c r="A572" s="33" t="s">
        <v>79</v>
      </c>
      <c r="B572" s="1421">
        <f>'Ontario Total'!B513:C513+'Chino Total'!B513:C513+'Chino Hills Total'!B513:C513+'MVWD Total '!B513:C513+'Upland Total'!B509:C509+'FWC Total'!B513:C513+'SAWC Total'!B512:C512+'CVWD Total'!B513:C513</f>
        <v>4</v>
      </c>
      <c r="C572" s="1422"/>
      <c r="D572" s="1444">
        <f t="shared" si="61"/>
        <v>1483762.5284999998</v>
      </c>
      <c r="E572" s="1422"/>
      <c r="F572" s="1444">
        <f>0.00014*32525</f>
        <v>4.5534999999999997</v>
      </c>
      <c r="G572" s="1422"/>
      <c r="H572" s="633">
        <f>F572*10</f>
        <v>45.534999999999997</v>
      </c>
      <c r="I572" s="131">
        <v>0</v>
      </c>
      <c r="J572" s="131">
        <f>0.3*32525</f>
        <v>9757.5</v>
      </c>
      <c r="K572" s="131">
        <f>0.3*32525</f>
        <v>9757.5</v>
      </c>
      <c r="L572" s="169">
        <f t="shared" si="62"/>
        <v>19515</v>
      </c>
      <c r="M572" s="1943">
        <f t="shared" si="63"/>
        <v>9.357454772301935</v>
      </c>
      <c r="N572" s="1759"/>
      <c r="O572" s="274"/>
    </row>
    <row r="573" spans="1:15" ht="14" thickBot="1">
      <c r="A573" s="47" t="s">
        <v>56</v>
      </c>
      <c r="B573" s="1421">
        <f>MVWD!N27</f>
        <v>65</v>
      </c>
      <c r="C573" s="1422"/>
      <c r="D573" s="1444">
        <f>F573*325851</f>
        <v>84721.260000000009</v>
      </c>
      <c r="E573" s="1422"/>
      <c r="F573" s="1444">
        <f>0.004*B573</f>
        <v>0.26</v>
      </c>
      <c r="G573" s="1422"/>
      <c r="H573" s="633">
        <f>F573*5</f>
        <v>1.3</v>
      </c>
      <c r="I573" s="131">
        <v>0</v>
      </c>
      <c r="J573" s="131">
        <f>0*B573</f>
        <v>0</v>
      </c>
      <c r="K573" s="131">
        <f>4*B573</f>
        <v>260</v>
      </c>
      <c r="L573" s="169">
        <f t="shared" si="62"/>
        <v>260</v>
      </c>
      <c r="M573" s="1943">
        <f t="shared" si="63"/>
        <v>2.1834061135371181</v>
      </c>
      <c r="N573" s="1759"/>
    </row>
    <row r="574" spans="1:15" ht="14" thickBot="1">
      <c r="A574" s="53" t="s">
        <v>60</v>
      </c>
      <c r="B574" s="1438">
        <f>SUM(B564:C573)</f>
        <v>2667</v>
      </c>
      <c r="C574" s="1609"/>
      <c r="D574" s="1440">
        <f>SUM(D564:E573)</f>
        <v>56077979.546999998</v>
      </c>
      <c r="E574" s="1609"/>
      <c r="F574" s="1440">
        <f>SUM(F564:G573)</f>
        <v>172.09699999999998</v>
      </c>
      <c r="G574" s="1439"/>
      <c r="H574" s="610">
        <f>SUM(H564:H573)</f>
        <v>3241.5360000000001</v>
      </c>
      <c r="I574" s="143">
        <f>SUM(I564:I573)</f>
        <v>0</v>
      </c>
      <c r="J574" s="136">
        <f>SUM(J564:J573)</f>
        <v>284437.5</v>
      </c>
      <c r="K574" s="136">
        <f>SUM(K564:K573)</f>
        <v>587442.5</v>
      </c>
      <c r="L574" s="136">
        <f>SUM(L564:L573)</f>
        <v>871880</v>
      </c>
      <c r="M574" s="1856"/>
      <c r="N574" s="1622"/>
    </row>
    <row r="575" spans="1:15" s="1168" customFormat="1" ht="17" thickBot="1">
      <c r="A575" s="108" t="s">
        <v>54</v>
      </c>
      <c r="B575" s="1456"/>
      <c r="C575" s="1586"/>
      <c r="D575" s="1141"/>
      <c r="E575" s="1142"/>
      <c r="F575" s="1141"/>
      <c r="G575" s="1142"/>
      <c r="H575" s="1141"/>
      <c r="I575" s="161"/>
      <c r="J575" s="161"/>
      <c r="K575" s="161"/>
      <c r="L575" s="374"/>
      <c r="M575" s="412"/>
      <c r="N575" s="1155"/>
      <c r="O575" s="121"/>
    </row>
    <row r="576" spans="1:15">
      <c r="A576" s="36" t="s">
        <v>29</v>
      </c>
      <c r="B576" s="1731">
        <f>'Ontario Total'!B517:C517+'Chino Total'!B517:C517+'Chino Hills Total'!B517:C517+'MVWD Total '!B517:C517+'Upland Total'!B513:C513+'FWC Total'!B517:C517+'SAWC Total'!B516:C516+'CVWD Total'!B517:C517</f>
        <v>0</v>
      </c>
      <c r="C576" s="1732"/>
      <c r="D576" s="1767">
        <f>F576*325851</f>
        <v>0</v>
      </c>
      <c r="E576" s="1732"/>
      <c r="F576" s="1444">
        <f>0.0425*B576</f>
        <v>0</v>
      </c>
      <c r="G576" s="1422"/>
      <c r="H576" s="633">
        <f>F576*20</f>
        <v>0</v>
      </c>
      <c r="I576" s="131">
        <v>0</v>
      </c>
      <c r="J576" s="131">
        <f>35.66*B576</f>
        <v>0</v>
      </c>
      <c r="K576" s="131">
        <f>630*B576</f>
        <v>0</v>
      </c>
      <c r="L576" s="169">
        <f t="shared" si="62"/>
        <v>0</v>
      </c>
      <c r="M576" s="1943">
        <v>0</v>
      </c>
      <c r="N576" s="1759"/>
    </row>
    <row r="577" spans="1:15">
      <c r="A577" s="34" t="s">
        <v>51</v>
      </c>
      <c r="B577" s="1421">
        <f>'Ontario Total'!B518:C518+'Chino Total'!B518:C518+'Chino Hills Total'!B518:C518+'MVWD Total '!B518:C518+'Upland Total'!B514:C514+'FWC Total'!B518:C518+'SAWC Total'!B517:C517+'CVWD Total'!B518:C518</f>
        <v>56</v>
      </c>
      <c r="C577" s="1422"/>
      <c r="D577" s="1444">
        <f>F577*325851</f>
        <v>2238987.3912</v>
      </c>
      <c r="E577" s="1422"/>
      <c r="F577" s="1444">
        <f>0.1227*B577</f>
        <v>6.8712</v>
      </c>
      <c r="G577" s="1422"/>
      <c r="H577" s="633">
        <f>F577*20</f>
        <v>137.42400000000001</v>
      </c>
      <c r="I577" s="131">
        <v>0</v>
      </c>
      <c r="J577" s="131">
        <f>0*B577</f>
        <v>0</v>
      </c>
      <c r="K577" s="131">
        <f>1225*B577</f>
        <v>68600</v>
      </c>
      <c r="L577" s="169">
        <f t="shared" si="62"/>
        <v>68600</v>
      </c>
      <c r="M577" s="1943">
        <f>L577/(F577*458)</f>
        <v>21.798471793667233</v>
      </c>
      <c r="N577" s="1759"/>
    </row>
    <row r="578" spans="1:15">
      <c r="A578" s="34" t="s">
        <v>15</v>
      </c>
      <c r="B578" s="1421">
        <f>'Ontario Total'!B519:C519+'Chino Total'!B519:C519+'Chino Hills Total'!B519:C519+'MVWD Total '!B519:C519+'Upland Total'!B515:C515+'FWC Total'!B519:C519+'SAWC Total'!B518:C518+'CVWD Total'!B519:C519</f>
        <v>98</v>
      </c>
      <c r="C578" s="1422"/>
      <c r="D578" s="1444">
        <f>F578*325851</f>
        <v>4898583.2532000002</v>
      </c>
      <c r="E578" s="1422"/>
      <c r="F578" s="1444">
        <f>0.1534*B578</f>
        <v>15.033200000000001</v>
      </c>
      <c r="G578" s="1422"/>
      <c r="H578" s="633">
        <f>F578*5</f>
        <v>75.165999999999997</v>
      </c>
      <c r="I578" s="131">
        <v>0</v>
      </c>
      <c r="J578" s="131">
        <f>0*B578</f>
        <v>0</v>
      </c>
      <c r="K578" s="131">
        <f>380*B578</f>
        <v>37240</v>
      </c>
      <c r="L578" s="169">
        <f t="shared" si="62"/>
        <v>37240</v>
      </c>
      <c r="M578" s="1943">
        <f>L578/(F578*458)</f>
        <v>5.4086983255808656</v>
      </c>
      <c r="N578" s="1759"/>
    </row>
    <row r="579" spans="1:15">
      <c r="A579" s="34" t="s">
        <v>30</v>
      </c>
      <c r="B579" s="1421">
        <f>'Ontario Total'!B520:C520+'Chino Total'!B520:C520+'Chino Hills Total'!B520:C520+'MVWD Total '!B520:C520+'Upland Total'!B516:C516+'FWC Total'!B520:C520+'SAWC Total'!B519:C519+'CVWD Total'!B520:C520</f>
        <v>42</v>
      </c>
      <c r="C579" s="1422"/>
      <c r="D579" s="1444">
        <f>F579*325851</f>
        <v>6377555.7720000008</v>
      </c>
      <c r="E579" s="1422"/>
      <c r="F579" s="1444">
        <f>0.466*B579</f>
        <v>19.572000000000003</v>
      </c>
      <c r="G579" s="1422"/>
      <c r="H579" s="633">
        <f>F579*10</f>
        <v>195.72000000000003</v>
      </c>
      <c r="I579" s="131">
        <v>0</v>
      </c>
      <c r="J579" s="131">
        <f>0*B579</f>
        <v>0</v>
      </c>
      <c r="K579" s="131">
        <f>1004*B579</f>
        <v>42168</v>
      </c>
      <c r="L579" s="169">
        <f t="shared" si="62"/>
        <v>42168</v>
      </c>
      <c r="M579" s="1943">
        <f>L579/(F579*458)</f>
        <v>4.7041625278782533</v>
      </c>
      <c r="N579" s="1759"/>
    </row>
    <row r="580" spans="1:15" ht="14" thickBot="1">
      <c r="A580" s="37" t="s">
        <v>55</v>
      </c>
      <c r="B580" s="1429">
        <f>'Ontario Total'!B521:C521+'Chino Total'!B521:C521+'Chino Hills Total'!B521:C521+'MVWD Total '!B521:C521+'Upland Total'!B517:C517+'FWC Total'!B521:C521+'SAWC Total'!B520:C520+'CVWD Total'!B521:C521</f>
        <v>36</v>
      </c>
      <c r="C580" s="1430"/>
      <c r="D580" s="1444">
        <f>F580*325851</f>
        <v>9654313.4279999994</v>
      </c>
      <c r="E580" s="1422"/>
      <c r="F580" s="1432">
        <f>0.823*B580</f>
        <v>29.628</v>
      </c>
      <c r="G580" s="1433"/>
      <c r="H580" s="633">
        <f>F580*10</f>
        <v>296.27999999999997</v>
      </c>
      <c r="I580" s="131">
        <v>0</v>
      </c>
      <c r="J580" s="131">
        <f>0*B580</f>
        <v>0</v>
      </c>
      <c r="K580" s="131">
        <f>3124*B580</f>
        <v>112464</v>
      </c>
      <c r="L580" s="169">
        <f t="shared" si="62"/>
        <v>112464</v>
      </c>
      <c r="M580" s="1943">
        <f>L580/(F580*458)</f>
        <v>8.2879230846779546</v>
      </c>
      <c r="N580" s="1759"/>
    </row>
    <row r="581" spans="1:15" ht="14" thickBot="1">
      <c r="A581" s="53" t="s">
        <v>60</v>
      </c>
      <c r="B581" s="1438">
        <f>SUM(B576:C580)</f>
        <v>232</v>
      </c>
      <c r="C581" s="1609"/>
      <c r="D581" s="1440">
        <f>SUM(D576:E580)</f>
        <v>23169439.8444</v>
      </c>
      <c r="E581" s="1609"/>
      <c r="F581" s="1440">
        <f>SUM(F576:G580)</f>
        <v>71.104399999999998</v>
      </c>
      <c r="G581" s="1439"/>
      <c r="H581" s="466">
        <f>SUM(H576:H580)</f>
        <v>704.59</v>
      </c>
      <c r="I581" s="143">
        <f>SUM(I576:I580)</f>
        <v>0</v>
      </c>
      <c r="J581" s="136">
        <f>SUM(J576:J580)</f>
        <v>0</v>
      </c>
      <c r="K581" s="136">
        <f>SUM(K576:K580)</f>
        <v>260472</v>
      </c>
      <c r="L581" s="136">
        <f>SUM(L576:L580)</f>
        <v>260472</v>
      </c>
      <c r="M581" s="1856"/>
      <c r="N581" s="1622"/>
    </row>
    <row r="582" spans="1:15" s="1168" customFormat="1" ht="17" thickBot="1">
      <c r="A582" s="1182" t="s">
        <v>17</v>
      </c>
      <c r="B582" s="1416">
        <f>SUM(B581,B559,B562,B574)</f>
        <v>10168</v>
      </c>
      <c r="C582" s="1415"/>
      <c r="D582" s="1416">
        <f>SUM(D559+D562+D574+D581)</f>
        <v>155846856.25044</v>
      </c>
      <c r="E582" s="1415"/>
      <c r="F582" s="1416">
        <f>SUM(F581,F559,F562,F574)</f>
        <v>478.27643999999998</v>
      </c>
      <c r="G582" s="1415"/>
      <c r="H582" s="1180">
        <f>SUM(H581,H559,H562,H574)</f>
        <v>6567.7174000000005</v>
      </c>
      <c r="I582" s="1175">
        <f>SUM(I559+I562+I574+I581)</f>
        <v>308981.42000000004</v>
      </c>
      <c r="J582" s="1169">
        <f>SUM(J559+J562+J574+J581)</f>
        <v>500276.07999999996</v>
      </c>
      <c r="K582" s="1169">
        <f>SUM(K559+K562+K574+K581)</f>
        <v>1318172.5</v>
      </c>
      <c r="L582" s="1169">
        <f>SUM(L559,L562,L574,L581)</f>
        <v>2127430</v>
      </c>
      <c r="M582" s="1639"/>
      <c r="N582" s="1640"/>
      <c r="O582" s="121"/>
    </row>
    <row r="583" spans="1:15">
      <c r="A583" s="50"/>
      <c r="B583" s="20"/>
      <c r="C583" s="20"/>
      <c r="D583" s="20"/>
      <c r="E583" s="20"/>
      <c r="F583" s="422"/>
      <c r="G583" s="422"/>
      <c r="H583" s="422"/>
      <c r="I583" s="21"/>
      <c r="J583" s="21"/>
      <c r="K583" s="21"/>
      <c r="L583" s="21"/>
      <c r="M583" s="18"/>
      <c r="N583" s="18"/>
    </row>
    <row r="584" spans="1:15" ht="15">
      <c r="A584" s="9" t="s">
        <v>18</v>
      </c>
      <c r="B584" s="1695" t="s">
        <v>59</v>
      </c>
      <c r="C584" s="1566"/>
      <c r="D584" s="1566"/>
      <c r="E584" s="1821"/>
      <c r="F584" s="422"/>
      <c r="G584" s="422"/>
      <c r="H584" s="422"/>
      <c r="I584" s="21"/>
      <c r="J584" s="21"/>
      <c r="K584" s="21"/>
      <c r="L584" s="21"/>
      <c r="M584" s="18"/>
      <c r="N584" s="18"/>
    </row>
    <row r="585" spans="1:15">
      <c r="B585" s="1420" t="s">
        <v>19</v>
      </c>
      <c r="C585" s="1420"/>
      <c r="D585" s="1420"/>
      <c r="E585" s="1420"/>
      <c r="F585" s="422"/>
      <c r="G585" s="422"/>
      <c r="H585" s="422"/>
      <c r="I585" s="21"/>
      <c r="J585" s="21"/>
      <c r="K585" s="21"/>
      <c r="L585" s="21"/>
      <c r="M585" s="18"/>
      <c r="N585" s="18"/>
    </row>
    <row r="586" spans="1:15">
      <c r="B586" s="820"/>
      <c r="C586" s="820"/>
      <c r="D586" s="820"/>
      <c r="E586" s="820"/>
      <c r="F586" s="823"/>
      <c r="G586" s="823"/>
      <c r="H586" s="823"/>
      <c r="I586" s="21"/>
      <c r="J586" s="21"/>
      <c r="K586" s="21"/>
      <c r="L586" s="21"/>
      <c r="M586" s="820"/>
      <c r="N586" s="820"/>
    </row>
    <row r="587" spans="1:15" ht="14" thickBot="1">
      <c r="B587" s="18"/>
      <c r="C587" s="18"/>
      <c r="D587" s="18"/>
      <c r="E587" s="18"/>
      <c r="F587" s="422"/>
      <c r="G587" s="422"/>
      <c r="H587" s="422"/>
      <c r="I587" s="21"/>
      <c r="J587" s="21"/>
      <c r="K587" s="21"/>
      <c r="L587" s="21"/>
      <c r="M587" s="18"/>
      <c r="N587" s="18"/>
    </row>
    <row r="588" spans="1:15" ht="16">
      <c r="A588" s="98"/>
      <c r="B588" s="99"/>
      <c r="C588" s="99"/>
      <c r="D588" s="99"/>
      <c r="E588" s="99"/>
      <c r="F588" s="421"/>
      <c r="G588" s="421"/>
      <c r="H588" s="421"/>
      <c r="I588" s="1468" t="s">
        <v>0</v>
      </c>
      <c r="J588" s="1468"/>
      <c r="K588" s="1468"/>
      <c r="L588" s="1468"/>
      <c r="M588" s="99"/>
      <c r="N588" s="101"/>
    </row>
    <row r="589" spans="1:15" s="91" customFormat="1" ht="16">
      <c r="A589" s="97"/>
      <c r="B589" s="1469" t="s">
        <v>1</v>
      </c>
      <c r="C589" s="1469"/>
      <c r="D589" s="1469" t="s">
        <v>2</v>
      </c>
      <c r="E589" s="1469"/>
      <c r="F589" s="1863" t="s">
        <v>3</v>
      </c>
      <c r="G589" s="1863"/>
      <c r="H589" s="430" t="s">
        <v>3</v>
      </c>
      <c r="I589" s="127" t="s">
        <v>195</v>
      </c>
      <c r="J589" s="102"/>
      <c r="K589" s="102"/>
      <c r="L589" s="128"/>
      <c r="M589" s="1469" t="s">
        <v>4</v>
      </c>
      <c r="N589" s="1526"/>
      <c r="O589" s="274"/>
    </row>
    <row r="590" spans="1:15" ht="19" thickBot="1">
      <c r="A590" s="103" t="s">
        <v>5</v>
      </c>
      <c r="B590" s="1473" t="s">
        <v>6</v>
      </c>
      <c r="C590" s="1473"/>
      <c r="D590" s="1473" t="s">
        <v>7</v>
      </c>
      <c r="E590" s="1473"/>
      <c r="F590" s="1864" t="s">
        <v>7</v>
      </c>
      <c r="G590" s="1864"/>
      <c r="H590" s="431" t="s">
        <v>58</v>
      </c>
      <c r="I590" s="398" t="s">
        <v>196</v>
      </c>
      <c r="J590" s="397" t="s">
        <v>8</v>
      </c>
      <c r="K590" s="397" t="s">
        <v>9</v>
      </c>
      <c r="L590" s="401" t="s">
        <v>10</v>
      </c>
      <c r="M590" s="1473" t="s">
        <v>145</v>
      </c>
      <c r="N590" s="1475"/>
    </row>
    <row r="591" spans="1:15" ht="24" thickBot="1">
      <c r="A591" s="88" t="s">
        <v>133</v>
      </c>
      <c r="B591" s="1922"/>
      <c r="C591" s="1923"/>
      <c r="D591" s="1924"/>
      <c r="E591" s="1925"/>
      <c r="F591" s="1918"/>
      <c r="G591" s="1919"/>
      <c r="H591" s="436"/>
      <c r="I591" s="58"/>
      <c r="J591" s="58"/>
      <c r="K591" s="58"/>
      <c r="L591" s="377"/>
      <c r="M591" s="1922"/>
      <c r="N591" s="1921"/>
    </row>
    <row r="592" spans="1:15" s="1168" customFormat="1" ht="17" thickBot="1">
      <c r="A592" s="108" t="s">
        <v>61</v>
      </c>
      <c r="B592" s="1457"/>
      <c r="C592" s="1586"/>
      <c r="D592" s="1567"/>
      <c r="E592" s="1586"/>
      <c r="F592" s="1619"/>
      <c r="G592" s="1620"/>
      <c r="H592" s="1158"/>
      <c r="I592" s="109"/>
      <c r="J592" s="109"/>
      <c r="K592" s="109"/>
      <c r="L592" s="1142"/>
      <c r="M592" s="1485"/>
      <c r="N592" s="1486"/>
      <c r="O592" s="121"/>
    </row>
    <row r="593" spans="1:15">
      <c r="A593" s="34" t="s">
        <v>28</v>
      </c>
      <c r="B593" s="1444">
        <f>'Ontario Total'!B533:C533+'Chino Total'!B533:C533+'Chino Hills Total'!B533:C533+'MVWD Total '!B533:C533+'Upland Total'!B528:C528+'FWC Total'!B533:C533+'SAWC Total'!B532:C532+'CVWD Total'!B533:C533</f>
        <v>179</v>
      </c>
      <c r="C593" s="1422"/>
      <c r="D593" s="1431">
        <f t="shared" ref="D593:D598" si="64">F593*325851</f>
        <v>2210605.7691000002</v>
      </c>
      <c r="E593" s="1422"/>
      <c r="F593" s="1871">
        <f>0.0379*B593</f>
        <v>6.7841000000000005</v>
      </c>
      <c r="G593" s="1450"/>
      <c r="H593" s="481">
        <f>F593*20</f>
        <v>135.68200000000002</v>
      </c>
      <c r="I593" s="131">
        <f>'Ontario Total'!I533+'Chino Total'!I533+'Chino Hills Total'!I533+'MVWD Total '!I533+'Upland Total'!I528+'FWC Total'!I533+'SAWC Total'!I532+'CVWD Total'!I533</f>
        <v>0</v>
      </c>
      <c r="J593" s="131">
        <f>'Ontario Total'!J533+'Chino Total'!J533+'Chino Hills Total'!J533+'MVWD Total '!J533+'Upland Total'!J528+'FWC Total'!J533+'SAWC Total'!J532+'CVWD Total'!J533</f>
        <v>0</v>
      </c>
      <c r="K593" s="131">
        <f>60*B593</f>
        <v>10740</v>
      </c>
      <c r="L593" s="169">
        <f>SUM(I593:K593)</f>
        <v>10740</v>
      </c>
      <c r="M593" s="1943">
        <f t="shared" ref="M593:M598" si="65">L593/(F593*427)</f>
        <v>3.7075256591671661</v>
      </c>
      <c r="N593" s="1759"/>
    </row>
    <row r="594" spans="1:15">
      <c r="A594" s="34" t="s">
        <v>29</v>
      </c>
      <c r="B594" s="1444">
        <f>'Ontario Total'!B534:C534+'Chino Total'!B534:C534+'Chino Hills Total'!B534:C534+'MVWD Total '!B534:C534+'Upland Total'!B529:C529+'FWC Total'!B534:C534+'SAWC Total'!B533:C533+'CVWD Total'!B534:C534</f>
        <v>14</v>
      </c>
      <c r="C594" s="1422"/>
      <c r="D594" s="1431">
        <f t="shared" si="64"/>
        <v>193881.34500000003</v>
      </c>
      <c r="E594" s="1422"/>
      <c r="F594" s="1871">
        <f>0.0425*B594</f>
        <v>0.59500000000000008</v>
      </c>
      <c r="G594" s="1450"/>
      <c r="H594" s="481">
        <f>F594*20</f>
        <v>11.900000000000002</v>
      </c>
      <c r="I594" s="131">
        <f>'Ontario Total'!I534+'Chino Total'!I534+'Chino Hills Total'!I534+'MVWD Total '!I534+'Upland Total'!I529+'FWC Total'!I534+'SAWC Total'!I533+'CVWD Total'!I534</f>
        <v>0</v>
      </c>
      <c r="J594" s="131">
        <f>'Ontario Total'!J534+'Chino Total'!J534+'Chino Hills Total'!J534+'MVWD Total '!J534+'Upland Total'!J529+'FWC Total'!J534+'SAWC Total'!J533+'CVWD Total'!J534</f>
        <v>0</v>
      </c>
      <c r="K594" s="131">
        <f>B594*165</f>
        <v>2310</v>
      </c>
      <c r="L594" s="169">
        <f>SUM(I594:K594)</f>
        <v>2310</v>
      </c>
      <c r="M594" s="1943">
        <f>L594/(F594*427)</f>
        <v>9.0921614547458312</v>
      </c>
      <c r="N594" s="1759"/>
    </row>
    <row r="595" spans="1:15">
      <c r="A595" s="34" t="s">
        <v>33</v>
      </c>
      <c r="B595" s="1444">
        <f>'Ontario Total'!B535:C535+'Chino Total'!B535:C535+'Chino Hills Total'!B535:C535+'MVWD Total '!B535:C535+'Upland Total'!B530:C530+'FWC Total'!B535:C535+'SAWC Total'!B534:C534+'CVWD Total'!B535:C535</f>
        <v>1456</v>
      </c>
      <c r="C595" s="1422"/>
      <c r="D595" s="1431">
        <f t="shared" si="64"/>
        <v>13094517.945600001</v>
      </c>
      <c r="E595" s="1422"/>
      <c r="F595" s="1871">
        <f>0.0276*B595</f>
        <v>40.185600000000001</v>
      </c>
      <c r="G595" s="1450"/>
      <c r="H595" s="481">
        <f>F595*15</f>
        <v>602.78399999999999</v>
      </c>
      <c r="I595" s="131">
        <f>'Ontario Total'!I535+'Chino Total'!I535+'Chino Hills Total'!I535+'MVWD Total '!I535+'Upland Total'!I530+'FWC Total'!I535+'SAWC Total'!I534+'CVWD Total'!I535</f>
        <v>0</v>
      </c>
      <c r="J595" s="131">
        <f>'Ontario Total'!J535+'Chino Total'!J535+'Chino Hills Total'!J535+'MVWD Total '!J535+'Upland Total'!J530+'FWC Total'!J535+'SAWC Total'!J534+'CVWD Total'!J535</f>
        <v>0</v>
      </c>
      <c r="K595" s="131">
        <f>B595*110</f>
        <v>160160</v>
      </c>
      <c r="L595" s="131">
        <f>'Ontario Total'!L535+'Chino Total'!L535+'Chino Hills Total'!L535+'MVWD Total '!L535+'Upland Total'!L530+'FWC Total'!L535+'SAWC Total'!L534+'CVWD Total'!L535</f>
        <v>160160</v>
      </c>
      <c r="M595" s="1943">
        <f t="shared" si="65"/>
        <v>9.3337406238332825</v>
      </c>
      <c r="N595" s="1759"/>
    </row>
    <row r="596" spans="1:15">
      <c r="A596" s="35" t="s">
        <v>24</v>
      </c>
      <c r="B596" s="1444">
        <f>'Ontario Total'!B536:C536+'Chino Total'!B536:C536+'Chino Hills Total'!B536:C536+'MVWD Total '!B536:C536+'Upland Total'!B531:C531+'FWC Total'!B536:C536+'SAWC Total'!B535:C535+'CVWD Total'!B536:C536</f>
        <v>158</v>
      </c>
      <c r="C596" s="1422"/>
      <c r="D596" s="1431">
        <f t="shared" si="64"/>
        <v>205937.83199999999</v>
      </c>
      <c r="E596" s="1422"/>
      <c r="F596" s="1871">
        <f>0.004*B596</f>
        <v>0.63200000000000001</v>
      </c>
      <c r="G596" s="1450"/>
      <c r="H596" s="481">
        <f>F596*5</f>
        <v>3.16</v>
      </c>
      <c r="I596" s="131">
        <f>'Ontario Total'!I536+'Chino Total'!I536+'Chino Hills Total'!I536+'MVWD Total '!I536+'Upland Total'!I531+'FWC Total'!I536+'SAWC Total'!I535+'CVWD Total'!I536</f>
        <v>0</v>
      </c>
      <c r="J596" s="131">
        <f>'Ontario Total'!J536+'Chino Total'!J536+'Chino Hills Total'!J536+'MVWD Total '!J536+'Upland Total'!J531+'FWC Total'!J536+'SAWC Total'!J535+'CVWD Total'!J536</f>
        <v>0</v>
      </c>
      <c r="K596" s="131">
        <f>B596*4</f>
        <v>632</v>
      </c>
      <c r="L596" s="131">
        <f>'Ontario Total'!L536+'Chino Total'!L536+'Chino Hills Total'!L536+'MVWD Total '!L536+'Upland Total'!L531+'FWC Total'!L536+'SAWC Total'!L535+'CVWD Total'!L536</f>
        <v>632</v>
      </c>
      <c r="M596" s="1943">
        <f t="shared" si="65"/>
        <v>2.3419203747072603</v>
      </c>
      <c r="N596" s="1759"/>
    </row>
    <row r="597" spans="1:15" s="91" customFormat="1" ht="16">
      <c r="A597" s="33" t="s">
        <v>72</v>
      </c>
      <c r="B597" s="1444">
        <f>'Ontario Total'!B537:C537+'Chino Total'!B537:C537+'Chino Hills Total'!B537:C537+'MVWD Total '!B537:C537+'Upland Total'!B532:C532+'FWC Total'!B537:C537+'SAWC Total'!B536:C536+'CVWD Total'!B537:C537</f>
        <v>33</v>
      </c>
      <c r="C597" s="1422"/>
      <c r="D597" s="1431">
        <f t="shared" si="64"/>
        <v>3494751.9750000001</v>
      </c>
      <c r="E597" s="1422"/>
      <c r="F597" s="1871">
        <f>0.325*B597</f>
        <v>10.725</v>
      </c>
      <c r="G597" s="1450"/>
      <c r="H597" s="481">
        <f>F597*10</f>
        <v>107.25</v>
      </c>
      <c r="I597" s="131">
        <f>'Ontario Total'!I537+'Chino Total'!I537+'Chino Hills Total'!I537+'MVWD Total '!I537+'Upland Total'!I532+'FWC Total'!I537+'SAWC Total'!I536+'CVWD Total'!I537</f>
        <v>0</v>
      </c>
      <c r="J597" s="131">
        <f>'Ontario Total'!J537+'Chino Total'!J537+'Chino Hills Total'!J537+'MVWD Total '!J537+'Upland Total'!J532+'FWC Total'!J537+'SAWC Total'!J536+'CVWD Total'!J537</f>
        <v>5280</v>
      </c>
      <c r="K597" s="131">
        <f>'Ontario Total'!K537+'Chino Total'!K537+'Chino Hills Total'!K537+'MVWD Total '!K537+'Upland Total'!K532+'FWC Total'!K537+'SAWC Total'!K536+'CVWD Total'!K537</f>
        <v>2640</v>
      </c>
      <c r="L597" s="131">
        <f>'Ontario Total'!L537+'Chino Total'!L537+'Chino Hills Total'!L537+'MVWD Total '!L537+'Upland Total'!L532+'FWC Total'!L537+'SAWC Total'!L536+'CVWD Total'!L537</f>
        <v>7920</v>
      </c>
      <c r="M597" s="1943">
        <f t="shared" si="65"/>
        <v>1.7294181228607459</v>
      </c>
      <c r="N597" s="1759"/>
      <c r="O597" s="274"/>
    </row>
    <row r="598" spans="1:15" ht="14" thickBot="1">
      <c r="A598" s="33" t="s">
        <v>73</v>
      </c>
      <c r="B598" s="1444">
        <f>'Ontario Total'!B538:C538+'Chino Total'!B538:C538+'Chino Hills Total'!B538:C538+'MVWD Total '!B538:C538+'Upland Total'!B533:C533+'FWC Total'!B538:C538+'SAWC Total'!B537:C537+'CVWD Total'!B538:C538</f>
        <v>330</v>
      </c>
      <c r="C598" s="1422"/>
      <c r="D598" s="1431">
        <f t="shared" si="64"/>
        <v>34947519.75</v>
      </c>
      <c r="E598" s="1422"/>
      <c r="F598" s="1871">
        <f>0.325*B598</f>
        <v>107.25</v>
      </c>
      <c r="G598" s="1450"/>
      <c r="H598" s="481">
        <f>F598*10</f>
        <v>1072.5</v>
      </c>
      <c r="I598" s="131">
        <f>'Ontario Total'!I538+'Chino Total'!I538+'Chino Hills Total'!I538+'MVWD Total '!I538+'Upland Total'!I533+'FWC Total'!I538+'SAWC Total'!I537+'CVWD Total'!I538</f>
        <v>0</v>
      </c>
      <c r="J598" s="131">
        <f>'Ontario Total'!J538+'Chino Total'!J538+'Chino Hills Total'!J538+'MVWD Total '!J538+'Upland Total'!J533+'FWC Total'!J538+'SAWC Total'!J537+'CVWD Total'!J538</f>
        <v>0</v>
      </c>
      <c r="K598" s="131">
        <f>'Ontario Total'!K538+'Chino Total'!K538+'Chino Hills Total'!K538+'MVWD Total '!K538+'Upland Total'!K533+'FWC Total'!K538+'SAWC Total'!K537+'CVWD Total'!K538</f>
        <v>79200</v>
      </c>
      <c r="L598" s="131">
        <f>'Ontario Total'!L538+'Chino Total'!L538+'Chino Hills Total'!L538+'MVWD Total '!L538+'Upland Total'!L533+'FWC Total'!L538+'SAWC Total'!L537+'CVWD Total'!L538</f>
        <v>79200</v>
      </c>
      <c r="M598" s="1943">
        <f t="shared" si="65"/>
        <v>1.7294181228607459</v>
      </c>
      <c r="N598" s="1759"/>
    </row>
    <row r="599" spans="1:15" ht="14" thickBot="1">
      <c r="A599" s="53" t="s">
        <v>60</v>
      </c>
      <c r="B599" s="1440">
        <f>SUM(B593:C598)</f>
        <v>2170</v>
      </c>
      <c r="C599" s="1621"/>
      <c r="D599" s="1441">
        <f>SUM(D593:E598)</f>
        <v>54147214.616700001</v>
      </c>
      <c r="E599" s="1609"/>
      <c r="F599" s="1440">
        <f>SUM(F593:G598)</f>
        <v>166.17169999999999</v>
      </c>
      <c r="G599" s="1439"/>
      <c r="H599" s="466">
        <f>SUM(H593:H598)</f>
        <v>1933.2759999999998</v>
      </c>
      <c r="I599" s="143">
        <f>SUM(I593:I598)</f>
        <v>0</v>
      </c>
      <c r="J599" s="143">
        <f>SUM(J593:J598)</f>
        <v>5280</v>
      </c>
      <c r="K599" s="143">
        <f>SUM(K593:K598)</f>
        <v>255682</v>
      </c>
      <c r="L599" s="136">
        <f>SUM(L593:L598)</f>
        <v>260962</v>
      </c>
      <c r="M599" s="1856"/>
      <c r="N599" s="1622"/>
    </row>
    <row r="600" spans="1:15" s="1161" customFormat="1" ht="17" thickBot="1">
      <c r="A600" s="108" t="s">
        <v>49</v>
      </c>
      <c r="B600" s="1457"/>
      <c r="C600" s="1586"/>
      <c r="D600" s="1567"/>
      <c r="E600" s="1586"/>
      <c r="F600" s="1567"/>
      <c r="G600" s="1586"/>
      <c r="H600" s="1141"/>
      <c r="I600" s="161"/>
      <c r="J600" s="161"/>
      <c r="K600" s="161"/>
      <c r="L600" s="374"/>
      <c r="M600" s="1485"/>
      <c r="N600" s="1486"/>
      <c r="O600" s="274"/>
    </row>
    <row r="601" spans="1:15" ht="14" thickBot="1">
      <c r="A601" s="34" t="s">
        <v>31</v>
      </c>
      <c r="B601" s="1444">
        <f>'Ontario Total'!B541:C541+'Chino Total'!B541:C541+'Chino Hills Total'!B541:C541+'MVWD Total '!B541:C541+'Upland Total'!B536:C536+'FWC Total'!B541:C541+'SAWC Total'!B540:C540+'CVWD Total'!B541:C541</f>
        <v>10132</v>
      </c>
      <c r="C601" s="1422"/>
      <c r="D601" s="1431">
        <f>F601*325851</f>
        <v>125127696.38280001</v>
      </c>
      <c r="E601" s="1422"/>
      <c r="F601" s="1431">
        <f>0.0379*B601</f>
        <v>384.00280000000004</v>
      </c>
      <c r="G601" s="1422"/>
      <c r="H601" s="468">
        <f>F601*20</f>
        <v>7680.0560000000005</v>
      </c>
      <c r="I601" s="131">
        <f>'Ontario Total'!I541+'Chino Total'!I540+'Chino Hills Total'!I541+'MVWD Total '!I541+'Upland Total'!I536+'FWC Total'!I541+'SAWC Total'!I540+'CVWD Total'!I541</f>
        <v>673847.92</v>
      </c>
      <c r="J601" s="131">
        <f>'Ontario Total'!J541+'Chino Total'!J540+'Chino Hills Total'!J541+'MVWD Total '!J541+'Upland Total'!J536+'FWC Total'!J541+'SAWC Total'!J540+'CVWD Total'!J541</f>
        <v>327644.07999999996</v>
      </c>
      <c r="K601" s="131">
        <f>'Ontario Total'!K541+'Chino Total'!K540+'Chino Hills Total'!K541+'MVWD Total '!K541+'Upland Total'!K536+'FWC Total'!K541+'SAWC Total'!K540+'CVWD Total'!K541</f>
        <v>551280</v>
      </c>
      <c r="L601" s="131">
        <f>'Ontario Total'!L541+'Chino Total'!L540+'Chino Hills Total'!L541+'MVWD Total '!L541+'Upland Total'!L536+'FWC Total'!L541+'SAWC Total'!L540+'CVWD Total'!L541</f>
        <v>1552772</v>
      </c>
      <c r="M601" s="1943">
        <f>L601/(F601*427)</f>
        <v>9.4699006988358967</v>
      </c>
      <c r="N601" s="1759"/>
    </row>
    <row r="602" spans="1:15" ht="14" thickBot="1">
      <c r="A602" s="53" t="s">
        <v>60</v>
      </c>
      <c r="B602" s="1440">
        <f>SUM(B601)</f>
        <v>10132</v>
      </c>
      <c r="C602" s="1621"/>
      <c r="D602" s="1441">
        <f>SUM(D601)</f>
        <v>125127696.38280001</v>
      </c>
      <c r="E602" s="1609"/>
      <c r="F602" s="1440">
        <f>SUM(F601)</f>
        <v>384.00280000000004</v>
      </c>
      <c r="G602" s="1439"/>
      <c r="H602" s="466">
        <f>SUM(H601)</f>
        <v>7680.0560000000005</v>
      </c>
      <c r="I602" s="143">
        <f>SUM(I601)</f>
        <v>673847.92</v>
      </c>
      <c r="J602" s="136">
        <f>SUM(J601)</f>
        <v>327644.07999999996</v>
      </c>
      <c r="K602" s="136">
        <f>SUM(K601)</f>
        <v>551280</v>
      </c>
      <c r="L602" s="136">
        <f>SUM(L601)</f>
        <v>1552772</v>
      </c>
      <c r="M602" s="1856"/>
      <c r="N602" s="1622"/>
    </row>
    <row r="603" spans="1:15" s="1168" customFormat="1" ht="17" thickBot="1">
      <c r="A603" s="108" t="s">
        <v>50</v>
      </c>
      <c r="B603" s="1457"/>
      <c r="C603" s="1586"/>
      <c r="D603" s="1567"/>
      <c r="E603" s="1586"/>
      <c r="F603" s="1567"/>
      <c r="G603" s="1586"/>
      <c r="H603" s="1141"/>
      <c r="I603" s="161"/>
      <c r="J603" s="161"/>
      <c r="K603" s="161"/>
      <c r="L603" s="374"/>
      <c r="M603" s="1485"/>
      <c r="N603" s="1486"/>
      <c r="O603" s="121"/>
    </row>
    <row r="604" spans="1:15">
      <c r="A604" s="34" t="s">
        <v>26</v>
      </c>
      <c r="B604" s="1444">
        <f>'Ontario Total'!B544:C544+'Chino Total'!B544:C544+'Chino Hills Total'!B544:C544+'MVWD Total '!B544:C544+'Upland Total'!B539:C539+'FWC Total'!B544:C544+'SAWC Total'!B543:C543+'CVWD Total'!B544:C544</f>
        <v>4</v>
      </c>
      <c r="C604" s="1422"/>
      <c r="D604" s="1431">
        <f t="shared" ref="D604:D611" si="66">F604*325851</f>
        <v>49399.011600000005</v>
      </c>
      <c r="E604" s="1422"/>
      <c r="F604" s="1871">
        <f>0.0379*B604</f>
        <v>0.15160000000000001</v>
      </c>
      <c r="G604" s="1450"/>
      <c r="H604" s="481">
        <f>F604*20</f>
        <v>3.032</v>
      </c>
      <c r="I604" s="131">
        <f>'Ontario Total'!I544+'Chino Total'!I544+'Chino Hills Total'!I544+'MVWD Total '!I544+'Upland Total'!I539+'FWC Total'!I544+'SAWC Total'!I543+'CVWD Total'!I544</f>
        <v>0</v>
      </c>
      <c r="J604" s="131">
        <f>'Ontario Total'!J544+'Chino Total'!J544+'Chino Hills Total'!J544+'MVWD Total '!J544+'Upland Total'!J539+'FWC Total'!J544+'SAWC Total'!J543+'CVWD Total'!J544</f>
        <v>60</v>
      </c>
      <c r="K604" s="131">
        <f>'Ontario Total'!K544+'Chino Total'!K544+'Chino Hills Total'!K544+'MVWD Total '!K544+'Upland Total'!K539+'FWC Total'!K544+'SAWC Total'!K543+'CVWD Total'!K544</f>
        <v>540</v>
      </c>
      <c r="L604" s="131">
        <f>'Ontario Total'!L544+'Chino Total'!L544+'Chino Hills Total'!L544+'MVWD Total '!L544+'Upland Total'!L539+'FWC Total'!L544+'SAWC Total'!L543+'CVWD Total'!L544</f>
        <v>600</v>
      </c>
      <c r="M604" s="1943">
        <f t="shared" ref="M604:M611" si="67">L604/(F604*427)</f>
        <v>9.2688141479179134</v>
      </c>
      <c r="N604" s="1759"/>
    </row>
    <row r="605" spans="1:15">
      <c r="A605" s="34" t="s">
        <v>25</v>
      </c>
      <c r="B605" s="1444">
        <f>'Ontario Total'!B545:C545+'Chino Total'!B545:C545+'Chino Hills Total'!B545:C545+'MVWD Total '!B545:C545+'Upland Total'!B540:C540+'FWC Total'!B545:C545+'SAWC Total'!B544:C544+'CVWD Total'!B545:C545</f>
        <v>379</v>
      </c>
      <c r="C605" s="1422"/>
      <c r="D605" s="1431">
        <f t="shared" si="66"/>
        <v>4680556.3491000002</v>
      </c>
      <c r="E605" s="1422"/>
      <c r="F605" s="1871">
        <f>0.0379*B605</f>
        <v>14.364100000000001</v>
      </c>
      <c r="G605" s="1450"/>
      <c r="H605" s="481">
        <f>F605*20</f>
        <v>287.28200000000004</v>
      </c>
      <c r="I605" s="131">
        <f>'Ontario Total'!I545+'Chino Total'!I545+'Chino Hills Total'!I545+'MVWD Total '!I545+'Upland Total'!I540+'FWC Total'!I545+'SAWC Total'!I544+'CVWD Total'!I545</f>
        <v>0</v>
      </c>
      <c r="J605" s="131">
        <f>'Ontario Total'!J545+'Chino Total'!J545+'Chino Hills Total'!J545+'MVWD Total '!J545+'Upland Total'!J540+'FWC Total'!J545+'SAWC Total'!J544+'CVWD Total'!J545</f>
        <v>5685</v>
      </c>
      <c r="K605" s="131">
        <f>'Ontario Total'!K545+'Chino Total'!K545+'Chino Hills Total'!K545+'MVWD Total '!K545+'Upland Total'!K540+'FWC Total'!K545+'SAWC Total'!K544+'CVWD Total'!K545</f>
        <v>51165</v>
      </c>
      <c r="L605" s="131">
        <f>'Ontario Total'!L545+'Chino Total'!L545+'Chino Hills Total'!L545+'MVWD Total '!L545+'Upland Total'!L540+'FWC Total'!L545+'SAWC Total'!L544+'CVWD Total'!L545</f>
        <v>56850</v>
      </c>
      <c r="M605" s="1943">
        <f t="shared" si="67"/>
        <v>9.2688141479179151</v>
      </c>
      <c r="N605" s="1759"/>
    </row>
    <row r="606" spans="1:15">
      <c r="A606" s="34" t="s">
        <v>32</v>
      </c>
      <c r="B606" s="1444">
        <f>'Ontario Total'!B546:C546+'Chino Total'!B546:C546+'Chino Hills Total'!B546:C546+'MVWD Total '!B546:C546+'Upland Total'!B541:C541+'FWC Total'!B546:C546+'SAWC Total'!B545:C545+'CVWD Total'!B546:C546</f>
        <v>1</v>
      </c>
      <c r="C606" s="1422"/>
      <c r="D606" s="1431">
        <f t="shared" si="66"/>
        <v>13848.667500000001</v>
      </c>
      <c r="E606" s="1422"/>
      <c r="F606" s="1871">
        <f>0.0425*B606</f>
        <v>4.2500000000000003E-2</v>
      </c>
      <c r="G606" s="1450"/>
      <c r="H606" s="481">
        <f>F606*20</f>
        <v>0.85000000000000009</v>
      </c>
      <c r="I606" s="131">
        <f>'Ontario Total'!I546+'Chino Total'!I546+'Chino Hills Total'!I546+'MVWD Total '!I546+'Upland Total'!I541+'FWC Total'!I546+'SAWC Total'!I545+'CVWD Total'!I546</f>
        <v>0</v>
      </c>
      <c r="J606" s="131">
        <f>'Ontario Total'!J546+'Chino Total'!J546+'Chino Hills Total'!J546+'MVWD Total '!J546+'Upland Total'!J541+'FWC Total'!J546+'SAWC Total'!J545+'CVWD Total'!J546</f>
        <v>45</v>
      </c>
      <c r="K606" s="131">
        <f>'Ontario Total'!K546+'Chino Total'!K546+'Chino Hills Total'!K546+'MVWD Total '!K546+'Upland Total'!K541+'FWC Total'!K546+'SAWC Total'!K545+'CVWD Total'!K546</f>
        <v>165</v>
      </c>
      <c r="L606" s="131">
        <f>'Ontario Total'!L546+'Chino Total'!L546+'Chino Hills Total'!L546+'MVWD Total '!L546+'Upland Total'!L541+'FWC Total'!L546+'SAWC Total'!L545+'CVWD Total'!L546</f>
        <v>210</v>
      </c>
      <c r="M606" s="1943">
        <f t="shared" si="67"/>
        <v>11.571841851494696</v>
      </c>
      <c r="N606" s="1759"/>
    </row>
    <row r="607" spans="1:15">
      <c r="A607" s="34" t="s">
        <v>27</v>
      </c>
      <c r="B607" s="1444">
        <f>'Ontario Total'!B547:C547+'Chino Total'!B547:C547+'Chino Hills Total'!B547:C547+'MVWD Total '!B547:C547+'Upland Total'!B542:C542+'FWC Total'!B547:C547+'SAWC Total'!B546:C546+'CVWD Total'!B547:C547</f>
        <v>97</v>
      </c>
      <c r="C607" s="1422"/>
      <c r="D607" s="1431">
        <f t="shared" si="66"/>
        <v>3878246.0168999997</v>
      </c>
      <c r="E607" s="1422"/>
      <c r="F607" s="1871">
        <f>0.1227*B607</f>
        <v>11.901899999999999</v>
      </c>
      <c r="G607" s="1450"/>
      <c r="H607" s="481">
        <f>F607*20</f>
        <v>238.03799999999998</v>
      </c>
      <c r="I607" s="131">
        <f>'Ontario Total'!I547+'Chino Total'!I547+'Chino Hills Total'!I547+'MVWD Total '!I547+'Upland Total'!I542+'FWC Total'!I547+'SAWC Total'!I546+'CVWD Total'!I547</f>
        <v>0</v>
      </c>
      <c r="J607" s="131">
        <f>'Ontario Total'!J547+'Chino Total'!J547+'Chino Hills Total'!J547+'MVWD Total '!J547+'Upland Total'!J542+'FWC Total'!J547+'SAWC Total'!J546+'CVWD Total'!J547</f>
        <v>0</v>
      </c>
      <c r="K607" s="131">
        <f>'Ontario Total'!K547+'Chino Total'!K547+'Chino Hills Total'!K547+'MVWD Total '!K547+'Upland Total'!K542+'FWC Total'!K547+'SAWC Total'!K546+'CVWD Total'!K547</f>
        <v>38800</v>
      </c>
      <c r="L607" s="131">
        <f>'Ontario Total'!L547+'Chino Total'!L547+'Chino Hills Total'!L547+'MVWD Total '!L547+'Upland Total'!L542+'FWC Total'!L547+'SAWC Total'!L546+'CVWD Total'!L547</f>
        <v>38800</v>
      </c>
      <c r="M607" s="1943">
        <f t="shared" si="67"/>
        <v>7.6346222484344262</v>
      </c>
      <c r="N607" s="1759"/>
    </row>
    <row r="608" spans="1:15">
      <c r="A608" s="34" t="s">
        <v>20</v>
      </c>
      <c r="B608" s="1444">
        <f>'Ontario Total'!B548:C548+'Chino Total'!B548:C548+'Chino Hills Total'!B548:C548+'MVWD Total '!B548:C548+'Upland Total'!B543:C543+'FWC Total'!B548:C548+'SAWC Total'!B547:C547+'CVWD Total'!B548:C548</f>
        <v>4</v>
      </c>
      <c r="C608" s="1422"/>
      <c r="D608" s="1431">
        <f t="shared" si="66"/>
        <v>839392.17599999998</v>
      </c>
      <c r="E608" s="1422"/>
      <c r="F608" s="1871">
        <f>0.644*B608</f>
        <v>2.5760000000000001</v>
      </c>
      <c r="G608" s="1450"/>
      <c r="H608" s="481">
        <f>F608*5</f>
        <v>12.88</v>
      </c>
      <c r="I608" s="131">
        <f>'Ontario Total'!I548+'Chino Total'!I548+'Chino Hills Total'!I548+'MVWD Total '!I548+'Upland Total'!I543+'FWC Total'!I548+'SAWC Total'!I547+'CVWD Total'!I548</f>
        <v>0</v>
      </c>
      <c r="J608" s="131">
        <f>'Ontario Total'!J548+'Chino Total'!J548+'Chino Hills Total'!J548+'MVWD Total '!J548+'Upland Total'!J543+'FWC Total'!J548+'SAWC Total'!J547+'CVWD Total'!J548</f>
        <v>0</v>
      </c>
      <c r="K608" s="131">
        <f>'Ontario Total'!K548+'Chino Total'!K548+'Chino Hills Total'!K548+'MVWD Total '!K548+'Upland Total'!K543+'FWC Total'!K548+'SAWC Total'!K547+'CVWD Total'!K548</f>
        <v>2500</v>
      </c>
      <c r="L608" s="131">
        <f>'Ontario Total'!L548+'Chino Total'!L548+'Chino Hills Total'!L548+'MVWD Total '!L548+'Upland Total'!L543+'FWC Total'!L548+'SAWC Total'!L547+'CVWD Total'!L548</f>
        <v>2500</v>
      </c>
      <c r="M608" s="1943">
        <f t="shared" si="67"/>
        <v>2.2728264506087537</v>
      </c>
      <c r="N608" s="1759"/>
    </row>
    <row r="609" spans="1:15">
      <c r="A609" s="34" t="s">
        <v>33</v>
      </c>
      <c r="B609" s="1444">
        <f>'Ontario Total'!B549:C549+'Chino Total'!B549:C549+'Chino Hills Total'!B549:C549+'MVWD Total '!B549:C549+'Upland Total'!B544:C544+'FWC Total'!B549:C549+'SAWC Total'!B548:C548+'CVWD Total'!B549:C549</f>
        <v>140</v>
      </c>
      <c r="C609" s="1422"/>
      <c r="D609" s="1431">
        <f t="shared" si="66"/>
        <v>1259088.264</v>
      </c>
      <c r="E609" s="1422"/>
      <c r="F609" s="1871">
        <f>0.0276*B609</f>
        <v>3.8639999999999999</v>
      </c>
      <c r="G609" s="1450"/>
      <c r="H609" s="481">
        <f>F609*15</f>
        <v>57.96</v>
      </c>
      <c r="I609" s="131">
        <f>'Ontario Total'!I549+'Chino Total'!I549+'Chino Hills Total'!I549+'MVWD Total '!I549+'Upland Total'!I544+'FWC Total'!I549+'SAWC Total'!I548+'CVWD Total'!I549</f>
        <v>0</v>
      </c>
      <c r="J609" s="131">
        <f>'Ontario Total'!J549+'Chino Total'!J549+'Chino Hills Total'!J549+'MVWD Total '!J549+'Upland Total'!J544+'FWC Total'!J549+'SAWC Total'!J548+'CVWD Total'!J549</f>
        <v>9800</v>
      </c>
      <c r="K609" s="131">
        <f>'Ontario Total'!K549+'Chino Total'!K549+'Chino Hills Total'!K549+'MVWD Total '!K549+'Upland Total'!K544+'FWC Total'!K549+'SAWC Total'!K548+'CVWD Total'!K549</f>
        <v>18200</v>
      </c>
      <c r="L609" s="131">
        <f>'Ontario Total'!L549+'Chino Total'!L549+'Chino Hills Total'!L549+'MVWD Total '!L549+'Upland Total'!L544+'FWC Total'!L549+'SAWC Total'!L548+'CVWD Total'!L549</f>
        <v>28000</v>
      </c>
      <c r="M609" s="1943">
        <f t="shared" si="67"/>
        <v>16.970437497878695</v>
      </c>
      <c r="N609" s="1759"/>
    </row>
    <row r="610" spans="1:15" s="91" customFormat="1" ht="16">
      <c r="A610" s="35" t="s">
        <v>15</v>
      </c>
      <c r="B610" s="1444">
        <f>'Ontario Total'!B550:C550+'Chino Total'!B550:C550+'Chino Hills Total'!B550:C550+'MVWD Total '!B550:C550+'Upland Total'!B545:C545+'FWC Total'!B550:C550+'SAWC Total'!B549:C549+'CVWD Total'!B550:C550</f>
        <v>1</v>
      </c>
      <c r="C610" s="1422"/>
      <c r="D610" s="1431">
        <f t="shared" si="66"/>
        <v>49985.543400000002</v>
      </c>
      <c r="E610" s="1422"/>
      <c r="F610" s="1871">
        <f>0.1534*B610</f>
        <v>0.15340000000000001</v>
      </c>
      <c r="G610" s="1450"/>
      <c r="H610" s="481">
        <f>F610*5</f>
        <v>0.76700000000000002</v>
      </c>
      <c r="I610" s="131">
        <f>'Ontario Total'!I550+'Chino Total'!I550+'Chino Hills Total'!I550+'MVWD Total '!I550+'Upland Total'!I545+'FWC Total'!I550+'SAWC Total'!I549+'CVWD Total'!I550</f>
        <v>0</v>
      </c>
      <c r="J610" s="131">
        <f>'Ontario Total'!J550+'Chino Total'!J550+'Chino Hills Total'!J550+'MVWD Total '!J550+'Upland Total'!J545+'FWC Total'!J550+'SAWC Total'!J549+'CVWD Total'!J550</f>
        <v>0</v>
      </c>
      <c r="K610" s="131">
        <f>'Ontario Total'!K550+'Chino Total'!K550+'Chino Hills Total'!K550+'MVWD Total '!K550+'Upland Total'!K545+'FWC Total'!K550+'SAWC Total'!K549+'CVWD Total'!K550</f>
        <v>150</v>
      </c>
      <c r="L610" s="131">
        <f>'Ontario Total'!L550+'Chino Total'!L550+'Chino Hills Total'!L550+'MVWD Total '!L550+'Upland Total'!L545+'FWC Total'!L550+'SAWC Total'!L549+'CVWD Total'!L550</f>
        <v>150</v>
      </c>
      <c r="M610" s="1943">
        <f t="shared" si="67"/>
        <v>2.2900134042117926</v>
      </c>
      <c r="N610" s="1759"/>
      <c r="O610" s="274"/>
    </row>
    <row r="611" spans="1:15" ht="14" thickBot="1">
      <c r="A611" s="35" t="s">
        <v>30</v>
      </c>
      <c r="B611" s="1444">
        <f>'Ontario Total'!B551:C551+'Chino Total'!B551:C551+'Chino Hills Total'!B551:C551+'MVWD Total '!B551:C551+'Upland Total'!B546:C546+'FWC Total'!B551:C551+'SAWC Total'!B550:C550+'CVWD Total'!B551:C551</f>
        <v>16</v>
      </c>
      <c r="C611" s="1422"/>
      <c r="D611" s="1431">
        <f t="shared" si="66"/>
        <v>1694425.2</v>
      </c>
      <c r="E611" s="1422"/>
      <c r="F611" s="1871">
        <f>0.325*B611</f>
        <v>5.2</v>
      </c>
      <c r="G611" s="1450"/>
      <c r="H611" s="481">
        <f>F611*10</f>
        <v>52</v>
      </c>
      <c r="I611" s="131">
        <f>'Ontario Total'!I551+'Chino Total'!I551+'Chino Hills Total'!I551+'MVWD Total '!I551+'Upland Total'!I546+'FWC Total'!I551+'SAWC Total'!I550+'CVWD Total'!I551</f>
        <v>0</v>
      </c>
      <c r="J611" s="131">
        <f>'Ontario Total'!J551+'Chino Total'!J551+'Chino Hills Total'!J551+'MVWD Total '!J551+'Upland Total'!J546+'FWC Total'!J551+'SAWC Total'!J550+'CVWD Total'!J551</f>
        <v>0</v>
      </c>
      <c r="K611" s="131">
        <f>'Ontario Total'!K551+'Chino Total'!K551+'Chino Hills Total'!K551+'MVWD Total '!K551+'Upland Total'!K546+'FWC Total'!K551+'SAWC Total'!K550+'CVWD Total'!K551</f>
        <v>10080</v>
      </c>
      <c r="L611" s="131">
        <f>'Ontario Total'!L551+'Chino Total'!L551+'Chino Hills Total'!L551+'MVWD Total '!L551+'Upland Total'!L546+'FWC Total'!L551+'SAWC Total'!L550+'CVWD Total'!L551</f>
        <v>10080</v>
      </c>
      <c r="M611" s="1943">
        <f t="shared" si="67"/>
        <v>4.5397225725094579</v>
      </c>
      <c r="N611" s="1759"/>
    </row>
    <row r="612" spans="1:15" ht="14" thickBot="1">
      <c r="A612" s="53" t="s">
        <v>60</v>
      </c>
      <c r="B612" s="1440">
        <f>SUM(B604:C611)</f>
        <v>642</v>
      </c>
      <c r="C612" s="1621"/>
      <c r="D612" s="1441">
        <f>SUM(D604:E611)</f>
        <v>12464941.228499999</v>
      </c>
      <c r="E612" s="1621"/>
      <c r="F612" s="1441">
        <f>SUM(F604:G611)</f>
        <v>38.253500000000003</v>
      </c>
      <c r="G612" s="1439"/>
      <c r="H612" s="466">
        <f>SUM(H604:H611)</f>
        <v>652.80900000000008</v>
      </c>
      <c r="I612" s="143">
        <f>SUM(I604:I611)</f>
        <v>0</v>
      </c>
      <c r="J612" s="136">
        <f>SUM(J604:J611)</f>
        <v>15590</v>
      </c>
      <c r="K612" s="136">
        <f>SUM(K604:K611)</f>
        <v>121600</v>
      </c>
      <c r="L612" s="136">
        <f>SUM(L604:L611)</f>
        <v>137190</v>
      </c>
      <c r="M612" s="1856"/>
      <c r="N612" s="1622"/>
    </row>
    <row r="613" spans="1:15" s="1168" customFormat="1" ht="17" thickBot="1">
      <c r="A613" s="1183" t="s">
        <v>17</v>
      </c>
      <c r="B613" s="1665">
        <f>SUM(B612,B599,B602)</f>
        <v>12944</v>
      </c>
      <c r="C613" s="1664"/>
      <c r="D613" s="1665">
        <f>D599+D602+D612</f>
        <v>191739852.22800002</v>
      </c>
      <c r="E613" s="1664"/>
      <c r="F613" s="1665">
        <f>SUM(F612,F602,F599)</f>
        <v>588.428</v>
      </c>
      <c r="G613" s="1664"/>
      <c r="H613" s="1184">
        <f>SUM(H612,H599,H602)</f>
        <v>10266.141</v>
      </c>
      <c r="I613" s="1185">
        <f>I599+I602+I612</f>
        <v>673847.92</v>
      </c>
      <c r="J613" s="1185">
        <f>SUM(J599,J602,J612)</f>
        <v>348514.07999999996</v>
      </c>
      <c r="K613" s="1185">
        <f>SUM(K599,K602,K612)</f>
        <v>928562</v>
      </c>
      <c r="L613" s="1185">
        <f>SUM(L599,L602,L612)</f>
        <v>1950924</v>
      </c>
      <c r="M613" s="2249"/>
      <c r="N613" s="1669"/>
      <c r="O613" s="121"/>
    </row>
    <row r="615" spans="1:15" ht="15">
      <c r="A615" s="9" t="s">
        <v>18</v>
      </c>
      <c r="B615" s="1695" t="s">
        <v>59</v>
      </c>
      <c r="C615" s="1566"/>
      <c r="D615" s="1566"/>
      <c r="E615" s="1821"/>
    </row>
    <row r="616" spans="1:15">
      <c r="B616" s="1420" t="s">
        <v>19</v>
      </c>
      <c r="C616" s="1420"/>
      <c r="D616" s="1420"/>
      <c r="E616" s="1420"/>
    </row>
    <row r="617" spans="1:15">
      <c r="B617" s="820"/>
      <c r="C617" s="820"/>
      <c r="D617" s="820"/>
      <c r="E617" s="820"/>
    </row>
    <row r="618" spans="1:15" ht="14" thickBot="1">
      <c r="B618" s="820"/>
      <c r="C618" s="820"/>
      <c r="D618" s="820"/>
      <c r="E618" s="820"/>
    </row>
    <row r="619" spans="1:15" ht="16">
      <c r="A619" s="98"/>
      <c r="B619" s="99"/>
      <c r="C619" s="99"/>
      <c r="D619" s="99"/>
      <c r="E619" s="99"/>
      <c r="F619" s="421"/>
      <c r="G619" s="421"/>
      <c r="H619" s="421"/>
      <c r="I619" s="1468" t="s">
        <v>0</v>
      </c>
      <c r="J619" s="1468"/>
      <c r="K619" s="1468"/>
      <c r="L619" s="1468"/>
      <c r="M619" s="99"/>
      <c r="N619" s="101"/>
    </row>
    <row r="620" spans="1:15" s="91" customFormat="1" ht="16">
      <c r="A620" s="97"/>
      <c r="B620" s="1469" t="s">
        <v>1</v>
      </c>
      <c r="C620" s="1469"/>
      <c r="D620" s="1469" t="s">
        <v>2</v>
      </c>
      <c r="E620" s="1469"/>
      <c r="F620" s="1863" t="s">
        <v>3</v>
      </c>
      <c r="G620" s="1863"/>
      <c r="H620" s="430" t="s">
        <v>3</v>
      </c>
      <c r="I620" s="127" t="s">
        <v>195</v>
      </c>
      <c r="J620" s="102"/>
      <c r="K620" s="102"/>
      <c r="L620" s="128"/>
      <c r="M620" s="1469" t="s">
        <v>4</v>
      </c>
      <c r="N620" s="1526"/>
      <c r="O620" s="274"/>
    </row>
    <row r="621" spans="1:15" ht="19" thickBot="1">
      <c r="A621" s="103" t="s">
        <v>5</v>
      </c>
      <c r="B621" s="1473" t="s">
        <v>6</v>
      </c>
      <c r="C621" s="1473"/>
      <c r="D621" s="1473" t="s">
        <v>7</v>
      </c>
      <c r="E621" s="1473"/>
      <c r="F621" s="1864" t="s">
        <v>7</v>
      </c>
      <c r="G621" s="1864"/>
      <c r="H621" s="431" t="s">
        <v>58</v>
      </c>
      <c r="I621" s="398" t="s">
        <v>196</v>
      </c>
      <c r="J621" s="397" t="s">
        <v>8</v>
      </c>
      <c r="K621" s="397" t="s">
        <v>9</v>
      </c>
      <c r="L621" s="401" t="s">
        <v>10</v>
      </c>
      <c r="M621" s="1473" t="s">
        <v>145</v>
      </c>
      <c r="N621" s="1475"/>
    </row>
    <row r="622" spans="1:15" ht="24" thickBot="1">
      <c r="A622" s="88" t="s">
        <v>134</v>
      </c>
      <c r="B622" s="1751"/>
      <c r="C622" s="1477"/>
      <c r="D622" s="1478"/>
      <c r="E622" s="1479"/>
      <c r="F622" s="1878"/>
      <c r="G622" s="1879"/>
      <c r="H622" s="435"/>
      <c r="I622" s="7"/>
      <c r="J622" s="7"/>
      <c r="K622" s="7"/>
      <c r="L622" s="373"/>
      <c r="M622" s="1751"/>
      <c r="N622" s="1765"/>
    </row>
    <row r="623" spans="1:15" s="1168" customFormat="1" ht="17" thickBot="1">
      <c r="A623" s="108" t="s">
        <v>61</v>
      </c>
      <c r="B623" s="1457"/>
      <c r="C623" s="1586"/>
      <c r="D623" s="1567"/>
      <c r="E623" s="1586"/>
      <c r="F623" s="1619"/>
      <c r="G623" s="1620"/>
      <c r="H623" s="1158"/>
      <c r="I623" s="109"/>
      <c r="J623" s="109"/>
      <c r="K623" s="109"/>
      <c r="L623" s="1142"/>
      <c r="M623" s="1485"/>
      <c r="N623" s="1486"/>
      <c r="O623" s="121"/>
    </row>
    <row r="624" spans="1:15">
      <c r="A624" s="32" t="s">
        <v>62</v>
      </c>
      <c r="B624" s="1444">
        <f>'Ontario Total'!B563:C563+'Chino Total'!B563:C563+'Chino Hills Total'!B563:C563+'MVWD Total '!B563:C563+'Upland Total'!B557:C557+'FWC Total'!B563:C563+'SAWC Total'!B562:C562+'CVWD Total'!B563:C563</f>
        <v>1640</v>
      </c>
      <c r="C624" s="1743"/>
      <c r="D624" s="1431">
        <f>F624*325851</f>
        <v>20253594.756000001</v>
      </c>
      <c r="E624" s="1422"/>
      <c r="F624" s="1431">
        <f>0.0379*B624</f>
        <v>62.156000000000006</v>
      </c>
      <c r="G624" s="1422"/>
      <c r="H624" s="633">
        <f>F624*20</f>
        <v>1243.1200000000001</v>
      </c>
      <c r="I624" s="131">
        <f>'Ontario Total'!I563+'Chino Total'!I563+'Chino Hills Total'!I563+'MVWD Total '!I563+'Upland Total'!I557+'FWC Total'!I563+'SAWC Total'!I562+'CVWD Total'!I563</f>
        <v>0</v>
      </c>
      <c r="J624" s="131">
        <f>'Ontario Total'!J563+'Chino Total'!J563+'Chino Hills Total'!J563+'MVWD Total '!J563+'Upland Total'!J557+'FWC Total'!J563+'SAWC Total'!J562+'CVWD Total'!J563</f>
        <v>10660</v>
      </c>
      <c r="K624" s="131">
        <f>'Ontario Total'!K563+'Chino Total'!K563+'Chino Hills Total'!K563+'MVWD Total '!K563+'Upland Total'!K557+'FWC Total'!K563+'SAWC Total'!K562+'CVWD Total'!K563</f>
        <v>98400</v>
      </c>
      <c r="L624" s="131">
        <f>'Ontario Total'!L563+'Chino Total'!L563+'Chino Hills Total'!L563+'MVWD Total '!L563+'Upland Total'!L557+'FWC Total'!L563+'SAWC Total'!L562+'CVWD Total'!L563</f>
        <v>109060</v>
      </c>
      <c r="M624" s="1943">
        <f>L624/(F624*427)</f>
        <v>4.1091742722436093</v>
      </c>
      <c r="N624" s="1759"/>
    </row>
    <row r="625" spans="1:15">
      <c r="A625" s="32" t="s">
        <v>63</v>
      </c>
      <c r="B625" s="1444">
        <f>'Ontario Total'!B564:C564+'Chino Total'!B564:C564+'Chino Hills Total'!B564:C564+'MVWD Total '!B564:C564+'Upland Total'!B558:C558+'FWC Total'!B564:C564+'SAWC Total'!B563:C563+'CVWD Total'!B564:C564</f>
        <v>0</v>
      </c>
      <c r="C625" s="1743"/>
      <c r="D625" s="1431">
        <f>F625*325851</f>
        <v>0</v>
      </c>
      <c r="E625" s="1422"/>
      <c r="F625" s="1431">
        <f>0.0379*B625</f>
        <v>0</v>
      </c>
      <c r="G625" s="1422"/>
      <c r="H625" s="633">
        <f>F625*20</f>
        <v>0</v>
      </c>
      <c r="I625" s="131">
        <f>'Ontario Total'!I564+'Chino Total'!I564+'Chino Hills Total'!I564+'MVWD Total '!I564+'Upland Total'!I558+'FWC Total'!I564+'SAWC Total'!I563+'CVWD Total'!I564</f>
        <v>0</v>
      </c>
      <c r="J625" s="131">
        <f>'Ontario Total'!J564+'Chino Total'!J563+'Chino Hills Total'!J564+'MVWD Total '!J564+'Upland Total'!J558+'FWC Total'!J564+'SAWC Total'!J563+'CVWD Total'!J564</f>
        <v>0</v>
      </c>
      <c r="K625" s="131">
        <f>'Ontario Total'!K564+'Chino Total'!K564+'Chino Hills Total'!K564+'MVWD Total '!K564+'Upland Total'!K558+'FWC Total'!K564+'SAWC Total'!K563+'CVWD Total'!K564</f>
        <v>0</v>
      </c>
      <c r="L625" s="131">
        <f>'Ontario Total'!L564+'Chino Total'!L564+'Chino Hills Total'!L564+'MVWD Total '!L564+'Upland Total'!L558+'FWC Total'!L564+'SAWC Total'!L563+'CVWD Total'!L564</f>
        <v>0</v>
      </c>
      <c r="M625" s="1943">
        <v>0</v>
      </c>
      <c r="N625" s="1759"/>
    </row>
    <row r="626" spans="1:15" s="91" customFormat="1" ht="16">
      <c r="A626" s="32" t="s">
        <v>64</v>
      </c>
      <c r="B626" s="1444">
        <f>'Ontario Total'!B565:C565+'Chino Total'!B565:C565+'Chino Hills Total'!B565:C565+'MVWD Total '!B565:C565+'Upland Total'!B559:C559+'FWC Total'!B565:C565+'SAWC Total'!B564:C564+'CVWD Total'!B565:C565</f>
        <v>531</v>
      </c>
      <c r="C626" s="1743"/>
      <c r="D626" s="1431">
        <f>F626*325851</f>
        <v>6557718.7899000002</v>
      </c>
      <c r="E626" s="1422"/>
      <c r="F626" s="1431">
        <f>0.0379*B626</f>
        <v>20.1249</v>
      </c>
      <c r="G626" s="1422"/>
      <c r="H626" s="633">
        <f>F626*20</f>
        <v>402.49799999999999</v>
      </c>
      <c r="I626" s="131">
        <f>'Ontario Total'!I565+'Chino Total'!I565+'Chino Hills Total'!I565+'MVWD Total '!I565+'Upland Total'!I559+'FWC Total'!I565+'SAWC Total'!I564+'CVWD Total'!I565</f>
        <v>0</v>
      </c>
      <c r="J626" s="131">
        <f>'Ontario Total'!J565+'Chino Total'!J564+'Chino Hills Total'!J565+'MVWD Total '!J565+'Upland Total'!J559+'FWC Total'!J565+'SAWC Total'!J564+'CVWD Total'!J565</f>
        <v>563</v>
      </c>
      <c r="K626" s="131">
        <f>'Ontario Total'!K565+'Chino Total'!K565+'Chino Hills Total'!K565+'MVWD Total '!K565+'Upland Total'!K559+'FWC Total'!K565+'SAWC Total'!K564+'CVWD Total'!K565</f>
        <v>32580</v>
      </c>
      <c r="L626" s="131">
        <f>'Ontario Total'!L565+'Chino Total'!L565+'Chino Hills Total'!L565+'MVWD Total '!L565+'Upland Total'!L559+'FWC Total'!L565+'SAWC Total'!L564+'CVWD Total'!L565</f>
        <v>33176</v>
      </c>
      <c r="M626" s="1943">
        <f>L626/(F626*427)</f>
        <v>3.8606676481020057</v>
      </c>
      <c r="N626" s="1759"/>
      <c r="O626" s="274"/>
    </row>
    <row r="627" spans="1:15" ht="14" thickBot="1">
      <c r="A627" s="34" t="s">
        <v>13</v>
      </c>
      <c r="B627" s="1444">
        <f>'Ontario Total'!B566:C566+'Chino Total'!B566:C566+'Chino Hills Total'!B566:C566+'MVWD Total '!B566:C566+'Upland Total'!B560:C560+'FWC Total'!B566:C566+'SAWC Total'!B565:C565+'CVWD Total'!B566:C566</f>
        <v>1365</v>
      </c>
      <c r="C627" s="1743"/>
      <c r="D627" s="1431">
        <f>F627*325851</f>
        <v>12276110.573999999</v>
      </c>
      <c r="E627" s="1422"/>
      <c r="F627" s="1431">
        <f>0.0276*B627</f>
        <v>37.673999999999999</v>
      </c>
      <c r="G627" s="1422"/>
      <c r="H627" s="633">
        <f>F627*15</f>
        <v>565.11</v>
      </c>
      <c r="I627" s="131">
        <f>'Ontario Total'!I566+'Chino Total'!I566+'Chino Hills Total'!I566+'MVWD Total '!I566+'Upland Total'!I560+'FWC Total'!I566+'SAWC Total'!I565+'CVWD Total'!I566</f>
        <v>0</v>
      </c>
      <c r="J627" s="131">
        <f>'Ontario Total'!J566+'Chino Total'!J565+'Chino Hills Total'!J566+'MVWD Total '!J566+'Upland Total'!J560+'FWC Total'!J566+'SAWC Total'!J565+'CVWD Total'!J566</f>
        <v>1186</v>
      </c>
      <c r="K627" s="131">
        <f>'Ontario Total'!K566+'Chino Total'!K566+'Chino Hills Total'!K566+'MVWD Total '!K566+'Upland Total'!K560+'FWC Total'!K566+'SAWC Total'!K565+'CVWD Total'!K566</f>
        <v>140910</v>
      </c>
      <c r="L627" s="131">
        <f>'Ontario Total'!L566+'Chino Total'!L566+'Chino Hills Total'!L566+'MVWD Total '!L566+'Upland Total'!L560+'FWC Total'!L566+'SAWC Total'!L565+'CVWD Total'!L566</f>
        <v>142191</v>
      </c>
      <c r="M627" s="1943">
        <f>L627/(F627*427)</f>
        <v>8.8389870998566646</v>
      </c>
      <c r="N627" s="1759"/>
    </row>
    <row r="628" spans="1:15" ht="14" thickBot="1">
      <c r="A628" s="53" t="s">
        <v>60</v>
      </c>
      <c r="B628" s="1438">
        <f>SUM(B624:C627)</f>
        <v>3536</v>
      </c>
      <c r="C628" s="1609"/>
      <c r="D628" s="1441">
        <f>SUM(D624:E627)</f>
        <v>39087424.119900003</v>
      </c>
      <c r="E628" s="1609"/>
      <c r="F628" s="1440">
        <f>SUM(F624:G627)</f>
        <v>119.95490000000001</v>
      </c>
      <c r="G628" s="1439"/>
      <c r="H628" s="610">
        <f>SUM(H624:H627)</f>
        <v>2210.7280000000001</v>
      </c>
      <c r="I628" s="143">
        <f>SUM(I624:I627)</f>
        <v>0</v>
      </c>
      <c r="J628" s="136">
        <f>SUM(J624:J627)</f>
        <v>12409</v>
      </c>
      <c r="K628" s="136">
        <f>SUM(K624:K627)</f>
        <v>271890</v>
      </c>
      <c r="L628" s="136">
        <f>SUM(L624:L627)</f>
        <v>284427</v>
      </c>
      <c r="M628" s="1856"/>
      <c r="N628" s="1622"/>
    </row>
    <row r="629" spans="1:15" s="1161" customFormat="1" ht="17" thickBot="1">
      <c r="A629" s="108" t="s">
        <v>49</v>
      </c>
      <c r="B629" s="1456"/>
      <c r="C629" s="1586"/>
      <c r="D629" s="1567"/>
      <c r="E629" s="1586"/>
      <c r="F629" s="1457"/>
      <c r="G629" s="1586"/>
      <c r="H629" s="1141"/>
      <c r="I629" s="161"/>
      <c r="J629" s="161"/>
      <c r="K629" s="161"/>
      <c r="L629" s="374"/>
      <c r="M629" s="1485"/>
      <c r="N629" s="1486"/>
      <c r="O629" s="274"/>
    </row>
    <row r="630" spans="1:15" ht="14" thickBot="1">
      <c r="A630" s="34" t="s">
        <v>11</v>
      </c>
      <c r="B630" s="2000">
        <f>'Ontario Total'!B569:C569+'Chino Total'!B569:C569+'Chino Hills Total'!B569:C569+'MVWD Total '!B569:C569+'Upland Total'!B563:C563+'FWC Total'!B569:C569+'SAWC Total'!B568:C568+'CVWD Total'!B569:C569</f>
        <v>6000</v>
      </c>
      <c r="C630" s="1743"/>
      <c r="D630" s="1431">
        <f>F630*325851</f>
        <v>74098517.400000006</v>
      </c>
      <c r="E630" s="1422"/>
      <c r="F630" s="1444">
        <f>0.0379*B630</f>
        <v>227.4</v>
      </c>
      <c r="G630" s="1422"/>
      <c r="H630" s="633">
        <f>F630*20</f>
        <v>4548</v>
      </c>
      <c r="I630" s="131">
        <f>'Ontario Total'!I569+'Chino Total'!I568+'Chino Hills Total'!I569+'MVWD Total '!I569+'Upland Total'!I563+'FWC Total'!I569+'SAWC Total'!I568+'CVWD Total'!I569</f>
        <v>0</v>
      </c>
      <c r="J630" s="131">
        <f>'Ontario Total'!J569+'Chino Total'!J568+'Chino Hills Total'!J569+'MVWD Total '!J569+'Upland Total'!J563+'FWC Total'!J569+'SAWC Total'!J568+'CVWD Total'!J569</f>
        <v>495004</v>
      </c>
      <c r="K630" s="131">
        <f>'Ontario Total'!K569+'Chino Total'!K568+'Chino Hills Total'!K569+'MVWD Total '!K569+'Upland Total'!K563+'FWC Total'!K569+'SAWC Total'!K568+'CVWD Total'!K569</f>
        <v>287160</v>
      </c>
      <c r="L630" s="169">
        <f>'Ontario Total'!L569+'Chino Total'!L568+'Chino Hills Total'!L569+'MVWD Total '!L569+'Upland Total'!L563+'FWC Total'!L569+'SAWC Total'!L568+'CVWD Total'!L569</f>
        <v>782164</v>
      </c>
      <c r="M630" s="1943">
        <f>L630/(F630*427)</f>
        <v>8.0552586102134089</v>
      </c>
      <c r="N630" s="1759"/>
    </row>
    <row r="631" spans="1:15" ht="14" thickBot="1">
      <c r="A631" s="53" t="s">
        <v>60</v>
      </c>
      <c r="B631" s="1438">
        <f>SUM(B630)</f>
        <v>6000</v>
      </c>
      <c r="C631" s="1609"/>
      <c r="D631" s="1441">
        <f>SUM(D630)</f>
        <v>74098517.400000006</v>
      </c>
      <c r="E631" s="1609"/>
      <c r="F631" s="1440">
        <f>SUM(F630)</f>
        <v>227.4</v>
      </c>
      <c r="G631" s="1439"/>
      <c r="H631" s="610">
        <f t="shared" ref="H631:M631" si="68">SUM(H630)</f>
        <v>4548</v>
      </c>
      <c r="I631" s="143">
        <f t="shared" si="68"/>
        <v>0</v>
      </c>
      <c r="J631" s="136">
        <f t="shared" si="68"/>
        <v>495004</v>
      </c>
      <c r="K631" s="136">
        <f t="shared" si="68"/>
        <v>287160</v>
      </c>
      <c r="L631" s="136">
        <f t="shared" si="68"/>
        <v>782164</v>
      </c>
      <c r="M631" s="1856">
        <f t="shared" si="68"/>
        <v>8.0552586102134089</v>
      </c>
      <c r="N631" s="1622"/>
    </row>
    <row r="632" spans="1:15" s="1168" customFormat="1" ht="17" thickBot="1">
      <c r="A632" s="108" t="s">
        <v>50</v>
      </c>
      <c r="B632" s="1456"/>
      <c r="C632" s="1586"/>
      <c r="D632" s="1567"/>
      <c r="E632" s="1586"/>
      <c r="F632" s="1457"/>
      <c r="G632" s="1586"/>
      <c r="H632" s="1141"/>
      <c r="I632" s="161"/>
      <c r="J632" s="161"/>
      <c r="K632" s="161"/>
      <c r="L632" s="374"/>
      <c r="M632" s="1485"/>
      <c r="N632" s="1486"/>
      <c r="O632" s="121"/>
    </row>
    <row r="633" spans="1:15">
      <c r="A633" s="34" t="s">
        <v>66</v>
      </c>
      <c r="B633" s="2000">
        <f>'Ontario Total'!B572:C572+'Chino Total'!B572:C572+'Chino Hills Total'!B572:C572+'MVWD Total '!B572:C572+'Upland Total'!B566:C566+'FWC Total'!B572:C572+'SAWC Total'!B571:C571+'CVWD Total'!B572:C572</f>
        <v>1133</v>
      </c>
      <c r="C633" s="1743"/>
      <c r="D633" s="1431">
        <f t="shared" ref="D633:D638" si="69">F633*325851</f>
        <v>13992270.035700003</v>
      </c>
      <c r="E633" s="1422"/>
      <c r="F633" s="1444">
        <f>0.0379*B633</f>
        <v>42.940700000000007</v>
      </c>
      <c r="G633" s="1422"/>
      <c r="H633" s="633">
        <f>F633*20</f>
        <v>858.81400000000008</v>
      </c>
      <c r="I633" s="131">
        <f>'Ontario Total'!I572+'Chino Total'!I572+'Chino Hills Total'!I572+'MVWD Total '!I572+'Upland Total'!I566+'FWC Total'!I572+'SAWC Total'!I571+'CVWD Total'!I572</f>
        <v>0</v>
      </c>
      <c r="J633" s="131">
        <f>'Ontario Total'!J572+'Chino Total'!J572+'Chino Hills Total'!J572+'MVWD Total '!J572+'Upland Total'!J566+'FWC Total'!J572+'SAWC Total'!J571+'CVWD Total'!J572</f>
        <v>914</v>
      </c>
      <c r="K633" s="131">
        <f>'Ontario Total'!K572+'Chino Total'!K572+'Chino Hills Total'!K572+'MVWD Total '!K572+'Upland Total'!K566+'FWC Total'!K572+'SAWC Total'!K571+'CVWD Total'!K572</f>
        <v>67980</v>
      </c>
      <c r="L633" s="131">
        <f>'Ontario Total'!L572+'Chino Total'!L572+'Chino Hills Total'!L572+'MVWD Total '!L572+'Upland Total'!L566+'FWC Total'!L572+'SAWC Total'!L571+'CVWD Total'!L572</f>
        <v>58036</v>
      </c>
      <c r="M633" s="1943">
        <f>L633/(F633*427)</f>
        <v>3.1651950449459489</v>
      </c>
      <c r="N633" s="1759"/>
    </row>
    <row r="634" spans="1:15">
      <c r="A634" s="34" t="s">
        <v>20</v>
      </c>
      <c r="B634" s="2000">
        <f>'Ontario Total'!B573:C573+'Chino Total'!B573:C573+'Chino Hills Total'!B573:C573+'MVWD Total '!B573:C573+'Upland Total'!B567:C567+'FWC Total'!B573:C573+'SAWC Total'!B572:C572+'CVWD Total'!B573:C573</f>
        <v>0</v>
      </c>
      <c r="C634" s="1743"/>
      <c r="D634" s="1431">
        <f t="shared" si="69"/>
        <v>0</v>
      </c>
      <c r="E634" s="1422"/>
      <c r="F634" s="1444">
        <f>0.644*B634</f>
        <v>0</v>
      </c>
      <c r="G634" s="1422"/>
      <c r="H634" s="633">
        <f>F634*5</f>
        <v>0</v>
      </c>
      <c r="I634" s="131">
        <f>'Ontario Total'!I573+'Chino Total'!I573+'Chino Hills Total'!I573+'MVWD Total '!I573+'Upland Total'!I567+'FWC Total'!I573+'SAWC Total'!I572+'CVWD Total'!I573</f>
        <v>0</v>
      </c>
      <c r="J634" s="131">
        <f>'Ontario Total'!J573+'Chino Total'!J573+'Chino Hills Total'!J573+'MVWD Total '!J573+'Upland Total'!J567+'FWC Total'!J573+'SAWC Total'!J572+'CVWD Total'!J573</f>
        <v>0</v>
      </c>
      <c r="K634" s="131">
        <f>'Ontario Total'!K573+'Chino Total'!K573+'Chino Hills Total'!K573+'MVWD Total '!K573+'Upland Total'!K567+'FWC Total'!K573+'SAWC Total'!K572+'CVWD Total'!K573</f>
        <v>0</v>
      </c>
      <c r="L634" s="131">
        <f>'Ontario Total'!L573+'Chino Total'!L573+'Chino Hills Total'!L573+'MVWD Total '!L573+'Upland Total'!L567+'FWC Total'!L573+'SAWC Total'!L572+'CVWD Total'!L573</f>
        <v>0</v>
      </c>
      <c r="M634" s="1943">
        <v>0</v>
      </c>
      <c r="N634" s="1759"/>
    </row>
    <row r="635" spans="1:15">
      <c r="A635" s="34" t="s">
        <v>13</v>
      </c>
      <c r="B635" s="2000">
        <f>'Ontario Total'!B574:C574+'Chino Total'!B574:C574+'Chino Hills Total'!B574:C574+'MVWD Total '!B574:C574+'Upland Total'!B568:C568+'FWC Total'!B574:C574+'SAWC Total'!B573:C573+'CVWD Total'!B574:C574</f>
        <v>83</v>
      </c>
      <c r="C635" s="1743"/>
      <c r="D635" s="1431">
        <f t="shared" si="69"/>
        <v>746459.47080000001</v>
      </c>
      <c r="E635" s="1422"/>
      <c r="F635" s="1444">
        <f>0.0276*B635</f>
        <v>2.2907999999999999</v>
      </c>
      <c r="G635" s="1422"/>
      <c r="H635" s="633">
        <f>F635*15</f>
        <v>34.362000000000002</v>
      </c>
      <c r="I635" s="131">
        <f>'Ontario Total'!I574+'Chino Total'!I574+'Chino Hills Total'!I574+'MVWD Total '!I574+'Upland Total'!I568+'FWC Total'!I574+'SAWC Total'!I573+'CVWD Total'!I574</f>
        <v>0</v>
      </c>
      <c r="J635" s="131">
        <f>'Ontario Total'!J574+'Chino Total'!J574+'Chino Hills Total'!J574+'MVWD Total '!J574+'Upland Total'!J568+'FWC Total'!J574+'SAWC Total'!J573+'CVWD Total'!J574</f>
        <v>0</v>
      </c>
      <c r="K635" s="131">
        <f>'Ontario Total'!K574+'Chino Total'!K574+'Chino Hills Total'!K574+'MVWD Total '!K574+'Upland Total'!K568+'FWC Total'!K574+'SAWC Total'!K573+'CVWD Total'!K574</f>
        <v>20750</v>
      </c>
      <c r="L635" s="131">
        <f>'Ontario Total'!L574+'Chino Total'!L574+'Chino Hills Total'!L574+'MVWD Total '!L574+'Upland Total'!L568+'FWC Total'!L574+'SAWC Total'!L573+'CVWD Total'!L574</f>
        <v>20750</v>
      </c>
      <c r="M635" s="1943">
        <f>L635/(F635*427)</f>
        <v>21.213046872348368</v>
      </c>
      <c r="N635" s="1759"/>
    </row>
    <row r="636" spans="1:15">
      <c r="A636" s="35" t="s">
        <v>15</v>
      </c>
      <c r="B636" s="2000">
        <f>'Ontario Total'!B575:C575+'Chino Total'!B575:C575+'Chino Hills Total'!B575:C575+'MVWD Total '!B575:C575+'Upland Total'!B569:C569+'FWC Total'!B575:C575+'SAWC Total'!B574:C574+'CVWD Total'!B575:C575</f>
        <v>3</v>
      </c>
      <c r="C636" s="1743"/>
      <c r="D636" s="1431">
        <f t="shared" si="69"/>
        <v>149956.63020000001</v>
      </c>
      <c r="E636" s="1422"/>
      <c r="F636" s="1449">
        <f>0.1534*B636</f>
        <v>0.46020000000000005</v>
      </c>
      <c r="G636" s="1450"/>
      <c r="H636" s="633">
        <f>F636*5</f>
        <v>2.3010000000000002</v>
      </c>
      <c r="I636" s="131">
        <f>'Ontario Total'!I575+'Chino Total'!I575+'Chino Hills Total'!I575+'MVWD Total '!I575+'Upland Total'!I569+'FWC Total'!I575+'SAWC Total'!I574+'CVWD Total'!I575</f>
        <v>0</v>
      </c>
      <c r="J636" s="131">
        <f>'Ontario Total'!J575+'Chino Total'!J575+'Chino Hills Total'!J575+'MVWD Total '!J575+'Upland Total'!J569+'FWC Total'!J575+'SAWC Total'!J574+'CVWD Total'!J575</f>
        <v>0</v>
      </c>
      <c r="K636" s="131">
        <f>'Ontario Total'!K575+'Chino Total'!K575+'Chino Hills Total'!K575+'MVWD Total '!K575+'Upland Total'!K569+'FWC Total'!K575+'SAWC Total'!K574+'CVWD Total'!K575</f>
        <v>300</v>
      </c>
      <c r="L636" s="131">
        <f>'Ontario Total'!L575+'Chino Total'!L575+'Chino Hills Total'!L575+'MVWD Total '!L575+'Upland Total'!L569+'FWC Total'!L575+'SAWC Total'!L574+'CVWD Total'!L575</f>
        <v>300</v>
      </c>
      <c r="M636" s="1943">
        <f>L636/(F636*427)</f>
        <v>1.5266756028078616</v>
      </c>
      <c r="N636" s="1759"/>
    </row>
    <row r="637" spans="1:15" s="91" customFormat="1" ht="16">
      <c r="A637" s="35" t="s">
        <v>16</v>
      </c>
      <c r="B637" s="2000">
        <f>'Ontario Total'!B576:C576+'Chino Total'!B576:C576+'Chino Hills Total'!B576:C576+'MVWD Total '!B576:C576+'Upland Total'!B570:C570+'FWC Total'!B576:C576+'SAWC Total'!B575:C575+'CVWD Total'!B576:C576</f>
        <v>0</v>
      </c>
      <c r="C637" s="1743"/>
      <c r="D637" s="1431">
        <f t="shared" si="69"/>
        <v>0</v>
      </c>
      <c r="E637" s="1422"/>
      <c r="F637" s="1444">
        <f>0.153*B637</f>
        <v>0</v>
      </c>
      <c r="G637" s="1422"/>
      <c r="H637" s="633">
        <f>F637*5</f>
        <v>0</v>
      </c>
      <c r="I637" s="131">
        <f>'Ontario Total'!I576+'Chino Total'!I576+'Chino Hills Total'!I576+'MVWD Total '!I576+'Upland Total'!I570+'FWC Total'!I576+'SAWC Total'!I575+'CVWD Total'!I576</f>
        <v>0</v>
      </c>
      <c r="J637" s="131">
        <f>'Ontario Total'!J576+'Chino Total'!J576+'Chino Hills Total'!J576+'MVWD Total '!J576+'Upland Total'!J570+'FWC Total'!J576+'SAWC Total'!J575+'CVWD Total'!J576</f>
        <v>0</v>
      </c>
      <c r="K637" s="131">
        <f>'Ontario Total'!K576+'Chino Total'!K576+'Chino Hills Total'!K576+'MVWD Total '!K576+'Upland Total'!K570+'FWC Total'!K576+'SAWC Total'!K575+'CVWD Total'!K576</f>
        <v>0</v>
      </c>
      <c r="L637" s="131">
        <f>'Ontario Total'!L576+'Chino Total'!L576+'Chino Hills Total'!L576+'MVWD Total '!L576+'Upland Total'!L570+'FWC Total'!L576+'SAWC Total'!L575+'CVWD Total'!L576</f>
        <v>0</v>
      </c>
      <c r="M637" s="1943">
        <v>0</v>
      </c>
      <c r="N637" s="1759"/>
      <c r="O637" s="274"/>
    </row>
    <row r="638" spans="1:15" ht="14" thickBot="1">
      <c r="A638" s="35" t="s">
        <v>30</v>
      </c>
      <c r="B638" s="2000">
        <f>'Ontario Total'!B577:C577+'Chino Total'!B577:C577+'Chino Hills Total'!B577:C577+'MVWD Total '!B577:C577+'Upland Total'!B571:C571+'FWC Total'!B577:C577+'SAWC Total'!B576:C576+'CVWD Total'!B577:C577</f>
        <v>22</v>
      </c>
      <c r="C638" s="1743"/>
      <c r="D638" s="1431">
        <f t="shared" si="69"/>
        <v>2329834.65</v>
      </c>
      <c r="E638" s="1422"/>
      <c r="F638" s="1444">
        <f>0.325*B638</f>
        <v>7.15</v>
      </c>
      <c r="G638" s="1422"/>
      <c r="H638" s="633">
        <f>F638*15</f>
        <v>107.25</v>
      </c>
      <c r="I638" s="131">
        <f>'Ontario Total'!I577+'Chino Total'!I577+'Chino Hills Total'!I577+'MVWD Total '!I577+'Upland Total'!I571+'FWC Total'!I577+'SAWC Total'!I576+'CVWD Total'!I577</f>
        <v>0</v>
      </c>
      <c r="J638" s="131">
        <f>'Ontario Total'!J577+'Chino Total'!J577+'Chino Hills Total'!J577+'MVWD Total '!J577+'Upland Total'!J571+'FWC Total'!J577+'SAWC Total'!J576+'CVWD Total'!J577</f>
        <v>0</v>
      </c>
      <c r="K638" s="131">
        <f>'Ontario Total'!K577+'Chino Total'!K577+'Chino Hills Total'!K577+'MVWD Total '!K577+'Upland Total'!K571+'FWC Total'!K577+'SAWC Total'!K576+'CVWD Total'!K577</f>
        <v>0</v>
      </c>
      <c r="L638" s="131">
        <f>'Ontario Total'!L577+'Chino Total'!L577+'Chino Hills Total'!L577+'MVWD Total '!L577+'Upland Total'!L571+'FWC Total'!L577+'SAWC Total'!L576+'CVWD Total'!L577</f>
        <v>0</v>
      </c>
      <c r="M638" s="1943">
        <v>0</v>
      </c>
      <c r="N638" s="1759"/>
    </row>
    <row r="639" spans="1:15" ht="14" thickBot="1">
      <c r="A639" s="53" t="s">
        <v>60</v>
      </c>
      <c r="B639" s="1438">
        <f>SUM(B633:C638)</f>
        <v>1241</v>
      </c>
      <c r="C639" s="1609"/>
      <c r="D639" s="1441">
        <f>SUM(D633:E638)</f>
        <v>17218520.786700003</v>
      </c>
      <c r="E639" s="1609"/>
      <c r="F639" s="1440">
        <f>SUM(F633:G638)</f>
        <v>52.841700000000003</v>
      </c>
      <c r="G639" s="1439"/>
      <c r="H639" s="610">
        <f>SUM(H633:H638)</f>
        <v>1002.7270000000001</v>
      </c>
      <c r="I639" s="378">
        <f>SUM(I633:I638)</f>
        <v>0</v>
      </c>
      <c r="J639" s="152">
        <f>SUM(J633:J638)</f>
        <v>914</v>
      </c>
      <c r="K639" s="152">
        <f>SUM(K633:K638)</f>
        <v>89030</v>
      </c>
      <c r="L639" s="136">
        <f>SUM(L633:L638)</f>
        <v>79086</v>
      </c>
      <c r="M639" s="1856"/>
      <c r="N639" s="1622"/>
    </row>
    <row r="640" spans="1:15" s="1161" customFormat="1" ht="17" thickBot="1">
      <c r="A640" s="1163" t="s">
        <v>17</v>
      </c>
      <c r="B640" s="1612">
        <f>B628+B631+B639</f>
        <v>10777</v>
      </c>
      <c r="C640" s="1682"/>
      <c r="D640" s="1416">
        <f>SUM(D639,D631,D628)</f>
        <v>130404462.30660002</v>
      </c>
      <c r="E640" s="1682"/>
      <c r="F640" s="1416">
        <f>SUM(F639,F631,F628)</f>
        <v>400.19660000000005</v>
      </c>
      <c r="G640" s="1415"/>
      <c r="H640" s="1180">
        <f>SUM(H639,H631,H628)</f>
        <v>7761.4549999999999</v>
      </c>
      <c r="I640" s="1175">
        <f>I628+I631+I639</f>
        <v>0</v>
      </c>
      <c r="J640" s="1175">
        <f>SUM(J628,J631)</f>
        <v>507413</v>
      </c>
      <c r="K640" s="1175">
        <f>SUM(K628,K631,K639)</f>
        <v>648080</v>
      </c>
      <c r="L640" s="1175">
        <f>SUM(L628,L631,L639)</f>
        <v>1145677</v>
      </c>
      <c r="M640" s="2186"/>
      <c r="N640" s="1673"/>
      <c r="O640" s="274"/>
    </row>
    <row r="641" spans="1:15" ht="14" thickBot="1">
      <c r="F641" s="45"/>
      <c r="G641" s="45"/>
      <c r="H641" s="45"/>
    </row>
    <row r="642" spans="1:15" ht="24" thickBot="1">
      <c r="A642" s="88" t="s">
        <v>135</v>
      </c>
      <c r="B642" s="1751"/>
      <c r="C642" s="1477"/>
      <c r="D642" s="1478"/>
      <c r="E642" s="1479"/>
      <c r="F642" s="1478"/>
      <c r="G642" s="1479"/>
      <c r="H642" s="467"/>
      <c r="I642" s="7"/>
      <c r="J642" s="7"/>
      <c r="K642" s="7"/>
      <c r="L642" s="8"/>
      <c r="M642" s="1764"/>
      <c r="N642" s="1765"/>
    </row>
    <row r="643" spans="1:15" s="1168" customFormat="1" ht="17" thickBot="1">
      <c r="A643" s="108" t="s">
        <v>61</v>
      </c>
      <c r="B643" s="1457"/>
      <c r="C643" s="1586"/>
      <c r="D643" s="1567"/>
      <c r="E643" s="1586"/>
      <c r="F643" s="1567"/>
      <c r="G643" s="1586"/>
      <c r="H643" s="1142"/>
      <c r="I643" s="109"/>
      <c r="J643" s="109"/>
      <c r="K643" s="109"/>
      <c r="L643" s="1141"/>
      <c r="M643" s="1617"/>
      <c r="N643" s="1486"/>
      <c r="O643" s="121"/>
    </row>
    <row r="644" spans="1:15">
      <c r="A644" s="32" t="s">
        <v>62</v>
      </c>
      <c r="B644" s="1696">
        <f>'Ontario Total'!B584:C584+'Chino Total'!B584:C584+'Chino Hills Total'!B584:C584+'MVWD Total '!B584:C584+'Upland Total'!B578:C578+'FWC Total'!B584:C584+'SAWC Total'!B583:C583+'CVWD Total'!B584:C584</f>
        <v>726</v>
      </c>
      <c r="C644" s="1743"/>
      <c r="D644" s="1431">
        <f>F644*325851</f>
        <v>8965920.6054000016</v>
      </c>
      <c r="E644" s="1422"/>
      <c r="F644" s="1431">
        <f>0.0379*B644</f>
        <v>27.515400000000003</v>
      </c>
      <c r="G644" s="1422"/>
      <c r="H644" s="626">
        <f>F644*20</f>
        <v>550.30800000000011</v>
      </c>
      <c r="I644" s="131">
        <f>'Ontario Total'!I584+'Chino Total'!I584+'Chino Hills Total'!I584+'MVWD Total '!I584+'Upland Total'!I578+'FWC Total'!I584+'SAWC Total'!I583+'CVWD Total'!I584</f>
        <v>0</v>
      </c>
      <c r="J644" s="131">
        <f>'Ontario Total'!J584+'Chino Total'!J584+'Chino Hills Total'!J584+'MVWD Total '!J584+'Upland Total'!J578+'FWC Total'!J584+'SAWC Total'!J583+'CVWD Total'!J584</f>
        <v>4719</v>
      </c>
      <c r="K644" s="131">
        <f>'Ontario Total'!K584+'Chino Total'!K584+'Chino Hills Total'!K584+'MVWD Total '!K584+'Upland Total'!K578+'FWC Total'!K584+'SAWC Total'!K583+'CVWD Total'!K584</f>
        <v>43560</v>
      </c>
      <c r="L644" s="131">
        <f>'Ontario Total'!L584+'Chino Total'!L584+'Chino Hills Total'!L584+'MVWD Total '!L584+'Upland Total'!L578+'FWC Total'!L584+'SAWC Total'!L583+'CVWD Total'!L584</f>
        <v>48279</v>
      </c>
      <c r="M644" s="1758">
        <f>L644/(F644*427)</f>
        <v>4.1091742722436093</v>
      </c>
      <c r="N644" s="1759"/>
    </row>
    <row r="645" spans="1:15">
      <c r="A645" s="32" t="s">
        <v>63</v>
      </c>
      <c r="B645" s="1696">
        <f>'Ontario Total'!B585:C585+'Chino Total'!B585:C585+'Chino Hills Total'!B585:C585+'MVWD Total '!B585:C585+'Upland Total'!B579:C579+'FWC Total'!B585:C585+'SAWC Total'!B584:C584+'CVWD Total'!B585:C585</f>
        <v>796</v>
      </c>
      <c r="C645" s="1743"/>
      <c r="D645" s="1431">
        <f>F645*325851</f>
        <v>9830403.3084000014</v>
      </c>
      <c r="E645" s="1422"/>
      <c r="F645" s="1431">
        <f>0.0379*B645</f>
        <v>30.168400000000002</v>
      </c>
      <c r="G645" s="1422"/>
      <c r="H645" s="626">
        <f>F645*20</f>
        <v>603.36800000000005</v>
      </c>
      <c r="I645" s="131">
        <f>'Ontario Total'!I585+'Chino Total'!I585+'Chino Hills Total'!I585+'MVWD Total '!I585+'Upland Total'!I579+'FWC Total'!I585+'SAWC Total'!I584+'CVWD Total'!I585</f>
        <v>0</v>
      </c>
      <c r="J645" s="131">
        <f>'Ontario Total'!J585+'Chino Total'!J585+'Chino Hills Total'!J585+'MVWD Total '!J585+'Upland Total'!J579+'FWC Total'!J585+'SAWC Total'!J584+'CVWD Total'!J585</f>
        <v>8756</v>
      </c>
      <c r="K645" s="131">
        <f>'Ontario Total'!K585+'Chino Total'!K585+'Chino Hills Total'!K585+'MVWD Total '!K585+'Upland Total'!K579+'FWC Total'!K585+'SAWC Total'!K584+'CVWD Total'!K585</f>
        <v>47760</v>
      </c>
      <c r="L645" s="131">
        <f>'Ontario Total'!L585+'Chino Total'!L585+'Chino Hills Total'!L585+'MVWD Total '!L585+'Upland Total'!L579+'FWC Total'!L585+'SAWC Total'!L584+'CVWD Total'!L585</f>
        <v>56516</v>
      </c>
      <c r="M645" s="1758">
        <f>L645/(F645*427)</f>
        <v>4.3872386966811465</v>
      </c>
      <c r="N645" s="1759"/>
    </row>
    <row r="646" spans="1:15">
      <c r="A646" s="32" t="s">
        <v>64</v>
      </c>
      <c r="B646" s="1696">
        <f>'Ontario Total'!B586:C586+'Chino Total'!B586:C586+'Chino Hills Total'!B586:C586+'MVWD Total '!B586:C586+'Upland Total'!B580:C580+'FWC Total'!B586:C586+'SAWC Total'!B585:C585+'CVWD Total'!B586:C586</f>
        <v>643</v>
      </c>
      <c r="C646" s="1743"/>
      <c r="D646" s="1431">
        <f>F646*325851</f>
        <v>7940891.1147000007</v>
      </c>
      <c r="E646" s="1422"/>
      <c r="F646" s="1431">
        <f>0.0379*B646</f>
        <v>24.369700000000002</v>
      </c>
      <c r="G646" s="1422"/>
      <c r="H646" s="626">
        <f>F646*20</f>
        <v>487.39400000000001</v>
      </c>
      <c r="I646" s="131">
        <f>'Ontario Total'!I586+'Chino Total'!I586+'Chino Hills Total'!I586+'MVWD Total '!I586+'Upland Total'!I580+'FWC Total'!I586+'SAWC Total'!I585+'CVWD Total'!I586</f>
        <v>0</v>
      </c>
      <c r="J646" s="131">
        <f>'Ontario Total'!J586+'Chino Total'!J586+'Chino Hills Total'!J586+'MVWD Total '!J586+'Upland Total'!J580+'FWC Total'!J586+'SAWC Total'!J585+'CVWD Total'!J586</f>
        <v>643</v>
      </c>
      <c r="K646" s="131">
        <f>'Ontario Total'!K586+'Chino Total'!K586+'Chino Hills Total'!K586+'MVWD Total '!K586+'Upland Total'!K580+'FWC Total'!K586+'SAWC Total'!K585+'CVWD Total'!K586</f>
        <v>38580</v>
      </c>
      <c r="L646" s="131">
        <f>'Ontario Total'!L586+'Chino Total'!L586+'Chino Hills Total'!L586+'MVWD Total '!L586+'Upland Total'!L580+'FWC Total'!L586+'SAWC Total'!L585+'CVWD Total'!L586</f>
        <v>39223</v>
      </c>
      <c r="M646" s="1758">
        <f>L646/(F646*427)</f>
        <v>3.7693177534866189</v>
      </c>
      <c r="N646" s="1759"/>
    </row>
    <row r="647" spans="1:15" s="91" customFormat="1" ht="16">
      <c r="A647" s="34" t="s">
        <v>13</v>
      </c>
      <c r="B647" s="1696">
        <f>'Ontario Total'!B587:C587+'Chino Total'!B587:C587+'Chino Hills Total'!B587:C587+'MVWD Total '!B587:C587+'Upland Total'!B581:C581+'FWC Total'!B587:C587+'SAWC Total'!B586:C586+'CVWD Total'!B587:C587</f>
        <v>1888</v>
      </c>
      <c r="C647" s="1743"/>
      <c r="D647" s="1431">
        <f>F647*325851</f>
        <v>16979704.588800002</v>
      </c>
      <c r="E647" s="1422"/>
      <c r="F647" s="1431">
        <f>0.0276*B647</f>
        <v>52.108800000000002</v>
      </c>
      <c r="G647" s="1422"/>
      <c r="H647" s="626">
        <f>F647*15</f>
        <v>781.63200000000006</v>
      </c>
      <c r="I647" s="131">
        <f>'Ontario Total'!I587+'Chino Total'!I587+'Chino Hills Total'!I587+'MVWD Total '!I587+'Upland Total'!I581+'FWC Total'!I587+'SAWC Total'!I586+'CVWD Total'!I587</f>
        <v>0</v>
      </c>
      <c r="J647" s="131">
        <f>'Ontario Total'!J587+'Chino Total'!J587+'Chino Hills Total'!J587+'MVWD Total '!J587+'Upland Total'!J581+'FWC Total'!J587+'SAWC Total'!J586+'CVWD Total'!J587</f>
        <v>1888</v>
      </c>
      <c r="K647" s="131">
        <f>'Ontario Total'!K587+'Chino Total'!K587+'Chino Hills Total'!K587+'MVWD Total '!K587+'Upland Total'!K581+'FWC Total'!K587+'SAWC Total'!K586+'CVWD Total'!K587</f>
        <v>207680</v>
      </c>
      <c r="L647" s="131">
        <f>'Ontario Total'!L587+'Chino Total'!L587+'Chino Hills Total'!L587+'MVWD Total '!L587+'Upland Total'!L581+'FWC Total'!L587+'SAWC Total'!L586+'CVWD Total'!L587</f>
        <v>209568</v>
      </c>
      <c r="M647" s="1758">
        <f>L647/(F647*427)</f>
        <v>9.4185928113226751</v>
      </c>
      <c r="N647" s="1759"/>
      <c r="O647" s="274"/>
    </row>
    <row r="648" spans="1:15" ht="14" thickBot="1">
      <c r="A648" s="35" t="s">
        <v>14</v>
      </c>
      <c r="B648" s="1696">
        <f>'Ontario Total'!B588:C588+'Chino Total'!B588:C588+'Chino Hills Total'!B588:C588+'MVWD Total '!B588:C588+'Upland Total'!B582:C582+'FWC Total'!B588:C588+'SAWC Total'!B587:C587+'CVWD Total'!B588:C588</f>
        <v>58</v>
      </c>
      <c r="C648" s="1743"/>
      <c r="D648" s="1431">
        <f>F648*325851</f>
        <v>990607.03699294257</v>
      </c>
      <c r="E648" s="1422"/>
      <c r="F648" s="1431">
        <f>'Ontario Total'!F588:G588+'Chino Total'!F588:G588+'Chino Hills Total'!F588:G588+'MVWD Total '!F588:G588+'Upland Total'!F582:G582+'FWC Total'!F588:G588+'SAWC Total'!F587:G587+'CVWD Total'!F588:G588</f>
        <v>3.0400613685179501</v>
      </c>
      <c r="G648" s="1422"/>
      <c r="H648" s="626">
        <f>F648*5</f>
        <v>15.20030684258975</v>
      </c>
      <c r="I648" s="131">
        <f>'Ontario Total'!I588+'Chino Total'!I588+'Chino Hills Total'!I588+'MVWD Total '!I588+'Upland Total'!I582+'FWC Total'!I588+'SAWC Total'!I587+'CVWD Total'!I588</f>
        <v>0</v>
      </c>
      <c r="J648" s="131">
        <f>'Ontario Total'!J588+'Chino Total'!J588+'Chino Hills Total'!J588+'MVWD Total '!J588+'Upland Total'!J582+'FWC Total'!J588+'SAWC Total'!J587+'CVWD Total'!J588</f>
        <v>5035</v>
      </c>
      <c r="K648" s="131">
        <f>'Ontario Total'!K588+'Chino Total'!K588+'Chino Hills Total'!K588+'MVWD Total '!K588+'Upland Total'!K582+'FWC Total'!K588+'SAWC Total'!K587+'CVWD Total'!K588</f>
        <v>0</v>
      </c>
      <c r="L648" s="131">
        <f>'Ontario Total'!L588+'Chino Total'!L588+'Chino Hills Total'!L588+'MVWD Total '!L588+'Upland Total'!L582+'FWC Total'!L588+'SAWC Total'!L587+'CVWD Total'!L588</f>
        <v>5035</v>
      </c>
      <c r="M648" s="1758">
        <f>L648/(F648*427)</f>
        <v>3.8787273206920561</v>
      </c>
      <c r="N648" s="1759"/>
    </row>
    <row r="649" spans="1:15" ht="14" thickBot="1">
      <c r="A649" s="53" t="s">
        <v>60</v>
      </c>
      <c r="B649" s="1440">
        <f>SUM(B644:C648)</f>
        <v>4111</v>
      </c>
      <c r="C649" s="1621"/>
      <c r="D649" s="1441">
        <f>SUM(D644:E648)</f>
        <v>44707526.654292949</v>
      </c>
      <c r="E649" s="1621"/>
      <c r="F649" s="1441">
        <f>SUM(F644:G648)</f>
        <v>137.20236136851796</v>
      </c>
      <c r="G649" s="1439"/>
      <c r="H649" s="619">
        <f>SUM(H644:H648)</f>
        <v>2437.90230684259</v>
      </c>
      <c r="I649" s="136">
        <f>SUM(I644:I648)</f>
        <v>0</v>
      </c>
      <c r="J649" s="136">
        <f>SUM(J644:J648)</f>
        <v>21041</v>
      </c>
      <c r="K649" s="136">
        <f>SUM(K644:K648)</f>
        <v>337580</v>
      </c>
      <c r="L649" s="136">
        <f>SUM(L644:L648)</f>
        <v>358621</v>
      </c>
      <c r="M649" s="1657"/>
      <c r="N649" s="1622"/>
    </row>
    <row r="650" spans="1:15" s="1161" customFormat="1" ht="17" thickBot="1">
      <c r="A650" s="108" t="s">
        <v>49</v>
      </c>
      <c r="B650" s="1457"/>
      <c r="C650" s="1586"/>
      <c r="D650" s="1567"/>
      <c r="E650" s="1586"/>
      <c r="F650" s="1567"/>
      <c r="G650" s="1586"/>
      <c r="H650" s="1142"/>
      <c r="I650" s="161"/>
      <c r="J650" s="161"/>
      <c r="K650" s="161"/>
      <c r="L650" s="162"/>
      <c r="M650" s="1617"/>
      <c r="N650" s="1486"/>
      <c r="O650" s="274"/>
    </row>
    <row r="651" spans="1:15" ht="14" thickBot="1">
      <c r="A651" s="34" t="s">
        <v>11</v>
      </c>
      <c r="B651" s="1696">
        <f>'Ontario Total'!B591:C591+'Chino Total'!B591:C591+'Chino Hills Total'!B591:C591+'MVWD Total '!B591:C591+'Upland Total'!B585:C585+'FWC Total'!B591:C591+'SAWC Total'!B590:C590+'CVWD Total'!B591:C591</f>
        <v>4187</v>
      </c>
      <c r="C651" s="1743"/>
      <c r="D651" s="1431">
        <f>F651*325851</f>
        <v>51708415.39230001</v>
      </c>
      <c r="E651" s="1422"/>
      <c r="F651" s="1431">
        <f>0.0379*B651</f>
        <v>158.68730000000002</v>
      </c>
      <c r="G651" s="1422"/>
      <c r="H651" s="626">
        <f>F651*20</f>
        <v>3173.7460000000005</v>
      </c>
      <c r="I651" s="131">
        <f>'Ontario Total'!I591+'Chino Total'!I591+'Chino Hills Total'!I591+'MVWD Total '!I591+'Upland Total'!I585+'FWC Total'!I591+'SAWC Total'!I590+'CVWD Total'!I591</f>
        <v>0</v>
      </c>
      <c r="J651" s="131">
        <f>'Ontario Total'!J591+'Chino Total'!J591+'Chino Hills Total'!J591+'MVWD Total '!J591+'Upland Total'!J585+'FWC Total'!J591+'SAWC Total'!J590+'CVWD Total'!J591</f>
        <v>439635</v>
      </c>
      <c r="K651" s="131">
        <f>'Ontario Total'!K591+'Chino Total'!K591+'Chino Hills Total'!K591+'MVWD Total '!K591+'Upland Total'!K585+'FWC Total'!K591+'SAWC Total'!K590+'CVWD Total'!K591</f>
        <v>251220</v>
      </c>
      <c r="L651" s="132">
        <f>'Ontario Total'!L591+'Chino Total'!L591+'Chino Hills Total'!L591+'MVWD Total '!L591+'Upland Total'!L585+'FWC Total'!L591+'SAWC Total'!L590+'CVWD Total'!L591</f>
        <v>690855</v>
      </c>
      <c r="M651" s="1758">
        <f>L651/(F651*427)</f>
        <v>10.195695562709707</v>
      </c>
      <c r="N651" s="1759"/>
    </row>
    <row r="652" spans="1:15" ht="14" thickBot="1">
      <c r="A652" s="53" t="s">
        <v>60</v>
      </c>
      <c r="B652" s="1440">
        <f>SUM(B651)</f>
        <v>4187</v>
      </c>
      <c r="C652" s="1621"/>
      <c r="D652" s="1441">
        <f>SUM(D651)</f>
        <v>51708415.39230001</v>
      </c>
      <c r="E652" s="1621"/>
      <c r="F652" s="1441">
        <f>SUM(F651)</f>
        <v>158.68730000000002</v>
      </c>
      <c r="G652" s="1439"/>
      <c r="H652" s="619">
        <f t="shared" ref="H652:M652" si="70">SUM(H651)</f>
        <v>3173.7460000000005</v>
      </c>
      <c r="I652" s="136">
        <f t="shared" si="70"/>
        <v>0</v>
      </c>
      <c r="J652" s="136">
        <f t="shared" si="70"/>
        <v>439635</v>
      </c>
      <c r="K652" s="136">
        <f t="shared" si="70"/>
        <v>251220</v>
      </c>
      <c r="L652" s="136">
        <f t="shared" si="70"/>
        <v>690855</v>
      </c>
      <c r="M652" s="1657">
        <f t="shared" si="70"/>
        <v>10.195695562709707</v>
      </c>
      <c r="N652" s="1622"/>
    </row>
    <row r="653" spans="1:15" s="1168" customFormat="1" ht="17" thickBot="1">
      <c r="A653" s="108" t="s">
        <v>50</v>
      </c>
      <c r="B653" s="1457"/>
      <c r="C653" s="1586"/>
      <c r="D653" s="1567"/>
      <c r="E653" s="1586"/>
      <c r="F653" s="1567"/>
      <c r="G653" s="1586"/>
      <c r="H653" s="1142"/>
      <c r="I653" s="161"/>
      <c r="J653" s="161"/>
      <c r="K653" s="161"/>
      <c r="L653" s="162"/>
      <c r="M653" s="1617"/>
      <c r="N653" s="1486"/>
      <c r="O653" s="121"/>
    </row>
    <row r="654" spans="1:15">
      <c r="A654" s="34" t="s">
        <v>66</v>
      </c>
      <c r="B654" s="1696">
        <f>'Ontario Total'!B594:C594+'Chino Total'!B594:C594+'Chino Hills Total'!B594:C594+'MVWD Total '!B594:C594+'Upland Total'!B588:C588+'FWC Total'!B594:C594+'SAWC Total'!B593:C593+'CVWD Total'!B594:C594</f>
        <v>5</v>
      </c>
      <c r="C654" s="1743"/>
      <c r="D654" s="1431">
        <f t="shared" ref="D654:D659" si="71">F654*325851</f>
        <v>61748.764499999997</v>
      </c>
      <c r="E654" s="1422"/>
      <c r="F654" s="1871">
        <f>0.0379*B654</f>
        <v>0.1895</v>
      </c>
      <c r="G654" s="1450"/>
      <c r="H654" s="626">
        <f>F654*20</f>
        <v>3.79</v>
      </c>
      <c r="I654" s="131">
        <f>'Ontario Total'!I594+'Chino Total'!I594+'Chino Hills Total'!I594+'MVWD Total '!I594+'Upland Total'!I588+'FWC Total'!I594+'SAWC Total'!I593+'CVWD Total'!I594</f>
        <v>0</v>
      </c>
      <c r="J654" s="131">
        <f>'Ontario Total'!J594+'Chino Total'!J594+'Chino Hills Total'!J594+'MVWD Total '!J594+'Upland Total'!J588+'FWC Total'!J594+'SAWC Total'!J593+'CVWD Total'!J594</f>
        <v>0</v>
      </c>
      <c r="K654" s="131">
        <f>'Ontario Total'!K594+'Chino Total'!K594+'Chino Hills Total'!K594+'MVWD Total '!K594+'Upland Total'!K588+'FWC Total'!K594+'SAWC Total'!K593+'CVWD Total'!K594</f>
        <v>0</v>
      </c>
      <c r="L654" s="131">
        <f>'Ontario Total'!L594+'Chino Total'!L594+'Chino Hills Total'!L594+'MVWD Total '!L594+'Upland Total'!L588+'FWC Total'!L594+'SAWC Total'!L593+'CVWD Total'!L594</f>
        <v>0</v>
      </c>
      <c r="M654" s="1792">
        <f>L654/(F654*427)</f>
        <v>0</v>
      </c>
      <c r="N654" s="1793"/>
    </row>
    <row r="655" spans="1:15">
      <c r="A655" s="34" t="s">
        <v>68</v>
      </c>
      <c r="B655" s="1696">
        <f>'Ontario Total'!B595:C595+'Chino Total'!B595:C595+'Chino Hills Total'!B595:C595+'MVWD Total '!B595:C595+'Upland Total'!B589:C589+'FWC Total'!B595:C595+'SAWC Total'!B594:C594+'CVWD Total'!B595:C595</f>
        <v>2</v>
      </c>
      <c r="C655" s="1743"/>
      <c r="D655" s="1431">
        <f t="shared" si="71"/>
        <v>419696.08799999999</v>
      </c>
      <c r="E655" s="1422"/>
      <c r="F655" s="1431">
        <f>0.644*B655</f>
        <v>1.288</v>
      </c>
      <c r="G655" s="1422"/>
      <c r="H655" s="626">
        <f>F655*5</f>
        <v>6.44</v>
      </c>
      <c r="I655" s="131">
        <f>'Ontario Total'!I595+'Chino Total'!I595+'Chino Hills Total'!I595+'MVWD Total '!I595+'Upland Total'!I589+'FWC Total'!I595+'SAWC Total'!I594+'CVWD Total'!I595</f>
        <v>0</v>
      </c>
      <c r="J655" s="131">
        <f>'Ontario Total'!J595+'Chino Total'!J595+'Chino Hills Total'!J595+'MVWD Total '!J595+'Upland Total'!J589+'FWC Total'!J595+'SAWC Total'!J594+'CVWD Total'!J595</f>
        <v>0</v>
      </c>
      <c r="K655" s="131">
        <f>'Ontario Total'!K595+'Chino Total'!K595+'Chino Hills Total'!K595+'MVWD Total '!K595+'Upland Total'!K589+'FWC Total'!K595+'SAWC Total'!K594+'CVWD Total'!K595</f>
        <v>1000</v>
      </c>
      <c r="L655" s="131">
        <f>'Ontario Total'!L595+'Chino Total'!L595+'Chino Hills Total'!L595+'MVWD Total '!L595+'Upland Total'!L589+'FWC Total'!L595+'SAWC Total'!L594+'CVWD Total'!L595</f>
        <v>1000</v>
      </c>
      <c r="M655" s="1758">
        <f>L655/(F655*427)</f>
        <v>1.8182611604870031</v>
      </c>
      <c r="N655" s="1759"/>
    </row>
    <row r="656" spans="1:15">
      <c r="A656" s="34" t="s">
        <v>13</v>
      </c>
      <c r="B656" s="1696">
        <f>'Ontario Total'!B596:C596+'Chino Total'!B596:C596+'Chino Hills Total'!B596:C596+'MVWD Total '!B596:C596+'Upland Total'!B590:C590+'FWC Total'!B596:C596+'SAWC Total'!B595:C595+'CVWD Total'!B596:C596</f>
        <v>26</v>
      </c>
      <c r="C656" s="1743"/>
      <c r="D656" s="1431">
        <f t="shared" si="71"/>
        <v>233830.6776</v>
      </c>
      <c r="E656" s="1422"/>
      <c r="F656" s="1431">
        <f>0.0276*B656</f>
        <v>0.71760000000000002</v>
      </c>
      <c r="G656" s="1422"/>
      <c r="H656" s="626">
        <f>F656*15</f>
        <v>10.763999999999999</v>
      </c>
      <c r="I656" s="131">
        <f>'Ontario Total'!I596+'Chino Total'!I596+'Chino Hills Total'!I596+'MVWD Total '!I596+'Upland Total'!I590+'FWC Total'!I596+'SAWC Total'!I595+'CVWD Total'!I596</f>
        <v>0</v>
      </c>
      <c r="J656" s="131">
        <f>'Ontario Total'!J596+'Chino Total'!J596+'Chino Hills Total'!J596+'MVWD Total '!J596+'Upland Total'!J590+'FWC Total'!J596+'SAWC Total'!J595+'CVWD Total'!J596</f>
        <v>0</v>
      </c>
      <c r="K656" s="131">
        <f>'Ontario Total'!K596+'Chino Total'!K596+'Chino Hills Total'!K596+'MVWD Total '!K596+'Upland Total'!K590+'FWC Total'!K596+'SAWC Total'!K595+'CVWD Total'!K596</f>
        <v>6500</v>
      </c>
      <c r="L656" s="131">
        <f>'Ontario Total'!L596+'Chino Total'!L596+'Chino Hills Total'!L596+'MVWD Total '!L596+'Upland Total'!L590+'FWC Total'!L596+'SAWC Total'!L595+'CVWD Total'!L596</f>
        <v>6500</v>
      </c>
      <c r="M656" s="1758">
        <f>L656/(F656*427)</f>
        <v>21.213046872348368</v>
      </c>
      <c r="N656" s="1759"/>
    </row>
    <row r="657" spans="1:15">
      <c r="A657" s="35" t="s">
        <v>15</v>
      </c>
      <c r="B657" s="1696">
        <f>'Ontario Total'!B597:C597+'Chino Total'!B597:C597+'Chino Hills Total'!B597:C597+'MVWD Total '!B597:C597+'Upland Total'!B591:C591+'FWC Total'!B597:C597+'SAWC Total'!B596:C596+'CVWD Total'!B597:C597</f>
        <v>0</v>
      </c>
      <c r="C657" s="1743"/>
      <c r="D657" s="1431">
        <f t="shared" si="71"/>
        <v>0</v>
      </c>
      <c r="E657" s="1422"/>
      <c r="F657" s="1431">
        <f>0.1534*B657</f>
        <v>0</v>
      </c>
      <c r="G657" s="1422"/>
      <c r="H657" s="626">
        <f>F657*15</f>
        <v>0</v>
      </c>
      <c r="I657" s="131">
        <f>'Ontario Total'!I597+'Chino Total'!I597+'Chino Hills Total'!I597+'MVWD Total '!I597+'Upland Total'!I591+'FWC Total'!I597+'SAWC Total'!I596+'CVWD Total'!I597</f>
        <v>0</v>
      </c>
      <c r="J657" s="131">
        <f>'Ontario Total'!J597+'Chino Total'!J597+'Chino Hills Total'!J597+'MVWD Total '!J597+'Upland Total'!J591+'FWC Total'!J597+'SAWC Total'!J596+'CVWD Total'!J597</f>
        <v>0</v>
      </c>
      <c r="K657" s="131">
        <f>'Ontario Total'!K597+'Chino Total'!K597+'Chino Hills Total'!K597+'MVWD Total '!K597+'Upland Total'!K591+'FWC Total'!K597+'SAWC Total'!K596+'CVWD Total'!K597</f>
        <v>0</v>
      </c>
      <c r="L657" s="131">
        <f>'Ontario Total'!L597+'Chino Total'!L597+'Chino Hills Total'!L597+'MVWD Total '!L597+'Upland Total'!L591+'FWC Total'!L597+'SAWC Total'!L596+'CVWD Total'!L597</f>
        <v>0</v>
      </c>
      <c r="M657" s="1758">
        <v>0</v>
      </c>
      <c r="N657" s="1759"/>
    </row>
    <row r="658" spans="1:15" s="91" customFormat="1" ht="16">
      <c r="A658" s="35" t="s">
        <v>16</v>
      </c>
      <c r="B658" s="1696">
        <f>'Ontario Total'!B598:C598+'Chino Total'!B598:C598+'Chino Hills Total'!B598:C598+'MVWD Total '!B598:C598+'Upland Total'!B592:C592+'FWC Total'!B598:C598+'SAWC Total'!B597:C597+'CVWD Total'!B598:C598</f>
        <v>1</v>
      </c>
      <c r="C658" s="1743"/>
      <c r="D658" s="1431">
        <f t="shared" si="71"/>
        <v>49855.203000000001</v>
      </c>
      <c r="E658" s="1422"/>
      <c r="F658" s="1871">
        <f>0.153*B658</f>
        <v>0.153</v>
      </c>
      <c r="G658" s="1450"/>
      <c r="H658" s="626">
        <f>F658*5</f>
        <v>0.76500000000000001</v>
      </c>
      <c r="I658" s="131">
        <f>'Ontario Total'!I598+'Chino Total'!I598+'Chino Hills Total'!I598+'MVWD Total '!I598+'Upland Total'!I592+'FWC Total'!I598+'SAWC Total'!I597+'CVWD Total'!I598</f>
        <v>0</v>
      </c>
      <c r="J658" s="131">
        <f>'Ontario Total'!J598+'Chino Total'!J598+'Chino Hills Total'!J598+'MVWD Total '!J598+'Upland Total'!J592+'FWC Total'!J598+'SAWC Total'!J597+'CVWD Total'!J598</f>
        <v>0</v>
      </c>
      <c r="K658" s="131">
        <f>'Ontario Total'!K598+'Chino Total'!K598+'Chino Hills Total'!K598+'MVWD Total '!K598+'Upland Total'!K592+'FWC Total'!K598+'SAWC Total'!K597+'CVWD Total'!K598</f>
        <v>50</v>
      </c>
      <c r="L658" s="131">
        <f>'Ontario Total'!L598+'Chino Total'!L598+'Chino Hills Total'!L598+'MVWD Total '!L598+'Upland Total'!L592+'FWC Total'!L598+'SAWC Total'!L597+'CVWD Total'!L598</f>
        <v>50</v>
      </c>
      <c r="M658" s="1758">
        <f>L658/(F658*427)</f>
        <v>0.76533345578668621</v>
      </c>
      <c r="N658" s="1759"/>
      <c r="O658" s="274"/>
    </row>
    <row r="659" spans="1:15" ht="14" thickBot="1">
      <c r="A659" s="34" t="s">
        <v>12</v>
      </c>
      <c r="B659" s="1696">
        <f>'Ontario Total'!B599:C599+'Chino Total'!B599:C599+'Chino Hills Total'!B599:C599+'MVWD Total '!B599:C599+'Upland Total'!B593:C593+'FWC Total'!B599:C599+'SAWC Total'!B598:C598+'CVWD Total'!B599:C599</f>
        <v>6</v>
      </c>
      <c r="C659" s="1743"/>
      <c r="D659" s="1431">
        <f t="shared" si="71"/>
        <v>6256339.2000000011</v>
      </c>
      <c r="E659" s="1422"/>
      <c r="F659" s="1431">
        <f>3.2*B659</f>
        <v>19.200000000000003</v>
      </c>
      <c r="G659" s="1422"/>
      <c r="H659" s="626">
        <f>F659*5</f>
        <v>96.000000000000014</v>
      </c>
      <c r="I659" s="131">
        <f>'Ontario Total'!I599+'Chino Total'!I599+'Chino Hills Total'!I599+'MVWD Total '!I599+'Upland Total'!I593+'FWC Total'!I599+'SAWC Total'!I598+'CVWD Total'!I599</f>
        <v>0</v>
      </c>
      <c r="J659" s="131">
        <f>'Ontario Total'!J599+'Chino Total'!J599+'Chino Hills Total'!J599+'MVWD Total '!J599+'Upland Total'!J593+'FWC Total'!J599+'SAWC Total'!J598+'CVWD Total'!J599</f>
        <v>0</v>
      </c>
      <c r="K659" s="131">
        <f>'Ontario Total'!K599+'Chino Total'!K599+'Chino Hills Total'!K599+'MVWD Total '!K599+'Upland Total'!K593+'FWC Total'!K599+'SAWC Total'!K598+'CVWD Total'!K599</f>
        <v>12000</v>
      </c>
      <c r="L659" s="131">
        <f>'Ontario Total'!L599+'Chino Total'!L599+'Chino Hills Total'!L599+'MVWD Total '!L599+'Upland Total'!L593+'FWC Total'!L599+'SAWC Total'!L598+'CVWD Total'!L599</f>
        <v>12000</v>
      </c>
      <c r="M659" s="1758">
        <f>L659/(F659*427)</f>
        <v>1.4637002341920373</v>
      </c>
      <c r="N659" s="1759"/>
    </row>
    <row r="660" spans="1:15" ht="14" thickBot="1">
      <c r="A660" s="53" t="s">
        <v>60</v>
      </c>
      <c r="B660" s="1440">
        <f>SUM(B653:C659)</f>
        <v>40</v>
      </c>
      <c r="C660" s="1621"/>
      <c r="D660" s="1441">
        <f>SUM(D653:E659)</f>
        <v>7021469.933100001</v>
      </c>
      <c r="E660" s="1621"/>
      <c r="F660" s="1441">
        <f>SUM(F653:G659)</f>
        <v>21.548100000000002</v>
      </c>
      <c r="G660" s="1439"/>
      <c r="H660" s="56">
        <f>SUM(H653:H659)</f>
        <v>117.75900000000001</v>
      </c>
      <c r="I660" s="143">
        <f>SUM(I653:I659)</f>
        <v>0</v>
      </c>
      <c r="J660" s="152">
        <f>SUM(J653:J659)</f>
        <v>0</v>
      </c>
      <c r="K660" s="378">
        <f>SUM(K653:K659)</f>
        <v>19550</v>
      </c>
      <c r="L660" s="143">
        <f>SUM(L653:L659)</f>
        <v>19550</v>
      </c>
      <c r="M660" s="1657"/>
      <c r="N660" s="1622"/>
    </row>
    <row r="661" spans="1:15" s="1168" customFormat="1" ht="17" thickBot="1">
      <c r="A661" s="1186" t="s">
        <v>17</v>
      </c>
      <c r="B661" s="1663">
        <f>SUM(B660,B652,B649)</f>
        <v>8338</v>
      </c>
      <c r="C661" s="1684"/>
      <c r="D661" s="1665">
        <f>SUM(D660,D652,D649)</f>
        <v>103437411.97969297</v>
      </c>
      <c r="E661" s="1684"/>
      <c r="F661" s="1665">
        <f>SUM(F660,F652,F649)</f>
        <v>317.43776136851795</v>
      </c>
      <c r="G661" s="1664"/>
      <c r="H661" s="1187">
        <f>SUM(H660,H652,H649)</f>
        <v>5729.4073068425905</v>
      </c>
      <c r="I661" s="1188">
        <f>I648+I651+I660</f>
        <v>0</v>
      </c>
      <c r="J661" s="1188">
        <f>SUM(J649,J652,J660)</f>
        <v>460676</v>
      </c>
      <c r="K661" s="1188">
        <f>SUM(K649,K652,K660)</f>
        <v>608350</v>
      </c>
      <c r="L661" s="1188">
        <f>SUM(L649,L652,L660)</f>
        <v>1069026</v>
      </c>
      <c r="M661" s="1668"/>
      <c r="N661" s="1669"/>
      <c r="O661" s="121"/>
    </row>
    <row r="663" spans="1:15" ht="15">
      <c r="A663" s="9" t="s">
        <v>18</v>
      </c>
      <c r="B663" s="1695" t="s">
        <v>59</v>
      </c>
      <c r="C663" s="1566"/>
      <c r="D663" s="1566"/>
      <c r="E663" s="1821"/>
    </row>
    <row r="664" spans="1:15">
      <c r="B664" s="1420" t="s">
        <v>19</v>
      </c>
      <c r="C664" s="1420"/>
      <c r="D664" s="1420"/>
      <c r="E664" s="1420"/>
    </row>
    <row r="665" spans="1:15">
      <c r="B665" s="820"/>
      <c r="C665" s="820"/>
      <c r="D665" s="820"/>
      <c r="E665" s="820"/>
    </row>
    <row r="666" spans="1:15" ht="14" thickBot="1">
      <c r="B666" s="820"/>
      <c r="C666" s="820"/>
      <c r="D666" s="820"/>
      <c r="E666" s="820"/>
    </row>
    <row r="667" spans="1:15" ht="16">
      <c r="A667" s="98"/>
      <c r="B667" s="99"/>
      <c r="C667" s="99"/>
      <c r="D667" s="99"/>
      <c r="E667" s="99"/>
      <c r="F667" s="421"/>
      <c r="G667" s="421"/>
      <c r="H667" s="421"/>
      <c r="I667" s="1468" t="s">
        <v>0</v>
      </c>
      <c r="J667" s="1468"/>
      <c r="K667" s="1468"/>
      <c r="L667" s="1468"/>
      <c r="M667" s="99"/>
      <c r="N667" s="101"/>
    </row>
    <row r="668" spans="1:15" s="91" customFormat="1" ht="16">
      <c r="A668" s="97"/>
      <c r="B668" s="1469" t="s">
        <v>1</v>
      </c>
      <c r="C668" s="1469"/>
      <c r="D668" s="1469" t="s">
        <v>2</v>
      </c>
      <c r="E668" s="1469"/>
      <c r="F668" s="1863" t="s">
        <v>3</v>
      </c>
      <c r="G668" s="1863"/>
      <c r="H668" s="430" t="s">
        <v>3</v>
      </c>
      <c r="I668" s="127" t="s">
        <v>195</v>
      </c>
      <c r="J668" s="102"/>
      <c r="K668" s="102"/>
      <c r="L668" s="128"/>
      <c r="M668" s="1469" t="s">
        <v>4</v>
      </c>
      <c r="N668" s="1526"/>
      <c r="O668" s="274"/>
    </row>
    <row r="669" spans="1:15" ht="19" thickBot="1">
      <c r="A669" s="103" t="s">
        <v>5</v>
      </c>
      <c r="B669" s="1473" t="s">
        <v>6</v>
      </c>
      <c r="C669" s="1473"/>
      <c r="D669" s="1473" t="s">
        <v>7</v>
      </c>
      <c r="E669" s="1473"/>
      <c r="F669" s="1864" t="s">
        <v>7</v>
      </c>
      <c r="G669" s="1864"/>
      <c r="H669" s="431" t="s">
        <v>58</v>
      </c>
      <c r="I669" s="398" t="s">
        <v>196</v>
      </c>
      <c r="J669" s="397" t="s">
        <v>8</v>
      </c>
      <c r="K669" s="397" t="s">
        <v>9</v>
      </c>
      <c r="L669" s="401" t="s">
        <v>10</v>
      </c>
      <c r="M669" s="1473" t="s">
        <v>145</v>
      </c>
      <c r="N669" s="1475"/>
    </row>
    <row r="670" spans="1:15" ht="24" thickBot="1">
      <c r="A670" s="88" t="s">
        <v>136</v>
      </c>
      <c r="B670" s="1751"/>
      <c r="C670" s="1477"/>
      <c r="D670" s="1478"/>
      <c r="E670" s="1479"/>
      <c r="F670" s="1878"/>
      <c r="G670" s="1879"/>
      <c r="H670" s="435"/>
      <c r="I670" s="7"/>
      <c r="J670" s="7"/>
      <c r="K670" s="7"/>
      <c r="L670" s="373"/>
      <c r="M670" s="1751"/>
      <c r="N670" s="1765"/>
    </row>
    <row r="671" spans="1:15" s="1168" customFormat="1" ht="17" thickBot="1">
      <c r="A671" s="108" t="s">
        <v>61</v>
      </c>
      <c r="B671" s="1457"/>
      <c r="C671" s="1586"/>
      <c r="D671" s="1567"/>
      <c r="E671" s="1586"/>
      <c r="F671" s="1619"/>
      <c r="G671" s="1620"/>
      <c r="H671" s="1158"/>
      <c r="I671" s="109"/>
      <c r="J671" s="109"/>
      <c r="K671" s="109"/>
      <c r="L671" s="1142"/>
      <c r="M671" s="1485"/>
      <c r="N671" s="1486"/>
      <c r="O671" s="121"/>
    </row>
    <row r="672" spans="1:15">
      <c r="A672" s="32" t="s">
        <v>62</v>
      </c>
      <c r="B672" s="1444">
        <f>'Ontario Total'!B611:C611+'Chino Total'!B611:C611+'Chino Hills Total'!B611:C611+'MVWD Total '!B611:C611+'Upland Total'!B604:C604+'FWC Total'!B611:C611+'SAWC Total'!B610:C610+'CVWD Total'!B611:C611</f>
        <v>1377</v>
      </c>
      <c r="C672" s="1422"/>
      <c r="D672" s="1431">
        <f>F672*325851</f>
        <v>17005609.743300002</v>
      </c>
      <c r="E672" s="1422"/>
      <c r="F672" s="1431">
        <f>0.0379*B672</f>
        <v>52.188300000000005</v>
      </c>
      <c r="G672" s="1422"/>
      <c r="H672" s="633">
        <f>F672*20</f>
        <v>1043.7660000000001</v>
      </c>
      <c r="I672" s="131">
        <f>'Ontario Total'!I611+'Chino Total'!I611+'Chino Hills Total'!I611+'MVWD Total '!I611+'Upland Total'!I604+'FWC Total'!I611+'SAWC Total'!I610+'CVWD Total'!I611</f>
        <v>0</v>
      </c>
      <c r="J672" s="131">
        <f>'Ontario Total'!J611+'Chino Total'!J611+'Chino Hills Total'!J611+'MVWD Total '!J611+'Upland Total'!J604+'FWC Total'!J611+'SAWC Total'!J610+'CVWD Total'!J611</f>
        <v>2734</v>
      </c>
      <c r="K672" s="131">
        <f>'Ontario Total'!K611+'Chino Total'!K611+'Chino Hills Total'!K611+'MVWD Total '!K611+'Upland Total'!K604+'FWC Total'!K611+'SAWC Total'!K610+'CVWD Total'!K611</f>
        <v>81940</v>
      </c>
      <c r="L672" s="131">
        <f>'Ontario Total'!L611+'Chino Total'!L611+'Chino Hills Total'!L611+'MVWD Total '!L611+'Upland Total'!L604+'FWC Total'!L611+'SAWC Total'!L610+'CVWD Total'!L611</f>
        <v>84674</v>
      </c>
      <c r="M672" s="1943">
        <f>L672/(F672*427)</f>
        <v>3.7996977446661897</v>
      </c>
      <c r="N672" s="1759"/>
    </row>
    <row r="673" spans="1:15">
      <c r="A673" s="32" t="s">
        <v>63</v>
      </c>
      <c r="B673" s="1444">
        <f>'Ontario Total'!B612:C612+'Chino Total'!B612:C612+'Chino Hills Total'!B612:C612+'MVWD Total '!B612:C612+'Upland Total'!B605:C605+'FWC Total'!B612:C612+'SAWC Total'!B611:C611+'CVWD Total'!B612:C612</f>
        <v>1613</v>
      </c>
      <c r="C673" s="1422"/>
      <c r="D673" s="1431">
        <f>F673*325851</f>
        <v>19920151.427700002</v>
      </c>
      <c r="E673" s="1422"/>
      <c r="F673" s="1431">
        <f>0.0379*B673</f>
        <v>61.132700000000007</v>
      </c>
      <c r="G673" s="1422"/>
      <c r="H673" s="633">
        <f>F673*20</f>
        <v>1222.6540000000002</v>
      </c>
      <c r="I673" s="131">
        <f>'Ontario Total'!I612+'Chino Total'!I612+'Chino Hills Total'!I612+'MVWD Total '!I612+'Upland Total'!I605+'FWC Total'!I612+'SAWC Total'!I611+'CVWD Total'!I612</f>
        <v>0</v>
      </c>
      <c r="J673" s="131">
        <f>'Ontario Total'!J612+'Chino Total'!J612+'Chino Hills Total'!J612+'MVWD Total '!J612+'Upland Total'!J605+'FWC Total'!J612+'SAWC Total'!J611+'CVWD Total'!J612</f>
        <v>17743</v>
      </c>
      <c r="K673" s="131">
        <f>'Ontario Total'!K612+'Chino Total'!K612+'Chino Hills Total'!K612+'MVWD Total '!K612+'Upland Total'!K605+'FWC Total'!K612+'SAWC Total'!K611+'CVWD Total'!K612</f>
        <v>96780</v>
      </c>
      <c r="L673" s="131">
        <f>'Ontario Total'!L612+'Chino Total'!L612+'Chino Hills Total'!L612+'MVWD Total '!L612+'Upland Total'!L605+'FWC Total'!L612+'SAWC Total'!L611+'CVWD Total'!L612</f>
        <v>114523</v>
      </c>
      <c r="M673" s="1943">
        <f>L673/(F673*427)</f>
        <v>4.3872386966811465</v>
      </c>
      <c r="N673" s="1759"/>
    </row>
    <row r="674" spans="1:15">
      <c r="A674" s="32" t="s">
        <v>64</v>
      </c>
      <c r="B674" s="1444">
        <f>'Ontario Total'!B613:C613+'Chino Total'!B613:C613+'Chino Hills Total'!B613:C613+'MVWD Total '!B613:C613+'Upland Total'!B606:C606+'FWC Total'!B613:C613+'SAWC Total'!B612:C612+'CVWD Total'!B613:C613</f>
        <v>1446</v>
      </c>
      <c r="C674" s="1422"/>
      <c r="D674" s="1431">
        <f>F674*325851</f>
        <v>17857742.693399999</v>
      </c>
      <c r="E674" s="1422"/>
      <c r="F674" s="1431">
        <f>0.0379*B674</f>
        <v>54.803400000000003</v>
      </c>
      <c r="G674" s="1422"/>
      <c r="H674" s="633">
        <f>F674*20</f>
        <v>1096.068</v>
      </c>
      <c r="I674" s="131">
        <f>'Ontario Total'!I613+'Chino Total'!I613+'Chino Hills Total'!I613+'MVWD Total '!I613+'Upland Total'!I606+'FWC Total'!I613+'SAWC Total'!I612+'CVWD Total'!I613</f>
        <v>0</v>
      </c>
      <c r="J674" s="131">
        <f>'Ontario Total'!J613+'Chino Total'!J613+'Chino Hills Total'!J613+'MVWD Total '!J613+'Upland Total'!J606+'FWC Total'!J613+'SAWC Total'!J612+'CVWD Total'!J613</f>
        <v>1446</v>
      </c>
      <c r="K674" s="131">
        <f>'Ontario Total'!K613+'Chino Total'!K613+'Chino Hills Total'!K613+'MVWD Total '!K613+'Upland Total'!K606+'FWC Total'!K613+'SAWC Total'!K612+'CVWD Total'!K613</f>
        <v>86760</v>
      </c>
      <c r="L674" s="131">
        <f>'Ontario Total'!L613+'Chino Total'!L613+'Chino Hills Total'!L613+'MVWD Total '!L613+'Upland Total'!L606+'FWC Total'!L613+'SAWC Total'!L612+'CVWD Total'!L613</f>
        <v>88206</v>
      </c>
      <c r="M674" s="1943">
        <f>L674/(F674*427)</f>
        <v>3.7693177534866189</v>
      </c>
      <c r="N674" s="1759"/>
    </row>
    <row r="675" spans="1:15" s="91" customFormat="1" ht="16">
      <c r="A675" s="34" t="s">
        <v>13</v>
      </c>
      <c r="B675" s="1444">
        <f>'Ontario Total'!B614:C614+'Chino Total'!B614:C614+'Chino Hills Total'!B614:C614+'MVWD Total '!B614:C614+'Upland Total'!B607:C607+'FWC Total'!B614:C614+'SAWC Total'!B613:C613+'CVWD Total'!B614:C614</f>
        <v>1776</v>
      </c>
      <c r="C675" s="1422"/>
      <c r="D675" s="1431">
        <f>F675*325851</f>
        <v>15972433.977600001</v>
      </c>
      <c r="E675" s="1422"/>
      <c r="F675" s="1431">
        <f>0.0276*B675</f>
        <v>49.017600000000002</v>
      </c>
      <c r="G675" s="1422"/>
      <c r="H675" s="633">
        <f>F675*15</f>
        <v>735.26400000000001</v>
      </c>
      <c r="I675" s="131">
        <f>'Ontario Total'!I614+'Chino Total'!I614+'Chino Hills Total'!I614+'MVWD Total '!I614+'Upland Total'!I607+'FWC Total'!I614+'SAWC Total'!I613+'CVWD Total'!I614</f>
        <v>0</v>
      </c>
      <c r="J675" s="131">
        <f>'Ontario Total'!J614+'Chino Total'!J614+'Chino Hills Total'!J614+'MVWD Total '!J614+'Upland Total'!J607+'FWC Total'!J614+'SAWC Total'!J613+'CVWD Total'!J614</f>
        <v>1823</v>
      </c>
      <c r="K675" s="131">
        <f>'Ontario Total'!K614+'Chino Total'!K614+'Chino Hills Total'!K614+'MVWD Total '!K614+'Upland Total'!K607+'FWC Total'!K614+'SAWC Total'!K613+'CVWD Total'!K614</f>
        <v>200530</v>
      </c>
      <c r="L675" s="131">
        <f>'Ontario Total'!L614+'Chino Total'!L614+'Chino Hills Total'!L614+'MVWD Total '!L614+'Upland Total'!L607+'FWC Total'!L614+'SAWC Total'!L613+'CVWD Total'!L614</f>
        <v>202353</v>
      </c>
      <c r="M675" s="1943">
        <f>L675/(F675*427)</f>
        <v>9.6678461120727679</v>
      </c>
      <c r="N675" s="1759"/>
      <c r="O675" s="274"/>
    </row>
    <row r="676" spans="1:15" ht="14" thickBot="1">
      <c r="A676" s="35" t="s">
        <v>14</v>
      </c>
      <c r="B676" s="1444">
        <f>'Ontario Total'!B615:C615+'Chino Total'!B615:C615+'Chino Hills Total'!B615:C615+'MVWD Total '!B615:C615+'Upland Total'!B608:C608+'FWC Total'!B615:C615+'SAWC Total'!B614:C614+'CVWD Total'!B615:C615</f>
        <v>231</v>
      </c>
      <c r="C676" s="1422"/>
      <c r="D676" s="1431">
        <f>F676*325851</f>
        <v>6412747.6800000006</v>
      </c>
      <c r="E676" s="1422"/>
      <c r="F676" s="1431">
        <f>'Ontario Total'!F615:G615+'Chino Total'!F615:G615+'Chino Hills Total'!F615:G615+'MVWD Total '!F615:G615+'Upland Total'!F608:G608+'FWC Total'!F615:G615+'SAWC Total'!F614:G614+'CVWD Total'!F615:G615</f>
        <v>19.680000000000003</v>
      </c>
      <c r="G676" s="1422"/>
      <c r="H676" s="633">
        <f>F676*5</f>
        <v>98.40000000000002</v>
      </c>
      <c r="I676" s="131">
        <f>'Ontario Total'!I615+'Chino Total'!I615+'Chino Hills Total'!I615+'MVWD Total '!I615+'Upland Total'!I608+'FWC Total'!I615+'SAWC Total'!I614+'CVWD Total'!I615</f>
        <v>0</v>
      </c>
      <c r="J676" s="131">
        <f>'Ontario Total'!J615+'Chino Total'!J615+'Chino Hills Total'!J615+'MVWD Total '!J615+'Upland Total'!J608+'FWC Total'!J615+'SAWC Total'!J614+'CVWD Total'!J615</f>
        <v>12243</v>
      </c>
      <c r="K676" s="131">
        <f>'Ontario Total'!K615+'Chino Total'!K615+'Chino Hills Total'!K615+'MVWD Total '!K615+'Upland Total'!K608+'FWC Total'!K615+'SAWC Total'!K614+'CVWD Total'!K615</f>
        <v>0</v>
      </c>
      <c r="L676" s="131">
        <f>'Ontario Total'!L615+'Chino Total'!L615+'Chino Hills Total'!L615+'MVWD Total '!L615+'Upland Total'!L608+'FWC Total'!L615+'SAWC Total'!L614+'CVWD Total'!L615</f>
        <v>12243</v>
      </c>
      <c r="M676" s="1943">
        <f>L676/(F676*427)</f>
        <v>1.4569172331067572</v>
      </c>
      <c r="N676" s="1759"/>
    </row>
    <row r="677" spans="1:15" ht="14" thickBot="1">
      <c r="A677" s="53" t="s">
        <v>60</v>
      </c>
      <c r="B677" s="1440">
        <f>SUM(B672:C676)</f>
        <v>6443</v>
      </c>
      <c r="C677" s="1440"/>
      <c r="D677" s="1441">
        <f>SUM(D672:E676)</f>
        <v>77168685.522000015</v>
      </c>
      <c r="E677" s="1621"/>
      <c r="F677" s="1441">
        <f>SUM(F672:G676)</f>
        <v>236.822</v>
      </c>
      <c r="G677" s="1439"/>
      <c r="H677" s="610">
        <f>SUM(H672:H676)</f>
        <v>4196.152</v>
      </c>
      <c r="I677" s="143">
        <f>SUM(I672:I676)</f>
        <v>0</v>
      </c>
      <c r="J677" s="136">
        <f>SUM(J672:J676)</f>
        <v>35989</v>
      </c>
      <c r="K677" s="136">
        <f>SUM(K672:K676)</f>
        <v>466010</v>
      </c>
      <c r="L677" s="136">
        <f>SUM(L672:L676)</f>
        <v>501999</v>
      </c>
      <c r="M677" s="1856"/>
      <c r="N677" s="1622"/>
    </row>
    <row r="678" spans="1:15" s="1161" customFormat="1" ht="17" thickBot="1">
      <c r="A678" s="108" t="s">
        <v>49</v>
      </c>
      <c r="B678" s="1457"/>
      <c r="C678" s="1586"/>
      <c r="D678" s="1567"/>
      <c r="E678" s="1586"/>
      <c r="F678" s="1567"/>
      <c r="G678" s="1586"/>
      <c r="H678" s="1141"/>
      <c r="I678" s="161"/>
      <c r="J678" s="161"/>
      <c r="K678" s="161"/>
      <c r="L678" s="374"/>
      <c r="M678" s="1485"/>
      <c r="N678" s="1486"/>
      <c r="O678" s="274"/>
    </row>
    <row r="679" spans="1:15" ht="14" thickBot="1">
      <c r="A679" s="34" t="s">
        <v>11</v>
      </c>
      <c r="B679" s="1444">
        <f>'Ontario Total'!B618:C618+'Chino Total'!B618:C618+'Chino Hills Total'!B618:C618+'MVWD Total '!B618:C618+'Upland Total'!B611:C611+'FWC Total'!B618:C618+'SAWC Total'!B617:C617+'CVWD Total'!B618:C618</f>
        <v>2101</v>
      </c>
      <c r="C679" s="1422"/>
      <c r="D679" s="1431">
        <f>F679*325851</f>
        <v>25946830.842900004</v>
      </c>
      <c r="E679" s="1422"/>
      <c r="F679" s="1431">
        <f>0.0379*B679</f>
        <v>79.627900000000011</v>
      </c>
      <c r="G679" s="1422"/>
      <c r="H679" s="633">
        <f>F679*20</f>
        <v>1592.5580000000002</v>
      </c>
      <c r="I679" s="131">
        <f>'Ontario Total'!I618+'Chino Total'!I618+'Chino Hills Total'!I618+'MVWD Total '!I618+'Upland Total'!I611+'FWC Total'!I618+'SAWC Total'!I617+'CVWD Total'!I618</f>
        <v>0</v>
      </c>
      <c r="J679" s="131">
        <f>'Ontario Total'!J618+'Chino Total'!J618+'Chino Hills Total'!J618+'MVWD Total '!J618+'Upland Total'!J611+'FWC Total'!J618+'SAWC Total'!J617+'CVWD Total'!J618</f>
        <v>71434</v>
      </c>
      <c r="K679" s="131">
        <f>'Ontario Total'!K618+'Chino Total'!K618+'Chino Hills Total'!K618+'MVWD Total '!K618+'Upland Total'!K611+'FWC Total'!K618+'SAWC Total'!K617+'CVWD Total'!K618</f>
        <v>126060</v>
      </c>
      <c r="L679" s="131">
        <f>'Ontario Total'!L618+'Chino Total'!L618+'Chino Hills Total'!L618+'MVWD Total '!L618+'Upland Total'!L611+'FWC Total'!L618+'SAWC Total'!L617+'CVWD Total'!L618</f>
        <v>197494</v>
      </c>
      <c r="M679" s="1943">
        <f>L679/(F679*427)</f>
        <v>5.8084568660285596</v>
      </c>
      <c r="N679" s="1759"/>
    </row>
    <row r="680" spans="1:15" ht="14" thickBot="1">
      <c r="A680" s="53" t="s">
        <v>60</v>
      </c>
      <c r="B680" s="1440">
        <f>SUM(B679)</f>
        <v>2101</v>
      </c>
      <c r="C680" s="1440"/>
      <c r="D680" s="1441">
        <f>SUM(D679)</f>
        <v>25946830.842900004</v>
      </c>
      <c r="E680" s="1439"/>
      <c r="F680" s="1440">
        <f>SUM(F679)</f>
        <v>79.627900000000011</v>
      </c>
      <c r="G680" s="1439"/>
      <c r="H680" s="610">
        <f>SUM(H679)</f>
        <v>1592.5580000000002</v>
      </c>
      <c r="I680" s="143">
        <f>SUM(I679)</f>
        <v>0</v>
      </c>
      <c r="J680" s="136">
        <f>SUM(J679)</f>
        <v>71434</v>
      </c>
      <c r="K680" s="136">
        <f>SUM(K679)</f>
        <v>126060</v>
      </c>
      <c r="L680" s="136">
        <f>SUM(L679)</f>
        <v>197494</v>
      </c>
      <c r="M680" s="1856"/>
      <c r="N680" s="1790"/>
    </row>
    <row r="681" spans="1:15" s="1168" customFormat="1" ht="17" thickBot="1">
      <c r="A681" s="108" t="s">
        <v>50</v>
      </c>
      <c r="B681" s="1457"/>
      <c r="C681" s="1586"/>
      <c r="D681" s="1567"/>
      <c r="E681" s="1586"/>
      <c r="F681" s="1567"/>
      <c r="G681" s="1586"/>
      <c r="H681" s="1141"/>
      <c r="I681" s="161"/>
      <c r="J681" s="161"/>
      <c r="K681" s="161"/>
      <c r="L681" s="374"/>
      <c r="M681" s="1485"/>
      <c r="N681" s="1486"/>
      <c r="O681" s="121"/>
    </row>
    <row r="682" spans="1:15">
      <c r="A682" s="34" t="s">
        <v>13</v>
      </c>
      <c r="B682" s="1444">
        <f>'Ontario Total'!B621:C621+'Chino Total'!B621:C621+'Chino Hills Total'!B621:C621+'MVWD Total '!B621:C621+'Upland Total'!B614:C614+'FWC Total'!B621:C621+'SAWC Total'!B620:C620+'CVWD Total'!B621:C621</f>
        <v>111</v>
      </c>
      <c r="C682" s="1422"/>
      <c r="D682" s="1431">
        <f>F682*325851</f>
        <v>998277.12360000005</v>
      </c>
      <c r="E682" s="1422"/>
      <c r="F682" s="1431">
        <f>0.0276*B682</f>
        <v>3.0636000000000001</v>
      </c>
      <c r="G682" s="1422"/>
      <c r="H682" s="633">
        <f>F682*20</f>
        <v>61.272000000000006</v>
      </c>
      <c r="I682" s="131">
        <f>'Ontario Total'!I621+'Chino Total'!I621+'Chino Hills Total'!I621+'MVWD Total '!I621+'Upland Total'!I614+'FWC Total'!I621+'SAWC Total'!I620+'CVWD Total'!I621</f>
        <v>0</v>
      </c>
      <c r="J682" s="131">
        <f>'Ontario Total'!J621+'Chino Total'!J621+'Chino Hills Total'!J621+'MVWD Total '!J621+'Upland Total'!J614+'FWC Total'!J621+'SAWC Total'!J620+'CVWD Total'!J621</f>
        <v>0</v>
      </c>
      <c r="K682" s="131">
        <f>'Ontario Total'!K621+'Chino Total'!K621+'Chino Hills Total'!K621+'MVWD Total '!K621+'Upland Total'!K614+'FWC Total'!K621+'SAWC Total'!K620+'CVWD Total'!K621</f>
        <v>27750</v>
      </c>
      <c r="L682" s="131">
        <f>'Ontario Total'!L621+'Chino Total'!L621+'Chino Hills Total'!L621+'MVWD Total '!L621+'Upland Total'!L614+'FWC Total'!L621+'SAWC Total'!L620+'CVWD Total'!L621</f>
        <v>27750</v>
      </c>
      <c r="M682" s="1943">
        <v>0</v>
      </c>
      <c r="N682" s="1759"/>
    </row>
    <row r="683" spans="1:15">
      <c r="A683" s="35" t="s">
        <v>75</v>
      </c>
      <c r="B683" s="1444">
        <f>'Ontario Total'!B622:C622+'Chino Total'!B622:C622+'Chino Hills Total'!B622:C622+'MVWD Total '!B622:C622+'Upland Total'!B615:C615+'FWC Total'!B622:C622+'SAWC Total'!B621:C621+'CVWD Total'!B622:C622</f>
        <v>210</v>
      </c>
      <c r="C683" s="1422"/>
      <c r="D683" s="1431">
        <f>F683*325851</f>
        <v>10496964.114</v>
      </c>
      <c r="E683" s="1422"/>
      <c r="F683" s="1431">
        <f>0.1534*B683</f>
        <v>32.213999999999999</v>
      </c>
      <c r="G683" s="1422"/>
      <c r="H683" s="633">
        <f>F683*5</f>
        <v>161.07</v>
      </c>
      <c r="I683" s="131">
        <f>'Ontario Total'!I622+'Chino Total'!I622+'Chino Hills Total'!I622+'MVWD Total '!I622+'Upland Total'!I615+'FWC Total'!I622+'SAWC Total'!I621+'CVWD Total'!I622</f>
        <v>0</v>
      </c>
      <c r="J683" s="131">
        <f>'Ontario Total'!J622+'Chino Total'!J622+'Chino Hills Total'!J622+'MVWD Total '!J622+'Upland Total'!J615+'FWC Total'!J622+'SAWC Total'!J621+'CVWD Total'!J622</f>
        <v>20100</v>
      </c>
      <c r="K683" s="131">
        <f>'Ontario Total'!K622+'Chino Total'!K622+'Chino Hills Total'!K622+'MVWD Total '!K622+'Upland Total'!K615+'FWC Total'!K622+'SAWC Total'!K621+'CVWD Total'!K622</f>
        <v>21000</v>
      </c>
      <c r="L683" s="131">
        <f>'Ontario Total'!L622+'Chino Total'!L622+'Chino Hills Total'!L622+'MVWD Total '!L622+'Upland Total'!L615+'FWC Total'!L622+'SAWC Total'!L621+'CVWD Total'!L622</f>
        <v>41100</v>
      </c>
      <c r="M683" s="1943">
        <f>L683/(F683*427)</f>
        <v>2.9879222512096724</v>
      </c>
      <c r="N683" s="1759"/>
    </row>
    <row r="684" spans="1:15" s="91" customFormat="1" ht="16">
      <c r="A684" s="35" t="s">
        <v>71</v>
      </c>
      <c r="B684" s="1444">
        <f>'Ontario Total'!B623:C623+'Chino Total'!B623:C623+'Chino Hills Total'!B623:C623+'MVWD Total '!B623:C623+'Upland Total'!B616:C616+'FWC Total'!B623:C623+'SAWC Total'!B622:C622+'CVWD Total'!B623:C623</f>
        <v>113</v>
      </c>
      <c r="C684" s="1422"/>
      <c r="D684" s="1431">
        <f>F684*325851</f>
        <v>5648366.4042000007</v>
      </c>
      <c r="E684" s="1422"/>
      <c r="F684" s="1431">
        <f>0.1534*B684</f>
        <v>17.334200000000003</v>
      </c>
      <c r="G684" s="1422"/>
      <c r="H684" s="633">
        <f>F684*5</f>
        <v>86.671000000000021</v>
      </c>
      <c r="I684" s="131">
        <f>'Ontario Total'!I623+'Chino Total'!I623+'Chino Hills Total'!I623+'MVWD Total '!I623+'Upland Total'!I616+'FWC Total'!I623+'SAWC Total'!I622+'CVWD Total'!I623</f>
        <v>0</v>
      </c>
      <c r="J684" s="131">
        <f>'Ontario Total'!J623+'Chino Total'!J623+'Chino Hills Total'!J623+'MVWD Total '!J623+'Upland Total'!J616+'FWC Total'!J623+'SAWC Total'!J622+'CVWD Total'!J623</f>
        <v>10600</v>
      </c>
      <c r="K684" s="131">
        <f>'Ontario Total'!K623+'Chino Total'!K623+'Chino Hills Total'!K623+'MVWD Total '!K623+'Upland Total'!K616+'FWC Total'!K623+'SAWC Total'!K622+'CVWD Total'!K623</f>
        <v>11300</v>
      </c>
      <c r="L684" s="131">
        <f>'Ontario Total'!L623+'Chino Total'!L623+'Chino Hills Total'!L623+'MVWD Total '!L623+'Upland Total'!L616+'FWC Total'!L623+'SAWC Total'!L622+'CVWD Total'!L623</f>
        <v>21900</v>
      </c>
      <c r="M684" s="1943">
        <f>L684/(F684*427)</f>
        <v>2.9587783806630235</v>
      </c>
      <c r="N684" s="1759"/>
      <c r="O684" s="274"/>
    </row>
    <row r="685" spans="1:15" ht="14" thickBot="1">
      <c r="A685" s="35" t="s">
        <v>16</v>
      </c>
      <c r="B685" s="1444">
        <f>'Ontario Total'!B624:C624+'Chino Total'!B624:C624+'Chino Hills Total'!B624:C624+'MVWD Total '!B624:C624+'Upland Total'!B617:C617+'FWC Total'!B624:C624+'SAWC Total'!B623:C623+'CVWD Total'!B624:C624</f>
        <v>0</v>
      </c>
      <c r="C685" s="1422"/>
      <c r="D685" s="1431">
        <f>F685*325851</f>
        <v>0</v>
      </c>
      <c r="E685" s="1422"/>
      <c r="F685" s="1431">
        <f>0.153*B685</f>
        <v>0</v>
      </c>
      <c r="G685" s="1422"/>
      <c r="H685" s="633">
        <f>F685*5</f>
        <v>0</v>
      </c>
      <c r="I685" s="131">
        <f>'Ontario Total'!I624+'Chino Total'!I624+'Chino Hills Total'!I624+'MVWD Total '!I624+'Upland Total'!I617+'FWC Total'!I624+'SAWC Total'!I623+'CVWD Total'!I624</f>
        <v>0</v>
      </c>
      <c r="J685" s="131">
        <f>'Ontario Total'!J624+'Chino Total'!J624+'Chino Hills Total'!J624+'MVWD Total '!J624+'Upland Total'!J617+'FWC Total'!J624+'SAWC Total'!J623+'CVWD Total'!J624</f>
        <v>0</v>
      </c>
      <c r="K685" s="131">
        <f>'Ontario Total'!K624+'Chino Total'!K624+'Chino Hills Total'!K624+'MVWD Total '!K624+'Upland Total'!K617+'FWC Total'!K624+'SAWC Total'!K623+'CVWD Total'!K624</f>
        <v>0</v>
      </c>
      <c r="L685" s="131">
        <f>'Ontario Total'!L624+'Chino Total'!L624+'Chino Hills Total'!L624+'MVWD Total '!L624+'Upland Total'!L617+'FWC Total'!L624+'SAWC Total'!L623+'CVWD Total'!L624</f>
        <v>0</v>
      </c>
      <c r="M685" s="1943">
        <v>0</v>
      </c>
      <c r="N685" s="1759"/>
    </row>
    <row r="686" spans="1:15" ht="14" thickBot="1">
      <c r="A686" s="53" t="s">
        <v>60</v>
      </c>
      <c r="B686" s="1438">
        <f>SUM(B682:C685)</f>
        <v>434</v>
      </c>
      <c r="C686" s="1439"/>
      <c r="D686" s="1440">
        <f>SUM(D682:E685)</f>
        <v>17143607.641800001</v>
      </c>
      <c r="E686" s="1621"/>
      <c r="F686" s="1441">
        <f>SUM(F682:G685)</f>
        <v>52.611800000000002</v>
      </c>
      <c r="G686" s="1439"/>
      <c r="H686" s="610">
        <f>SUM(H682:H685)</f>
        <v>309.01300000000003</v>
      </c>
      <c r="I686" s="143">
        <f>SUM(I682:I685)</f>
        <v>0</v>
      </c>
      <c r="J686" s="152">
        <f>SUM(J682:J685)</f>
        <v>30700</v>
      </c>
      <c r="K686" s="378">
        <f>SUM(K682:K685)</f>
        <v>60050</v>
      </c>
      <c r="L686" s="143">
        <f>SUM(L682:L685)</f>
        <v>90750</v>
      </c>
      <c r="M686" s="1856"/>
      <c r="N686" s="1622"/>
    </row>
    <row r="687" spans="1:15" s="1168" customFormat="1" ht="17" thickBot="1">
      <c r="A687" s="1186" t="s">
        <v>17</v>
      </c>
      <c r="B687" s="1663">
        <f>B677+B680+B686</f>
        <v>8978</v>
      </c>
      <c r="C687" s="1664"/>
      <c r="D687" s="1665">
        <f>D677+D680+D686</f>
        <v>120259124.00670002</v>
      </c>
      <c r="E687" s="1684"/>
      <c r="F687" s="1665">
        <f>F677+F680+F686</f>
        <v>369.06170000000003</v>
      </c>
      <c r="G687" s="1664"/>
      <c r="H687" s="1184">
        <f>H677+H680+H686</f>
        <v>6097.723</v>
      </c>
      <c r="I687" s="1188">
        <f>I677+I680+I686</f>
        <v>0</v>
      </c>
      <c r="J687" s="1188">
        <f>SUM(J677,J680,J686)</f>
        <v>138123</v>
      </c>
      <c r="K687" s="1188">
        <f>SUM(K677,K680,K686)</f>
        <v>652120</v>
      </c>
      <c r="L687" s="1188">
        <f>SUM(L677,L680,L686)</f>
        <v>790243</v>
      </c>
      <c r="M687" s="2249"/>
      <c r="N687" s="1669"/>
      <c r="O687" s="121"/>
    </row>
    <row r="688" spans="1:15" s="91" customFormat="1" ht="16">
      <c r="A688"/>
      <c r="B688" s="45"/>
      <c r="C688" s="45"/>
      <c r="D688"/>
      <c r="E688"/>
      <c r="F688" s="45"/>
      <c r="G688" s="45"/>
      <c r="H688" s="45"/>
      <c r="I688"/>
      <c r="J688"/>
      <c r="K688"/>
      <c r="L688"/>
      <c r="M688"/>
      <c r="N688"/>
      <c r="O688" s="274"/>
    </row>
    <row r="689" spans="1:15" ht="14" thickBot="1">
      <c r="B689" s="45"/>
      <c r="C689" s="45"/>
      <c r="F689" s="45"/>
      <c r="G689" s="45"/>
      <c r="H689" s="45"/>
    </row>
    <row r="690" spans="1:15" ht="24" thickBot="1">
      <c r="A690" s="88" t="s">
        <v>137</v>
      </c>
      <c r="B690" s="8"/>
      <c r="C690" s="373"/>
      <c r="D690" s="11"/>
      <c r="E690" s="12"/>
      <c r="F690" s="419"/>
      <c r="G690" s="373"/>
      <c r="H690" s="373"/>
      <c r="I690" s="15"/>
      <c r="J690" s="15"/>
      <c r="K690" s="15"/>
      <c r="L690" s="15"/>
      <c r="M690" s="16"/>
      <c r="N690" s="17"/>
    </row>
    <row r="691" spans="1:15" s="1168" customFormat="1" ht="17" thickBot="1">
      <c r="A691" s="108" t="s">
        <v>74</v>
      </c>
      <c r="B691" s="1457"/>
      <c r="C691" s="1586"/>
      <c r="D691" s="1567"/>
      <c r="E691" s="1586"/>
      <c r="F691" s="1567"/>
      <c r="G691" s="1586"/>
      <c r="H691" s="1142"/>
      <c r="I691" s="109"/>
      <c r="J691" s="109"/>
      <c r="K691" s="109"/>
      <c r="L691" s="1141"/>
      <c r="M691" s="1617"/>
      <c r="N691" s="1486"/>
      <c r="O691" s="121"/>
    </row>
    <row r="692" spans="1:15">
      <c r="A692" s="32" t="s">
        <v>62</v>
      </c>
      <c r="B692" s="1444">
        <f>'Ontario Total'!B631:C631+'Chino Total'!B631:C631+'Chino Hills Total'!B631:C631+'MVWD Total '!B631:C631+'Upland Total'!B624:C624+'FWC Total'!B631:C631+'SAWC Total'!B630:C630+'CVWD Total'!B631:C631</f>
        <v>1692</v>
      </c>
      <c r="C692" s="1422"/>
      <c r="D692" s="1431">
        <f>F692*325851</f>
        <v>20895781.906800002</v>
      </c>
      <c r="E692" s="1422"/>
      <c r="F692" s="1431">
        <f>0.0379*B692</f>
        <v>64.126800000000003</v>
      </c>
      <c r="G692" s="1422"/>
      <c r="H692" s="626">
        <f>F692*20</f>
        <v>1282.5360000000001</v>
      </c>
      <c r="I692" s="131">
        <f>'Ontario Total'!I631+'Chino Total'!I631+'Chino Hills Total'!I631+'MVWD Total '!I631+'Upland Total'!I624+'FWC Total'!I631+'SAWC Total'!I630+'CVWD Total'!I631</f>
        <v>0</v>
      </c>
      <c r="J692" s="131">
        <f>'Ontario Total'!J631+'Chino Total'!J631+'Chino Hills Total'!J631+'MVWD Total '!J631+'Upland Total'!J624+'FWC Total'!J631+'SAWC Total'!J630+'CVWD Total'!J631</f>
        <v>3540</v>
      </c>
      <c r="K692" s="131">
        <f>'Ontario Total'!K631+'Chino Total'!K631+'Chino Hills Total'!K631+'MVWD Total '!K631+'Upland Total'!K624+'FWC Total'!K631+'SAWC Total'!K630+'CVWD Total'!K631</f>
        <v>106200</v>
      </c>
      <c r="L692" s="131">
        <f>'Ontario Total'!L631+'Chino Total'!L631+'Chino Hills Total'!L631+'MVWD Total '!L631+'Upland Total'!L624+'FWC Total'!L631+'SAWC Total'!L630+'CVWD Total'!L631</f>
        <v>109740</v>
      </c>
      <c r="M692" s="1758">
        <f>L692/(F692*427)</f>
        <v>4.0077212946907483</v>
      </c>
      <c r="N692" s="1759"/>
    </row>
    <row r="693" spans="1:15">
      <c r="A693" s="32" t="s">
        <v>63</v>
      </c>
      <c r="B693" s="1444">
        <f>'Ontario Total'!B632:C632+'Chino Total'!B632:C632+'Chino Hills Total'!B632:C632+'MVWD Total '!B632:C632+'Upland Total'!B625:C625+'FWC Total'!B632:C632+'SAWC Total'!B631:C631+'CVWD Total'!B632:C632</f>
        <v>1052</v>
      </c>
      <c r="C693" s="1422"/>
      <c r="D693" s="1431">
        <f>F693*325851</f>
        <v>12991940.050800001</v>
      </c>
      <c r="E693" s="1422"/>
      <c r="F693" s="1431">
        <f>0.0379*B693</f>
        <v>39.870800000000003</v>
      </c>
      <c r="G693" s="1422"/>
      <c r="H693" s="626">
        <f>F693*20</f>
        <v>797.41600000000005</v>
      </c>
      <c r="I693" s="131">
        <f>'Ontario Total'!I632+'Chino Total'!I632+'Chino Hills Total'!I632+'MVWD Total '!I632+'Upland Total'!I625+'FWC Total'!I632+'SAWC Total'!I631+'CVWD Total'!I632</f>
        <v>0</v>
      </c>
      <c r="J693" s="131">
        <f>'Ontario Total'!J632+'Chino Total'!J632+'Chino Hills Total'!J632+'MVWD Total '!J632+'Upland Total'!J625+'FWC Total'!J632+'SAWC Total'!J631+'CVWD Total'!J632</f>
        <v>11286</v>
      </c>
      <c r="K693" s="131">
        <f>'Ontario Total'!K632+'Chino Total'!K632+'Chino Hills Total'!K632+'MVWD Total '!K632+'Upland Total'!K625+'FWC Total'!K632+'SAWC Total'!K631+'CVWD Total'!K632</f>
        <v>61560</v>
      </c>
      <c r="L693" s="131">
        <f>'Ontario Total'!L632+'Chino Total'!L632+'Chino Hills Total'!L632+'MVWD Total '!L632+'Upland Total'!L625+'FWC Total'!L632+'SAWC Total'!L631+'CVWD Total'!L632</f>
        <v>72846</v>
      </c>
      <c r="M693" s="1758">
        <f>L693/(F693*427)</f>
        <v>4.2788088429608901</v>
      </c>
      <c r="N693" s="1759"/>
    </row>
    <row r="694" spans="1:15">
      <c r="A694" s="32" t="s">
        <v>64</v>
      </c>
      <c r="B694" s="1444">
        <f>'Ontario Total'!B633:C633+'Chino Total'!B633:C633+'Chino Hills Total'!B633:C633+'MVWD Total '!B633:C633+'Upland Total'!B626:C626+'FWC Total'!B633:C633+'SAWC Total'!B632:C632+'CVWD Total'!B633:C633</f>
        <v>198</v>
      </c>
      <c r="C694" s="1422"/>
      <c r="D694" s="1431">
        <f>F694*325851</f>
        <v>2445251.0742000001</v>
      </c>
      <c r="E694" s="1422"/>
      <c r="F694" s="1431">
        <f>0.0379*B694</f>
        <v>7.5042000000000009</v>
      </c>
      <c r="G694" s="1422"/>
      <c r="H694" s="626">
        <f>F694*20</f>
        <v>150.084</v>
      </c>
      <c r="I694" s="131">
        <f>'Ontario Total'!I633+'Chino Total'!I633+'Chino Hills Total'!I633+'MVWD Total '!I633+'Upland Total'!I626+'FWC Total'!I633+'SAWC Total'!I632+'CVWD Total'!I633</f>
        <v>0</v>
      </c>
      <c r="J694" s="131">
        <f>'Ontario Total'!J633+'Chino Total'!J633+'Chino Hills Total'!J633+'MVWD Total '!J633+'Upland Total'!J626+'FWC Total'!J633+'SAWC Total'!J632+'CVWD Total'!J633</f>
        <v>198</v>
      </c>
      <c r="K694" s="131">
        <f>'Ontario Total'!K633+'Chino Total'!K633+'Chino Hills Total'!K633+'MVWD Total '!K633+'Upland Total'!K626+'FWC Total'!K633+'SAWC Total'!K632+'CVWD Total'!K633</f>
        <v>11880</v>
      </c>
      <c r="L694" s="131">
        <f>'Ontario Total'!L633+'Chino Total'!L633+'Chino Hills Total'!L633+'MVWD Total '!L633+'Upland Total'!L626+'FWC Total'!L633+'SAWC Total'!L632+'CVWD Total'!L633</f>
        <v>12078</v>
      </c>
      <c r="M694" s="1758">
        <f>L694/(F694*427)</f>
        <v>3.7693177534866185</v>
      </c>
      <c r="N694" s="1759"/>
    </row>
    <row r="695" spans="1:15" s="91" customFormat="1" ht="16">
      <c r="A695" s="34" t="s">
        <v>13</v>
      </c>
      <c r="B695" s="1444">
        <f>'Ontario Total'!B634:C634+'Chino Total'!B634:C634+'Chino Hills Total'!B634:C634+'MVWD Total '!B634:C634+'Upland Total'!B627:C627+'FWC Total'!B634:C634+'SAWC Total'!B633:C633+'CVWD Total'!B634:C634</f>
        <v>1395</v>
      </c>
      <c r="C695" s="1422"/>
      <c r="D695" s="1431">
        <f>F695*325851</f>
        <v>12545915.202000001</v>
      </c>
      <c r="E695" s="1422"/>
      <c r="F695" s="1431">
        <f>0.0276*B695</f>
        <v>38.502000000000002</v>
      </c>
      <c r="G695" s="1422"/>
      <c r="H695" s="626">
        <f>F695*15</f>
        <v>577.53000000000009</v>
      </c>
      <c r="I695" s="131">
        <f>'Ontario Total'!I634+'Chino Total'!I634+'Chino Hills Total'!I634+'MVWD Total '!I634+'Upland Total'!I627+'FWC Total'!I634+'SAWC Total'!I633+'CVWD Total'!I634</f>
        <v>0</v>
      </c>
      <c r="J695" s="131">
        <f>'Ontario Total'!J634+'Chino Total'!J634+'Chino Hills Total'!J634+'MVWD Total '!J634+'Upland Total'!J627+'FWC Total'!J634+'SAWC Total'!J633+'CVWD Total'!J634</f>
        <v>1476</v>
      </c>
      <c r="K695" s="131">
        <f>'Ontario Total'!K634+'Chino Total'!K634+'Chino Hills Total'!K634+'MVWD Total '!K634+'Upland Total'!K627+'FWC Total'!K634+'SAWC Total'!K633+'CVWD Total'!K634</f>
        <v>162360</v>
      </c>
      <c r="L695" s="131">
        <f>'Ontario Total'!L634+'Chino Total'!L634+'Chino Hills Total'!L634+'MVWD Total '!L634+'Upland Total'!L627+'FWC Total'!L634+'SAWC Total'!L633+'CVWD Total'!L634</f>
        <v>163836</v>
      </c>
      <c r="M695" s="1758">
        <f>L695/(F695*427)</f>
        <v>9.9654788455285086</v>
      </c>
      <c r="N695" s="1759"/>
      <c r="O695" s="274"/>
    </row>
    <row r="696" spans="1:15" ht="14" thickBot="1">
      <c r="A696" s="34" t="s">
        <v>14</v>
      </c>
      <c r="B696" s="1444">
        <f>'Ontario Total'!B635:C635+'Chino Total'!B635:C635+'Chino Hills Total'!B635:C635+'MVWD Total '!B635:C635+'Upland Total'!B628:C628+'FWC Total'!B635:C635+'SAWC Total'!B634:C634+'CVWD Total'!B635:C635</f>
        <v>235</v>
      </c>
      <c r="C696" s="1422"/>
      <c r="D696" s="1431">
        <f>F696*325851</f>
        <v>9984074.6399999987</v>
      </c>
      <c r="E696" s="1422"/>
      <c r="F696" s="1431">
        <f>'Ontario Total'!F635:G635+'Chino Total'!F635:G635+'Chino Hills Total'!F635:G635+'MVWD Total '!F635:G635+'Upland Total'!F628:G628+'FWC Total'!F635:G635+'SAWC Total'!F634:G634+'CVWD Total'!F635:G635</f>
        <v>30.639999999999993</v>
      </c>
      <c r="G696" s="1422"/>
      <c r="H696" s="626">
        <f>F696*5</f>
        <v>153.19999999999996</v>
      </c>
      <c r="I696" s="131">
        <f>'Ontario Total'!I635+'Chino Total'!I635+'Chino Hills Total'!I635+'MVWD Total '!I635+'Upland Total'!I628+'FWC Total'!I635+'SAWC Total'!I634+'CVWD Total'!I635</f>
        <v>0</v>
      </c>
      <c r="J696" s="131">
        <f>'Ontario Total'!J635+'Chino Total'!J635+'Chino Hills Total'!J635+'MVWD Total '!J635+'Upland Total'!J628+'FWC Total'!J635+'SAWC Total'!J634+'CVWD Total'!J635</f>
        <v>12455</v>
      </c>
      <c r="K696" s="131">
        <f>'Ontario Total'!K635+'Chino Total'!K635+'Chino Hills Total'!K635+'MVWD Total '!K635+'Upland Total'!K628+'FWC Total'!K635+'SAWC Total'!K634+'CVWD Total'!K635</f>
        <v>0</v>
      </c>
      <c r="L696" s="131">
        <f>'Ontario Total'!L635+'Chino Total'!L635+'Chino Hills Total'!L635+'MVWD Total '!L635+'Upland Total'!L628+'FWC Total'!L635+'SAWC Total'!L634+'CVWD Total'!L635</f>
        <v>12455</v>
      </c>
      <c r="M696" s="1758">
        <f>L696/(F696*427)</f>
        <v>0.95197840296928615</v>
      </c>
      <c r="N696" s="1759"/>
    </row>
    <row r="697" spans="1:15" ht="14" thickBot="1">
      <c r="A697" s="53" t="s">
        <v>60</v>
      </c>
      <c r="B697" s="1438">
        <f>SUM(B692:C696)</f>
        <v>4572</v>
      </c>
      <c r="C697" s="1609"/>
      <c r="D697" s="1440">
        <f>SUM(D692:E696)</f>
        <v>58862962.873800002</v>
      </c>
      <c r="E697" s="1621"/>
      <c r="F697" s="1441">
        <f>SUM(F692:G696)</f>
        <v>180.6438</v>
      </c>
      <c r="G697" s="1439"/>
      <c r="H697" s="619">
        <f>SUM(H692:H696)</f>
        <v>2960.7660000000001</v>
      </c>
      <c r="I697" s="136">
        <f>SUM(I692:I696)</f>
        <v>0</v>
      </c>
      <c r="J697" s="136">
        <f>SUM(J692:J696)</f>
        <v>28955</v>
      </c>
      <c r="K697" s="136">
        <f>SUM(K692:K696)</f>
        <v>342000</v>
      </c>
      <c r="L697" s="136">
        <f>SUM(L692:L696)</f>
        <v>370955</v>
      </c>
      <c r="M697" s="1657"/>
      <c r="N697" s="1622"/>
    </row>
    <row r="698" spans="1:15" s="1161" customFormat="1" ht="17" thickBot="1">
      <c r="A698" s="108" t="s">
        <v>49</v>
      </c>
      <c r="B698" s="1457"/>
      <c r="C698" s="1586"/>
      <c r="D698" s="1567"/>
      <c r="E698" s="1586"/>
      <c r="F698" s="1567"/>
      <c r="G698" s="1586"/>
      <c r="H698" s="1142"/>
      <c r="I698" s="161"/>
      <c r="J698" s="161"/>
      <c r="K698" s="161"/>
      <c r="L698" s="162"/>
      <c r="M698" s="1617"/>
      <c r="N698" s="1486"/>
      <c r="O698" s="274"/>
    </row>
    <row r="699" spans="1:15" ht="14" thickBot="1">
      <c r="A699" s="34" t="s">
        <v>11</v>
      </c>
      <c r="B699" s="1696">
        <f>'Ontario Total'!B638:C638+'Chino Total'!B638:C638+'Chino Hills Total'!B638:C638+'MVWD Total '!B638:C638+'Upland Total'!B631:C631+'FWC Total'!B638:C638+'SAWC Total'!B637:C637+'CVWD Total'!B638:C638</f>
        <v>891</v>
      </c>
      <c r="C699" s="1743"/>
      <c r="D699" s="1431">
        <f>F699*325851</f>
        <v>11003629.833900001</v>
      </c>
      <c r="E699" s="1422"/>
      <c r="F699" s="1431">
        <f>0.0379*B699</f>
        <v>33.768900000000002</v>
      </c>
      <c r="G699" s="1422"/>
      <c r="H699" s="626">
        <f>F699*20</f>
        <v>675.37800000000004</v>
      </c>
      <c r="I699" s="131">
        <v>0</v>
      </c>
      <c r="J699" s="131">
        <f>'Ontario Total'!J638+'Chino Total'!J638+'Chino Hills Total'!J638+'MVWD Total '!J638+'Upland Total'!J631+'FWC Total'!J638+'SAWC Total'!J637+'CVWD Total'!J638</f>
        <v>33728</v>
      </c>
      <c r="K699" s="131">
        <f>'Ontario Total'!K638+'Chino Total'!K638+'Chino Hills Total'!K638+'MVWD Total '!K638+'Upland Total'!K631+'FWC Total'!K638+'SAWC Total'!K637+'CVWD Total'!K638</f>
        <v>59520</v>
      </c>
      <c r="L699" s="131">
        <f>'Ontario Total'!L638+'Chino Total'!L638+'Chino Hills Total'!L638+'MVWD Total '!L638+'Upland Total'!L631+'FWC Total'!L638+'SAWC Total'!L637+'CVWD Total'!L638</f>
        <v>93248</v>
      </c>
      <c r="M699" s="1758">
        <f>L699/(F699*427)</f>
        <v>6.4668790248039629</v>
      </c>
      <c r="N699" s="1759"/>
    </row>
    <row r="700" spans="1:15" ht="14" thickBot="1">
      <c r="A700" s="53" t="s">
        <v>60</v>
      </c>
      <c r="B700" s="1440">
        <f>SUM(B699)</f>
        <v>891</v>
      </c>
      <c r="C700" s="1621"/>
      <c r="D700" s="1441">
        <f>SUM(D699)</f>
        <v>11003629.833900001</v>
      </c>
      <c r="E700" s="1609"/>
      <c r="F700" s="1440">
        <f>SUM(F699)</f>
        <v>33.768900000000002</v>
      </c>
      <c r="G700" s="1439"/>
      <c r="H700" s="619">
        <f>SUM(H699)</f>
        <v>675.37800000000004</v>
      </c>
      <c r="I700" s="136">
        <f>SUM(I699)</f>
        <v>0</v>
      </c>
      <c r="J700" s="136">
        <f>SUM(J699)</f>
        <v>33728</v>
      </c>
      <c r="K700" s="136">
        <f>SUM(K699)</f>
        <v>59520</v>
      </c>
      <c r="L700" s="136">
        <f>SUM(L699)</f>
        <v>93248</v>
      </c>
      <c r="M700" s="1657"/>
      <c r="N700" s="1622"/>
    </row>
    <row r="701" spans="1:15" s="1168" customFormat="1" ht="17" thickBot="1">
      <c r="A701" s="108" t="s">
        <v>50</v>
      </c>
      <c r="B701" s="1457"/>
      <c r="C701" s="1586"/>
      <c r="D701" s="1567"/>
      <c r="E701" s="1586"/>
      <c r="F701" s="1567"/>
      <c r="G701" s="1586"/>
      <c r="H701" s="1142"/>
      <c r="I701" s="161"/>
      <c r="J701" s="161"/>
      <c r="K701" s="161"/>
      <c r="L701" s="162"/>
      <c r="M701" s="1617"/>
      <c r="N701" s="1486"/>
      <c r="O701" s="121"/>
    </row>
    <row r="702" spans="1:15">
      <c r="A702" s="34" t="s">
        <v>13</v>
      </c>
      <c r="B702" s="1419">
        <f>'Ontario Total'!B641:C641+'Chino Total'!B641:C641+'Chino Hills Total'!B641:C641+'MVWD Total '!B641:C641+'Upland Total'!B634:C634+'FWC Total'!B641:C641+'SAWC Total'!B640:C640+'CVWD Total'!B641:C641</f>
        <v>148</v>
      </c>
      <c r="C702" s="1786"/>
      <c r="D702" s="1431">
        <f>F702*325851</f>
        <v>1331036.1647999999</v>
      </c>
      <c r="E702" s="1422"/>
      <c r="F702" s="1431">
        <f>0.0276*B702</f>
        <v>4.0847999999999995</v>
      </c>
      <c r="G702" s="1422"/>
      <c r="H702" s="626">
        <f>F702*15</f>
        <v>61.271999999999991</v>
      </c>
      <c r="I702" s="175">
        <v>0</v>
      </c>
      <c r="J702" s="175">
        <f>'Ontario Total'!J641+'Chino Total'!J641+'Chino Hills Total'!J641+'MVWD Total '!J641+'Upland Total'!J634+'FWC Total'!J641+'SAWC Total'!J640+'CVWD Total'!J641</f>
        <v>0</v>
      </c>
      <c r="K702" s="175">
        <f>'Ontario Total'!K641+'Chino Total'!K641+'Chino Hills Total'!K641+'MVWD Total '!K641+'Upland Total'!K634+'FWC Total'!K641+'SAWC Total'!K640+'CVWD Total'!K641</f>
        <v>37000</v>
      </c>
      <c r="L702" s="131">
        <f>'Ontario Total'!L641+'Chino Total'!L641+'Chino Hills Total'!L641+'MVWD Total '!L641+'Upland Total'!L634+'FWC Total'!L641+'SAWC Total'!L640+'CVWD Total'!L641</f>
        <v>37000</v>
      </c>
      <c r="M702" s="1758">
        <f>L702/(F702*427)</f>
        <v>21.213046872348372</v>
      </c>
      <c r="N702" s="1759"/>
    </row>
    <row r="703" spans="1:15">
      <c r="A703" s="34" t="s">
        <v>15</v>
      </c>
      <c r="B703" s="1419">
        <f>'Ontario Total'!B642:C642+'Chino Total'!B642:C642+'Chino Hills Total'!B642:C642+'MVWD Total '!B642:C642+'Upland Total'!B635:C635+'FWC Total'!B642:C642+'SAWC Total'!B641:C641+'CVWD Total'!B642:C642</f>
        <v>62</v>
      </c>
      <c r="C703" s="1786"/>
      <c r="D703" s="1431">
        <f>F703*325851</f>
        <v>3099103.6908</v>
      </c>
      <c r="E703" s="1422"/>
      <c r="F703" s="1431">
        <f>0.1534*B703</f>
        <v>9.5107999999999997</v>
      </c>
      <c r="G703" s="1422"/>
      <c r="H703" s="626">
        <f>F703*5</f>
        <v>47.554000000000002</v>
      </c>
      <c r="I703" s="131">
        <v>0</v>
      </c>
      <c r="J703" s="175">
        <f>'Ontario Total'!J642+'Chino Total'!J642+'Chino Hills Total'!J642+'MVWD Total '!J642+'Upland Total'!J635+'FWC Total'!J642+'SAWC Total'!J641+'CVWD Total'!J642</f>
        <v>6600</v>
      </c>
      <c r="K703" s="175">
        <f>'Ontario Total'!K642+'Chino Total'!K642+'Chino Hills Total'!K642+'MVWD Total '!K642+'Upland Total'!K635+'FWC Total'!K642+'SAWC Total'!K641+'CVWD Total'!K642</f>
        <v>6600</v>
      </c>
      <c r="L703" s="131">
        <f>'Ontario Total'!L642+'Chino Total'!L642+'Chino Hills Total'!L642+'MVWD Total '!L642+'Upland Total'!L635+'FWC Total'!L642+'SAWC Total'!L641+'CVWD Total'!L642</f>
        <v>13200</v>
      </c>
      <c r="M703" s="1758">
        <f>L703/(F703*427)</f>
        <v>3.2503416059780283</v>
      </c>
      <c r="N703" s="1759"/>
    </row>
    <row r="704" spans="1:15">
      <c r="A704" s="35" t="s">
        <v>16</v>
      </c>
      <c r="B704" s="1419">
        <f>'Ontario Total'!B643:C643+'Chino Total'!B643:C643+'Chino Hills Total'!B643:C643+'MVWD Total '!B643:C643+'Upland Total'!B636:C636+'FWC Total'!B643:C643+'SAWC Total'!B642:C642+'CVWD Total'!B643:C643</f>
        <v>462</v>
      </c>
      <c r="C704" s="1786"/>
      <c r="D704" s="1431">
        <f>F704*325851</f>
        <v>23033103.785999998</v>
      </c>
      <c r="E704" s="1422"/>
      <c r="F704" s="1431">
        <f>0.153*B704</f>
        <v>70.685999999999993</v>
      </c>
      <c r="G704" s="1422"/>
      <c r="H704" s="626">
        <f>F704*5</f>
        <v>353.42999999999995</v>
      </c>
      <c r="I704" s="175">
        <v>0</v>
      </c>
      <c r="J704" s="175">
        <f>'Ontario Total'!J643+'Chino Total'!J643+'Chino Hills Total'!J643+'MVWD Total '!J643+'Upland Total'!J636+'FWC Total'!J643+'SAWC Total'!J642+'CVWD Total'!J643</f>
        <v>0</v>
      </c>
      <c r="K704" s="175">
        <f>'Ontario Total'!K643+'Chino Total'!K643+'Chino Hills Total'!K643+'MVWD Total '!K643+'Upland Total'!K636+'FWC Total'!K643+'SAWC Total'!K642+'CVWD Total'!K643</f>
        <v>23100</v>
      </c>
      <c r="L704" s="131">
        <f>'Ontario Total'!L643+'Chino Total'!L643+'Chino Hills Total'!L643+'MVWD Total '!L643+'Upland Total'!L636+'FWC Total'!L643+'SAWC Total'!L642+'CVWD Total'!L643</f>
        <v>23100</v>
      </c>
      <c r="M704" s="1758">
        <f>L704/(F704*427)</f>
        <v>0.76533345578668632</v>
      </c>
      <c r="N704" s="1759"/>
    </row>
    <row r="705" spans="1:15" s="91" customFormat="1" ht="16">
      <c r="A705" s="35" t="s">
        <v>12</v>
      </c>
      <c r="B705" s="1419">
        <f>'Ontario Total'!B644:C644+'Chino Total'!B644:C644+'Chino Hills Total'!B644:C644+'MVWD Total '!B644:C644+'Upland Total'!B637:C637+'FWC Total'!B644:C644+'SAWC Total'!B643:C643+'CVWD Total'!B644:C644</f>
        <v>13</v>
      </c>
      <c r="C705" s="1786"/>
      <c r="D705" s="1431">
        <f>F705*325851</f>
        <v>13555401.6</v>
      </c>
      <c r="E705" s="1422"/>
      <c r="F705" s="1431">
        <f>3.2*B705</f>
        <v>41.6</v>
      </c>
      <c r="G705" s="1422"/>
      <c r="H705" s="626">
        <f>F705*5</f>
        <v>208</v>
      </c>
      <c r="I705" s="131">
        <v>0</v>
      </c>
      <c r="J705" s="175">
        <f>'Ontario Total'!J644+'Chino Total'!J644+'Chino Hills Total'!J644+'MVWD Total '!J644+'Upland Total'!J637+'FWC Total'!J644+'SAWC Total'!J643+'CVWD Total'!J644</f>
        <v>0</v>
      </c>
      <c r="K705" s="175">
        <f>'Ontario Total'!K644+'Chino Total'!K644+'Chino Hills Total'!K644+'MVWD Total '!K644+'Upland Total'!K637+'FWC Total'!K644+'SAWC Total'!K643+'CVWD Total'!K644</f>
        <v>26000</v>
      </c>
      <c r="L705" s="131">
        <f>'Ontario Total'!L644+'Chino Total'!L644+'Chino Hills Total'!L644+'MVWD Total '!L644+'Upland Total'!L637+'FWC Total'!L644+'SAWC Total'!L643+'CVWD Total'!L644</f>
        <v>26000</v>
      </c>
      <c r="M705" s="1758">
        <f>L705/(F705*427)</f>
        <v>1.4637002341920373</v>
      </c>
      <c r="N705" s="1759"/>
      <c r="O705" s="274"/>
    </row>
    <row r="706" spans="1:15" ht="14" thickBot="1">
      <c r="A706" s="34" t="s">
        <v>21</v>
      </c>
      <c r="B706" s="1761" t="s">
        <v>22</v>
      </c>
      <c r="C706" s="1745"/>
      <c r="D706" s="1787" t="s">
        <v>22</v>
      </c>
      <c r="E706" s="1422"/>
      <c r="F706" s="1734" t="s">
        <v>22</v>
      </c>
      <c r="G706" s="1430"/>
      <c r="H706" s="626" t="s">
        <v>22</v>
      </c>
      <c r="I706" s="131" t="s">
        <v>22</v>
      </c>
      <c r="J706" s="131" t="s">
        <v>22</v>
      </c>
      <c r="K706" s="131" t="s">
        <v>22</v>
      </c>
      <c r="L706" s="131" t="s">
        <v>22</v>
      </c>
      <c r="M706" s="1788" t="s">
        <v>22</v>
      </c>
      <c r="N706" s="1789"/>
    </row>
    <row r="707" spans="1:15" ht="14" thickBot="1">
      <c r="A707" s="53" t="s">
        <v>60</v>
      </c>
      <c r="B707" s="1438">
        <f>SUM(B702:C706)</f>
        <v>685</v>
      </c>
      <c r="C707" s="1609"/>
      <c r="D707" s="1440">
        <f>SUM(D702:E706)</f>
        <v>41018645.241599999</v>
      </c>
      <c r="E707" s="1621"/>
      <c r="F707" s="1441">
        <f>SUM(F702:G706)</f>
        <v>125.88159999999999</v>
      </c>
      <c r="G707" s="1439"/>
      <c r="H707" s="619">
        <f>SUM(H702:H706)</f>
        <v>670.25599999999997</v>
      </c>
      <c r="I707" s="136">
        <f>SUM(I702:I706)</f>
        <v>0</v>
      </c>
      <c r="J707" s="136">
        <f>SUM(J702:J706)</f>
        <v>6600</v>
      </c>
      <c r="K707" s="136">
        <f>SUM(K702:K706)</f>
        <v>92700</v>
      </c>
      <c r="L707" s="136">
        <f>SUM(L702:L706)</f>
        <v>99300</v>
      </c>
      <c r="M707" s="1657"/>
      <c r="N707" s="1622"/>
    </row>
    <row r="708" spans="1:15" s="1168" customFormat="1" ht="17" thickBot="1">
      <c r="A708" s="1186" t="s">
        <v>17</v>
      </c>
      <c r="B708" s="1663">
        <f>SUM(B707,B700,B697)</f>
        <v>6148</v>
      </c>
      <c r="C708" s="1664"/>
      <c r="D708" s="1665">
        <f>SUM(D697,D700,D707)</f>
        <v>110885237.94929999</v>
      </c>
      <c r="E708" s="1664"/>
      <c r="F708" s="1665">
        <f>SUM(F697,F700,F707)</f>
        <v>340.29430000000002</v>
      </c>
      <c r="G708" s="1664"/>
      <c r="H708" s="1189">
        <f>SUM(H707,H697,H700)</f>
        <v>4306.3999999999996</v>
      </c>
      <c r="I708" s="1188">
        <f>I696+I700+I707</f>
        <v>0</v>
      </c>
      <c r="J708" s="1188">
        <f>SUM(J697,J700,J707)</f>
        <v>69283</v>
      </c>
      <c r="K708" s="1188">
        <f>SUM(K697,K700,K707)</f>
        <v>494220</v>
      </c>
      <c r="L708" s="1188">
        <f>SUM(L697,L700,L707)</f>
        <v>563503</v>
      </c>
      <c r="M708" s="1668"/>
      <c r="N708" s="1669"/>
      <c r="O708" s="121"/>
    </row>
    <row r="710" spans="1:15" ht="15">
      <c r="A710" s="9" t="s">
        <v>18</v>
      </c>
      <c r="B710" s="1695" t="s">
        <v>59</v>
      </c>
      <c r="C710" s="1566"/>
      <c r="D710" s="1566"/>
      <c r="E710" s="1821"/>
    </row>
    <row r="711" spans="1:15">
      <c r="B711" s="1420" t="s">
        <v>19</v>
      </c>
      <c r="C711" s="1420"/>
      <c r="D711" s="1420"/>
      <c r="E711" s="1420"/>
    </row>
  </sheetData>
  <mergeCells count="2451">
    <mergeCell ref="B81:C81"/>
    <mergeCell ref="D81:E81"/>
    <mergeCell ref="F81:G81"/>
    <mergeCell ref="M81:N81"/>
    <mergeCell ref="B83:E83"/>
    <mergeCell ref="B84:E84"/>
    <mergeCell ref="B86:C86"/>
    <mergeCell ref="D86:E86"/>
    <mergeCell ref="F86:G86"/>
    <mergeCell ref="M86:N86"/>
    <mergeCell ref="B87:C87"/>
    <mergeCell ref="D87:E87"/>
    <mergeCell ref="F87:G87"/>
    <mergeCell ref="M87:N87"/>
    <mergeCell ref="B88:C88"/>
    <mergeCell ref="D88:E88"/>
    <mergeCell ref="F88:G88"/>
    <mergeCell ref="M88:N88"/>
    <mergeCell ref="B76:C76"/>
    <mergeCell ref="D76:E76"/>
    <mergeCell ref="F76:G76"/>
    <mergeCell ref="M76:N76"/>
    <mergeCell ref="B77:C77"/>
    <mergeCell ref="D77:E77"/>
    <mergeCell ref="F77:G77"/>
    <mergeCell ref="M77:N77"/>
    <mergeCell ref="B78:C78"/>
    <mergeCell ref="D78:E78"/>
    <mergeCell ref="F78:G78"/>
    <mergeCell ref="M78:N78"/>
    <mergeCell ref="B79:C79"/>
    <mergeCell ref="D79:E79"/>
    <mergeCell ref="F79:G79"/>
    <mergeCell ref="M79:N79"/>
    <mergeCell ref="B80:C80"/>
    <mergeCell ref="D80:E80"/>
    <mergeCell ref="F80:G80"/>
    <mergeCell ref="M80:N80"/>
    <mergeCell ref="B71:C71"/>
    <mergeCell ref="D71:E71"/>
    <mergeCell ref="F71:G71"/>
    <mergeCell ref="M71:N71"/>
    <mergeCell ref="B72:C72"/>
    <mergeCell ref="D72:E72"/>
    <mergeCell ref="F72:G72"/>
    <mergeCell ref="M72:N72"/>
    <mergeCell ref="B73:C73"/>
    <mergeCell ref="D73:E73"/>
    <mergeCell ref="F73:G73"/>
    <mergeCell ref="M73:N73"/>
    <mergeCell ref="B74:C74"/>
    <mergeCell ref="D74:E74"/>
    <mergeCell ref="F74:G74"/>
    <mergeCell ref="M74:N74"/>
    <mergeCell ref="B75:C75"/>
    <mergeCell ref="D75:E75"/>
    <mergeCell ref="F75:G75"/>
    <mergeCell ref="M75:N75"/>
    <mergeCell ref="B66:C66"/>
    <mergeCell ref="D66:E66"/>
    <mergeCell ref="F66:G66"/>
    <mergeCell ref="M66:N66"/>
    <mergeCell ref="B67:C67"/>
    <mergeCell ref="D67:E67"/>
    <mergeCell ref="F67:G67"/>
    <mergeCell ref="M67:N67"/>
    <mergeCell ref="B68:C68"/>
    <mergeCell ref="D68:E68"/>
    <mergeCell ref="F68:G68"/>
    <mergeCell ref="M68:N68"/>
    <mergeCell ref="B69:C69"/>
    <mergeCell ref="D69:E69"/>
    <mergeCell ref="F69:G69"/>
    <mergeCell ref="M69:N69"/>
    <mergeCell ref="B70:C70"/>
    <mergeCell ref="D70:E70"/>
    <mergeCell ref="F70:G70"/>
    <mergeCell ref="M70:N70"/>
    <mergeCell ref="B61:C61"/>
    <mergeCell ref="D61:E61"/>
    <mergeCell ref="F61:G61"/>
    <mergeCell ref="M61:N61"/>
    <mergeCell ref="B62:C62"/>
    <mergeCell ref="D62:E62"/>
    <mergeCell ref="F62:G62"/>
    <mergeCell ref="M62:N62"/>
    <mergeCell ref="B63:C63"/>
    <mergeCell ref="D63:E63"/>
    <mergeCell ref="F63:G63"/>
    <mergeCell ref="M63:N63"/>
    <mergeCell ref="B64:C64"/>
    <mergeCell ref="D64:E64"/>
    <mergeCell ref="F64:G64"/>
    <mergeCell ref="M64:N64"/>
    <mergeCell ref="B65:C65"/>
    <mergeCell ref="D65:E65"/>
    <mergeCell ref="F65:G65"/>
    <mergeCell ref="M65:N65"/>
    <mergeCell ref="B56:C56"/>
    <mergeCell ref="D56:E56"/>
    <mergeCell ref="F56:G56"/>
    <mergeCell ref="M56:N56"/>
    <mergeCell ref="B57:C57"/>
    <mergeCell ref="D57:E57"/>
    <mergeCell ref="F57:G57"/>
    <mergeCell ref="M57:N57"/>
    <mergeCell ref="B58:C58"/>
    <mergeCell ref="D58:E58"/>
    <mergeCell ref="F58:G58"/>
    <mergeCell ref="M58:N58"/>
    <mergeCell ref="B59:C59"/>
    <mergeCell ref="D59:E59"/>
    <mergeCell ref="F59:G59"/>
    <mergeCell ref="M59:N59"/>
    <mergeCell ref="B60:C60"/>
    <mergeCell ref="D60:E60"/>
    <mergeCell ref="F60:G60"/>
    <mergeCell ref="M60:N60"/>
    <mergeCell ref="B51:C51"/>
    <mergeCell ref="D51:E51"/>
    <mergeCell ref="F51:G51"/>
    <mergeCell ref="M51:N51"/>
    <mergeCell ref="B52:C52"/>
    <mergeCell ref="D52:E52"/>
    <mergeCell ref="F52:G52"/>
    <mergeCell ref="M52:N52"/>
    <mergeCell ref="B53:C53"/>
    <mergeCell ref="D53:E53"/>
    <mergeCell ref="F53:G53"/>
    <mergeCell ref="M53:N53"/>
    <mergeCell ref="B54:C54"/>
    <mergeCell ref="D54:E54"/>
    <mergeCell ref="F54:G54"/>
    <mergeCell ref="M54:N54"/>
    <mergeCell ref="B55:C55"/>
    <mergeCell ref="D55:E55"/>
    <mergeCell ref="F55:G55"/>
    <mergeCell ref="M55:N55"/>
    <mergeCell ref="I46:L46"/>
    <mergeCell ref="B47:C47"/>
    <mergeCell ref="D47:E47"/>
    <mergeCell ref="F47:G47"/>
    <mergeCell ref="M47:N47"/>
    <mergeCell ref="B48:C48"/>
    <mergeCell ref="D48:E48"/>
    <mergeCell ref="F48:G48"/>
    <mergeCell ref="M48:N48"/>
    <mergeCell ref="B49:C49"/>
    <mergeCell ref="D49:E49"/>
    <mergeCell ref="F49:G49"/>
    <mergeCell ref="M49:N49"/>
    <mergeCell ref="B50:C50"/>
    <mergeCell ref="D50:E50"/>
    <mergeCell ref="F50:G50"/>
    <mergeCell ref="M50:N50"/>
    <mergeCell ref="B151:C151"/>
    <mergeCell ref="D151:E151"/>
    <mergeCell ref="F151:G151"/>
    <mergeCell ref="M151:N151"/>
    <mergeCell ref="M196:N196"/>
    <mergeCell ref="B196:C196"/>
    <mergeCell ref="D196:E196"/>
    <mergeCell ref="F196:G196"/>
    <mergeCell ref="B319:C319"/>
    <mergeCell ref="D319:E319"/>
    <mergeCell ref="F319:G319"/>
    <mergeCell ref="M319:N319"/>
    <mergeCell ref="B320:C320"/>
    <mergeCell ref="D320:E320"/>
    <mergeCell ref="F320:G320"/>
    <mergeCell ref="M320:N320"/>
    <mergeCell ref="B321:C321"/>
    <mergeCell ref="D321:E321"/>
    <mergeCell ref="F321:G321"/>
    <mergeCell ref="M321:N321"/>
    <mergeCell ref="I274:L274"/>
    <mergeCell ref="B275:C275"/>
    <mergeCell ref="D275:E275"/>
    <mergeCell ref="F275:G275"/>
    <mergeCell ref="M275:N275"/>
    <mergeCell ref="B276:C276"/>
    <mergeCell ref="D276:E276"/>
    <mergeCell ref="F276:G276"/>
    <mergeCell ref="M276:N276"/>
    <mergeCell ref="B277:C277"/>
    <mergeCell ref="D277:E277"/>
    <mergeCell ref="F277:G277"/>
    <mergeCell ref="M277:N277"/>
    <mergeCell ref="B278:C278"/>
    <mergeCell ref="D278:E278"/>
    <mergeCell ref="M258:N258"/>
    <mergeCell ref="B359:C359"/>
    <mergeCell ref="D359:E359"/>
    <mergeCell ref="F359:G359"/>
    <mergeCell ref="M359:N359"/>
    <mergeCell ref="B354:C354"/>
    <mergeCell ref="D354:E354"/>
    <mergeCell ref="F354:G354"/>
    <mergeCell ref="M354:N354"/>
    <mergeCell ref="B353:C353"/>
    <mergeCell ref="D353:E353"/>
    <mergeCell ref="F353:G353"/>
    <mergeCell ref="M353:N353"/>
    <mergeCell ref="B358:C358"/>
    <mergeCell ref="D358:E358"/>
    <mergeCell ref="F358:G358"/>
    <mergeCell ref="M358:N358"/>
    <mergeCell ref="B357:C357"/>
    <mergeCell ref="D357:E357"/>
    <mergeCell ref="F357:G357"/>
    <mergeCell ref="M357:N357"/>
    <mergeCell ref="M352:N352"/>
    <mergeCell ref="B355:C355"/>
    <mergeCell ref="B356:C356"/>
    <mergeCell ref="D355:E355"/>
    <mergeCell ref="D356:E356"/>
    <mergeCell ref="F355:G355"/>
    <mergeCell ref="F356:G356"/>
    <mergeCell ref="M355:N355"/>
    <mergeCell ref="B368:C368"/>
    <mergeCell ref="D368:E368"/>
    <mergeCell ref="F368:G368"/>
    <mergeCell ref="M368:N368"/>
    <mergeCell ref="B363:E363"/>
    <mergeCell ref="B364:E364"/>
    <mergeCell ref="B366:C366"/>
    <mergeCell ref="D366:E366"/>
    <mergeCell ref="F366:G366"/>
    <mergeCell ref="M366:N366"/>
    <mergeCell ref="B360:C360"/>
    <mergeCell ref="D360:E360"/>
    <mergeCell ref="F360:G360"/>
    <mergeCell ref="M360:N360"/>
    <mergeCell ref="B361:C361"/>
    <mergeCell ref="D361:E361"/>
    <mergeCell ref="F361:G361"/>
    <mergeCell ref="M361:N361"/>
    <mergeCell ref="B367:C367"/>
    <mergeCell ref="D367:E367"/>
    <mergeCell ref="F367:G367"/>
    <mergeCell ref="M367:N367"/>
    <mergeCell ref="M356:N356"/>
    <mergeCell ref="B349:C349"/>
    <mergeCell ref="D349:E349"/>
    <mergeCell ref="F349:G349"/>
    <mergeCell ref="M349:N349"/>
    <mergeCell ref="B350:C350"/>
    <mergeCell ref="D350:E350"/>
    <mergeCell ref="F350:G350"/>
    <mergeCell ref="M350:N350"/>
    <mergeCell ref="B351:C351"/>
    <mergeCell ref="D351:E351"/>
    <mergeCell ref="F351:G351"/>
    <mergeCell ref="M351:N351"/>
    <mergeCell ref="B352:C352"/>
    <mergeCell ref="D352:E352"/>
    <mergeCell ref="F352:G352"/>
    <mergeCell ref="B347:C347"/>
    <mergeCell ref="D347:E347"/>
    <mergeCell ref="F347:G347"/>
    <mergeCell ref="M347:N347"/>
    <mergeCell ref="B348:C348"/>
    <mergeCell ref="D348:E348"/>
    <mergeCell ref="F348:G348"/>
    <mergeCell ref="M348:N348"/>
    <mergeCell ref="B345:C345"/>
    <mergeCell ref="D345:E345"/>
    <mergeCell ref="F345:G345"/>
    <mergeCell ref="M345:N345"/>
    <mergeCell ref="B346:C346"/>
    <mergeCell ref="D346:E346"/>
    <mergeCell ref="F346:G346"/>
    <mergeCell ref="M346:N346"/>
    <mergeCell ref="B343:C343"/>
    <mergeCell ref="D343:E343"/>
    <mergeCell ref="F343:G343"/>
    <mergeCell ref="M343:N343"/>
    <mergeCell ref="B344:C344"/>
    <mergeCell ref="D344:E344"/>
    <mergeCell ref="F344:G344"/>
    <mergeCell ref="M344:N344"/>
    <mergeCell ref="B341:C341"/>
    <mergeCell ref="D341:E341"/>
    <mergeCell ref="F341:G341"/>
    <mergeCell ref="M341:N341"/>
    <mergeCell ref="B342:C342"/>
    <mergeCell ref="D342:E342"/>
    <mergeCell ref="F342:G342"/>
    <mergeCell ref="M342:N342"/>
    <mergeCell ref="B339:C339"/>
    <mergeCell ref="D339:E339"/>
    <mergeCell ref="F339:G339"/>
    <mergeCell ref="M339:N339"/>
    <mergeCell ref="B340:C340"/>
    <mergeCell ref="D340:E340"/>
    <mergeCell ref="F340:G340"/>
    <mergeCell ref="M340:N340"/>
    <mergeCell ref="B336:C336"/>
    <mergeCell ref="D336:E336"/>
    <mergeCell ref="F336:G336"/>
    <mergeCell ref="M336:N336"/>
    <mergeCell ref="B338:C338"/>
    <mergeCell ref="D338:E338"/>
    <mergeCell ref="F338:G338"/>
    <mergeCell ref="M338:N338"/>
    <mergeCell ref="B337:C337"/>
    <mergeCell ref="D337:E337"/>
    <mergeCell ref="F337:G337"/>
    <mergeCell ref="M337:N337"/>
    <mergeCell ref="B333:C333"/>
    <mergeCell ref="D333:E333"/>
    <mergeCell ref="F333:G333"/>
    <mergeCell ref="M333:N333"/>
    <mergeCell ref="B335:C335"/>
    <mergeCell ref="D335:E335"/>
    <mergeCell ref="F335:G335"/>
    <mergeCell ref="M335:N335"/>
    <mergeCell ref="B331:C331"/>
    <mergeCell ref="D331:E331"/>
    <mergeCell ref="F331:G331"/>
    <mergeCell ref="M331:N331"/>
    <mergeCell ref="B332:C332"/>
    <mergeCell ref="D332:E332"/>
    <mergeCell ref="F332:G332"/>
    <mergeCell ref="M332:N332"/>
    <mergeCell ref="B334:C334"/>
    <mergeCell ref="D334:E334"/>
    <mergeCell ref="F334:G334"/>
    <mergeCell ref="M334:N334"/>
    <mergeCell ref="B329:C329"/>
    <mergeCell ref="D329:E329"/>
    <mergeCell ref="F329:G329"/>
    <mergeCell ref="M329:N329"/>
    <mergeCell ref="B330:C330"/>
    <mergeCell ref="D330:E330"/>
    <mergeCell ref="F330:G330"/>
    <mergeCell ref="M330:N330"/>
    <mergeCell ref="B327:C327"/>
    <mergeCell ref="D327:E327"/>
    <mergeCell ref="F327:G327"/>
    <mergeCell ref="M327:N327"/>
    <mergeCell ref="B328:C328"/>
    <mergeCell ref="D328:E328"/>
    <mergeCell ref="F328:G328"/>
    <mergeCell ref="M328:N328"/>
    <mergeCell ref="I324:L324"/>
    <mergeCell ref="B325:C325"/>
    <mergeCell ref="D325:E325"/>
    <mergeCell ref="F325:G325"/>
    <mergeCell ref="M325:N325"/>
    <mergeCell ref="B326:C326"/>
    <mergeCell ref="D326:E326"/>
    <mergeCell ref="F326:G326"/>
    <mergeCell ref="M326:N326"/>
    <mergeCell ref="B448:C448"/>
    <mergeCell ref="D448:E448"/>
    <mergeCell ref="F448:G448"/>
    <mergeCell ref="M448:N448"/>
    <mergeCell ref="B446:C446"/>
    <mergeCell ref="D446:E446"/>
    <mergeCell ref="F446:G446"/>
    <mergeCell ref="M446:N446"/>
    <mergeCell ref="B447:C447"/>
    <mergeCell ref="D447:E447"/>
    <mergeCell ref="F447:G447"/>
    <mergeCell ref="M447:N447"/>
    <mergeCell ref="B441:C441"/>
    <mergeCell ref="D441:E441"/>
    <mergeCell ref="F441:G441"/>
    <mergeCell ref="M441:N441"/>
    <mergeCell ref="B443:E443"/>
    <mergeCell ref="B444:E444"/>
    <mergeCell ref="B439:C439"/>
    <mergeCell ref="B422:C422"/>
    <mergeCell ref="B423:C423"/>
    <mergeCell ref="M422:N422"/>
    <mergeCell ref="M423:N423"/>
    <mergeCell ref="M439:N439"/>
    <mergeCell ref="F438:G438"/>
    <mergeCell ref="M438:N438"/>
    <mergeCell ref="B435:C435"/>
    <mergeCell ref="D435:E435"/>
    <mergeCell ref="B440:C440"/>
    <mergeCell ref="D440:E440"/>
    <mergeCell ref="F440:G440"/>
    <mergeCell ref="M440:N440"/>
    <mergeCell ref="B437:C437"/>
    <mergeCell ref="D437:E437"/>
    <mergeCell ref="F437:G437"/>
    <mergeCell ref="M437:N437"/>
    <mergeCell ref="B438:C438"/>
    <mergeCell ref="D438:E438"/>
    <mergeCell ref="F435:G435"/>
    <mergeCell ref="M435:N435"/>
    <mergeCell ref="B436:C436"/>
    <mergeCell ref="D436:E436"/>
    <mergeCell ref="F436:G436"/>
    <mergeCell ref="M436:N436"/>
    <mergeCell ref="B433:C433"/>
    <mergeCell ref="D433:E433"/>
    <mergeCell ref="F433:G433"/>
    <mergeCell ref="M433:N433"/>
    <mergeCell ref="B434:C434"/>
    <mergeCell ref="D434:E434"/>
    <mergeCell ref="F434:G434"/>
    <mergeCell ref="M434:N434"/>
    <mergeCell ref="B431:C431"/>
    <mergeCell ref="D431:E431"/>
    <mergeCell ref="F431:G431"/>
    <mergeCell ref="M431:N431"/>
    <mergeCell ref="B432:C432"/>
    <mergeCell ref="D432:E432"/>
    <mergeCell ref="F432:G432"/>
    <mergeCell ref="M432:N432"/>
    <mergeCell ref="B429:C429"/>
    <mergeCell ref="D429:E429"/>
    <mergeCell ref="F429:G429"/>
    <mergeCell ref="M429:N429"/>
    <mergeCell ref="B430:C430"/>
    <mergeCell ref="D430:E430"/>
    <mergeCell ref="F430:G430"/>
    <mergeCell ref="M430:N430"/>
    <mergeCell ref="B417:C417"/>
    <mergeCell ref="D417:E417"/>
    <mergeCell ref="F417:G417"/>
    <mergeCell ref="M417:N417"/>
    <mergeCell ref="B415:C415"/>
    <mergeCell ref="D415:E415"/>
    <mergeCell ref="F415:G415"/>
    <mergeCell ref="M415:N415"/>
    <mergeCell ref="B416:C416"/>
    <mergeCell ref="D416:E416"/>
    <mergeCell ref="F416:G416"/>
    <mergeCell ref="M416:N416"/>
    <mergeCell ref="B427:C427"/>
    <mergeCell ref="D427:E427"/>
    <mergeCell ref="F427:G427"/>
    <mergeCell ref="M427:N427"/>
    <mergeCell ref="B428:C428"/>
    <mergeCell ref="D428:E428"/>
    <mergeCell ref="F428:G428"/>
    <mergeCell ref="M428:N428"/>
    <mergeCell ref="B425:C425"/>
    <mergeCell ref="D425:E425"/>
    <mergeCell ref="F425:G425"/>
    <mergeCell ref="M425:N425"/>
    <mergeCell ref="B426:C426"/>
    <mergeCell ref="D426:E426"/>
    <mergeCell ref="F426:G426"/>
    <mergeCell ref="M426:N426"/>
    <mergeCell ref="B421:C421"/>
    <mergeCell ref="D421:E421"/>
    <mergeCell ref="F421:G421"/>
    <mergeCell ref="M421:N421"/>
    <mergeCell ref="B500:C500"/>
    <mergeCell ref="D500:E500"/>
    <mergeCell ref="F500:G500"/>
    <mergeCell ref="M500:N500"/>
    <mergeCell ref="B501:C501"/>
    <mergeCell ref="D501:E501"/>
    <mergeCell ref="F501:G501"/>
    <mergeCell ref="M501:N501"/>
    <mergeCell ref="B504:C504"/>
    <mergeCell ref="D504:E504"/>
    <mergeCell ref="F504:G504"/>
    <mergeCell ref="M504:N504"/>
    <mergeCell ref="B420:C420"/>
    <mergeCell ref="D420:E420"/>
    <mergeCell ref="F420:G420"/>
    <mergeCell ref="M420:N420"/>
    <mergeCell ref="B418:C418"/>
    <mergeCell ref="D418:E418"/>
    <mergeCell ref="F418:G418"/>
    <mergeCell ref="M418:N418"/>
    <mergeCell ref="B419:C419"/>
    <mergeCell ref="D419:E419"/>
    <mergeCell ref="F419:G419"/>
    <mergeCell ref="M419:N419"/>
    <mergeCell ref="B424:C424"/>
    <mergeCell ref="D424:E424"/>
    <mergeCell ref="F424:G424"/>
    <mergeCell ref="M424:N424"/>
    <mergeCell ref="D422:E422"/>
    <mergeCell ref="D423:E423"/>
    <mergeCell ref="F422:G422"/>
    <mergeCell ref="F423:G423"/>
    <mergeCell ref="F542:G542"/>
    <mergeCell ref="M542:N542"/>
    <mergeCell ref="F551:G551"/>
    <mergeCell ref="M551:N551"/>
    <mergeCell ref="D554:E554"/>
    <mergeCell ref="B561:C561"/>
    <mergeCell ref="D561:E561"/>
    <mergeCell ref="D553:E553"/>
    <mergeCell ref="F553:G553"/>
    <mergeCell ref="B552:C552"/>
    <mergeCell ref="M554:N554"/>
    <mergeCell ref="M548:N548"/>
    <mergeCell ref="I412:L412"/>
    <mergeCell ref="B413:C413"/>
    <mergeCell ref="D413:E413"/>
    <mergeCell ref="F413:G413"/>
    <mergeCell ref="M413:N413"/>
    <mergeCell ref="B414:C414"/>
    <mergeCell ref="D414:E414"/>
    <mergeCell ref="F414:G414"/>
    <mergeCell ref="M414:N414"/>
    <mergeCell ref="B543:C543"/>
    <mergeCell ref="D543:E543"/>
    <mergeCell ref="F535:G535"/>
    <mergeCell ref="M535:N535"/>
    <mergeCell ref="B544:C544"/>
    <mergeCell ref="D544:E544"/>
    <mergeCell ref="F544:G544"/>
    <mergeCell ref="M544:N544"/>
    <mergeCell ref="B542:C542"/>
    <mergeCell ref="D542:E542"/>
    <mergeCell ref="I499:L499"/>
    <mergeCell ref="F543:G543"/>
    <mergeCell ref="M543:N543"/>
    <mergeCell ref="F561:G561"/>
    <mergeCell ref="M561:N561"/>
    <mergeCell ref="M553:N553"/>
    <mergeCell ref="F554:G554"/>
    <mergeCell ref="M570:N570"/>
    <mergeCell ref="M564:N564"/>
    <mergeCell ref="M573:N573"/>
    <mergeCell ref="F579:G579"/>
    <mergeCell ref="B574:C574"/>
    <mergeCell ref="D574:E574"/>
    <mergeCell ref="F574:G574"/>
    <mergeCell ref="M574:N574"/>
    <mergeCell ref="B579:C579"/>
    <mergeCell ref="D579:E579"/>
    <mergeCell ref="B572:C572"/>
    <mergeCell ref="B569:C569"/>
    <mergeCell ref="M549:N549"/>
    <mergeCell ref="F552:G552"/>
    <mergeCell ref="M552:N552"/>
    <mergeCell ref="F550:G550"/>
    <mergeCell ref="M550:N550"/>
    <mergeCell ref="M557:N557"/>
    <mergeCell ref="B556:C556"/>
    <mergeCell ref="M556:N556"/>
    <mergeCell ref="F558:G558"/>
    <mergeCell ref="F555:G555"/>
    <mergeCell ref="M555:N555"/>
    <mergeCell ref="B558:C558"/>
    <mergeCell ref="D558:E558"/>
    <mergeCell ref="B555:C555"/>
    <mergeCell ref="M581:N581"/>
    <mergeCell ref="F589:G589"/>
    <mergeCell ref="D573:E573"/>
    <mergeCell ref="B571:C571"/>
    <mergeCell ref="D571:E571"/>
    <mergeCell ref="F571:G571"/>
    <mergeCell ref="M571:N571"/>
    <mergeCell ref="M568:N568"/>
    <mergeCell ref="M569:N569"/>
    <mergeCell ref="F570:G570"/>
    <mergeCell ref="F582:G582"/>
    <mergeCell ref="M582:N582"/>
    <mergeCell ref="M578:N578"/>
    <mergeCell ref="M577:N577"/>
    <mergeCell ref="M576:N576"/>
    <mergeCell ref="B576:C576"/>
    <mergeCell ref="F578:G578"/>
    <mergeCell ref="B577:C577"/>
    <mergeCell ref="D577:E577"/>
    <mergeCell ref="F577:G577"/>
    <mergeCell ref="B578:C578"/>
    <mergeCell ref="D578:E578"/>
    <mergeCell ref="B580:C580"/>
    <mergeCell ref="D580:E580"/>
    <mergeCell ref="F581:G581"/>
    <mergeCell ref="F593:G593"/>
    <mergeCell ref="B602:C602"/>
    <mergeCell ref="D602:E602"/>
    <mergeCell ref="M602:N602"/>
    <mergeCell ref="M610:N610"/>
    <mergeCell ref="D572:E572"/>
    <mergeCell ref="F572:G572"/>
    <mergeCell ref="M572:N572"/>
    <mergeCell ref="B575:C575"/>
    <mergeCell ref="M579:N579"/>
    <mergeCell ref="D576:E576"/>
    <mergeCell ref="M593:N593"/>
    <mergeCell ref="M594:N594"/>
    <mergeCell ref="B595:C595"/>
    <mergeCell ref="D595:E595"/>
    <mergeCell ref="F595:G595"/>
    <mergeCell ref="M595:N595"/>
    <mergeCell ref="B590:C590"/>
    <mergeCell ref="D590:E590"/>
    <mergeCell ref="F590:G590"/>
    <mergeCell ref="M590:N590"/>
    <mergeCell ref="B584:E584"/>
    <mergeCell ref="M589:N589"/>
    <mergeCell ref="B585:E585"/>
    <mergeCell ref="I588:L588"/>
    <mergeCell ref="F580:G580"/>
    <mergeCell ref="M580:N580"/>
    <mergeCell ref="F576:G576"/>
    <mergeCell ref="B589:C589"/>
    <mergeCell ref="D589:E589"/>
    <mergeCell ref="B581:C581"/>
    <mergeCell ref="D581:E581"/>
    <mergeCell ref="B605:C605"/>
    <mergeCell ref="D605:E605"/>
    <mergeCell ref="D551:E551"/>
    <mergeCell ref="M558:N558"/>
    <mergeCell ref="B652:C652"/>
    <mergeCell ref="D652:E652"/>
    <mergeCell ref="F566:G566"/>
    <mergeCell ref="M566:N566"/>
    <mergeCell ref="M606:N606"/>
    <mergeCell ref="M565:N565"/>
    <mergeCell ref="B573:C573"/>
    <mergeCell ref="F573:G573"/>
    <mergeCell ref="M567:N567"/>
    <mergeCell ref="M599:N599"/>
    <mergeCell ref="B599:C599"/>
    <mergeCell ref="D599:E599"/>
    <mergeCell ref="D600:E600"/>
    <mergeCell ref="B567:C567"/>
    <mergeCell ref="D567:E567"/>
    <mergeCell ref="M600:N600"/>
    <mergeCell ref="F569:G569"/>
    <mergeCell ref="F594:G594"/>
    <mergeCell ref="B593:C593"/>
    <mergeCell ref="D593:E593"/>
    <mergeCell ref="D597:E597"/>
    <mergeCell ref="F597:G597"/>
    <mergeCell ref="M597:N597"/>
    <mergeCell ref="B596:C596"/>
    <mergeCell ref="D596:E596"/>
    <mergeCell ref="F596:G596"/>
    <mergeCell ref="B600:C600"/>
    <mergeCell ref="M603:N603"/>
    <mergeCell ref="F598:G598"/>
    <mergeCell ref="B597:C597"/>
    <mergeCell ref="B594:C594"/>
    <mergeCell ref="I547:L547"/>
    <mergeCell ref="B548:C548"/>
    <mergeCell ref="D548:E548"/>
    <mergeCell ref="F548:G548"/>
    <mergeCell ref="D556:E556"/>
    <mergeCell ref="F556:G556"/>
    <mergeCell ref="D550:E550"/>
    <mergeCell ref="D552:E552"/>
    <mergeCell ref="B554:C554"/>
    <mergeCell ref="B551:C551"/>
    <mergeCell ref="B550:C550"/>
    <mergeCell ref="D610:E610"/>
    <mergeCell ref="F610:G610"/>
    <mergeCell ref="B606:C606"/>
    <mergeCell ref="D606:E606"/>
    <mergeCell ref="F606:G606"/>
    <mergeCell ref="B607:C607"/>
    <mergeCell ref="D607:E607"/>
    <mergeCell ref="D555:E555"/>
    <mergeCell ref="B557:C557"/>
    <mergeCell ref="B604:C604"/>
    <mergeCell ref="D604:E604"/>
    <mergeCell ref="F604:G604"/>
    <mergeCell ref="B549:C549"/>
    <mergeCell ref="D549:E549"/>
    <mergeCell ref="F549:G549"/>
    <mergeCell ref="B582:C582"/>
    <mergeCell ref="D582:E582"/>
    <mergeCell ref="B562:C562"/>
    <mergeCell ref="F674:G674"/>
    <mergeCell ref="M674:N674"/>
    <mergeCell ref="F675:G675"/>
    <mergeCell ref="F677:G677"/>
    <mergeCell ref="B553:C553"/>
    <mergeCell ref="D557:E557"/>
    <mergeCell ref="F557:G557"/>
    <mergeCell ref="B661:C661"/>
    <mergeCell ref="B679:C679"/>
    <mergeCell ref="F679:G679"/>
    <mergeCell ref="B677:C677"/>
    <mergeCell ref="B609:C609"/>
    <mergeCell ref="D609:E609"/>
    <mergeCell ref="F609:G609"/>
    <mergeCell ref="M609:N609"/>
    <mergeCell ref="B608:C608"/>
    <mergeCell ref="F608:G608"/>
    <mergeCell ref="M608:N608"/>
    <mergeCell ref="B610:C610"/>
    <mergeCell ref="D608:E608"/>
    <mergeCell ref="M607:N607"/>
    <mergeCell ref="F607:G607"/>
    <mergeCell ref="M598:N598"/>
    <mergeCell ref="F599:G599"/>
    <mergeCell ref="F600:G600"/>
    <mergeCell ref="F605:G605"/>
    <mergeCell ref="M605:N605"/>
    <mergeCell ref="M604:N604"/>
    <mergeCell ref="F602:G602"/>
    <mergeCell ref="B603:C603"/>
    <mergeCell ref="D603:E603"/>
    <mergeCell ref="F603:G603"/>
    <mergeCell ref="F638:G638"/>
    <mergeCell ref="M638:N638"/>
    <mergeCell ref="F639:G639"/>
    <mergeCell ref="M639:N639"/>
    <mergeCell ref="M681:N681"/>
    <mergeCell ref="B684:C684"/>
    <mergeCell ref="M677:N677"/>
    <mergeCell ref="B676:C676"/>
    <mergeCell ref="D676:E676"/>
    <mergeCell ref="F676:G676"/>
    <mergeCell ref="M676:N676"/>
    <mergeCell ref="M672:N672"/>
    <mergeCell ref="B673:C673"/>
    <mergeCell ref="D661:E661"/>
    <mergeCell ref="F661:G661"/>
    <mergeCell ref="M680:N680"/>
    <mergeCell ref="D679:E679"/>
    <mergeCell ref="F668:G668"/>
    <mergeCell ref="M668:N668"/>
    <mergeCell ref="M679:N679"/>
    <mergeCell ref="M671:N671"/>
    <mergeCell ref="B670:C670"/>
    <mergeCell ref="D668:E668"/>
    <mergeCell ref="M675:N675"/>
    <mergeCell ref="B663:E663"/>
    <mergeCell ref="B664:E664"/>
    <mergeCell ref="I667:L667"/>
    <mergeCell ref="B678:C678"/>
    <mergeCell ref="D678:E678"/>
    <mergeCell ref="F678:G678"/>
    <mergeCell ref="D670:E670"/>
    <mergeCell ref="F670:G670"/>
    <mergeCell ref="B657:C657"/>
    <mergeCell ref="F657:G657"/>
    <mergeCell ref="D657:E657"/>
    <mergeCell ref="M657:N657"/>
    <mergeCell ref="D677:E677"/>
    <mergeCell ref="B675:C675"/>
    <mergeCell ref="D675:E675"/>
    <mergeCell ref="B591:C591"/>
    <mergeCell ref="D591:E591"/>
    <mergeCell ref="F591:G591"/>
    <mergeCell ref="M591:N591"/>
    <mergeCell ref="B592:C592"/>
    <mergeCell ref="D592:E592"/>
    <mergeCell ref="D594:E594"/>
    <mergeCell ref="F592:G592"/>
    <mergeCell ref="M592:N592"/>
    <mergeCell ref="M596:N596"/>
    <mergeCell ref="B601:C601"/>
    <mergeCell ref="D601:E601"/>
    <mergeCell ref="F601:G601"/>
    <mergeCell ref="M601:N601"/>
    <mergeCell ref="B598:C598"/>
    <mergeCell ref="D598:E598"/>
    <mergeCell ref="M622:N622"/>
    <mergeCell ref="B623:C623"/>
    <mergeCell ref="D623:E623"/>
    <mergeCell ref="B638:C638"/>
    <mergeCell ref="D638:E638"/>
    <mergeCell ref="D622:E622"/>
    <mergeCell ref="B628:C628"/>
    <mergeCell ref="F623:G623"/>
    <mergeCell ref="B622:C622"/>
    <mergeCell ref="D637:E637"/>
    <mergeCell ref="B640:C640"/>
    <mergeCell ref="D640:E640"/>
    <mergeCell ref="B630:C630"/>
    <mergeCell ref="D630:E630"/>
    <mergeCell ref="B631:C631"/>
    <mergeCell ref="D631:E631"/>
    <mergeCell ref="D633:E633"/>
    <mergeCell ref="B639:C639"/>
    <mergeCell ref="M670:N670"/>
    <mergeCell ref="F673:G673"/>
    <mergeCell ref="M673:N673"/>
    <mergeCell ref="B672:C672"/>
    <mergeCell ref="D672:E672"/>
    <mergeCell ref="F672:G672"/>
    <mergeCell ref="B671:C671"/>
    <mergeCell ref="D671:E671"/>
    <mergeCell ref="F671:G671"/>
    <mergeCell ref="M661:N661"/>
    <mergeCell ref="D673:E673"/>
    <mergeCell ref="M669:N669"/>
    <mergeCell ref="B668:C668"/>
    <mergeCell ref="B669:C669"/>
    <mergeCell ref="D669:E669"/>
    <mergeCell ref="F669:G669"/>
    <mergeCell ref="M660:N660"/>
    <mergeCell ref="F656:G656"/>
    <mergeCell ref="M656:N656"/>
    <mergeCell ref="B658:C658"/>
    <mergeCell ref="D658:E658"/>
    <mergeCell ref="F658:G658"/>
    <mergeCell ref="M658:N658"/>
    <mergeCell ref="M621:N621"/>
    <mergeCell ref="B636:C636"/>
    <mergeCell ref="D635:E635"/>
    <mergeCell ref="B620:C620"/>
    <mergeCell ref="D620:E620"/>
    <mergeCell ref="F652:G652"/>
    <mergeCell ref="M652:N652"/>
    <mergeCell ref="B653:C653"/>
    <mergeCell ref="D653:E653"/>
    <mergeCell ref="F653:G653"/>
    <mergeCell ref="M653:N653"/>
    <mergeCell ref="F649:G649"/>
    <mergeCell ref="M649:N649"/>
    <mergeCell ref="F650:G650"/>
    <mergeCell ref="M650:N650"/>
    <mergeCell ref="F647:G647"/>
    <mergeCell ref="M647:N647"/>
    <mergeCell ref="B648:C648"/>
    <mergeCell ref="D648:E648"/>
    <mergeCell ref="F648:G648"/>
    <mergeCell ref="M648:N648"/>
    <mergeCell ref="B649:C649"/>
    <mergeCell ref="D649:E649"/>
    <mergeCell ref="F628:G628"/>
    <mergeCell ref="D628:E628"/>
    <mergeCell ref="M623:N623"/>
    <mergeCell ref="B643:C643"/>
    <mergeCell ref="D643:E643"/>
    <mergeCell ref="F643:G643"/>
    <mergeCell ref="M643:N643"/>
    <mergeCell ref="D642:E642"/>
    <mergeCell ref="F642:G642"/>
    <mergeCell ref="M629:N629"/>
    <mergeCell ref="B651:C651"/>
    <mergeCell ref="D651:E651"/>
    <mergeCell ref="F651:G651"/>
    <mergeCell ref="M651:N651"/>
    <mergeCell ref="B650:C650"/>
    <mergeCell ref="B629:C629"/>
    <mergeCell ref="D629:E629"/>
    <mergeCell ref="B633:C633"/>
    <mergeCell ref="F633:G633"/>
    <mergeCell ref="M633:N633"/>
    <mergeCell ref="B634:C634"/>
    <mergeCell ref="D634:E634"/>
    <mergeCell ref="F634:G634"/>
    <mergeCell ref="M634:N634"/>
    <mergeCell ref="F631:G631"/>
    <mergeCell ref="M631:N631"/>
    <mergeCell ref="B642:C642"/>
    <mergeCell ref="M642:N642"/>
    <mergeCell ref="M640:N640"/>
    <mergeCell ref="F640:G640"/>
    <mergeCell ref="F637:G637"/>
    <mergeCell ref="M637:N637"/>
    <mergeCell ref="M646:N646"/>
    <mergeCell ref="B645:C645"/>
    <mergeCell ref="D645:E645"/>
    <mergeCell ref="F645:G645"/>
    <mergeCell ref="M645:N645"/>
    <mergeCell ref="B644:C644"/>
    <mergeCell ref="D644:E644"/>
    <mergeCell ref="D639:E639"/>
    <mergeCell ref="B637:C637"/>
    <mergeCell ref="M624:N624"/>
    <mergeCell ref="B659:C659"/>
    <mergeCell ref="D659:E659"/>
    <mergeCell ref="F659:G659"/>
    <mergeCell ref="M659:N659"/>
    <mergeCell ref="D636:E636"/>
    <mergeCell ref="F636:G636"/>
    <mergeCell ref="M636:N636"/>
    <mergeCell ref="B654:C654"/>
    <mergeCell ref="D654:E654"/>
    <mergeCell ref="F654:G654"/>
    <mergeCell ref="B626:C626"/>
    <mergeCell ref="D626:E626"/>
    <mergeCell ref="F626:G626"/>
    <mergeCell ref="M626:N626"/>
    <mergeCell ref="B632:C632"/>
    <mergeCell ref="D632:E632"/>
    <mergeCell ref="F632:G632"/>
    <mergeCell ref="M632:N632"/>
    <mergeCell ref="F630:G630"/>
    <mergeCell ref="M630:N630"/>
    <mergeCell ref="B627:C627"/>
    <mergeCell ref="D627:E627"/>
    <mergeCell ref="F627:G627"/>
    <mergeCell ref="M627:N627"/>
    <mergeCell ref="B656:C656"/>
    <mergeCell ref="D656:E656"/>
    <mergeCell ref="D647:E647"/>
    <mergeCell ref="F644:G644"/>
    <mergeCell ref="M644:N644"/>
    <mergeCell ref="B646:C646"/>
    <mergeCell ref="D646:E646"/>
    <mergeCell ref="D562:E562"/>
    <mergeCell ref="F562:G562"/>
    <mergeCell ref="M562:N562"/>
    <mergeCell ref="B570:C570"/>
    <mergeCell ref="D565:E565"/>
    <mergeCell ref="B564:C564"/>
    <mergeCell ref="D564:E564"/>
    <mergeCell ref="B565:C565"/>
    <mergeCell ref="F563:G563"/>
    <mergeCell ref="F559:G559"/>
    <mergeCell ref="M559:N559"/>
    <mergeCell ref="B560:C560"/>
    <mergeCell ref="D560:E560"/>
    <mergeCell ref="F560:G560"/>
    <mergeCell ref="M560:N560"/>
    <mergeCell ref="B559:C559"/>
    <mergeCell ref="D559:E559"/>
    <mergeCell ref="B563:C563"/>
    <mergeCell ref="F564:G564"/>
    <mergeCell ref="F565:G565"/>
    <mergeCell ref="D563:E563"/>
    <mergeCell ref="M563:N563"/>
    <mergeCell ref="F567:G567"/>
    <mergeCell ref="B568:C568"/>
    <mergeCell ref="D568:E568"/>
    <mergeCell ref="F568:G568"/>
    <mergeCell ref="D569:E569"/>
    <mergeCell ref="D570:E570"/>
    <mergeCell ref="B566:C566"/>
    <mergeCell ref="D566:E566"/>
    <mergeCell ref="M613:N613"/>
    <mergeCell ref="B615:E615"/>
    <mergeCell ref="B616:E616"/>
    <mergeCell ref="B611:C611"/>
    <mergeCell ref="D611:E611"/>
    <mergeCell ref="F611:G611"/>
    <mergeCell ref="M611:N611"/>
    <mergeCell ref="B612:C612"/>
    <mergeCell ref="D612:E612"/>
    <mergeCell ref="F612:G612"/>
    <mergeCell ref="M612:N612"/>
    <mergeCell ref="M654:N654"/>
    <mergeCell ref="B655:C655"/>
    <mergeCell ref="D655:E655"/>
    <mergeCell ref="F655:G655"/>
    <mergeCell ref="M655:N655"/>
    <mergeCell ref="B635:C635"/>
    <mergeCell ref="F635:G635"/>
    <mergeCell ref="M635:N635"/>
    <mergeCell ref="B647:C647"/>
    <mergeCell ref="D650:E650"/>
    <mergeCell ref="B625:C625"/>
    <mergeCell ref="D625:E625"/>
    <mergeCell ref="B624:C624"/>
    <mergeCell ref="D624:E624"/>
    <mergeCell ref="F625:G625"/>
    <mergeCell ref="M625:N625"/>
    <mergeCell ref="F620:G620"/>
    <mergeCell ref="M620:N620"/>
    <mergeCell ref="I619:L619"/>
    <mergeCell ref="F629:G629"/>
    <mergeCell ref="M628:N628"/>
    <mergeCell ref="B683:C683"/>
    <mergeCell ref="D684:E684"/>
    <mergeCell ref="F684:G684"/>
    <mergeCell ref="F692:G692"/>
    <mergeCell ref="B691:C691"/>
    <mergeCell ref="D691:E691"/>
    <mergeCell ref="F691:G691"/>
    <mergeCell ref="B693:C693"/>
    <mergeCell ref="D693:E693"/>
    <mergeCell ref="F693:G693"/>
    <mergeCell ref="B692:C692"/>
    <mergeCell ref="D692:E692"/>
    <mergeCell ref="B686:C686"/>
    <mergeCell ref="F685:G685"/>
    <mergeCell ref="B613:C613"/>
    <mergeCell ref="D613:E613"/>
    <mergeCell ref="F613:G613"/>
    <mergeCell ref="F624:G624"/>
    <mergeCell ref="B621:C621"/>
    <mergeCell ref="B660:C660"/>
    <mergeCell ref="D660:E660"/>
    <mergeCell ref="F660:G660"/>
    <mergeCell ref="D621:E621"/>
    <mergeCell ref="F621:G621"/>
    <mergeCell ref="F646:G646"/>
    <mergeCell ref="F622:G622"/>
    <mergeCell ref="B674:C674"/>
    <mergeCell ref="D674:E674"/>
    <mergeCell ref="B687:C687"/>
    <mergeCell ref="D687:E687"/>
    <mergeCell ref="F687:G687"/>
    <mergeCell ref="F681:G681"/>
    <mergeCell ref="D680:E680"/>
    <mergeCell ref="F680:G680"/>
    <mergeCell ref="M696:N696"/>
    <mergeCell ref="B697:C697"/>
    <mergeCell ref="D697:E697"/>
    <mergeCell ref="F697:G697"/>
    <mergeCell ref="M697:N697"/>
    <mergeCell ref="M678:N678"/>
    <mergeCell ref="B694:C694"/>
    <mergeCell ref="D694:E694"/>
    <mergeCell ref="F694:G694"/>
    <mergeCell ref="M694:N694"/>
    <mergeCell ref="M695:N695"/>
    <mergeCell ref="B680:C680"/>
    <mergeCell ref="B682:C682"/>
    <mergeCell ref="D682:E682"/>
    <mergeCell ref="F682:G682"/>
    <mergeCell ref="M682:N682"/>
    <mergeCell ref="B681:C681"/>
    <mergeCell ref="D681:E681"/>
    <mergeCell ref="D683:E683"/>
    <mergeCell ref="F683:G683"/>
    <mergeCell ref="M684:N684"/>
    <mergeCell ref="M683:N683"/>
    <mergeCell ref="M692:N692"/>
    <mergeCell ref="M691:N691"/>
    <mergeCell ref="M693:N693"/>
    <mergeCell ref="D686:E686"/>
    <mergeCell ref="F686:G686"/>
    <mergeCell ref="M686:N686"/>
    <mergeCell ref="B685:C685"/>
    <mergeCell ref="D685:E685"/>
    <mergeCell ref="M685:N685"/>
    <mergeCell ref="F700:G700"/>
    <mergeCell ref="M700:N700"/>
    <mergeCell ref="B701:C701"/>
    <mergeCell ref="D701:E701"/>
    <mergeCell ref="F701:G701"/>
    <mergeCell ref="M701:N701"/>
    <mergeCell ref="B700:C700"/>
    <mergeCell ref="D700:E700"/>
    <mergeCell ref="B698:C698"/>
    <mergeCell ref="D698:E698"/>
    <mergeCell ref="F698:G698"/>
    <mergeCell ref="M698:N698"/>
    <mergeCell ref="B699:C699"/>
    <mergeCell ref="D699:E699"/>
    <mergeCell ref="F699:G699"/>
    <mergeCell ref="M699:N699"/>
    <mergeCell ref="B696:C696"/>
    <mergeCell ref="D696:E696"/>
    <mergeCell ref="F696:G696"/>
    <mergeCell ref="B695:C695"/>
    <mergeCell ref="D695:E695"/>
    <mergeCell ref="F695:G695"/>
    <mergeCell ref="M687:N687"/>
    <mergeCell ref="B710:E710"/>
    <mergeCell ref="B702:C702"/>
    <mergeCell ref="D702:E702"/>
    <mergeCell ref="F702:G702"/>
    <mergeCell ref="M702:N702"/>
    <mergeCell ref="B703:C703"/>
    <mergeCell ref="D703:E703"/>
    <mergeCell ref="F703:G703"/>
    <mergeCell ref="M703:N703"/>
    <mergeCell ref="B711:E711"/>
    <mergeCell ref="B706:C706"/>
    <mergeCell ref="D706:E706"/>
    <mergeCell ref="F706:G706"/>
    <mergeCell ref="M706:N706"/>
    <mergeCell ref="B707:C707"/>
    <mergeCell ref="D707:E707"/>
    <mergeCell ref="F707:G707"/>
    <mergeCell ref="M707:N707"/>
    <mergeCell ref="B708:C708"/>
    <mergeCell ref="D708:E708"/>
    <mergeCell ref="F708:G708"/>
    <mergeCell ref="M708:N708"/>
    <mergeCell ref="B704:C704"/>
    <mergeCell ref="D704:E704"/>
    <mergeCell ref="F704:G704"/>
    <mergeCell ref="M704:N704"/>
    <mergeCell ref="B705:C705"/>
    <mergeCell ref="D705:E705"/>
    <mergeCell ref="F705:G705"/>
    <mergeCell ref="M705:N705"/>
    <mergeCell ref="B505:C505"/>
    <mergeCell ref="D505:E505"/>
    <mergeCell ref="F505:G505"/>
    <mergeCell ref="M505:N505"/>
    <mergeCell ref="B502:C502"/>
    <mergeCell ref="D502:E502"/>
    <mergeCell ref="F502:G502"/>
    <mergeCell ref="M502:N502"/>
    <mergeCell ref="B503:C503"/>
    <mergeCell ref="D503:E503"/>
    <mergeCell ref="F503:G503"/>
    <mergeCell ref="M503:N503"/>
    <mergeCell ref="B508:C508"/>
    <mergeCell ref="D508:E508"/>
    <mergeCell ref="F508:G508"/>
    <mergeCell ref="M508:N508"/>
    <mergeCell ref="B509:C509"/>
    <mergeCell ref="D509:E509"/>
    <mergeCell ref="F509:G509"/>
    <mergeCell ref="M509:N509"/>
    <mergeCell ref="B506:C506"/>
    <mergeCell ref="D506:E506"/>
    <mergeCell ref="F506:G506"/>
    <mergeCell ref="M506:N506"/>
    <mergeCell ref="B507:C507"/>
    <mergeCell ref="D507:E507"/>
    <mergeCell ref="F507:G507"/>
    <mergeCell ref="M507:N507"/>
    <mergeCell ref="B512:C512"/>
    <mergeCell ref="D512:E512"/>
    <mergeCell ref="F512:G512"/>
    <mergeCell ref="M512:N512"/>
    <mergeCell ref="B513:C513"/>
    <mergeCell ref="D513:E513"/>
    <mergeCell ref="F513:G513"/>
    <mergeCell ref="M513:N513"/>
    <mergeCell ref="B510:C510"/>
    <mergeCell ref="D510:E510"/>
    <mergeCell ref="F510:G510"/>
    <mergeCell ref="M510:N510"/>
    <mergeCell ref="B511:C511"/>
    <mergeCell ref="D511:E511"/>
    <mergeCell ref="F511:G511"/>
    <mergeCell ref="M511:N511"/>
    <mergeCell ref="B516:C516"/>
    <mergeCell ref="D516:E516"/>
    <mergeCell ref="F516:G516"/>
    <mergeCell ref="M516:N516"/>
    <mergeCell ref="B517:C517"/>
    <mergeCell ref="D517:E517"/>
    <mergeCell ref="F517:G517"/>
    <mergeCell ref="M517:N517"/>
    <mergeCell ref="B514:C514"/>
    <mergeCell ref="D514:E514"/>
    <mergeCell ref="F514:G514"/>
    <mergeCell ref="M514:N514"/>
    <mergeCell ref="B515:C515"/>
    <mergeCell ref="D515:E515"/>
    <mergeCell ref="F515:G515"/>
    <mergeCell ref="M515:N515"/>
    <mergeCell ref="B520:C520"/>
    <mergeCell ref="D520:E520"/>
    <mergeCell ref="F520:G520"/>
    <mergeCell ref="M520:N520"/>
    <mergeCell ref="B521:C521"/>
    <mergeCell ref="D521:E521"/>
    <mergeCell ref="F521:G521"/>
    <mergeCell ref="M521:N521"/>
    <mergeCell ref="B518:C518"/>
    <mergeCell ref="D518:E518"/>
    <mergeCell ref="F518:G518"/>
    <mergeCell ref="M518:N518"/>
    <mergeCell ref="B519:C519"/>
    <mergeCell ref="D519:E519"/>
    <mergeCell ref="F519:G519"/>
    <mergeCell ref="M519:N519"/>
    <mergeCell ref="B524:C524"/>
    <mergeCell ref="D524:E524"/>
    <mergeCell ref="F524:G524"/>
    <mergeCell ref="M524:N524"/>
    <mergeCell ref="B525:C525"/>
    <mergeCell ref="D525:E525"/>
    <mergeCell ref="F525:G525"/>
    <mergeCell ref="M525:N525"/>
    <mergeCell ref="B522:C522"/>
    <mergeCell ref="D522:E522"/>
    <mergeCell ref="F522:G522"/>
    <mergeCell ref="M522:N522"/>
    <mergeCell ref="B523:C523"/>
    <mergeCell ref="D523:E523"/>
    <mergeCell ref="F523:G523"/>
    <mergeCell ref="M523:N523"/>
    <mergeCell ref="F528:G528"/>
    <mergeCell ref="M528:N528"/>
    <mergeCell ref="F527:G527"/>
    <mergeCell ref="M527:N527"/>
    <mergeCell ref="B526:C526"/>
    <mergeCell ref="D526:E526"/>
    <mergeCell ref="F526:G526"/>
    <mergeCell ref="M526:N526"/>
    <mergeCell ref="B527:C527"/>
    <mergeCell ref="D527:E527"/>
    <mergeCell ref="B528:C528"/>
    <mergeCell ref="D528:E528"/>
    <mergeCell ref="B529:C529"/>
    <mergeCell ref="B530:C530"/>
    <mergeCell ref="M530:N530"/>
    <mergeCell ref="B533:C533"/>
    <mergeCell ref="D533:E533"/>
    <mergeCell ref="F533:G533"/>
    <mergeCell ref="M533:N533"/>
    <mergeCell ref="B531:C531"/>
    <mergeCell ref="B534:C534"/>
    <mergeCell ref="D534:E534"/>
    <mergeCell ref="F534:G534"/>
    <mergeCell ref="M534:N534"/>
    <mergeCell ref="F537:G537"/>
    <mergeCell ref="M537:N537"/>
    <mergeCell ref="D531:E531"/>
    <mergeCell ref="F531:G531"/>
    <mergeCell ref="M531:N531"/>
    <mergeCell ref="B532:C532"/>
    <mergeCell ref="D532:E532"/>
    <mergeCell ref="F532:G532"/>
    <mergeCell ref="M532:N532"/>
    <mergeCell ref="B535:C535"/>
    <mergeCell ref="D535:E535"/>
    <mergeCell ref="D530:E530"/>
    <mergeCell ref="F530:G530"/>
    <mergeCell ref="B539:E539"/>
    <mergeCell ref="B540:E540"/>
    <mergeCell ref="B536:C536"/>
    <mergeCell ref="D536:E536"/>
    <mergeCell ref="F536:G536"/>
    <mergeCell ref="M536:N536"/>
    <mergeCell ref="B537:C537"/>
    <mergeCell ref="D537:E537"/>
    <mergeCell ref="I451:L451"/>
    <mergeCell ref="B452:C452"/>
    <mergeCell ref="D452:E452"/>
    <mergeCell ref="F452:G452"/>
    <mergeCell ref="M452:N452"/>
    <mergeCell ref="B453:C453"/>
    <mergeCell ref="D453:E453"/>
    <mergeCell ref="F453:G453"/>
    <mergeCell ref="M453:N453"/>
    <mergeCell ref="B454:C454"/>
    <mergeCell ref="D454:E454"/>
    <mergeCell ref="F454:G454"/>
    <mergeCell ref="M454:N454"/>
    <mergeCell ref="B455:C455"/>
    <mergeCell ref="D455:E455"/>
    <mergeCell ref="F455:G455"/>
    <mergeCell ref="M455:N455"/>
    <mergeCell ref="B456:C456"/>
    <mergeCell ref="D456:E456"/>
    <mergeCell ref="F456:G456"/>
    <mergeCell ref="M456:N456"/>
    <mergeCell ref="B457:C457"/>
    <mergeCell ref="D457:E457"/>
    <mergeCell ref="F457:G457"/>
    <mergeCell ref="M457:N457"/>
    <mergeCell ref="B458:C458"/>
    <mergeCell ref="D458:E458"/>
    <mergeCell ref="F458:G458"/>
    <mergeCell ref="M458:N458"/>
    <mergeCell ref="B459:C459"/>
    <mergeCell ref="D459:E459"/>
    <mergeCell ref="F459:G459"/>
    <mergeCell ref="M459:N459"/>
    <mergeCell ref="B460:C460"/>
    <mergeCell ref="D460:E460"/>
    <mergeCell ref="F460:G460"/>
    <mergeCell ref="M460:N460"/>
    <mergeCell ref="B461:C461"/>
    <mergeCell ref="D461:E461"/>
    <mergeCell ref="F461:G461"/>
    <mergeCell ref="M461:N461"/>
    <mergeCell ref="B462:C462"/>
    <mergeCell ref="D462:E462"/>
    <mergeCell ref="F462:G462"/>
    <mergeCell ref="M462:N462"/>
    <mergeCell ref="B463:C463"/>
    <mergeCell ref="D463:E463"/>
    <mergeCell ref="F463:G463"/>
    <mergeCell ref="M463:N463"/>
    <mergeCell ref="B464:C464"/>
    <mergeCell ref="D464:E464"/>
    <mergeCell ref="F464:G464"/>
    <mergeCell ref="M464:N464"/>
    <mergeCell ref="B465:C465"/>
    <mergeCell ref="D465:E465"/>
    <mergeCell ref="F465:G465"/>
    <mergeCell ref="M465:N465"/>
    <mergeCell ref="B466:C466"/>
    <mergeCell ref="D466:E466"/>
    <mergeCell ref="F466:G466"/>
    <mergeCell ref="M466:N466"/>
    <mergeCell ref="B467:C467"/>
    <mergeCell ref="D467:E467"/>
    <mergeCell ref="F467:G467"/>
    <mergeCell ref="M467:N467"/>
    <mergeCell ref="B468:C468"/>
    <mergeCell ref="D468:E468"/>
    <mergeCell ref="F468:G468"/>
    <mergeCell ref="M468:N468"/>
    <mergeCell ref="B469:C469"/>
    <mergeCell ref="D469:E469"/>
    <mergeCell ref="F469:G469"/>
    <mergeCell ref="M469:N469"/>
    <mergeCell ref="B470:C470"/>
    <mergeCell ref="D470:E470"/>
    <mergeCell ref="F470:G470"/>
    <mergeCell ref="M470:N470"/>
    <mergeCell ref="B471:C471"/>
    <mergeCell ref="D471:E471"/>
    <mergeCell ref="F471:G471"/>
    <mergeCell ref="M471:N471"/>
    <mergeCell ref="B472:C472"/>
    <mergeCell ref="D472:E472"/>
    <mergeCell ref="F472:G472"/>
    <mergeCell ref="M472:N472"/>
    <mergeCell ref="B473:C473"/>
    <mergeCell ref="D473:E473"/>
    <mergeCell ref="F473:G473"/>
    <mergeCell ref="M473:N473"/>
    <mergeCell ref="B474:C474"/>
    <mergeCell ref="D474:E474"/>
    <mergeCell ref="F474:G474"/>
    <mergeCell ref="M474:N474"/>
    <mergeCell ref="B475:C475"/>
    <mergeCell ref="D475:E475"/>
    <mergeCell ref="F475:G475"/>
    <mergeCell ref="M475:N475"/>
    <mergeCell ref="B476:C476"/>
    <mergeCell ref="D476:E476"/>
    <mergeCell ref="F476:G476"/>
    <mergeCell ref="M476:N476"/>
    <mergeCell ref="B477:C477"/>
    <mergeCell ref="D477:E477"/>
    <mergeCell ref="F477:G477"/>
    <mergeCell ref="M477:N477"/>
    <mergeCell ref="B478:C478"/>
    <mergeCell ref="D478:E478"/>
    <mergeCell ref="F478:G478"/>
    <mergeCell ref="M478:N478"/>
    <mergeCell ref="B479:C479"/>
    <mergeCell ref="D479:E479"/>
    <mergeCell ref="F479:G479"/>
    <mergeCell ref="M479:N479"/>
    <mergeCell ref="B480:C480"/>
    <mergeCell ref="D480:E480"/>
    <mergeCell ref="F480:G480"/>
    <mergeCell ref="M480:N480"/>
    <mergeCell ref="B481:C481"/>
    <mergeCell ref="B482:C482"/>
    <mergeCell ref="D482:E482"/>
    <mergeCell ref="F482:G482"/>
    <mergeCell ref="M482:N482"/>
    <mergeCell ref="B483:C483"/>
    <mergeCell ref="D483:E483"/>
    <mergeCell ref="F483:G483"/>
    <mergeCell ref="M483:N483"/>
    <mergeCell ref="B484:C484"/>
    <mergeCell ref="D484:E484"/>
    <mergeCell ref="F484:G484"/>
    <mergeCell ref="M484:N484"/>
    <mergeCell ref="M488:N488"/>
    <mergeCell ref="B485:C485"/>
    <mergeCell ref="D485:E485"/>
    <mergeCell ref="F485:G485"/>
    <mergeCell ref="M485:N485"/>
    <mergeCell ref="B486:C486"/>
    <mergeCell ref="D486:E486"/>
    <mergeCell ref="F486:G486"/>
    <mergeCell ref="M486:N486"/>
    <mergeCell ref="M489:N489"/>
    <mergeCell ref="B491:E491"/>
    <mergeCell ref="B492:E492"/>
    <mergeCell ref="B487:C487"/>
    <mergeCell ref="D487:E487"/>
    <mergeCell ref="F487:G487"/>
    <mergeCell ref="M487:N487"/>
    <mergeCell ref="B488:C488"/>
    <mergeCell ref="D488:E488"/>
    <mergeCell ref="F488:G488"/>
    <mergeCell ref="M496:N496"/>
    <mergeCell ref="B494:C494"/>
    <mergeCell ref="D494:E494"/>
    <mergeCell ref="F494:G494"/>
    <mergeCell ref="M494:N494"/>
    <mergeCell ref="B495:C495"/>
    <mergeCell ref="D495:E495"/>
    <mergeCell ref="F495:G495"/>
    <mergeCell ref="M495:N495"/>
    <mergeCell ref="D439:E439"/>
    <mergeCell ref="F439:G439"/>
    <mergeCell ref="B496:C496"/>
    <mergeCell ref="D496:E496"/>
    <mergeCell ref="F496:G496"/>
    <mergeCell ref="B489:C489"/>
    <mergeCell ref="D489:E489"/>
    <mergeCell ref="F489:G489"/>
    <mergeCell ref="I371:L371"/>
    <mergeCell ref="B372:C372"/>
    <mergeCell ref="D372:E372"/>
    <mergeCell ref="F372:G372"/>
    <mergeCell ref="M372:N372"/>
    <mergeCell ref="B373:C373"/>
    <mergeCell ref="D373:E373"/>
    <mergeCell ref="F373:G373"/>
    <mergeCell ref="M373:N373"/>
    <mergeCell ref="B374:C374"/>
    <mergeCell ref="D374:E374"/>
    <mergeCell ref="F374:G374"/>
    <mergeCell ref="M374:N374"/>
    <mergeCell ref="B375:C375"/>
    <mergeCell ref="D375:E375"/>
    <mergeCell ref="F375:G375"/>
    <mergeCell ref="M375:N375"/>
    <mergeCell ref="B376:C376"/>
    <mergeCell ref="D376:E376"/>
    <mergeCell ref="F376:G376"/>
    <mergeCell ref="M376:N376"/>
    <mergeCell ref="B377:C377"/>
    <mergeCell ref="D377:E377"/>
    <mergeCell ref="F377:G377"/>
    <mergeCell ref="M377:N377"/>
    <mergeCell ref="B378:C378"/>
    <mergeCell ref="D378:E378"/>
    <mergeCell ref="F378:G378"/>
    <mergeCell ref="M378:N378"/>
    <mergeCell ref="B379:C379"/>
    <mergeCell ref="D379:E379"/>
    <mergeCell ref="F379:G379"/>
    <mergeCell ref="M379:N379"/>
    <mergeCell ref="B380:C380"/>
    <mergeCell ref="D380:E380"/>
    <mergeCell ref="F380:G380"/>
    <mergeCell ref="M380:N380"/>
    <mergeCell ref="B381:C381"/>
    <mergeCell ref="D381:E381"/>
    <mergeCell ref="F381:G381"/>
    <mergeCell ref="M381:N381"/>
    <mergeCell ref="B382:C382"/>
    <mergeCell ref="D382:E382"/>
    <mergeCell ref="F382:G382"/>
    <mergeCell ref="M382:N382"/>
    <mergeCell ref="B383:C383"/>
    <mergeCell ref="D383:E383"/>
    <mergeCell ref="F383:G383"/>
    <mergeCell ref="M383:N383"/>
    <mergeCell ref="B384:C384"/>
    <mergeCell ref="D384:E384"/>
    <mergeCell ref="F384:G384"/>
    <mergeCell ref="M384:N384"/>
    <mergeCell ref="B386:C386"/>
    <mergeCell ref="D386:E386"/>
    <mergeCell ref="F386:G386"/>
    <mergeCell ref="M386:N386"/>
    <mergeCell ref="B385:C385"/>
    <mergeCell ref="D385:E385"/>
    <mergeCell ref="F385:G385"/>
    <mergeCell ref="M385:N385"/>
    <mergeCell ref="B387:C387"/>
    <mergeCell ref="D387:E387"/>
    <mergeCell ref="F387:G387"/>
    <mergeCell ref="M387:N387"/>
    <mergeCell ref="B388:C388"/>
    <mergeCell ref="D388:E388"/>
    <mergeCell ref="F388:G388"/>
    <mergeCell ref="M388:N388"/>
    <mergeCell ref="B389:C389"/>
    <mergeCell ref="D389:E389"/>
    <mergeCell ref="F389:G389"/>
    <mergeCell ref="M389:N389"/>
    <mergeCell ref="B390:C390"/>
    <mergeCell ref="D390:E390"/>
    <mergeCell ref="F390:G390"/>
    <mergeCell ref="M390:N390"/>
    <mergeCell ref="B391:C391"/>
    <mergeCell ref="D391:E391"/>
    <mergeCell ref="F391:G391"/>
    <mergeCell ref="M391:N391"/>
    <mergeCell ref="B398:C398"/>
    <mergeCell ref="D398:E398"/>
    <mergeCell ref="B400:C400"/>
    <mergeCell ref="D400:E400"/>
    <mergeCell ref="F400:G400"/>
    <mergeCell ref="M400:N400"/>
    <mergeCell ref="B392:C392"/>
    <mergeCell ref="D392:E392"/>
    <mergeCell ref="F392:G392"/>
    <mergeCell ref="M392:N392"/>
    <mergeCell ref="B393:C393"/>
    <mergeCell ref="D393:E393"/>
    <mergeCell ref="F393:G393"/>
    <mergeCell ref="M393:N393"/>
    <mergeCell ref="B394:C394"/>
    <mergeCell ref="D394:E394"/>
    <mergeCell ref="F394:G394"/>
    <mergeCell ref="M394:N394"/>
    <mergeCell ref="B395:C395"/>
    <mergeCell ref="D395:E395"/>
    <mergeCell ref="F395:G395"/>
    <mergeCell ref="M395:N395"/>
    <mergeCell ref="B396:C396"/>
    <mergeCell ref="D396:E396"/>
    <mergeCell ref="F396:G396"/>
    <mergeCell ref="M396:N396"/>
    <mergeCell ref="B409:C409"/>
    <mergeCell ref="D409:E409"/>
    <mergeCell ref="F409:G409"/>
    <mergeCell ref="M409:N409"/>
    <mergeCell ref="B408:C408"/>
    <mergeCell ref="D408:E408"/>
    <mergeCell ref="B397:C397"/>
    <mergeCell ref="D397:E397"/>
    <mergeCell ref="F397:G397"/>
    <mergeCell ref="M397:N397"/>
    <mergeCell ref="F398:G398"/>
    <mergeCell ref="M398:N398"/>
    <mergeCell ref="B401:C401"/>
    <mergeCell ref="D401:E401"/>
    <mergeCell ref="F401:G401"/>
    <mergeCell ref="M401:N401"/>
    <mergeCell ref="B399:C399"/>
    <mergeCell ref="D399:E399"/>
    <mergeCell ref="F399:G399"/>
    <mergeCell ref="M399:N399"/>
    <mergeCell ref="F408:G408"/>
    <mergeCell ref="M408:N408"/>
    <mergeCell ref="B402:C402"/>
    <mergeCell ref="D402:E402"/>
    <mergeCell ref="F402:G402"/>
    <mergeCell ref="M402:N402"/>
    <mergeCell ref="B404:E404"/>
    <mergeCell ref="B405:E405"/>
    <mergeCell ref="B407:C407"/>
    <mergeCell ref="D407:E407"/>
    <mergeCell ref="F407:G407"/>
    <mergeCell ref="M407:N407"/>
    <mergeCell ref="M278:N278"/>
    <mergeCell ref="B279:C279"/>
    <mergeCell ref="D279:E279"/>
    <mergeCell ref="F279:G279"/>
    <mergeCell ref="M279:N279"/>
    <mergeCell ref="B280:C280"/>
    <mergeCell ref="D280:E280"/>
    <mergeCell ref="F280:G280"/>
    <mergeCell ref="M280:N280"/>
    <mergeCell ref="B281:C281"/>
    <mergeCell ref="D281:E281"/>
    <mergeCell ref="F281:G281"/>
    <mergeCell ref="M281:N281"/>
    <mergeCell ref="B282:C282"/>
    <mergeCell ref="D282:E282"/>
    <mergeCell ref="F282:G282"/>
    <mergeCell ref="M282:N282"/>
    <mergeCell ref="F278:G278"/>
    <mergeCell ref="B283:C283"/>
    <mergeCell ref="D283:E283"/>
    <mergeCell ref="F283:G283"/>
    <mergeCell ref="M283:N283"/>
    <mergeCell ref="B285:C285"/>
    <mergeCell ref="D285:E285"/>
    <mergeCell ref="F285:G285"/>
    <mergeCell ref="M285:N285"/>
    <mergeCell ref="B286:C286"/>
    <mergeCell ref="D286:E286"/>
    <mergeCell ref="F286:G286"/>
    <mergeCell ref="M286:N286"/>
    <mergeCell ref="B287:C287"/>
    <mergeCell ref="D287:E287"/>
    <mergeCell ref="F287:G287"/>
    <mergeCell ref="M287:N287"/>
    <mergeCell ref="B288:C288"/>
    <mergeCell ref="D288:E288"/>
    <mergeCell ref="F288:G288"/>
    <mergeCell ref="M288:N288"/>
    <mergeCell ref="B284:C284"/>
    <mergeCell ref="D284:E284"/>
    <mergeCell ref="F284:G284"/>
    <mergeCell ref="M284:N284"/>
    <mergeCell ref="B289:C289"/>
    <mergeCell ref="D289:E289"/>
    <mergeCell ref="F289:G289"/>
    <mergeCell ref="M289:N289"/>
    <mergeCell ref="B290:C290"/>
    <mergeCell ref="D290:E290"/>
    <mergeCell ref="F290:G290"/>
    <mergeCell ref="M290:N290"/>
    <mergeCell ref="B291:C291"/>
    <mergeCell ref="D291:E291"/>
    <mergeCell ref="F291:G291"/>
    <mergeCell ref="M291:N291"/>
    <mergeCell ref="B292:C292"/>
    <mergeCell ref="D292:E292"/>
    <mergeCell ref="F292:G292"/>
    <mergeCell ref="M292:N292"/>
    <mergeCell ref="B293:C293"/>
    <mergeCell ref="D293:E293"/>
    <mergeCell ref="F293:G293"/>
    <mergeCell ref="M293:N293"/>
    <mergeCell ref="B294:C294"/>
    <mergeCell ref="D294:E294"/>
    <mergeCell ref="F294:G294"/>
    <mergeCell ref="M294:N294"/>
    <mergeCell ref="M303:N303"/>
    <mergeCell ref="B304:C304"/>
    <mergeCell ref="D304:E304"/>
    <mergeCell ref="F304:G304"/>
    <mergeCell ref="M304:N304"/>
    <mergeCell ref="B295:C295"/>
    <mergeCell ref="D295:E295"/>
    <mergeCell ref="F295:G295"/>
    <mergeCell ref="M295:N295"/>
    <mergeCell ref="B296:C296"/>
    <mergeCell ref="D296:E296"/>
    <mergeCell ref="F296:G296"/>
    <mergeCell ref="M296:N296"/>
    <mergeCell ref="B297:C297"/>
    <mergeCell ref="D297:E297"/>
    <mergeCell ref="F297:G297"/>
    <mergeCell ref="M297:N297"/>
    <mergeCell ref="B298:C298"/>
    <mergeCell ref="D298:E298"/>
    <mergeCell ref="F298:G298"/>
    <mergeCell ref="M298:N298"/>
    <mergeCell ref="B299:C299"/>
    <mergeCell ref="D299:E299"/>
    <mergeCell ref="F299:G299"/>
    <mergeCell ref="M299:N299"/>
    <mergeCell ref="B317:E317"/>
    <mergeCell ref="B308:C308"/>
    <mergeCell ref="D308:E308"/>
    <mergeCell ref="F308:G308"/>
    <mergeCell ref="M308:N308"/>
    <mergeCell ref="B305:C305"/>
    <mergeCell ref="D305:E305"/>
    <mergeCell ref="F305:G305"/>
    <mergeCell ref="M305:N305"/>
    <mergeCell ref="B306:C306"/>
    <mergeCell ref="D306:E306"/>
    <mergeCell ref="F306:G306"/>
    <mergeCell ref="M306:N306"/>
    <mergeCell ref="B307:C307"/>
    <mergeCell ref="D307:E307"/>
    <mergeCell ref="F307:G307"/>
    <mergeCell ref="M307:N307"/>
    <mergeCell ref="B310:C310"/>
    <mergeCell ref="D310:E310"/>
    <mergeCell ref="F310:G310"/>
    <mergeCell ref="M310:N310"/>
    <mergeCell ref="B311:C311"/>
    <mergeCell ref="D311:E311"/>
    <mergeCell ref="F311:G311"/>
    <mergeCell ref="M311:N311"/>
    <mergeCell ref="B309:C309"/>
    <mergeCell ref="D309:E309"/>
    <mergeCell ref="F309:G309"/>
    <mergeCell ref="M309:N309"/>
    <mergeCell ref="B312:C312"/>
    <mergeCell ref="D312:E312"/>
    <mergeCell ref="F312:G312"/>
    <mergeCell ref="M312:N312"/>
    <mergeCell ref="B313:C313"/>
    <mergeCell ref="D313:E313"/>
    <mergeCell ref="F313:G313"/>
    <mergeCell ref="M313:N313"/>
    <mergeCell ref="B314:C314"/>
    <mergeCell ref="D314:E314"/>
    <mergeCell ref="F314:G314"/>
    <mergeCell ref="M314:N314"/>
    <mergeCell ref="B316:E316"/>
    <mergeCell ref="B300:C300"/>
    <mergeCell ref="D300:E300"/>
    <mergeCell ref="F300:G300"/>
    <mergeCell ref="M300:N300"/>
    <mergeCell ref="B301:C301"/>
    <mergeCell ref="D301:E301"/>
    <mergeCell ref="F301:G301"/>
    <mergeCell ref="M301:N301"/>
    <mergeCell ref="B302:C302"/>
    <mergeCell ref="D302:E302"/>
    <mergeCell ref="F302:G302"/>
    <mergeCell ref="M302:N302"/>
    <mergeCell ref="B303:C303"/>
    <mergeCell ref="D303:E303"/>
    <mergeCell ref="F303:G303"/>
    <mergeCell ref="I224:L224"/>
    <mergeCell ref="B225:C225"/>
    <mergeCell ref="D225:E225"/>
    <mergeCell ref="F225:G225"/>
    <mergeCell ref="M225:N225"/>
    <mergeCell ref="B226:C226"/>
    <mergeCell ref="D226:E226"/>
    <mergeCell ref="F226:G226"/>
    <mergeCell ref="M226:N226"/>
    <mergeCell ref="B227:C227"/>
    <mergeCell ref="D227:E227"/>
    <mergeCell ref="F227:G227"/>
    <mergeCell ref="M227:N227"/>
    <mergeCell ref="B228:C228"/>
    <mergeCell ref="D228:E228"/>
    <mergeCell ref="F228:G228"/>
    <mergeCell ref="M228:N228"/>
    <mergeCell ref="B229:C229"/>
    <mergeCell ref="D229:E229"/>
    <mergeCell ref="F229:G229"/>
    <mergeCell ref="M229:N229"/>
    <mergeCell ref="B230:C230"/>
    <mergeCell ref="D230:E230"/>
    <mergeCell ref="F230:G230"/>
    <mergeCell ref="M230:N230"/>
    <mergeCell ref="B231:C231"/>
    <mergeCell ref="D231:E231"/>
    <mergeCell ref="F231:G231"/>
    <mergeCell ref="M231:N231"/>
    <mergeCell ref="B232:C232"/>
    <mergeCell ref="D232:E232"/>
    <mergeCell ref="F232:G232"/>
    <mergeCell ref="M232:N232"/>
    <mergeCell ref="B233:C233"/>
    <mergeCell ref="D233:E233"/>
    <mergeCell ref="F233:G233"/>
    <mergeCell ref="M233:N233"/>
    <mergeCell ref="B234:C234"/>
    <mergeCell ref="D234:E234"/>
    <mergeCell ref="F234:G234"/>
    <mergeCell ref="M234:N234"/>
    <mergeCell ref="B235:C235"/>
    <mergeCell ref="D235:E235"/>
    <mergeCell ref="F235:G235"/>
    <mergeCell ref="M235:N235"/>
    <mergeCell ref="B236:C236"/>
    <mergeCell ref="D236:E236"/>
    <mergeCell ref="F236:G236"/>
    <mergeCell ref="M236:N236"/>
    <mergeCell ref="B237:C237"/>
    <mergeCell ref="D237:E237"/>
    <mergeCell ref="F237:G237"/>
    <mergeCell ref="M237:N237"/>
    <mergeCell ref="B238:C238"/>
    <mergeCell ref="D238:E238"/>
    <mergeCell ref="F238:G238"/>
    <mergeCell ref="M238:N238"/>
    <mergeCell ref="B239:C239"/>
    <mergeCell ref="D239:E239"/>
    <mergeCell ref="F239:G239"/>
    <mergeCell ref="M239:N239"/>
    <mergeCell ref="B240:C240"/>
    <mergeCell ref="D240:E240"/>
    <mergeCell ref="F240:G240"/>
    <mergeCell ref="M240:N240"/>
    <mergeCell ref="B241:C241"/>
    <mergeCell ref="D241:E241"/>
    <mergeCell ref="F241:G241"/>
    <mergeCell ref="M241:N241"/>
    <mergeCell ref="B242:C242"/>
    <mergeCell ref="D242:E242"/>
    <mergeCell ref="F242:G242"/>
    <mergeCell ref="M242:N242"/>
    <mergeCell ref="B243:C243"/>
    <mergeCell ref="D243:E243"/>
    <mergeCell ref="F243:G243"/>
    <mergeCell ref="M243:N243"/>
    <mergeCell ref="B244:C244"/>
    <mergeCell ref="D244:E244"/>
    <mergeCell ref="F244:G244"/>
    <mergeCell ref="M244:N244"/>
    <mergeCell ref="B245:C245"/>
    <mergeCell ref="D245:E245"/>
    <mergeCell ref="F245:G245"/>
    <mergeCell ref="M245:N245"/>
    <mergeCell ref="B246:C246"/>
    <mergeCell ref="D246:E246"/>
    <mergeCell ref="F246:G246"/>
    <mergeCell ref="M246:N246"/>
    <mergeCell ref="B247:C247"/>
    <mergeCell ref="D247:E247"/>
    <mergeCell ref="F247:G247"/>
    <mergeCell ref="M247:N247"/>
    <mergeCell ref="B248:C248"/>
    <mergeCell ref="D248:E248"/>
    <mergeCell ref="F248:G248"/>
    <mergeCell ref="M248:N248"/>
    <mergeCell ref="B249:C249"/>
    <mergeCell ref="D249:E249"/>
    <mergeCell ref="F249:G249"/>
    <mergeCell ref="M249:N249"/>
    <mergeCell ref="B250:C250"/>
    <mergeCell ref="D250:E250"/>
    <mergeCell ref="F250:G250"/>
    <mergeCell ref="M250:N250"/>
    <mergeCell ref="B251:C251"/>
    <mergeCell ref="D251:E251"/>
    <mergeCell ref="F251:G251"/>
    <mergeCell ref="M251:N251"/>
    <mergeCell ref="B252:C252"/>
    <mergeCell ref="D252:E252"/>
    <mergeCell ref="F252:G252"/>
    <mergeCell ref="M252:N252"/>
    <mergeCell ref="B253:C253"/>
    <mergeCell ref="D253:E253"/>
    <mergeCell ref="F253:G253"/>
    <mergeCell ref="M253:N253"/>
    <mergeCell ref="B254:C254"/>
    <mergeCell ref="D254:E254"/>
    <mergeCell ref="F254:G254"/>
    <mergeCell ref="M254:N254"/>
    <mergeCell ref="B255:C255"/>
    <mergeCell ref="D255:E255"/>
    <mergeCell ref="F255:G255"/>
    <mergeCell ref="M255:N255"/>
    <mergeCell ref="B256:C256"/>
    <mergeCell ref="D256:E256"/>
    <mergeCell ref="F256:G256"/>
    <mergeCell ref="M256:N256"/>
    <mergeCell ref="B257:C257"/>
    <mergeCell ref="D257:E257"/>
    <mergeCell ref="F257:G257"/>
    <mergeCell ref="M257:N257"/>
    <mergeCell ref="B259:C259"/>
    <mergeCell ref="D259:E259"/>
    <mergeCell ref="F259:G259"/>
    <mergeCell ref="M259:N259"/>
    <mergeCell ref="B258:C258"/>
    <mergeCell ref="D258:E258"/>
    <mergeCell ref="F258:G258"/>
    <mergeCell ref="B260:C260"/>
    <mergeCell ref="D260:E260"/>
    <mergeCell ref="F260:G260"/>
    <mergeCell ref="M260:N260"/>
    <mergeCell ref="B261:C261"/>
    <mergeCell ref="D261:E261"/>
    <mergeCell ref="F261:G261"/>
    <mergeCell ref="M261:N261"/>
    <mergeCell ref="B262:C262"/>
    <mergeCell ref="D262:E262"/>
    <mergeCell ref="F262:G262"/>
    <mergeCell ref="M262:N262"/>
    <mergeCell ref="B263:C263"/>
    <mergeCell ref="D263:E263"/>
    <mergeCell ref="F263:G263"/>
    <mergeCell ref="M263:N263"/>
    <mergeCell ref="B264:C264"/>
    <mergeCell ref="D264:E264"/>
    <mergeCell ref="F264:G264"/>
    <mergeCell ref="M264:N264"/>
    <mergeCell ref="B266:E266"/>
    <mergeCell ref="B267:E267"/>
    <mergeCell ref="B269:C269"/>
    <mergeCell ref="D269:E269"/>
    <mergeCell ref="F269:G269"/>
    <mergeCell ref="M269:N269"/>
    <mergeCell ref="B270:C270"/>
    <mergeCell ref="D270:E270"/>
    <mergeCell ref="F270:G270"/>
    <mergeCell ref="M270:N270"/>
    <mergeCell ref="B271:C271"/>
    <mergeCell ref="D271:E271"/>
    <mergeCell ref="F271:G271"/>
    <mergeCell ref="M271:N271"/>
    <mergeCell ref="I180:L180"/>
    <mergeCell ref="B181:C181"/>
    <mergeCell ref="D181:E181"/>
    <mergeCell ref="F181:G181"/>
    <mergeCell ref="M181:N181"/>
    <mergeCell ref="B182:C182"/>
    <mergeCell ref="D182:E182"/>
    <mergeCell ref="F182:G182"/>
    <mergeCell ref="M182:N182"/>
    <mergeCell ref="B183:C183"/>
    <mergeCell ref="D183:E183"/>
    <mergeCell ref="F183:G183"/>
    <mergeCell ref="M183:N183"/>
    <mergeCell ref="B184:C184"/>
    <mergeCell ref="D184:E184"/>
    <mergeCell ref="F184:G184"/>
    <mergeCell ref="M184:N184"/>
    <mergeCell ref="B185:C185"/>
    <mergeCell ref="D185:E185"/>
    <mergeCell ref="F185:G185"/>
    <mergeCell ref="M185:N185"/>
    <mergeCell ref="B186:C186"/>
    <mergeCell ref="D186:E186"/>
    <mergeCell ref="F186:G186"/>
    <mergeCell ref="M186:N186"/>
    <mergeCell ref="B187:C187"/>
    <mergeCell ref="D187:E187"/>
    <mergeCell ref="F187:G187"/>
    <mergeCell ref="M187:N187"/>
    <mergeCell ref="B188:C188"/>
    <mergeCell ref="D188:E188"/>
    <mergeCell ref="F188:G188"/>
    <mergeCell ref="M188:N188"/>
    <mergeCell ref="B189:C189"/>
    <mergeCell ref="D189:E189"/>
    <mergeCell ref="F189:G189"/>
    <mergeCell ref="M189:N189"/>
    <mergeCell ref="B190:C190"/>
    <mergeCell ref="D190:E190"/>
    <mergeCell ref="F190:G190"/>
    <mergeCell ref="M190:N190"/>
    <mergeCell ref="B192:C192"/>
    <mergeCell ref="D192:E192"/>
    <mergeCell ref="F192:G192"/>
    <mergeCell ref="M192:N192"/>
    <mergeCell ref="B193:C193"/>
    <mergeCell ref="D193:E193"/>
    <mergeCell ref="F193:G193"/>
    <mergeCell ref="M193:N193"/>
    <mergeCell ref="B194:C194"/>
    <mergeCell ref="D194:E194"/>
    <mergeCell ref="F194:G194"/>
    <mergeCell ref="M194:N194"/>
    <mergeCell ref="B195:C195"/>
    <mergeCell ref="D195:E195"/>
    <mergeCell ref="F195:G195"/>
    <mergeCell ref="M195:N195"/>
    <mergeCell ref="B191:C191"/>
    <mergeCell ref="D191:E191"/>
    <mergeCell ref="F191:G191"/>
    <mergeCell ref="M191:N191"/>
    <mergeCell ref="B197:C197"/>
    <mergeCell ref="D197:E197"/>
    <mergeCell ref="F197:G197"/>
    <mergeCell ref="M197:N197"/>
    <mergeCell ref="B198:C198"/>
    <mergeCell ref="D198:E198"/>
    <mergeCell ref="F198:G198"/>
    <mergeCell ref="M198:N198"/>
    <mergeCell ref="B199:C199"/>
    <mergeCell ref="D199:E199"/>
    <mergeCell ref="F199:G199"/>
    <mergeCell ref="M199:N199"/>
    <mergeCell ref="B200:C200"/>
    <mergeCell ref="D200:E200"/>
    <mergeCell ref="F200:G200"/>
    <mergeCell ref="M200:N200"/>
    <mergeCell ref="B201:C201"/>
    <mergeCell ref="D201:E201"/>
    <mergeCell ref="F201:G201"/>
    <mergeCell ref="M201:N201"/>
    <mergeCell ref="B202:C202"/>
    <mergeCell ref="D202:E202"/>
    <mergeCell ref="F202:G202"/>
    <mergeCell ref="M202:N202"/>
    <mergeCell ref="B203:C203"/>
    <mergeCell ref="D203:E203"/>
    <mergeCell ref="F203:G203"/>
    <mergeCell ref="M203:N203"/>
    <mergeCell ref="B204:C204"/>
    <mergeCell ref="D204:E204"/>
    <mergeCell ref="F204:G204"/>
    <mergeCell ref="M204:N204"/>
    <mergeCell ref="B205:C205"/>
    <mergeCell ref="D205:E205"/>
    <mergeCell ref="F205:G205"/>
    <mergeCell ref="M205:N205"/>
    <mergeCell ref="B206:C206"/>
    <mergeCell ref="D206:E206"/>
    <mergeCell ref="F206:G206"/>
    <mergeCell ref="M206:N206"/>
    <mergeCell ref="B207:C207"/>
    <mergeCell ref="D207:E207"/>
    <mergeCell ref="F207:G207"/>
    <mergeCell ref="M207:N207"/>
    <mergeCell ref="B208:C208"/>
    <mergeCell ref="D208:E208"/>
    <mergeCell ref="F208:G208"/>
    <mergeCell ref="M208:N208"/>
    <mergeCell ref="B211:C211"/>
    <mergeCell ref="D211:E211"/>
    <mergeCell ref="F211:G211"/>
    <mergeCell ref="M211:N211"/>
    <mergeCell ref="B212:C212"/>
    <mergeCell ref="D212:E212"/>
    <mergeCell ref="F212:G212"/>
    <mergeCell ref="M212:N212"/>
    <mergeCell ref="B213:C213"/>
    <mergeCell ref="D213:E213"/>
    <mergeCell ref="F213:G213"/>
    <mergeCell ref="M213:N213"/>
    <mergeCell ref="B209:C209"/>
    <mergeCell ref="B210:C210"/>
    <mergeCell ref="M209:N209"/>
    <mergeCell ref="D209:E209"/>
    <mergeCell ref="D210:E210"/>
    <mergeCell ref="F209:G209"/>
    <mergeCell ref="F210:G210"/>
    <mergeCell ref="M210:N210"/>
    <mergeCell ref="B219:C219"/>
    <mergeCell ref="D219:E219"/>
    <mergeCell ref="F219:G219"/>
    <mergeCell ref="M219:N219"/>
    <mergeCell ref="B220:C220"/>
    <mergeCell ref="D220:E220"/>
    <mergeCell ref="F220:G220"/>
    <mergeCell ref="M220:N220"/>
    <mergeCell ref="B221:C221"/>
    <mergeCell ref="D221:E221"/>
    <mergeCell ref="F221:G221"/>
    <mergeCell ref="M221:N221"/>
    <mergeCell ref="B214:C214"/>
    <mergeCell ref="D214:E214"/>
    <mergeCell ref="F214:G214"/>
    <mergeCell ref="M214:N214"/>
    <mergeCell ref="B216:E216"/>
    <mergeCell ref="B217:E217"/>
    <mergeCell ref="I135:L135"/>
    <mergeCell ref="B136:C136"/>
    <mergeCell ref="D136:E136"/>
    <mergeCell ref="F136:G136"/>
    <mergeCell ref="M136:N136"/>
    <mergeCell ref="B137:C137"/>
    <mergeCell ref="D137:E137"/>
    <mergeCell ref="F137:G137"/>
    <mergeCell ref="M137:N137"/>
    <mergeCell ref="B138:C138"/>
    <mergeCell ref="D138:E138"/>
    <mergeCell ref="F138:G138"/>
    <mergeCell ref="M138:N138"/>
    <mergeCell ref="B139:C139"/>
    <mergeCell ref="D139:E139"/>
    <mergeCell ref="F139:G139"/>
    <mergeCell ref="M139:N139"/>
    <mergeCell ref="B150:C150"/>
    <mergeCell ref="D150:E150"/>
    <mergeCell ref="F150:G150"/>
    <mergeCell ref="M150:N150"/>
    <mergeCell ref="B140:C140"/>
    <mergeCell ref="D140:E140"/>
    <mergeCell ref="F140:G140"/>
    <mergeCell ref="M140:N140"/>
    <mergeCell ref="B141:C141"/>
    <mergeCell ref="D141:E141"/>
    <mergeCell ref="F141:G141"/>
    <mergeCell ref="M141:N141"/>
    <mergeCell ref="B142:C142"/>
    <mergeCell ref="D142:E142"/>
    <mergeCell ref="F142:G142"/>
    <mergeCell ref="M142:N142"/>
    <mergeCell ref="B143:C143"/>
    <mergeCell ref="D143:E143"/>
    <mergeCell ref="F143:G143"/>
    <mergeCell ref="M143:N143"/>
    <mergeCell ref="B144:C144"/>
    <mergeCell ref="D144:E144"/>
    <mergeCell ref="F144:G144"/>
    <mergeCell ref="M144:N144"/>
    <mergeCell ref="B146:C146"/>
    <mergeCell ref="D146:E146"/>
    <mergeCell ref="F146:G146"/>
    <mergeCell ref="M146:N146"/>
    <mergeCell ref="B152:C152"/>
    <mergeCell ref="D152:E152"/>
    <mergeCell ref="F152:G152"/>
    <mergeCell ref="M152:N152"/>
    <mergeCell ref="B153:C153"/>
    <mergeCell ref="D153:E153"/>
    <mergeCell ref="F153:G153"/>
    <mergeCell ref="M153:N153"/>
    <mergeCell ref="B154:C154"/>
    <mergeCell ref="D154:E154"/>
    <mergeCell ref="F154:G154"/>
    <mergeCell ref="M154:N154"/>
    <mergeCell ref="B155:C155"/>
    <mergeCell ref="D155:E155"/>
    <mergeCell ref="F155:G155"/>
    <mergeCell ref="M155:N155"/>
    <mergeCell ref="B145:C145"/>
    <mergeCell ref="D145:E145"/>
    <mergeCell ref="F145:G145"/>
    <mergeCell ref="M145:N145"/>
    <mergeCell ref="B147:C147"/>
    <mergeCell ref="D147:E147"/>
    <mergeCell ref="F147:G147"/>
    <mergeCell ref="M147:N147"/>
    <mergeCell ref="B148:C148"/>
    <mergeCell ref="D148:E148"/>
    <mergeCell ref="F148:G148"/>
    <mergeCell ref="M148:N148"/>
    <mergeCell ref="B149:C149"/>
    <mergeCell ref="D149:E149"/>
    <mergeCell ref="F149:G149"/>
    <mergeCell ref="M149:N149"/>
    <mergeCell ref="B156:C156"/>
    <mergeCell ref="D156:E156"/>
    <mergeCell ref="F156:G156"/>
    <mergeCell ref="M156:N156"/>
    <mergeCell ref="B157:C157"/>
    <mergeCell ref="D157:E157"/>
    <mergeCell ref="F157:G157"/>
    <mergeCell ref="M157:N157"/>
    <mergeCell ref="B158:C158"/>
    <mergeCell ref="D158:E158"/>
    <mergeCell ref="F158:G158"/>
    <mergeCell ref="M158:N158"/>
    <mergeCell ref="B159:C159"/>
    <mergeCell ref="D159:E159"/>
    <mergeCell ref="F159:G159"/>
    <mergeCell ref="M159:N159"/>
    <mergeCell ref="B160:C160"/>
    <mergeCell ref="D160:E160"/>
    <mergeCell ref="F160:G160"/>
    <mergeCell ref="M160:N160"/>
    <mergeCell ref="F170:G170"/>
    <mergeCell ref="M170:N170"/>
    <mergeCell ref="B161:C161"/>
    <mergeCell ref="D161:E161"/>
    <mergeCell ref="F161:G161"/>
    <mergeCell ref="M161:N161"/>
    <mergeCell ref="B162:C162"/>
    <mergeCell ref="D162:E162"/>
    <mergeCell ref="F162:G162"/>
    <mergeCell ref="M162:N162"/>
    <mergeCell ref="B163:C163"/>
    <mergeCell ref="D163:E163"/>
    <mergeCell ref="F163:G163"/>
    <mergeCell ref="M163:N163"/>
    <mergeCell ref="B164:C164"/>
    <mergeCell ref="D164:E164"/>
    <mergeCell ref="F164:G164"/>
    <mergeCell ref="M164:N164"/>
    <mergeCell ref="B165:C165"/>
    <mergeCell ref="D165:E165"/>
    <mergeCell ref="F165:G165"/>
    <mergeCell ref="M165:N165"/>
    <mergeCell ref="B172:E172"/>
    <mergeCell ref="B173:E173"/>
    <mergeCell ref="B175:C175"/>
    <mergeCell ref="D175:E175"/>
    <mergeCell ref="F175:G175"/>
    <mergeCell ref="M175:N175"/>
    <mergeCell ref="B176:C176"/>
    <mergeCell ref="D176:E176"/>
    <mergeCell ref="F176:G176"/>
    <mergeCell ref="M176:N176"/>
    <mergeCell ref="B177:C177"/>
    <mergeCell ref="D177:E177"/>
    <mergeCell ref="F177:G177"/>
    <mergeCell ref="M177:N177"/>
    <mergeCell ref="B166:C166"/>
    <mergeCell ref="D166:E166"/>
    <mergeCell ref="F166:G166"/>
    <mergeCell ref="M166:N166"/>
    <mergeCell ref="B167:C167"/>
    <mergeCell ref="D167:E167"/>
    <mergeCell ref="F167:G167"/>
    <mergeCell ref="M167:N167"/>
    <mergeCell ref="B168:C168"/>
    <mergeCell ref="D168:E168"/>
    <mergeCell ref="F168:G168"/>
    <mergeCell ref="M168:N168"/>
    <mergeCell ref="B169:C169"/>
    <mergeCell ref="D169:E169"/>
    <mergeCell ref="F169:G169"/>
    <mergeCell ref="M169:N169"/>
    <mergeCell ref="B170:C170"/>
    <mergeCell ref="D170:E170"/>
    <mergeCell ref="I90:L90"/>
    <mergeCell ref="B91:C91"/>
    <mergeCell ref="D91:E91"/>
    <mergeCell ref="F91:G91"/>
    <mergeCell ref="M91:N91"/>
    <mergeCell ref="B92:C92"/>
    <mergeCell ref="D92:E92"/>
    <mergeCell ref="F92:G92"/>
    <mergeCell ref="M92:N92"/>
    <mergeCell ref="B93:C93"/>
    <mergeCell ref="D93:E93"/>
    <mergeCell ref="F93:G93"/>
    <mergeCell ref="M93:N93"/>
    <mergeCell ref="B94:C94"/>
    <mergeCell ref="D94:E94"/>
    <mergeCell ref="F94:G94"/>
    <mergeCell ref="M94:N94"/>
    <mergeCell ref="B95:C95"/>
    <mergeCell ref="D95:E95"/>
    <mergeCell ref="F95:G95"/>
    <mergeCell ref="M95:N95"/>
    <mergeCell ref="B96:C96"/>
    <mergeCell ref="D96:E96"/>
    <mergeCell ref="F96:G96"/>
    <mergeCell ref="M96:N96"/>
    <mergeCell ref="B97:C97"/>
    <mergeCell ref="D97:E97"/>
    <mergeCell ref="F97:G97"/>
    <mergeCell ref="M97:N97"/>
    <mergeCell ref="B98:C98"/>
    <mergeCell ref="D98:E98"/>
    <mergeCell ref="F98:G98"/>
    <mergeCell ref="M98:N98"/>
    <mergeCell ref="B99:C99"/>
    <mergeCell ref="D99:E99"/>
    <mergeCell ref="F99:G99"/>
    <mergeCell ref="M99:N99"/>
    <mergeCell ref="B100:C100"/>
    <mergeCell ref="D100:E100"/>
    <mergeCell ref="F100:G100"/>
    <mergeCell ref="M100:N100"/>
    <mergeCell ref="B101:C101"/>
    <mergeCell ref="D101:E101"/>
    <mergeCell ref="F101:G101"/>
    <mergeCell ref="M101:N101"/>
    <mergeCell ref="B102:C102"/>
    <mergeCell ref="D102:E102"/>
    <mergeCell ref="F102:G102"/>
    <mergeCell ref="M102:N102"/>
    <mergeCell ref="B103:C103"/>
    <mergeCell ref="D103:E103"/>
    <mergeCell ref="F103:G103"/>
    <mergeCell ref="M103:N103"/>
    <mergeCell ref="B104:C104"/>
    <mergeCell ref="D104:E104"/>
    <mergeCell ref="F104:G104"/>
    <mergeCell ref="M104:N104"/>
    <mergeCell ref="B105:C105"/>
    <mergeCell ref="D105:E105"/>
    <mergeCell ref="F105:G105"/>
    <mergeCell ref="M105:N105"/>
    <mergeCell ref="B106:C106"/>
    <mergeCell ref="D106:E106"/>
    <mergeCell ref="F106:G106"/>
    <mergeCell ref="M106:N106"/>
    <mergeCell ref="B107:C107"/>
    <mergeCell ref="D107:E107"/>
    <mergeCell ref="F107:G107"/>
    <mergeCell ref="M107:N107"/>
    <mergeCell ref="B108:C108"/>
    <mergeCell ref="D108:E108"/>
    <mergeCell ref="F108:G108"/>
    <mergeCell ref="M108:N108"/>
    <mergeCell ref="B109:C109"/>
    <mergeCell ref="D109:E109"/>
    <mergeCell ref="F109:G109"/>
    <mergeCell ref="M109:N109"/>
    <mergeCell ref="B110:C110"/>
    <mergeCell ref="D110:E110"/>
    <mergeCell ref="F110:G110"/>
    <mergeCell ref="M110:N110"/>
    <mergeCell ref="B111:C111"/>
    <mergeCell ref="D111:E111"/>
    <mergeCell ref="F111:G111"/>
    <mergeCell ref="M111:N111"/>
    <mergeCell ref="B112:C112"/>
    <mergeCell ref="D112:E112"/>
    <mergeCell ref="F112:G112"/>
    <mergeCell ref="M112:N112"/>
    <mergeCell ref="B113:C113"/>
    <mergeCell ref="D113:E113"/>
    <mergeCell ref="F113:G113"/>
    <mergeCell ref="M113:N113"/>
    <mergeCell ref="B114:C114"/>
    <mergeCell ref="D114:E114"/>
    <mergeCell ref="F114:G114"/>
    <mergeCell ref="M114:N114"/>
    <mergeCell ref="B115:C115"/>
    <mergeCell ref="D115:E115"/>
    <mergeCell ref="F115:G115"/>
    <mergeCell ref="M115:N115"/>
    <mergeCell ref="B116:C116"/>
    <mergeCell ref="D116:E116"/>
    <mergeCell ref="F116:G116"/>
    <mergeCell ref="M116:N116"/>
    <mergeCell ref="B117:C117"/>
    <mergeCell ref="D117:E117"/>
    <mergeCell ref="F117:G117"/>
    <mergeCell ref="M117:N117"/>
    <mergeCell ref="B118:C118"/>
    <mergeCell ref="D118:E118"/>
    <mergeCell ref="F118:G118"/>
    <mergeCell ref="M118:N118"/>
    <mergeCell ref="B119:C119"/>
    <mergeCell ref="D119:E119"/>
    <mergeCell ref="F119:G119"/>
    <mergeCell ref="M119:N119"/>
    <mergeCell ref="B120:C120"/>
    <mergeCell ref="D120:E120"/>
    <mergeCell ref="F120:G120"/>
    <mergeCell ref="M120:N120"/>
    <mergeCell ref="B121:C121"/>
    <mergeCell ref="D121:E121"/>
    <mergeCell ref="F121:G121"/>
    <mergeCell ref="M121:N121"/>
    <mergeCell ref="B122:C122"/>
    <mergeCell ref="D122:E122"/>
    <mergeCell ref="F122:G122"/>
    <mergeCell ref="M122:N122"/>
    <mergeCell ref="B123:C123"/>
    <mergeCell ref="D123:E123"/>
    <mergeCell ref="F123:G123"/>
    <mergeCell ref="M123:N123"/>
    <mergeCell ref="B124:C124"/>
    <mergeCell ref="D124:E124"/>
    <mergeCell ref="F124:G124"/>
    <mergeCell ref="M124:N124"/>
    <mergeCell ref="B125:C125"/>
    <mergeCell ref="D125:E125"/>
    <mergeCell ref="F125:G125"/>
    <mergeCell ref="M125:N125"/>
    <mergeCell ref="B127:E127"/>
    <mergeCell ref="B128:E128"/>
    <mergeCell ref="B130:C130"/>
    <mergeCell ref="D130:E130"/>
    <mergeCell ref="F130:G130"/>
    <mergeCell ref="M130:N130"/>
    <mergeCell ref="B131:C131"/>
    <mergeCell ref="D131:E131"/>
    <mergeCell ref="F131:G131"/>
    <mergeCell ref="M131:N131"/>
    <mergeCell ref="B132:C132"/>
    <mergeCell ref="D132:E132"/>
    <mergeCell ref="F132:G132"/>
    <mergeCell ref="M132:N132"/>
    <mergeCell ref="I1:L1"/>
    <mergeCell ref="B2:C2"/>
    <mergeCell ref="D2:E2"/>
    <mergeCell ref="F2:G2"/>
    <mergeCell ref="M2:N2"/>
    <mergeCell ref="B3:C3"/>
    <mergeCell ref="D3:E3"/>
    <mergeCell ref="F3:G3"/>
    <mergeCell ref="M3:N3"/>
    <mergeCell ref="B4:C4"/>
    <mergeCell ref="D4:E4"/>
    <mergeCell ref="F4:G4"/>
    <mergeCell ref="M4:N4"/>
    <mergeCell ref="B5:C5"/>
    <mergeCell ref="D5:E5"/>
    <mergeCell ref="F5:G5"/>
    <mergeCell ref="M5:N5"/>
    <mergeCell ref="B6:C6"/>
    <mergeCell ref="D6:E6"/>
    <mergeCell ref="F6:G6"/>
    <mergeCell ref="M6:N6"/>
    <mergeCell ref="B7:C7"/>
    <mergeCell ref="D7:E7"/>
    <mergeCell ref="F7:G7"/>
    <mergeCell ref="M7:N7"/>
    <mergeCell ref="B8:C8"/>
    <mergeCell ref="D8:E8"/>
    <mergeCell ref="F8:G8"/>
    <mergeCell ref="M8:N8"/>
    <mergeCell ref="B9:C9"/>
    <mergeCell ref="D9:E9"/>
    <mergeCell ref="F9:G9"/>
    <mergeCell ref="M9:N9"/>
    <mergeCell ref="B10:C10"/>
    <mergeCell ref="D10:E10"/>
    <mergeCell ref="F10:G10"/>
    <mergeCell ref="M10:N10"/>
    <mergeCell ref="B11:C11"/>
    <mergeCell ref="D11:E11"/>
    <mergeCell ref="F11:G11"/>
    <mergeCell ref="M11:N11"/>
    <mergeCell ref="B12:C12"/>
    <mergeCell ref="D12:E12"/>
    <mergeCell ref="F12:G12"/>
    <mergeCell ref="M12:N12"/>
    <mergeCell ref="B13:C13"/>
    <mergeCell ref="D13:E13"/>
    <mergeCell ref="F13:G13"/>
    <mergeCell ref="M13:N13"/>
    <mergeCell ref="B14:C14"/>
    <mergeCell ref="D14:E14"/>
    <mergeCell ref="F14:G14"/>
    <mergeCell ref="M14:N14"/>
    <mergeCell ref="B15:C15"/>
    <mergeCell ref="D15:E15"/>
    <mergeCell ref="F15:G15"/>
    <mergeCell ref="M15:N15"/>
    <mergeCell ref="B16:C16"/>
    <mergeCell ref="D16:E16"/>
    <mergeCell ref="F16:G16"/>
    <mergeCell ref="M16:N16"/>
    <mergeCell ref="B17:C17"/>
    <mergeCell ref="D17:E17"/>
    <mergeCell ref="F17:G17"/>
    <mergeCell ref="M17:N17"/>
    <mergeCell ref="B18:C18"/>
    <mergeCell ref="D18:E18"/>
    <mergeCell ref="F18:G18"/>
    <mergeCell ref="M18:N18"/>
    <mergeCell ref="B20:C20"/>
    <mergeCell ref="D20:E20"/>
    <mergeCell ref="F20:G20"/>
    <mergeCell ref="M20:N20"/>
    <mergeCell ref="B21:C21"/>
    <mergeCell ref="D21:E21"/>
    <mergeCell ref="F21:G21"/>
    <mergeCell ref="M21:N21"/>
    <mergeCell ref="B19:C19"/>
    <mergeCell ref="D19:E19"/>
    <mergeCell ref="F19:G19"/>
    <mergeCell ref="M19:N19"/>
    <mergeCell ref="B22:C22"/>
    <mergeCell ref="D22:E22"/>
    <mergeCell ref="F22:G22"/>
    <mergeCell ref="M22:N22"/>
    <mergeCell ref="B23:C23"/>
    <mergeCell ref="D23:E23"/>
    <mergeCell ref="F23:G23"/>
    <mergeCell ref="M23:N23"/>
    <mergeCell ref="B24:C24"/>
    <mergeCell ref="D24:E24"/>
    <mergeCell ref="F24:G24"/>
    <mergeCell ref="M24:N24"/>
    <mergeCell ref="B25:C25"/>
    <mergeCell ref="D25:E25"/>
    <mergeCell ref="F25:G25"/>
    <mergeCell ref="M25:N25"/>
    <mergeCell ref="B26:C26"/>
    <mergeCell ref="D26:E26"/>
    <mergeCell ref="F26:G26"/>
    <mergeCell ref="M26:N26"/>
    <mergeCell ref="B27:C27"/>
    <mergeCell ref="D27:E27"/>
    <mergeCell ref="F27:G27"/>
    <mergeCell ref="M27:N27"/>
    <mergeCell ref="B28:C28"/>
    <mergeCell ref="D28:E28"/>
    <mergeCell ref="F28:G28"/>
    <mergeCell ref="M28:N28"/>
    <mergeCell ref="B29:C29"/>
    <mergeCell ref="D29:E29"/>
    <mergeCell ref="F29:G29"/>
    <mergeCell ref="M29:N29"/>
    <mergeCell ref="B30:C30"/>
    <mergeCell ref="D30:E30"/>
    <mergeCell ref="F30:G30"/>
    <mergeCell ref="M30:N30"/>
    <mergeCell ref="B31:C31"/>
    <mergeCell ref="D31:E31"/>
    <mergeCell ref="F31:G31"/>
    <mergeCell ref="M31:N31"/>
    <mergeCell ref="B32:C32"/>
    <mergeCell ref="D32:E32"/>
    <mergeCell ref="F32:G32"/>
    <mergeCell ref="M32:N32"/>
    <mergeCell ref="B33:C33"/>
    <mergeCell ref="D33:E33"/>
    <mergeCell ref="F33:G33"/>
    <mergeCell ref="M33:N33"/>
    <mergeCell ref="B34:C34"/>
    <mergeCell ref="D34:E34"/>
    <mergeCell ref="F34:G34"/>
    <mergeCell ref="M34:N34"/>
    <mergeCell ref="B35:C35"/>
    <mergeCell ref="D35:E35"/>
    <mergeCell ref="F35:G35"/>
    <mergeCell ref="M35:N35"/>
    <mergeCell ref="B36:C36"/>
    <mergeCell ref="D36:E36"/>
    <mergeCell ref="F36:G36"/>
    <mergeCell ref="M36:N36"/>
    <mergeCell ref="B37:C37"/>
    <mergeCell ref="D37:E37"/>
    <mergeCell ref="F37:G37"/>
    <mergeCell ref="M37:N37"/>
    <mergeCell ref="B39:E39"/>
    <mergeCell ref="B40:E40"/>
    <mergeCell ref="B42:C42"/>
    <mergeCell ref="D42:E42"/>
    <mergeCell ref="F42:G42"/>
    <mergeCell ref="M42:N42"/>
    <mergeCell ref="B43:C43"/>
    <mergeCell ref="D43:E43"/>
    <mergeCell ref="F43:G43"/>
    <mergeCell ref="M43:N43"/>
    <mergeCell ref="B44:C44"/>
    <mergeCell ref="D44:E44"/>
    <mergeCell ref="F44:G44"/>
    <mergeCell ref="M44:N44"/>
  </mergeCells>
  <phoneticPr fontId="2" type="noConversion"/>
  <printOptions horizontalCentered="1"/>
  <pageMargins left="0.25" right="0.25" top="1.5" bottom="0" header="0.6" footer="0"/>
  <pageSetup scale="58" fitToHeight="0" orientation="landscape" r:id="rId1"/>
  <headerFooter alignWithMargins="0">
    <oddHeader xml:space="preserve">&amp;C&amp;"Arial,Bold"&amp;22IEUA Regional Conservation Programs Annual Report
Summary Charts </oddHeader>
  </headerFooter>
  <rowBreaks count="14" manualBreakCount="14">
    <brk id="89" max="16383" man="1"/>
    <brk id="133" max="16383" man="1"/>
    <brk id="178" max="16383" man="1"/>
    <brk id="222" max="16383" man="1"/>
    <brk id="272" max="16383" man="1"/>
    <brk id="322" max="16383" man="1"/>
    <brk id="369" max="16383" man="1"/>
    <brk id="410" max="16383" man="1"/>
    <brk id="449" max="16383" man="1"/>
    <brk id="497" max="16383" man="1"/>
    <brk id="545" max="16383" man="1"/>
    <brk id="586" max="16383" man="1"/>
    <brk id="617" max="16383" man="1"/>
    <brk id="665"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16</vt:i4>
      </vt:variant>
    </vt:vector>
  </HeadingPairs>
  <TitlesOfParts>
    <vt:vector size="34" baseType="lpstr">
      <vt:lpstr>Sheet1</vt:lpstr>
      <vt:lpstr>Ontario</vt:lpstr>
      <vt:lpstr>Ontario Total</vt:lpstr>
      <vt:lpstr>Chino</vt:lpstr>
      <vt:lpstr>Chino Total</vt:lpstr>
      <vt:lpstr>Chino Hills</vt:lpstr>
      <vt:lpstr>Chino Hills Total</vt:lpstr>
      <vt:lpstr>MVWD</vt:lpstr>
      <vt:lpstr>MVWD Total </vt:lpstr>
      <vt:lpstr>Upland</vt:lpstr>
      <vt:lpstr>Upland Total</vt:lpstr>
      <vt:lpstr>FWC</vt:lpstr>
      <vt:lpstr>FWC Total</vt:lpstr>
      <vt:lpstr>SAWC</vt:lpstr>
      <vt:lpstr>SAWC Total</vt:lpstr>
      <vt:lpstr>CVWD</vt:lpstr>
      <vt:lpstr>CVWD Total</vt:lpstr>
      <vt:lpstr>IEUA Total</vt:lpstr>
      <vt:lpstr>Chino!Print_Area</vt:lpstr>
      <vt:lpstr>'Chino Hills'!Print_Area</vt:lpstr>
      <vt:lpstr>'Chino Hills Total'!Print_Area</vt:lpstr>
      <vt:lpstr>'Chino Total'!Print_Area</vt:lpstr>
      <vt:lpstr>CVWD!Print_Area</vt:lpstr>
      <vt:lpstr>'CVWD Total'!Print_Area</vt:lpstr>
      <vt:lpstr>FWC!Print_Area</vt:lpstr>
      <vt:lpstr>'FWC Total'!Print_Area</vt:lpstr>
      <vt:lpstr>MVWD!Print_Area</vt:lpstr>
      <vt:lpstr>'MVWD Total '!Print_Area</vt:lpstr>
      <vt:lpstr>Ontario!Print_Area</vt:lpstr>
      <vt:lpstr>'Ontario Total'!Print_Area</vt:lpstr>
      <vt:lpstr>SAWC!Print_Area</vt:lpstr>
      <vt:lpstr>'SAWC Total'!Print_Area</vt:lpstr>
      <vt:lpstr>Upland!Print_Area</vt:lpstr>
      <vt:lpstr>'Upland Total'!Print_Area</vt:lpstr>
    </vt:vector>
  </TitlesOfParts>
  <Company>Inland Empire Utilities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Conway</dc:creator>
  <cp:lastModifiedBy>Ed</cp:lastModifiedBy>
  <cp:lastPrinted>2020-08-31T15:13:14Z</cp:lastPrinted>
  <dcterms:created xsi:type="dcterms:W3CDTF">2006-10-31T15:04:28Z</dcterms:created>
  <dcterms:modified xsi:type="dcterms:W3CDTF">2020-12-12T04:14:42Z</dcterms:modified>
</cp:coreProperties>
</file>